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3.xml" ContentType="application/vnd.openxmlformats-officedocument.spreadsheetml.revisionLog+xml"/>
  <Override PartName="/xl/revisions/revisionLog2.xml" ContentType="application/vnd.openxmlformats-officedocument.spreadsheetml.revisionLog+xml"/>
  <Override PartName="/xl/revisions/revisionLog1.xml" ContentType="application/vnd.openxmlformats-officedocument.spreadsheetml.revisionLog+xml"/>
  <Override PartName="/xl/revisions/revisionLog4.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avide Cicchini\Downloads\"/>
    </mc:Choice>
  </mc:AlternateContent>
  <workbookProtection workbookAlgorithmName="SHA-512" workbookHashValue="PhkHZoUjLr9zROoXV2ZfoE84hFS1QK1T5bFNkKPQNB1fv/FjCY9Jh7u4f85tKohe6B0SOnb37GvXTBxw6aPV3Q==" workbookSaltValue="+t39wvAan/Ki7x3FKQKhjg==" workbookSpinCount="100000" revisionsAlgorithmName="SHA-512" revisionsHashValue="fxOFYKgzoJJPXXkvogdCwsnR35zQCO7UZAcwGLkILpw0OCi/fx8T52WcWSuNUKMiJBGq8pxTmoTL26a11dnvzw==" revisionsSaltValue="eAkIRErozaBxIGFvET/alQ==" revisionsSpinCount="100000" lockStructure="1" lockRevision="1"/>
  <bookViews>
    <workbookView xWindow="0" yWindow="0" windowWidth="20400" windowHeight="7320"/>
  </bookViews>
  <sheets>
    <sheet name="ISTRUZIONI" sheetId="1" r:id="rId1"/>
    <sheet name="CALCOLO DEL VENTO NTC18" sheetId="2" r:id="rId2"/>
    <sheet name="Apprfondimenti coperture curve" sheetId="3" r:id="rId3"/>
    <sheet name="dati nascosti" sheetId="4" state="hidden" r:id="rId4"/>
    <sheet name="DATI NTC18" sheetId="5" r:id="rId5"/>
  </sheets>
  <externalReferences>
    <externalReference r:id="rId6"/>
  </externalReferences>
  <definedNames>
    <definedName name="_xlnm.Print_Area" localSheetId="1">'CALCOLO DEL VENTO NTC18'!$A$1:$H$327</definedName>
    <definedName name="catesp">'DATI NTC18'!$B$20:$B$24</definedName>
    <definedName name="conf">'dati nascosti'!$E$192:$E$193</definedName>
    <definedName name="for">'dati nascosti'!$AJ$67:$AJ$69</definedName>
    <definedName name="formi">'dati nascosti'!$AJ$68:$AJ$69</definedName>
    <definedName name="grad">'dati nascosti'!$L$62:$L$172</definedName>
    <definedName name="incl">'dati nascosti'!$L$82:$L$172</definedName>
    <definedName name="Regione">[1]Vento!$Q$5:$Q$13</definedName>
    <definedName name="regioni">'DATI NTC18'!$B$3:$B$11</definedName>
    <definedName name="rugosità">'DATI NTC18'!$B$14:$B$17</definedName>
    <definedName name="sn">'dati nascosti'!$K$84:$K$85</definedName>
    <definedName name="sta">'dati nascosti'!$K$9:$K$10</definedName>
    <definedName name="sup">'dati nascosti'!$B$76:$B$77</definedName>
    <definedName name="supe">'dati nascosti'!$B$76:$B$78</definedName>
    <definedName name="tip">'dati nascosti'!$AJ$67:$AJ$73</definedName>
    <definedName name="tipo">'dati nascosti'!$AJ$67:$AJ$72</definedName>
    <definedName name="top">'dati nascosti'!$B$36:$B$38</definedName>
    <definedName name="topo">'dati nascosti'!$B$35:$B$38</definedName>
    <definedName name="TR">'DATI NTC18'!$H$3:$H$101</definedName>
    <definedName name="Z_948D5EE8_4948_4B88_9BE1_4533C7B89844_.wvu.PrintArea" localSheetId="1" hidden="1">'CALCOLO DEL VENTO NTC18'!$A$1:$H$327</definedName>
    <definedName name="Z_C56548B1_AD9F_45D5_A6C9_CFD9EB8CFADF_.wvu.PrintArea" localSheetId="1" hidden="1">'CALCOLO DEL VENTO NTC18'!$A$1:$H$327</definedName>
  </definedNames>
  <calcPr calcId="162913"/>
  <customWorkbookViews>
    <customWorkbookView name="Davide Cicchini - Visualizzazione personale" guid="{C56548B1-AD9F-45D5-A6C9-CFD9EB8CFADF}" mergeInterval="0" personalView="1" maximized="1" xWindow="-8" yWindow="-8" windowWidth="1376" windowHeight="744" activeSheetId="3"/>
    <customWorkbookView name="SGh - Giovanni - Visualizzazione personale" guid="{948D5EE8-4948-4B88-9BE1-4533C7B89844}" mergeInterval="0" personalView="1" maximized="1" xWindow="-8" yWindow="-8" windowWidth="1936" windowHeight="1056"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4" i="2" l="1"/>
  <c r="Y108" i="4"/>
  <c r="Y107" i="4"/>
  <c r="AL15" i="4" l="1"/>
  <c r="AL16" i="4" s="1"/>
  <c r="F285" i="2"/>
  <c r="Q26" i="4" l="1"/>
  <c r="Q24" i="4"/>
  <c r="Q22" i="4"/>
  <c r="Q20" i="4"/>
  <c r="N26" i="4"/>
  <c r="N24" i="4"/>
  <c r="N22" i="4"/>
  <c r="G115" i="4" l="1"/>
  <c r="G112" i="4"/>
  <c r="G113" i="4"/>
  <c r="G114" i="4"/>
  <c r="C79" i="4"/>
  <c r="M15" i="4"/>
  <c r="M9" i="4" s="1"/>
  <c r="M11" i="4" l="1"/>
  <c r="G189" i="4"/>
  <c r="E188" i="4"/>
  <c r="D188" i="4" s="1"/>
  <c r="D184" i="4"/>
  <c r="H237" i="2"/>
  <c r="H227" i="2"/>
  <c r="F237" i="2"/>
  <c r="F227" i="2"/>
  <c r="C277" i="2" l="1"/>
  <c r="B284" i="2"/>
  <c r="G230" i="2"/>
  <c r="G231" i="2" s="1"/>
  <c r="G220" i="2"/>
  <c r="G221" i="2" s="1"/>
  <c r="F234" i="2"/>
  <c r="C79" i="2"/>
  <c r="B6" i="4" s="1"/>
  <c r="BA56" i="4"/>
  <c r="D70" i="2" l="1"/>
  <c r="V61" i="4"/>
  <c r="V60" i="4"/>
  <c r="C264" i="2"/>
  <c r="C235" i="2"/>
  <c r="Q25" i="4" s="1"/>
  <c r="C237" i="2"/>
  <c r="Q27" i="4" s="1"/>
  <c r="C231" i="2"/>
  <c r="Q21" i="4" s="1"/>
  <c r="F224" i="2"/>
  <c r="AB4" i="4"/>
  <c r="AA4" i="4"/>
  <c r="L81" i="4"/>
  <c r="L80" i="4" s="1"/>
  <c r="L79" i="4" s="1"/>
  <c r="L78" i="4" s="1"/>
  <c r="L77" i="4" s="1"/>
  <c r="L76" i="4" s="1"/>
  <c r="L75" i="4" s="1"/>
  <c r="L74" i="4" s="1"/>
  <c r="L73" i="4" s="1"/>
  <c r="L72" i="4" s="1"/>
  <c r="L71" i="4" s="1"/>
  <c r="L70" i="4" s="1"/>
  <c r="L69" i="4" s="1"/>
  <c r="L68" i="4" s="1"/>
  <c r="L67" i="4" s="1"/>
  <c r="L66" i="4" s="1"/>
  <c r="L65" i="4" s="1"/>
  <c r="L64" i="4" s="1"/>
  <c r="L63" i="4" s="1"/>
  <c r="L62" i="4" s="1"/>
  <c r="AB76" i="4"/>
  <c r="AA76" i="4"/>
  <c r="D67" i="4"/>
  <c r="D66" i="4"/>
  <c r="D65" i="4"/>
  <c r="D64" i="4"/>
  <c r="AU11" i="4"/>
  <c r="V62" i="4" l="1"/>
  <c r="C225" i="2"/>
  <c r="N25" i="4" s="1"/>
  <c r="C227" i="2"/>
  <c r="N27" i="4" s="1"/>
  <c r="C221" i="2"/>
  <c r="AZ27" i="4" l="1"/>
  <c r="AZ23" i="4"/>
  <c r="AZ19" i="4"/>
  <c r="AZ21" i="4"/>
  <c r="AZ20" i="4"/>
  <c r="AZ26" i="4"/>
  <c r="AZ22" i="4"/>
  <c r="AZ25" i="4"/>
  <c r="AZ24" i="4"/>
  <c r="G258" i="2"/>
  <c r="N21" i="4"/>
  <c r="F57" i="4"/>
  <c r="G261" i="2"/>
  <c r="F56" i="4"/>
  <c r="G260" i="2"/>
  <c r="V63" i="4"/>
  <c r="V67" i="4"/>
  <c r="V64" i="4"/>
  <c r="V65" i="4" s="1"/>
  <c r="AK16" i="4"/>
  <c r="F31" i="2" l="1"/>
  <c r="V66" i="4"/>
  <c r="G174" i="2"/>
  <c r="G268" i="2" l="1"/>
  <c r="B18" i="4"/>
  <c r="B17" i="4"/>
  <c r="H28" i="2"/>
  <c r="B56" i="4"/>
  <c r="B55" i="4"/>
  <c r="B54" i="4"/>
  <c r="B53" i="4"/>
  <c r="G173" i="2"/>
  <c r="D258" i="2"/>
  <c r="D259" i="2" s="1"/>
  <c r="AU12" i="4"/>
  <c r="F265" i="2" l="1"/>
  <c r="D261" i="2"/>
  <c r="D260" i="2"/>
  <c r="W77" i="4" l="1"/>
  <c r="W78" i="4" s="1"/>
  <c r="W79" i="4" s="1"/>
  <c r="W80" i="4" s="1"/>
  <c r="W81" i="4" s="1"/>
  <c r="W82" i="4" s="1"/>
  <c r="W83" i="4" s="1"/>
  <c r="W84" i="4" s="1"/>
  <c r="W85" i="4" s="1"/>
  <c r="W86" i="4" s="1"/>
  <c r="W87" i="4" s="1"/>
  <c r="W88" i="4" s="1"/>
  <c r="W89" i="4" s="1"/>
  <c r="W90" i="4" s="1"/>
  <c r="W91" i="4" s="1"/>
  <c r="W92" i="4" s="1"/>
  <c r="W93" i="4" s="1"/>
  <c r="W94" i="4" s="1"/>
  <c r="W95" i="4" s="1"/>
  <c r="W96" i="4" s="1"/>
  <c r="W97" i="4" s="1"/>
  <c r="W98" i="4" s="1"/>
  <c r="W99" i="4" s="1"/>
  <c r="W100" i="4" s="1"/>
  <c r="W101" i="4" s="1"/>
  <c r="W102" i="4" s="1"/>
  <c r="W103" i="4" s="1"/>
  <c r="W104" i="4" s="1"/>
  <c r="W105" i="4" s="1"/>
  <c r="W106" i="4" s="1"/>
  <c r="K74" i="4"/>
  <c r="L83" i="4"/>
  <c r="L84" i="4" s="1"/>
  <c r="L85" i="4" s="1"/>
  <c r="L86" i="4" s="1"/>
  <c r="L87" i="4" s="1"/>
  <c r="L88" i="4" s="1"/>
  <c r="L89" i="4" s="1"/>
  <c r="L90" i="4" s="1"/>
  <c r="L91" i="4" s="1"/>
  <c r="L92" i="4" s="1"/>
  <c r="L93" i="4" s="1"/>
  <c r="L94" i="4" s="1"/>
  <c r="L95" i="4" s="1"/>
  <c r="L96" i="4" s="1"/>
  <c r="L97" i="4" s="1"/>
  <c r="L98" i="4" s="1"/>
  <c r="L99" i="4" s="1"/>
  <c r="L100" i="4" s="1"/>
  <c r="L101" i="4" s="1"/>
  <c r="L102" i="4" s="1"/>
  <c r="L103" i="4" s="1"/>
  <c r="L104" i="4" s="1"/>
  <c r="L105" i="4" s="1"/>
  <c r="L106" i="4" s="1"/>
  <c r="L107" i="4" s="1"/>
  <c r="L108" i="4" s="1"/>
  <c r="L109" i="4" s="1"/>
  <c r="L110" i="4" s="1"/>
  <c r="L111" i="4" s="1"/>
  <c r="L112" i="4" s="1"/>
  <c r="L113" i="4" s="1"/>
  <c r="L114" i="4" s="1"/>
  <c r="L115" i="4" s="1"/>
  <c r="L116" i="4" s="1"/>
  <c r="L117" i="4" s="1"/>
  <c r="L118" i="4" s="1"/>
  <c r="L119" i="4" s="1"/>
  <c r="L120" i="4" s="1"/>
  <c r="L121" i="4" s="1"/>
  <c r="L122" i="4" s="1"/>
  <c r="L123" i="4" s="1"/>
  <c r="L124" i="4" s="1"/>
  <c r="L125" i="4" s="1"/>
  <c r="L126" i="4" s="1"/>
  <c r="L127" i="4" s="1"/>
  <c r="L128" i="4" s="1"/>
  <c r="L129" i="4" s="1"/>
  <c r="L130" i="4" s="1"/>
  <c r="L131" i="4" s="1"/>
  <c r="L132" i="4" s="1"/>
  <c r="L133" i="4" s="1"/>
  <c r="L134" i="4" s="1"/>
  <c r="L135" i="4" s="1"/>
  <c r="L136" i="4" s="1"/>
  <c r="L137" i="4" s="1"/>
  <c r="L138" i="4" s="1"/>
  <c r="L139" i="4" s="1"/>
  <c r="L140" i="4" s="1"/>
  <c r="L141" i="4" s="1"/>
  <c r="L142" i="4" s="1"/>
  <c r="L143" i="4" s="1"/>
  <c r="L144" i="4" s="1"/>
  <c r="L145" i="4" s="1"/>
  <c r="L146" i="4" s="1"/>
  <c r="L147" i="4" s="1"/>
  <c r="L148" i="4" s="1"/>
  <c r="L149" i="4" s="1"/>
  <c r="L150" i="4" s="1"/>
  <c r="L151" i="4" s="1"/>
  <c r="L152" i="4" s="1"/>
  <c r="L153" i="4" s="1"/>
  <c r="L154" i="4" s="1"/>
  <c r="W107" i="4" l="1"/>
  <c r="L155" i="4"/>
  <c r="D41" i="4"/>
  <c r="F154" i="2" s="1"/>
  <c r="D69" i="4" s="1"/>
  <c r="C41" i="4"/>
  <c r="F153" i="2" s="1"/>
  <c r="D68" i="4" s="1"/>
  <c r="D29" i="4"/>
  <c r="B29" i="4"/>
  <c r="C38" i="4" l="1"/>
  <c r="C37" i="4"/>
  <c r="C36" i="4"/>
  <c r="F158" i="2" s="1"/>
  <c r="B10" i="4" s="1"/>
  <c r="B15" i="4"/>
  <c r="L156" i="4"/>
  <c r="C44" i="4"/>
  <c r="E44" i="4"/>
  <c r="D44" i="4"/>
  <c r="I3" i="5"/>
  <c r="H4" i="5"/>
  <c r="W6" i="4"/>
  <c r="W7" i="4" s="1"/>
  <c r="W8" i="4" s="1"/>
  <c r="W9" i="4" s="1"/>
  <c r="W10" i="4" s="1"/>
  <c r="W11" i="4" s="1"/>
  <c r="W12" i="4" s="1"/>
  <c r="W13" i="4" s="1"/>
  <c r="W14" i="4" s="1"/>
  <c r="W15" i="4" s="1"/>
  <c r="W16" i="4" s="1"/>
  <c r="W17" i="4" s="1"/>
  <c r="W18" i="4" s="1"/>
  <c r="W19" i="4" s="1"/>
  <c r="W20" i="4" s="1"/>
  <c r="W21" i="4" s="1"/>
  <c r="W22" i="4" s="1"/>
  <c r="W23" i="4" s="1"/>
  <c r="W24" i="4" s="1"/>
  <c r="W25" i="4" s="1"/>
  <c r="W26" i="4" s="1"/>
  <c r="W27" i="4" s="1"/>
  <c r="W28" i="4" s="1"/>
  <c r="W29" i="4" s="1"/>
  <c r="W30" i="4" s="1"/>
  <c r="W31" i="4" s="1"/>
  <c r="W32" i="4" s="1"/>
  <c r="W33" i="4" s="1"/>
  <c r="W34" i="4" s="1"/>
  <c r="W35" i="4" s="1"/>
  <c r="W36" i="4" s="1"/>
  <c r="W37" i="4" s="1"/>
  <c r="W38" i="4" s="1"/>
  <c r="W39" i="4" s="1"/>
  <c r="W40" i="4" s="1"/>
  <c r="W41" i="4" s="1"/>
  <c r="W42" i="4" s="1"/>
  <c r="W43" i="4" s="1"/>
  <c r="W44" i="4" s="1"/>
  <c r="W45" i="4" s="1"/>
  <c r="W46" i="4" s="1"/>
  <c r="W47" i="4" s="1"/>
  <c r="W48" i="4" s="1"/>
  <c r="W49" i="4" s="1"/>
  <c r="W50" i="4" s="1"/>
  <c r="W51" i="4" s="1"/>
  <c r="W52" i="4" s="1"/>
  <c r="W53" i="4" s="1"/>
  <c r="W54" i="4" s="1"/>
  <c r="W55" i="4" s="1"/>
  <c r="W56" i="4" s="1"/>
  <c r="W57" i="4" s="1"/>
  <c r="W58" i="4" s="1"/>
  <c r="W59" i="4" s="1"/>
  <c r="W60" i="4" s="1"/>
  <c r="W61" i="4" s="1"/>
  <c r="W62" i="4" s="1"/>
  <c r="W63" i="4" s="1"/>
  <c r="W64" i="4" s="1"/>
  <c r="W65" i="4" s="1"/>
  <c r="W66" i="4" s="1"/>
  <c r="W67" i="4" s="1"/>
  <c r="W68" i="4" s="1"/>
  <c r="W69" i="4" s="1"/>
  <c r="W70" i="4" s="1"/>
  <c r="W71" i="4" s="1"/>
  <c r="W72" i="4" s="1"/>
  <c r="W73" i="4" s="1"/>
  <c r="W74" i="4" s="1"/>
  <c r="W75" i="4" s="1"/>
  <c r="W76" i="4" s="1"/>
  <c r="B14" i="4"/>
  <c r="B9" i="4"/>
  <c r="B5" i="4"/>
  <c r="D170" i="2"/>
  <c r="C170" i="2"/>
  <c r="B12" i="4" s="1"/>
  <c r="B170" i="2"/>
  <c r="E79" i="2"/>
  <c r="B8" i="4" s="1"/>
  <c r="D79" i="2"/>
  <c r="F79" i="2" s="1"/>
  <c r="E85" i="2" s="1"/>
  <c r="B79" i="2"/>
  <c r="A29" i="4" s="1"/>
  <c r="H5" i="5" l="1"/>
  <c r="H6" i="5" s="1"/>
  <c r="I6" i="5" s="1"/>
  <c r="B13" i="4"/>
  <c r="G172" i="2"/>
  <c r="E258" i="2"/>
  <c r="X6" i="4"/>
  <c r="X75" i="4"/>
  <c r="X77" i="4" s="1"/>
  <c r="T77" i="4" s="1"/>
  <c r="L157" i="4"/>
  <c r="B11" i="4"/>
  <c r="I4" i="5"/>
  <c r="B7" i="4"/>
  <c r="X74" i="4"/>
  <c r="X71" i="4"/>
  <c r="X68" i="4"/>
  <c r="X65" i="4"/>
  <c r="X62" i="4"/>
  <c r="X59" i="4"/>
  <c r="X56" i="4"/>
  <c r="X53" i="4"/>
  <c r="X50" i="4"/>
  <c r="X47" i="4"/>
  <c r="X44" i="4"/>
  <c r="X41" i="4"/>
  <c r="X38" i="4"/>
  <c r="X35" i="4"/>
  <c r="X32" i="4"/>
  <c r="X29" i="4"/>
  <c r="X26" i="4"/>
  <c r="X23" i="4"/>
  <c r="X20" i="4"/>
  <c r="X17" i="4"/>
  <c r="X14" i="4"/>
  <c r="X11" i="4"/>
  <c r="X8" i="4"/>
  <c r="X5" i="4"/>
  <c r="X4" i="4" s="1"/>
  <c r="X73" i="4"/>
  <c r="X70" i="4"/>
  <c r="X67" i="4"/>
  <c r="X64" i="4"/>
  <c r="X61" i="4"/>
  <c r="X58" i="4"/>
  <c r="X55" i="4"/>
  <c r="X52" i="4"/>
  <c r="X49" i="4"/>
  <c r="X46" i="4"/>
  <c r="X43" i="4"/>
  <c r="X40" i="4"/>
  <c r="X37" i="4"/>
  <c r="X34" i="4"/>
  <c r="X31" i="4"/>
  <c r="X28" i="4"/>
  <c r="X25" i="4"/>
  <c r="X22" i="4"/>
  <c r="X19" i="4"/>
  <c r="X16" i="4"/>
  <c r="X13" i="4"/>
  <c r="X10" i="4"/>
  <c r="X7" i="4"/>
  <c r="X72" i="4"/>
  <c r="X69" i="4"/>
  <c r="X66" i="4"/>
  <c r="X63" i="4"/>
  <c r="X60" i="4"/>
  <c r="X57" i="4"/>
  <c r="X54" i="4"/>
  <c r="X51" i="4"/>
  <c r="X48" i="4"/>
  <c r="X45" i="4"/>
  <c r="X42" i="4"/>
  <c r="X39" i="4"/>
  <c r="X36" i="4"/>
  <c r="X33" i="4"/>
  <c r="X30" i="4"/>
  <c r="X27" i="4"/>
  <c r="X24" i="4"/>
  <c r="X21" i="4"/>
  <c r="X18" i="4"/>
  <c r="X15" i="4"/>
  <c r="X12" i="4"/>
  <c r="X9" i="4"/>
  <c r="I5" i="5" l="1"/>
  <c r="H7" i="5"/>
  <c r="X76" i="4"/>
  <c r="X81" i="4"/>
  <c r="T81" i="4" s="1"/>
  <c r="X82" i="4"/>
  <c r="T82" i="4" s="1"/>
  <c r="Y14" i="4"/>
  <c r="Y5" i="4"/>
  <c r="Y51" i="4"/>
  <c r="Y15" i="4"/>
  <c r="E259" i="2"/>
  <c r="E260" i="2"/>
  <c r="E261" i="2"/>
  <c r="Y27" i="4"/>
  <c r="Y63" i="4"/>
  <c r="Y39" i="4"/>
  <c r="F172" i="2"/>
  <c r="Y12" i="4"/>
  <c r="Y48" i="4"/>
  <c r="Y16" i="4"/>
  <c r="Y52" i="4"/>
  <c r="Y17" i="4"/>
  <c r="Y24" i="4"/>
  <c r="Y60" i="4"/>
  <c r="Y36" i="4"/>
  <c r="Y72" i="4"/>
  <c r="Y28" i="4"/>
  <c r="Y40" i="4"/>
  <c r="Y64" i="4"/>
  <c r="Y29" i="4"/>
  <c r="Y6" i="4"/>
  <c r="Y10" i="4"/>
  <c r="Y22" i="4"/>
  <c r="Y34" i="4"/>
  <c r="Y46" i="4"/>
  <c r="Y58" i="4"/>
  <c r="Y70" i="4"/>
  <c r="Y9" i="4"/>
  <c r="Y21" i="4"/>
  <c r="Y33" i="4"/>
  <c r="Y45" i="4"/>
  <c r="Y57" i="4"/>
  <c r="Y69" i="4"/>
  <c r="Y13" i="4"/>
  <c r="Y25" i="4"/>
  <c r="Y37" i="4"/>
  <c r="Y49" i="4"/>
  <c r="Y11" i="4"/>
  <c r="Y23" i="4"/>
  <c r="Y35" i="4"/>
  <c r="Y61" i="4"/>
  <c r="Y73" i="4"/>
  <c r="Y47" i="4"/>
  <c r="Y59" i="4"/>
  <c r="Y71" i="4"/>
  <c r="Y26" i="4"/>
  <c r="Y38" i="4"/>
  <c r="Y50" i="4"/>
  <c r="Y62" i="4"/>
  <c r="Y74" i="4"/>
  <c r="Y41" i="4"/>
  <c r="Y53" i="4"/>
  <c r="Y65" i="4"/>
  <c r="X86" i="4"/>
  <c r="T86" i="4" s="1"/>
  <c r="X98" i="4"/>
  <c r="T98" i="4" s="1"/>
  <c r="X90" i="4"/>
  <c r="T90" i="4" s="1"/>
  <c r="Y75" i="4"/>
  <c r="Y76" i="4" s="1"/>
  <c r="X106" i="4"/>
  <c r="T106" i="4" s="1"/>
  <c r="V106" i="4" s="1"/>
  <c r="X102" i="4"/>
  <c r="T102" i="4" s="1"/>
  <c r="X105" i="4"/>
  <c r="T105" i="4" s="1"/>
  <c r="X83" i="4"/>
  <c r="T83" i="4" s="1"/>
  <c r="X99" i="4"/>
  <c r="T99" i="4" s="1"/>
  <c r="X84" i="4"/>
  <c r="T84" i="4" s="1"/>
  <c r="X100" i="4"/>
  <c r="T100" i="4" s="1"/>
  <c r="X89" i="4"/>
  <c r="T89" i="4" s="1"/>
  <c r="X79" i="4"/>
  <c r="T79" i="4" s="1"/>
  <c r="X80" i="4"/>
  <c r="T80" i="4" s="1"/>
  <c r="X85" i="4"/>
  <c r="T85" i="4" s="1"/>
  <c r="X78" i="4"/>
  <c r="T78" i="4" s="1"/>
  <c r="X87" i="4"/>
  <c r="T87" i="4" s="1"/>
  <c r="X103" i="4"/>
  <c r="T103" i="4" s="1"/>
  <c r="X88" i="4"/>
  <c r="T88" i="4" s="1"/>
  <c r="X104" i="4"/>
  <c r="T104" i="4" s="1"/>
  <c r="X93" i="4"/>
  <c r="T93" i="4" s="1"/>
  <c r="X95" i="4"/>
  <c r="T95" i="4" s="1"/>
  <c r="X96" i="4"/>
  <c r="T96" i="4" s="1"/>
  <c r="X101" i="4"/>
  <c r="T101" i="4" s="1"/>
  <c r="X94" i="4"/>
  <c r="T94" i="4" s="1"/>
  <c r="X91" i="4"/>
  <c r="T91" i="4" s="1"/>
  <c r="Y77" i="4"/>
  <c r="X92" i="4"/>
  <c r="T92" i="4" s="1"/>
  <c r="X97" i="4"/>
  <c r="T97" i="4" s="1"/>
  <c r="L158" i="4"/>
  <c r="Y18" i="4"/>
  <c r="Y30" i="4"/>
  <c r="Y42" i="4"/>
  <c r="Y54" i="4"/>
  <c r="Y66" i="4"/>
  <c r="Y7" i="4"/>
  <c r="Y19" i="4"/>
  <c r="Y31" i="4"/>
  <c r="Y43" i="4"/>
  <c r="Y55" i="4"/>
  <c r="Y67" i="4"/>
  <c r="Y8" i="4"/>
  <c r="Y20" i="4"/>
  <c r="Y32" i="4"/>
  <c r="Y44" i="4"/>
  <c r="Y56" i="4"/>
  <c r="Y68" i="4"/>
  <c r="H8" i="5"/>
  <c r="I7" i="5"/>
  <c r="Y81" i="4" l="1"/>
  <c r="V77" i="4"/>
  <c r="N77" i="4" s="1"/>
  <c r="V82" i="4"/>
  <c r="Y93" i="4"/>
  <c r="V93" i="4"/>
  <c r="Y79" i="4"/>
  <c r="V79" i="4"/>
  <c r="Y92" i="4"/>
  <c r="V92" i="4"/>
  <c r="Y101" i="4"/>
  <c r="V101" i="4"/>
  <c r="Y104" i="4"/>
  <c r="V104" i="4"/>
  <c r="Y78" i="4"/>
  <c r="V78" i="4"/>
  <c r="Y89" i="4"/>
  <c r="V89" i="4"/>
  <c r="Y83" i="4"/>
  <c r="V83" i="4"/>
  <c r="Y86" i="4"/>
  <c r="V86" i="4"/>
  <c r="V81" i="4"/>
  <c r="Y98" i="4"/>
  <c r="V98" i="4"/>
  <c r="Y96" i="4"/>
  <c r="V96" i="4"/>
  <c r="Y88" i="4"/>
  <c r="V88" i="4"/>
  <c r="Y85" i="4"/>
  <c r="V85" i="4"/>
  <c r="Y100" i="4"/>
  <c r="V100" i="4"/>
  <c r="Y105" i="4"/>
  <c r="V105" i="4"/>
  <c r="Y90" i="4"/>
  <c r="V90" i="4"/>
  <c r="Y94" i="4"/>
  <c r="V94" i="4"/>
  <c r="Y87" i="4"/>
  <c r="V87" i="4"/>
  <c r="Y99" i="4"/>
  <c r="V99" i="4"/>
  <c r="Y97" i="4"/>
  <c r="V97" i="4"/>
  <c r="Y91" i="4"/>
  <c r="V91" i="4"/>
  <c r="Y95" i="4"/>
  <c r="V95" i="4"/>
  <c r="Y103" i="4"/>
  <c r="V103" i="4"/>
  <c r="N103" i="4" s="1"/>
  <c r="Y80" i="4"/>
  <c r="V80" i="4"/>
  <c r="Y84" i="4"/>
  <c r="V84" i="4"/>
  <c r="Y102" i="4"/>
  <c r="V102" i="4"/>
  <c r="Y82" i="4"/>
  <c r="Y106" i="4"/>
  <c r="X107" i="4"/>
  <c r="Y4" i="4"/>
  <c r="B21" i="4"/>
  <c r="F173" i="2"/>
  <c r="L159" i="4"/>
  <c r="H9" i="5"/>
  <c r="I8" i="5"/>
  <c r="B23" i="4" l="1"/>
  <c r="B22" i="4"/>
  <c r="F258" i="2"/>
  <c r="F261" i="2" s="1"/>
  <c r="F259" i="2"/>
  <c r="F260" i="2" s="1"/>
  <c r="L160" i="4"/>
  <c r="H10" i="5"/>
  <c r="I9" i="5"/>
  <c r="L161" i="4" l="1"/>
  <c r="H11" i="5"/>
  <c r="I10" i="5"/>
  <c r="L162" i="4" l="1"/>
  <c r="H12" i="5"/>
  <c r="I11" i="5"/>
  <c r="L163" i="4" l="1"/>
  <c r="H13" i="5"/>
  <c r="I12" i="5"/>
  <c r="L164" i="4" l="1"/>
  <c r="H14" i="5"/>
  <c r="I13" i="5"/>
  <c r="L165" i="4" l="1"/>
  <c r="H15" i="5"/>
  <c r="I14" i="5"/>
  <c r="L166" i="4" l="1"/>
  <c r="H16" i="5"/>
  <c r="I15" i="5"/>
  <c r="L167" i="4" l="1"/>
  <c r="H17" i="5"/>
  <c r="I16" i="5"/>
  <c r="L168" i="4" l="1"/>
  <c r="H18" i="5"/>
  <c r="I17" i="5"/>
  <c r="L169" i="4" l="1"/>
  <c r="H19" i="5"/>
  <c r="I18" i="5"/>
  <c r="L170" i="4" l="1"/>
  <c r="H20" i="5"/>
  <c r="I19" i="5"/>
  <c r="L171" i="4" l="1"/>
  <c r="H21" i="5"/>
  <c r="I20" i="5"/>
  <c r="L172" i="4" l="1"/>
  <c r="H22" i="5"/>
  <c r="I21" i="5"/>
  <c r="H23" i="5" l="1"/>
  <c r="I22" i="5"/>
  <c r="H24" i="5" l="1"/>
  <c r="I23" i="5"/>
  <c r="H25" i="5" l="1"/>
  <c r="I24" i="5"/>
  <c r="H26" i="5" l="1"/>
  <c r="I25" i="5"/>
  <c r="H27" i="5" l="1"/>
  <c r="I26" i="5"/>
  <c r="H28" i="5" l="1"/>
  <c r="I27" i="5"/>
  <c r="H29" i="5" l="1"/>
  <c r="I28" i="5"/>
  <c r="H30" i="5" l="1"/>
  <c r="I29" i="5"/>
  <c r="H31" i="5" l="1"/>
  <c r="I30" i="5"/>
  <c r="H32" i="5" l="1"/>
  <c r="I31" i="5"/>
  <c r="H33" i="5" l="1"/>
  <c r="I32" i="5"/>
  <c r="H34" i="5" l="1"/>
  <c r="I33" i="5"/>
  <c r="H35" i="5" l="1"/>
  <c r="I34" i="5"/>
  <c r="H36" i="5" l="1"/>
  <c r="I35" i="5"/>
  <c r="H37" i="5" l="1"/>
  <c r="I36" i="5"/>
  <c r="H38" i="5" l="1"/>
  <c r="I37" i="5"/>
  <c r="H39" i="5" l="1"/>
  <c r="I38" i="5"/>
  <c r="H40" i="5" l="1"/>
  <c r="I39" i="5"/>
  <c r="H41" i="5" l="1"/>
  <c r="I40" i="5"/>
  <c r="H42" i="5" l="1"/>
  <c r="I41" i="5"/>
  <c r="H43" i="5" l="1"/>
  <c r="I42" i="5"/>
  <c r="H44" i="5" l="1"/>
  <c r="I43" i="5"/>
  <c r="H45" i="5" l="1"/>
  <c r="I44" i="5"/>
  <c r="H46" i="5" l="1"/>
  <c r="I45" i="5"/>
  <c r="H47" i="5" l="1"/>
  <c r="I46" i="5"/>
  <c r="H48" i="5" l="1"/>
  <c r="I47" i="5"/>
  <c r="H49" i="5" l="1"/>
  <c r="I48" i="5"/>
  <c r="H50" i="5" l="1"/>
  <c r="I49" i="5"/>
  <c r="H51" i="5" l="1"/>
  <c r="I50" i="5"/>
  <c r="H52" i="5" l="1"/>
  <c r="I51" i="5"/>
  <c r="H53" i="5" l="1"/>
  <c r="I52" i="5"/>
  <c r="H54" i="5" l="1"/>
  <c r="I53" i="5"/>
  <c r="H55" i="5" l="1"/>
  <c r="I54" i="5"/>
  <c r="H56" i="5" l="1"/>
  <c r="I55" i="5"/>
  <c r="H57" i="5" l="1"/>
  <c r="I56" i="5"/>
  <c r="H58" i="5" l="1"/>
  <c r="I57" i="5"/>
  <c r="H59" i="5" l="1"/>
  <c r="I58" i="5"/>
  <c r="H60" i="5" l="1"/>
  <c r="I59" i="5"/>
  <c r="H61" i="5" l="1"/>
  <c r="I60" i="5"/>
  <c r="H62" i="5" l="1"/>
  <c r="I61" i="5"/>
  <c r="H63" i="5" l="1"/>
  <c r="I62" i="5"/>
  <c r="H64" i="5" l="1"/>
  <c r="I63" i="5"/>
  <c r="H65" i="5" l="1"/>
  <c r="I64" i="5"/>
  <c r="H66" i="5" l="1"/>
  <c r="I65" i="5"/>
  <c r="H67" i="5" l="1"/>
  <c r="I66" i="5"/>
  <c r="H68" i="5" l="1"/>
  <c r="I67" i="5"/>
  <c r="H69" i="5" l="1"/>
  <c r="I68" i="5"/>
  <c r="H70" i="5" l="1"/>
  <c r="I69" i="5"/>
  <c r="H71" i="5" l="1"/>
  <c r="I70" i="5"/>
  <c r="H72" i="5" l="1"/>
  <c r="I71" i="5"/>
  <c r="H73" i="5" l="1"/>
  <c r="I72" i="5"/>
  <c r="H74" i="5" l="1"/>
  <c r="I73" i="5"/>
  <c r="H75" i="5" l="1"/>
  <c r="I74" i="5"/>
  <c r="H76" i="5" l="1"/>
  <c r="I75" i="5"/>
  <c r="H77" i="5" l="1"/>
  <c r="I76" i="5"/>
  <c r="H78" i="5" l="1"/>
  <c r="I77" i="5"/>
  <c r="H79" i="5" l="1"/>
  <c r="I78" i="5"/>
  <c r="H80" i="5" l="1"/>
  <c r="I79" i="5"/>
  <c r="H81" i="5" l="1"/>
  <c r="I80" i="5"/>
  <c r="H82" i="5" l="1"/>
  <c r="I81" i="5"/>
  <c r="H83" i="5" l="1"/>
  <c r="I82" i="5"/>
  <c r="H84" i="5" l="1"/>
  <c r="I83" i="5"/>
  <c r="H85" i="5" l="1"/>
  <c r="I84" i="5"/>
  <c r="H86" i="5" l="1"/>
  <c r="I85" i="5"/>
  <c r="H87" i="5" l="1"/>
  <c r="I86" i="5"/>
  <c r="H88" i="5" l="1"/>
  <c r="I87" i="5"/>
  <c r="H89" i="5" l="1"/>
  <c r="I88" i="5"/>
  <c r="H90" i="5" l="1"/>
  <c r="I89" i="5"/>
  <c r="H91" i="5" l="1"/>
  <c r="I90" i="5"/>
  <c r="H92" i="5" l="1"/>
  <c r="I91" i="5"/>
  <c r="H93" i="5" l="1"/>
  <c r="I92" i="5"/>
  <c r="H94" i="5" l="1"/>
  <c r="I93" i="5"/>
  <c r="H95" i="5" l="1"/>
  <c r="I94" i="5"/>
  <c r="H96" i="5" l="1"/>
  <c r="I95" i="5"/>
  <c r="H97" i="5" l="1"/>
  <c r="I96" i="5"/>
  <c r="H98" i="5" l="1"/>
  <c r="I97" i="5"/>
  <c r="H99" i="5" l="1"/>
  <c r="I98" i="5"/>
  <c r="H100" i="5" l="1"/>
  <c r="I99" i="5"/>
  <c r="H101" i="5" l="1"/>
  <c r="I101" i="5" s="1"/>
  <c r="E88" i="2" s="1"/>
  <c r="E89" i="2" s="1"/>
  <c r="I100" i="5"/>
  <c r="E95" i="2" l="1"/>
  <c r="E326" i="2" s="1"/>
  <c r="B19" i="4"/>
  <c r="C258" i="2" l="1"/>
  <c r="H258" i="2" s="1"/>
  <c r="D269" i="2" s="1"/>
  <c r="B20" i="4"/>
  <c r="AC51" i="4" s="1"/>
  <c r="G246" i="2"/>
  <c r="F49" i="4"/>
  <c r="F50" i="4"/>
  <c r="AC23" i="4"/>
  <c r="AC75" i="4"/>
  <c r="AC61" i="4"/>
  <c r="AC54" i="4"/>
  <c r="AC11" i="4"/>
  <c r="AC30" i="4"/>
  <c r="AC65" i="4"/>
  <c r="AC62" i="4"/>
  <c r="AC28" i="4"/>
  <c r="AC59" i="4"/>
  <c r="AC44" i="4"/>
  <c r="AC19" i="4"/>
  <c r="AC72" i="4"/>
  <c r="AC14" i="4"/>
  <c r="AC46" i="4"/>
  <c r="AC32" i="4"/>
  <c r="AC7" i="4"/>
  <c r="AC24" i="4" l="1"/>
  <c r="AC73" i="4"/>
  <c r="AC52" i="4"/>
  <c r="AG51" i="4" s="1"/>
  <c r="AC74" i="4"/>
  <c r="AG74" i="4" s="1"/>
  <c r="AC26" i="4"/>
  <c r="AC38" i="4"/>
  <c r="AC9" i="4"/>
  <c r="B26" i="4"/>
  <c r="AC47" i="4"/>
  <c r="AG46" i="4" s="1"/>
  <c r="AC57" i="4"/>
  <c r="AC69" i="4"/>
  <c r="AC29" i="4"/>
  <c r="AG29" i="4" s="1"/>
  <c r="AC37" i="4"/>
  <c r="AC70" i="4"/>
  <c r="AC12" i="4"/>
  <c r="AG11" i="4" s="1"/>
  <c r="AC63" i="4"/>
  <c r="AG62" i="4" s="1"/>
  <c r="AC53" i="4"/>
  <c r="AG53" i="4" s="1"/>
  <c r="AC50" i="4"/>
  <c r="AG50" i="4" s="1"/>
  <c r="AC41" i="4"/>
  <c r="AC39" i="4"/>
  <c r="AC13" i="4"/>
  <c r="AG13" i="4" s="1"/>
  <c r="AC40" i="4"/>
  <c r="AC56" i="4"/>
  <c r="AC58" i="4"/>
  <c r="AC64" i="4"/>
  <c r="AG64" i="4" s="1"/>
  <c r="AC67" i="4"/>
  <c r="AC66" i="4"/>
  <c r="AG65" i="4" s="1"/>
  <c r="AC48" i="4"/>
  <c r="AC49" i="4"/>
  <c r="C259" i="2"/>
  <c r="AC34" i="4"/>
  <c r="AC45" i="4"/>
  <c r="AG44" i="4" s="1"/>
  <c r="AC43" i="4"/>
  <c r="AG43" i="4" s="1"/>
  <c r="AC8" i="4"/>
  <c r="AC17" i="4"/>
  <c r="AC16" i="4"/>
  <c r="AC68" i="4"/>
  <c r="AC55" i="4"/>
  <c r="AC18" i="4"/>
  <c r="AC10" i="4"/>
  <c r="AG10" i="4" s="1"/>
  <c r="AC21" i="4"/>
  <c r="AC6" i="4"/>
  <c r="AG6" i="4" s="1"/>
  <c r="AC25" i="4"/>
  <c r="C261" i="2"/>
  <c r="H261" i="2" s="1"/>
  <c r="G269" i="2" s="1"/>
  <c r="AC35" i="4"/>
  <c r="AC20" i="4"/>
  <c r="AG19" i="4" s="1"/>
  <c r="AC22" i="4"/>
  <c r="AG22" i="4" s="1"/>
  <c r="AC42" i="4"/>
  <c r="AC31" i="4"/>
  <c r="AG30" i="4" s="1"/>
  <c r="AC60" i="4"/>
  <c r="AG60" i="4" s="1"/>
  <c r="AC36" i="4"/>
  <c r="C260" i="2"/>
  <c r="H260" i="2" s="1"/>
  <c r="F264" i="2" s="1"/>
  <c r="AC71" i="4"/>
  <c r="AG71" i="4" s="1"/>
  <c r="AC27" i="4"/>
  <c r="AC33" i="4"/>
  <c r="AG33" i="4" s="1"/>
  <c r="AC15" i="4"/>
  <c r="AG15" i="4" s="1"/>
  <c r="Z49" i="4"/>
  <c r="Z33" i="4"/>
  <c r="Z107" i="4"/>
  <c r="AC100" i="4"/>
  <c r="AC78" i="4"/>
  <c r="AC87" i="4"/>
  <c r="AC88" i="4"/>
  <c r="AC80" i="4"/>
  <c r="AC93" i="4"/>
  <c r="AC96" i="4"/>
  <c r="Z16" i="4"/>
  <c r="Z26" i="4"/>
  <c r="Z45" i="4"/>
  <c r="Z62" i="4"/>
  <c r="Z25" i="4"/>
  <c r="Z13" i="4"/>
  <c r="Z24" i="4"/>
  <c r="Z39" i="4"/>
  <c r="Z44" i="4"/>
  <c r="Z47" i="4"/>
  <c r="Z69" i="4"/>
  <c r="Z63" i="4"/>
  <c r="AD62" i="4" s="1"/>
  <c r="Z17" i="4"/>
  <c r="AD16" i="4" s="1"/>
  <c r="Z34" i="4"/>
  <c r="Z53" i="4"/>
  <c r="Z61" i="4"/>
  <c r="Z65" i="4"/>
  <c r="Z31" i="4"/>
  <c r="AC90" i="4"/>
  <c r="AC98" i="4"/>
  <c r="AC106" i="4"/>
  <c r="Z20" i="4"/>
  <c r="Z68" i="4"/>
  <c r="Z7" i="4"/>
  <c r="Z12" i="4"/>
  <c r="Z67" i="4"/>
  <c r="Z58" i="4"/>
  <c r="AC94" i="4"/>
  <c r="AC81" i="4"/>
  <c r="AC82" i="4"/>
  <c r="AC83" i="4"/>
  <c r="AC85" i="4"/>
  <c r="AC102" i="4"/>
  <c r="AC89" i="4"/>
  <c r="Z60" i="4"/>
  <c r="Z36" i="4"/>
  <c r="Z73" i="4"/>
  <c r="Z64" i="4"/>
  <c r="Z27" i="4"/>
  <c r="Z74" i="4"/>
  <c r="Z51" i="4"/>
  <c r="Z10" i="4"/>
  <c r="Z46" i="4"/>
  <c r="AD45" i="4" s="1"/>
  <c r="Z30" i="4"/>
  <c r="Z6" i="4"/>
  <c r="Z57" i="4"/>
  <c r="Z15" i="4"/>
  <c r="Z9" i="4"/>
  <c r="Z19" i="4"/>
  <c r="Z5" i="4"/>
  <c r="AD4" i="4" s="1"/>
  <c r="Z40" i="4"/>
  <c r="Z66" i="4"/>
  <c r="Z75" i="4"/>
  <c r="Z59" i="4"/>
  <c r="AC91" i="4"/>
  <c r="AF90" i="4" s="1"/>
  <c r="AC77" i="4"/>
  <c r="AC76" i="4" s="1"/>
  <c r="AF76" i="4" s="1"/>
  <c r="AC97" i="4"/>
  <c r="AC103" i="4"/>
  <c r="AC101" i="4"/>
  <c r="AC104" i="4"/>
  <c r="AC95" i="4"/>
  <c r="AC92" i="4"/>
  <c r="Z55" i="4"/>
  <c r="Z43" i="4"/>
  <c r="Z54" i="4"/>
  <c r="Z41" i="4"/>
  <c r="AC5" i="4"/>
  <c r="AG4" i="4" s="1"/>
  <c r="Z18" i="4"/>
  <c r="Z22" i="4"/>
  <c r="Z11" i="4"/>
  <c r="Z52" i="4"/>
  <c r="Z32" i="4"/>
  <c r="Z29" i="4"/>
  <c r="Z14" i="4"/>
  <c r="AD13" i="4" s="1"/>
  <c r="Z48" i="4"/>
  <c r="Z72" i="4"/>
  <c r="Z8" i="4"/>
  <c r="Z37" i="4"/>
  <c r="Z50" i="4"/>
  <c r="AD49" i="4" s="1"/>
  <c r="Z21" i="4"/>
  <c r="Z28" i="4"/>
  <c r="AC99" i="4"/>
  <c r="AC84" i="4"/>
  <c r="AF83" i="4" s="1"/>
  <c r="AC86" i="4"/>
  <c r="AF85" i="4" s="1"/>
  <c r="AC79" i="4"/>
  <c r="AC105" i="4"/>
  <c r="Z38" i="4"/>
  <c r="Z56" i="4"/>
  <c r="Z23" i="4"/>
  <c r="AD22" i="4" s="1"/>
  <c r="Z70" i="4"/>
  <c r="Z71" i="4"/>
  <c r="Z35" i="4"/>
  <c r="Z42" i="4"/>
  <c r="AG31" i="4"/>
  <c r="AG61" i="4"/>
  <c r="AG23" i="4"/>
  <c r="AG72" i="4"/>
  <c r="AG28" i="4" l="1"/>
  <c r="AG52" i="4"/>
  <c r="AG24" i="4"/>
  <c r="AG73" i="4"/>
  <c r="AG26" i="4"/>
  <c r="AG36" i="4"/>
  <c r="AG47" i="4"/>
  <c r="AG57" i="4"/>
  <c r="AG37" i="4"/>
  <c r="AG8" i="4"/>
  <c r="AG69" i="4"/>
  <c r="AG38" i="4"/>
  <c r="AG56" i="4"/>
  <c r="AG68" i="4"/>
  <c r="AG58" i="4"/>
  <c r="AG39" i="4"/>
  <c r="AG12" i="4"/>
  <c r="AG63" i="4"/>
  <c r="AG40" i="4"/>
  <c r="AG66" i="4"/>
  <c r="AG55" i="4"/>
  <c r="AG49" i="4"/>
  <c r="AG48" i="4"/>
  <c r="AG34" i="4"/>
  <c r="AG45" i="4"/>
  <c r="AG67" i="4"/>
  <c r="AG7" i="4"/>
  <c r="AG17" i="4"/>
  <c r="AG42" i="4"/>
  <c r="AG16" i="4"/>
  <c r="AD10" i="4"/>
  <c r="AG54" i="4"/>
  <c r="AG18" i="4"/>
  <c r="AG9" i="4"/>
  <c r="AG20" i="4"/>
  <c r="AG27" i="4"/>
  <c r="AG25" i="4"/>
  <c r="AG21" i="4"/>
  <c r="AG41" i="4"/>
  <c r="AG59" i="4"/>
  <c r="AD69" i="4"/>
  <c r="AF78" i="4"/>
  <c r="AD27" i="4"/>
  <c r="AD53" i="4"/>
  <c r="AG32" i="4"/>
  <c r="AG35" i="4"/>
  <c r="AG70" i="4"/>
  <c r="AD55" i="4"/>
  <c r="AF93" i="4"/>
  <c r="AG5" i="4"/>
  <c r="AD40" i="4"/>
  <c r="AF91" i="4"/>
  <c r="AD58" i="4"/>
  <c r="AG14" i="4"/>
  <c r="AD24" i="4"/>
  <c r="AD39" i="4"/>
  <c r="AF104" i="4"/>
  <c r="AF98" i="4"/>
  <c r="AD36" i="4"/>
  <c r="AD63" i="4"/>
  <c r="AD33" i="4"/>
  <c r="AD7" i="4"/>
  <c r="AD21" i="4"/>
  <c r="AF94" i="4"/>
  <c r="AF96" i="4"/>
  <c r="AD18" i="4"/>
  <c r="AD50" i="4"/>
  <c r="AD72" i="4"/>
  <c r="AF101" i="4"/>
  <c r="AD43" i="4"/>
  <c r="AD15" i="4"/>
  <c r="AF87" i="4"/>
  <c r="AD9" i="4"/>
  <c r="AF102" i="4"/>
  <c r="AF88" i="4"/>
  <c r="AF81" i="4"/>
  <c r="AD66" i="4"/>
  <c r="AD19" i="4"/>
  <c r="AD30" i="4"/>
  <c r="AD46" i="4"/>
  <c r="AD12" i="4"/>
  <c r="AD25" i="4"/>
  <c r="AF79" i="4"/>
  <c r="AD41" i="4"/>
  <c r="AD28" i="4"/>
  <c r="AD74" i="4"/>
  <c r="B27" i="4"/>
  <c r="AD5" i="4"/>
  <c r="AF80" i="4"/>
  <c r="AD11" i="4"/>
  <c r="AD64" i="4"/>
  <c r="AD34" i="4"/>
  <c r="AD20" i="4"/>
  <c r="AD71" i="4"/>
  <c r="AD32" i="4"/>
  <c r="AD31" i="4"/>
  <c r="AD17" i="4"/>
  <c r="AD42" i="4"/>
  <c r="AF103" i="4"/>
  <c r="AD65" i="4"/>
  <c r="AD8" i="4"/>
  <c r="AD29" i="4"/>
  <c r="AD73" i="4"/>
  <c r="AD35" i="4"/>
  <c r="AF84" i="4"/>
  <c r="AD6" i="4"/>
  <c r="AF97" i="4"/>
  <c r="AD60" i="4"/>
  <c r="AD38" i="4"/>
  <c r="AD61" i="4"/>
  <c r="AF95" i="4"/>
  <c r="AF86" i="4"/>
  <c r="AD57" i="4"/>
  <c r="AD56" i="4"/>
  <c r="AF99" i="4"/>
  <c r="AF106" i="4"/>
  <c r="AF105" i="4"/>
  <c r="AD70" i="4"/>
  <c r="AD37" i="4"/>
  <c r="AD48" i="4"/>
  <c r="AD47" i="4"/>
  <c r="AD51" i="4"/>
  <c r="AD54" i="4"/>
  <c r="AF100" i="4"/>
  <c r="AD14" i="4"/>
  <c r="AD26" i="4"/>
  <c r="AD59" i="4"/>
  <c r="AF82" i="4"/>
  <c r="AD67" i="4"/>
  <c r="AF89" i="4"/>
  <c r="AD52" i="4"/>
  <c r="AD68" i="4"/>
  <c r="AD23" i="4"/>
  <c r="AD44" i="4"/>
  <c r="AF92" i="4"/>
  <c r="AF77" i="4"/>
  <c r="AG75" i="4"/>
  <c r="BA72" i="4"/>
  <c r="AG108" i="4" l="1"/>
  <c r="AG109" i="4" s="1"/>
  <c r="G282" i="2" s="1"/>
  <c r="G281" i="2" s="1"/>
  <c r="AF108" i="4"/>
  <c r="AF109" i="4" s="1"/>
  <c r="F277" i="2" s="1"/>
  <c r="F278" i="2" s="1"/>
  <c r="AU13" i="4"/>
  <c r="BA67" i="4"/>
  <c r="BA73" i="4"/>
  <c r="Q98" i="4" l="1"/>
  <c r="R98" i="4"/>
  <c r="O98" i="4"/>
  <c r="N98" i="4"/>
  <c r="Q94" i="4"/>
  <c r="R94" i="4"/>
  <c r="O94" i="4"/>
  <c r="N94" i="4"/>
  <c r="Q102" i="4"/>
  <c r="R102" i="4"/>
  <c r="O102" i="4"/>
  <c r="N102" i="4"/>
  <c r="R85" i="4"/>
  <c r="Q85" i="4"/>
  <c r="O85" i="4"/>
  <c r="N85" i="4"/>
  <c r="Q84" i="4"/>
  <c r="R84" i="4"/>
  <c r="O84" i="4"/>
  <c r="N84" i="4"/>
  <c r="R87" i="4"/>
  <c r="Q87" i="4"/>
  <c r="O87" i="4"/>
  <c r="N87" i="4"/>
  <c r="R91" i="4"/>
  <c r="Q91" i="4"/>
  <c r="O91" i="4"/>
  <c r="N91" i="4"/>
  <c r="Q92" i="4"/>
  <c r="R92" i="4"/>
  <c r="O92" i="4"/>
  <c r="N92" i="4"/>
  <c r="P92" i="4" s="1"/>
  <c r="R95" i="4"/>
  <c r="Q95" i="4"/>
  <c r="O95" i="4"/>
  <c r="N95" i="4"/>
  <c r="P95" i="4" s="1"/>
  <c r="Q104" i="4"/>
  <c r="R104" i="4"/>
  <c r="O104" i="4"/>
  <c r="N104" i="4"/>
  <c r="P104" i="4" s="1"/>
  <c r="Q77" i="4"/>
  <c r="R77" i="4"/>
  <c r="O77" i="4"/>
  <c r="P77" i="4" s="1"/>
  <c r="U77" i="4" s="1"/>
  <c r="R97" i="4"/>
  <c r="Q97" i="4"/>
  <c r="O97" i="4"/>
  <c r="N97" i="4"/>
  <c r="P97" i="4" s="1"/>
  <c r="Q88" i="4"/>
  <c r="R88" i="4"/>
  <c r="O88" i="4"/>
  <c r="N88" i="4"/>
  <c r="P88" i="4" s="1"/>
  <c r="Q96" i="4"/>
  <c r="R96" i="4"/>
  <c r="O96" i="4"/>
  <c r="N96" i="4"/>
  <c r="P96" i="4" s="1"/>
  <c r="R81" i="4"/>
  <c r="Q81" i="4"/>
  <c r="O81" i="4"/>
  <c r="N81" i="4"/>
  <c r="P81" i="4" s="1"/>
  <c r="Q82" i="4"/>
  <c r="R82" i="4"/>
  <c r="O82" i="4"/>
  <c r="N82" i="4"/>
  <c r="P82" i="4" s="1"/>
  <c r="Q100" i="4"/>
  <c r="R100" i="4"/>
  <c r="O100" i="4"/>
  <c r="N100" i="4"/>
  <c r="P100" i="4" s="1"/>
  <c r="Q90" i="4"/>
  <c r="R90" i="4"/>
  <c r="O90" i="4"/>
  <c r="N90" i="4"/>
  <c r="P90" i="4" s="1"/>
  <c r="Q78" i="4"/>
  <c r="R78" i="4"/>
  <c r="O78" i="4"/>
  <c r="N78" i="4"/>
  <c r="P78" i="4" s="1"/>
  <c r="Q80" i="4"/>
  <c r="R80" i="4"/>
  <c r="O80" i="4"/>
  <c r="N80" i="4"/>
  <c r="P80" i="4" s="1"/>
  <c r="R79" i="4"/>
  <c r="Q79" i="4"/>
  <c r="O79" i="4"/>
  <c r="N79" i="4"/>
  <c r="P79" i="4" s="1"/>
  <c r="R103" i="4"/>
  <c r="Q103" i="4"/>
  <c r="O103" i="4"/>
  <c r="P103" i="4" s="1"/>
  <c r="R93" i="4"/>
  <c r="Q93" i="4"/>
  <c r="O93" i="4"/>
  <c r="N93" i="4"/>
  <c r="P93" i="4" s="1"/>
  <c r="R99" i="4"/>
  <c r="Q99" i="4"/>
  <c r="O99" i="4"/>
  <c r="N99" i="4"/>
  <c r="P99" i="4" s="1"/>
  <c r="Q106" i="4"/>
  <c r="R106" i="4"/>
  <c r="O106" i="4"/>
  <c r="N106" i="4"/>
  <c r="P106" i="4" s="1"/>
  <c r="Q86" i="4"/>
  <c r="R86" i="4"/>
  <c r="O86" i="4"/>
  <c r="N86" i="4"/>
  <c r="P86" i="4" s="1"/>
  <c r="R105" i="4"/>
  <c r="Q105" i="4"/>
  <c r="O105" i="4"/>
  <c r="N105" i="4"/>
  <c r="P105" i="4" s="1"/>
  <c r="R83" i="4"/>
  <c r="Q83" i="4"/>
  <c r="O83" i="4"/>
  <c r="N83" i="4"/>
  <c r="P83" i="4" s="1"/>
  <c r="R89" i="4"/>
  <c r="Q89" i="4"/>
  <c r="O89" i="4"/>
  <c r="N89" i="4"/>
  <c r="P89" i="4" s="1"/>
  <c r="R101" i="4"/>
  <c r="Q101" i="4"/>
  <c r="O101" i="4"/>
  <c r="N101" i="4"/>
  <c r="P101" i="4" s="1"/>
  <c r="BB67" i="4"/>
  <c r="BA68" i="4"/>
  <c r="P91" i="4" l="1"/>
  <c r="U91" i="4" s="1"/>
  <c r="P87" i="4"/>
  <c r="U87" i="4" s="1"/>
  <c r="P84" i="4"/>
  <c r="U84" i="4" s="1"/>
  <c r="Z84" i="4" s="1"/>
  <c r="P85" i="4"/>
  <c r="U85" i="4" s="1"/>
  <c r="Z85" i="4" s="1"/>
  <c r="P102" i="4"/>
  <c r="U102" i="4" s="1"/>
  <c r="P94" i="4"/>
  <c r="U94" i="4" s="1"/>
  <c r="P98" i="4"/>
  <c r="U98" i="4" s="1"/>
  <c r="Z98" i="4" s="1"/>
  <c r="U99" i="4"/>
  <c r="U93" i="4"/>
  <c r="U80" i="4"/>
  <c r="U78" i="4"/>
  <c r="U82" i="4"/>
  <c r="Z82" i="4" s="1"/>
  <c r="U81" i="4"/>
  <c r="U96" i="4"/>
  <c r="Z96" i="4" s="1"/>
  <c r="U88" i="4"/>
  <c r="Z88" i="4" s="1"/>
  <c r="U97" i="4"/>
  <c r="U104" i="4"/>
  <c r="U92" i="4"/>
  <c r="Z92" i="4" s="1"/>
  <c r="U101" i="4"/>
  <c r="Z101" i="4" s="1"/>
  <c r="U86" i="4"/>
  <c r="Z86" i="4" s="1"/>
  <c r="U106" i="4"/>
  <c r="Z106" i="4" s="1"/>
  <c r="U103" i="4"/>
  <c r="Z103" i="4" s="1"/>
  <c r="U79" i="4"/>
  <c r="Z79" i="4" s="1"/>
  <c r="U90" i="4"/>
  <c r="Z90" i="4" s="1"/>
  <c r="U89" i="4"/>
  <c r="Z89" i="4" s="1"/>
  <c r="U100" i="4"/>
  <c r="Z100" i="4" s="1"/>
  <c r="U95" i="4"/>
  <c r="Z95" i="4" s="1"/>
  <c r="U83" i="4"/>
  <c r="Z83" i="4" s="1"/>
  <c r="U105" i="4"/>
  <c r="Z105" i="4" s="1"/>
  <c r="BA69" i="4"/>
  <c r="BA70" i="4" s="1"/>
  <c r="BA71" i="4" s="1"/>
  <c r="BB68" i="4"/>
  <c r="G190" i="4" l="1"/>
  <c r="F220" i="2" s="1"/>
  <c r="F230" i="2" s="1"/>
  <c r="AE105" i="4"/>
  <c r="AE106" i="4"/>
  <c r="AJ106" i="4" s="1"/>
  <c r="AN106" i="4" s="1"/>
  <c r="AE85" i="4"/>
  <c r="AE84" i="4"/>
  <c r="AE95" i="4"/>
  <c r="AE88" i="4"/>
  <c r="AE100" i="4"/>
  <c r="AE89" i="4"/>
  <c r="Z77" i="4"/>
  <c r="Z94" i="4"/>
  <c r="AE94" i="4" s="1"/>
  <c r="Z81" i="4"/>
  <c r="AE81" i="4" s="1"/>
  <c r="Z102" i="4"/>
  <c r="AE101" i="4" s="1"/>
  <c r="Z80" i="4"/>
  <c r="AE79" i="4" s="1"/>
  <c r="Z87" i="4"/>
  <c r="AE86" i="4" s="1"/>
  <c r="Z78" i="4"/>
  <c r="Z91" i="4"/>
  <c r="AE90" i="4" s="1"/>
  <c r="Z99" i="4"/>
  <c r="AE98" i="4" s="1"/>
  <c r="Z104" i="4"/>
  <c r="AE103" i="4" s="1"/>
  <c r="Z93" i="4"/>
  <c r="AE92" i="4" s="1"/>
  <c r="Z97" i="4"/>
  <c r="AE96" i="4" s="1"/>
  <c r="AE82" i="4"/>
  <c r="AE83" i="4"/>
  <c r="AE78" i="4" l="1"/>
  <c r="AJ78" i="4" s="1"/>
  <c r="AN78" i="4" s="1"/>
  <c r="AE77" i="4"/>
  <c r="Z76" i="4"/>
  <c r="AE76" i="4" s="1"/>
  <c r="AI106" i="4"/>
  <c r="AL106" i="4"/>
  <c r="AI103" i="4"/>
  <c r="AM103" i="4" s="1"/>
  <c r="AJ103" i="4"/>
  <c r="AN103" i="4" s="1"/>
  <c r="AJ98" i="4"/>
  <c r="AN98" i="4" s="1"/>
  <c r="AI98" i="4"/>
  <c r="AM98" i="4" s="1"/>
  <c r="AI79" i="4"/>
  <c r="AM79" i="4" s="1"/>
  <c r="AJ79" i="4"/>
  <c r="AN79" i="4" s="1"/>
  <c r="AI95" i="4"/>
  <c r="AM95" i="4" s="1"/>
  <c r="AJ95" i="4"/>
  <c r="AN95" i="4" s="1"/>
  <c r="AJ86" i="4"/>
  <c r="AN86" i="4" s="1"/>
  <c r="AI86" i="4"/>
  <c r="AM86" i="4" s="1"/>
  <c r="AI96" i="4"/>
  <c r="AM96" i="4" s="1"/>
  <c r="AJ96" i="4"/>
  <c r="AN96" i="4" s="1"/>
  <c r="AJ90" i="4"/>
  <c r="AN90" i="4" s="1"/>
  <c r="AI90" i="4"/>
  <c r="AM90" i="4" s="1"/>
  <c r="AJ101" i="4"/>
  <c r="AN101" i="4" s="1"/>
  <c r="AI101" i="4"/>
  <c r="AM101" i="4" s="1"/>
  <c r="AI89" i="4"/>
  <c r="AM89" i="4" s="1"/>
  <c r="AJ89" i="4"/>
  <c r="AN89" i="4" s="1"/>
  <c r="AJ84" i="4"/>
  <c r="AN84" i="4" s="1"/>
  <c r="AI84" i="4"/>
  <c r="AM84" i="4" s="1"/>
  <c r="AJ82" i="4"/>
  <c r="AN82" i="4" s="1"/>
  <c r="AI82" i="4"/>
  <c r="AM82" i="4" s="1"/>
  <c r="AJ94" i="4"/>
  <c r="AN94" i="4" s="1"/>
  <c r="AI94" i="4"/>
  <c r="AM94" i="4" s="1"/>
  <c r="AI88" i="4"/>
  <c r="AM88" i="4" s="1"/>
  <c r="AJ88" i="4"/>
  <c r="AN88" i="4" s="1"/>
  <c r="AJ105" i="4"/>
  <c r="AN105" i="4" s="1"/>
  <c r="AI105" i="4"/>
  <c r="AM105" i="4" s="1"/>
  <c r="AI83" i="4"/>
  <c r="AM83" i="4" s="1"/>
  <c r="AJ83" i="4"/>
  <c r="AN83" i="4" s="1"/>
  <c r="AJ92" i="4"/>
  <c r="AN92" i="4" s="1"/>
  <c r="AI92" i="4"/>
  <c r="AM92" i="4" s="1"/>
  <c r="AJ81" i="4"/>
  <c r="AN81" i="4" s="1"/>
  <c r="AI81" i="4"/>
  <c r="AM81" i="4" s="1"/>
  <c r="AJ100" i="4"/>
  <c r="AN100" i="4" s="1"/>
  <c r="AI100" i="4"/>
  <c r="AM100" i="4" s="1"/>
  <c r="AI85" i="4"/>
  <c r="AM85" i="4" s="1"/>
  <c r="AJ85" i="4"/>
  <c r="AN85" i="4" s="1"/>
  <c r="AE87" i="4"/>
  <c r="AE97" i="4"/>
  <c r="AE91" i="4"/>
  <c r="AE104" i="4"/>
  <c r="AE99" i="4"/>
  <c r="AE80" i="4"/>
  <c r="AE102" i="4"/>
  <c r="AE93" i="4"/>
  <c r="F221" i="2"/>
  <c r="C223" i="2"/>
  <c r="N23" i="4" s="1"/>
  <c r="F231" i="2"/>
  <c r="C233" i="2"/>
  <c r="Q23" i="4" s="1"/>
  <c r="AK98" i="4" l="1"/>
  <c r="G259" i="2"/>
  <c r="F55" i="4"/>
  <c r="AI78" i="4"/>
  <c r="AM78" i="4" s="1"/>
  <c r="AD75" i="4"/>
  <c r="AD108" i="4" s="1"/>
  <c r="AD109" i="4" s="1"/>
  <c r="D282" i="2" s="1"/>
  <c r="AI77" i="4"/>
  <c r="AK77" i="4" s="1"/>
  <c r="AE108" i="4"/>
  <c r="AE109" i="4" s="1"/>
  <c r="AJ77" i="4"/>
  <c r="AK106" i="4"/>
  <c r="AM106" i="4"/>
  <c r="AK95" i="4"/>
  <c r="AL86" i="4"/>
  <c r="AL98" i="4"/>
  <c r="AL101" i="4"/>
  <c r="AK79" i="4"/>
  <c r="AI93" i="4"/>
  <c r="AM93" i="4" s="1"/>
  <c r="AL85" i="4"/>
  <c r="AL81" i="4"/>
  <c r="AL78" i="4"/>
  <c r="AL105" i="4"/>
  <c r="AL88" i="4"/>
  <c r="AK96" i="4"/>
  <c r="AK105" i="4"/>
  <c r="AK103" i="4"/>
  <c r="AK92" i="4"/>
  <c r="AK88" i="4"/>
  <c r="AI80" i="4"/>
  <c r="AM80" i="4" s="1"/>
  <c r="AJ80" i="4"/>
  <c r="AN80" i="4" s="1"/>
  <c r="AI91" i="4"/>
  <c r="AM91" i="4" s="1"/>
  <c r="AJ91" i="4"/>
  <c r="AN91" i="4" s="1"/>
  <c r="AI97" i="4"/>
  <c r="AM97" i="4" s="1"/>
  <c r="AJ97" i="4"/>
  <c r="AN97" i="4" s="1"/>
  <c r="AL100" i="4"/>
  <c r="AK94" i="4"/>
  <c r="AK82" i="4"/>
  <c r="AK90" i="4"/>
  <c r="AJ93" i="4"/>
  <c r="AN93" i="4" s="1"/>
  <c r="AI99" i="4"/>
  <c r="AM99" i="4" s="1"/>
  <c r="AJ99" i="4"/>
  <c r="AN99" i="4" s="1"/>
  <c r="AI87" i="4"/>
  <c r="AM87" i="4" s="1"/>
  <c r="AJ87" i="4"/>
  <c r="AN87" i="4" s="1"/>
  <c r="AK85" i="4"/>
  <c r="AK100" i="4"/>
  <c r="AK81" i="4"/>
  <c r="AL92" i="4"/>
  <c r="AL83" i="4"/>
  <c r="AL84" i="4"/>
  <c r="AL89" i="4"/>
  <c r="AL90" i="4"/>
  <c r="AL96" i="4"/>
  <c r="AK86" i="4"/>
  <c r="AJ102" i="4"/>
  <c r="AN102" i="4" s="1"/>
  <c r="AI102" i="4"/>
  <c r="AM102" i="4" s="1"/>
  <c r="AJ104" i="4"/>
  <c r="AN104" i="4" s="1"/>
  <c r="AI104" i="4"/>
  <c r="AM104" i="4" s="1"/>
  <c r="AK83" i="4"/>
  <c r="AL94" i="4"/>
  <c r="AL82" i="4"/>
  <c r="AK84" i="4"/>
  <c r="AK89" i="4"/>
  <c r="AK101" i="4"/>
  <c r="AL95" i="4"/>
  <c r="AL79" i="4"/>
  <c r="AL103" i="4"/>
  <c r="AK91" i="4" l="1"/>
  <c r="AM77" i="4"/>
  <c r="AK111" i="4" s="1"/>
  <c r="AL111" i="4" s="1"/>
  <c r="AL118" i="4" s="1"/>
  <c r="AK78" i="4"/>
  <c r="AL77" i="4"/>
  <c r="AN77" i="4"/>
  <c r="AK87" i="4"/>
  <c r="AK93" i="4"/>
  <c r="D277" i="2"/>
  <c r="AL91" i="4"/>
  <c r="AL104" i="4"/>
  <c r="AK99" i="4"/>
  <c r="AL93" i="4"/>
  <c r="AK104" i="4"/>
  <c r="AK102" i="4"/>
  <c r="AL97" i="4"/>
  <c r="AK80" i="4"/>
  <c r="AL102" i="4"/>
  <c r="AL87" i="4"/>
  <c r="AL99" i="4"/>
  <c r="AK97" i="4"/>
  <c r="AL80" i="4"/>
  <c r="H259" i="2"/>
  <c r="D264" i="2" s="1"/>
  <c r="E265" i="2"/>
  <c r="B16" i="4"/>
  <c r="AL119" i="4" l="1"/>
  <c r="E277" i="2" s="1"/>
  <c r="AK108" i="4"/>
  <c r="AK109" i="4" s="1"/>
  <c r="AL108" i="4"/>
  <c r="AL109" i="4" l="1"/>
  <c r="AK118" i="4" s="1"/>
  <c r="E278" i="2" s="1"/>
  <c r="AK119" i="4"/>
  <c r="D279" i="2"/>
  <c r="AL122" i="4" s="1"/>
  <c r="AK122" i="4" l="1"/>
  <c r="AL121" i="4"/>
  <c r="D278" i="2"/>
  <c r="E276" i="2"/>
</calcChain>
</file>

<file path=xl/comments1.xml><?xml version="1.0" encoding="utf-8"?>
<comments xmlns="http://schemas.openxmlformats.org/spreadsheetml/2006/main">
  <authors>
    <author>Nicla</author>
    <author>Davide Cicchini</author>
  </authors>
  <commentList>
    <comment ref="F29" authorId="0" guid="{CB00D025-E417-41DC-85C7-2246C3F3C7AE}" shapeId="0">
      <text>
        <r>
          <rPr>
            <b/>
            <sz val="9"/>
            <color indexed="81"/>
            <rFont val="Tahoma"/>
            <family val="2"/>
          </rPr>
          <t>Davide Cicchini:</t>
        </r>
        <r>
          <rPr>
            <sz val="9"/>
            <color indexed="81"/>
            <rFont val="Tahoma"/>
            <family val="2"/>
          </rPr>
          <t xml:space="preserve">
Inserire 0 oppure valori negativi per le costruzioni sul mare.</t>
        </r>
      </text>
    </comment>
    <comment ref="F30" authorId="1" guid="{CAAC8C6D-0373-4B21-8766-69A8DFE98C7F}" shapeId="0">
      <text>
        <r>
          <rPr>
            <b/>
            <sz val="9"/>
            <color indexed="81"/>
            <rFont val="Tahoma"/>
            <charset val="1"/>
          </rPr>
          <t>Davide Cicchini:</t>
        </r>
        <r>
          <rPr>
            <sz val="9"/>
            <color indexed="81"/>
            <rFont val="Tahoma"/>
            <charset val="1"/>
          </rPr>
          <t xml:space="preserve">
-Per fasi di costruzione o fasi transitorie con durata prevista in sede di progetto non superiore a tre mesi si assumerà Tr&gt;=5 anni
-Per fasi di costruzione o fasi transitorie con durata prevista in sede di progetto compresa fra tre mesi ed un anno si assumerà Tr&gt;=10 anni</t>
        </r>
      </text>
    </comment>
    <comment ref="B68" authorId="1" guid="{D84F4AE8-7CE3-4D0C-ADAD-D04A6EE0E3B2}" shapeId="0">
      <text>
        <r>
          <rPr>
            <b/>
            <sz val="9"/>
            <color indexed="81"/>
            <rFont val="Tahoma"/>
            <family val="2"/>
          </rPr>
          <t>Davide Cicchini:</t>
        </r>
        <r>
          <rPr>
            <sz val="9"/>
            <color indexed="81"/>
            <rFont val="Tahoma"/>
            <family val="2"/>
          </rPr>
          <t xml:space="preserve">
Si ipotizza una variazione lineare della pendenza sulla porzione curva sopravento</t>
        </r>
      </text>
    </comment>
    <comment ref="D73" authorId="1" guid="{90663ACF-7A42-42DF-9370-EDD79690E3FB}" shapeId="0">
      <text>
        <r>
          <rPr>
            <b/>
            <sz val="9"/>
            <color indexed="81"/>
            <rFont val="Tahoma"/>
            <family val="2"/>
          </rPr>
          <t>Davide Cicchini:</t>
        </r>
        <r>
          <rPr>
            <sz val="9"/>
            <color indexed="81"/>
            <rFont val="Tahoma"/>
            <family val="2"/>
          </rPr>
          <t xml:space="preserve">
Nel caso di coperture curve, inserire l'angolo della retta tangente al bordo della copertura, in sostanza l'angolo di attacco della copertura (per cupole a tutto sesto l'angolo è di 90°, per cupole a sesto ribassato è minore)</t>
        </r>
      </text>
    </comment>
    <comment ref="B218" authorId="1" guid="{EDDD5C05-9791-45AF-ABE6-C27FB5EC4850}" shapeId="0">
      <text>
        <r>
          <rPr>
            <b/>
            <sz val="9"/>
            <color indexed="81"/>
            <rFont val="Tahoma"/>
            <family val="2"/>
          </rPr>
          <t>Davide Cicchini:</t>
        </r>
        <r>
          <rPr>
            <sz val="9"/>
            <color indexed="81"/>
            <rFont val="Tahoma"/>
            <family val="2"/>
          </rPr>
          <t xml:space="preserve">
Nel caso di dubbio inserire le pressioni del vento derivanti da entrambe le configurazioni, creando due schemi di carico distinti nel modello FEM della struttura.
Per la situazione "Costruzioni che hanno una parete con aperture di superficie non minore di 1/3 di quella totale" è necessario inserire entrambe le configurazioni.    
E' sconsigliabile assumere per ogni parete e copertura la più caricata delle due configurazioni creando un solo schema di carico; In quanto questa condizione è troppo svantaggiosa e porterebbe a sovradimensionare la struttura nei confronti dell'azione del vento. </t>
        </r>
      </text>
    </comment>
  </commentList>
</comments>
</file>

<file path=xl/sharedStrings.xml><?xml version="1.0" encoding="utf-8"?>
<sst xmlns="http://schemas.openxmlformats.org/spreadsheetml/2006/main" count="539" uniqueCount="269">
  <si>
    <r>
      <t>kN/m</t>
    </r>
    <r>
      <rPr>
        <b/>
        <vertAlign val="superscript"/>
        <sz val="11"/>
        <color theme="1"/>
        <rFont val="Times New Roman"/>
        <family val="1"/>
      </rPr>
      <t>2</t>
    </r>
  </si>
  <si>
    <t>p</t>
  </si>
  <si>
    <t>m</t>
  </si>
  <si>
    <t>pressione cinetica di riferimento</t>
  </si>
  <si>
    <r>
      <t>a</t>
    </r>
    <r>
      <rPr>
        <vertAlign val="subscript"/>
        <sz val="11"/>
        <color theme="1"/>
        <rFont val="Times New Roman"/>
        <family val="1"/>
      </rPr>
      <t>s</t>
    </r>
  </si>
  <si>
    <t>1/s</t>
  </si>
  <si>
    <r>
      <t>k</t>
    </r>
    <r>
      <rPr>
        <vertAlign val="subscript"/>
        <sz val="11"/>
        <color theme="1"/>
        <rFont val="Times New Roman"/>
        <family val="1"/>
      </rPr>
      <t>a</t>
    </r>
  </si>
  <si>
    <r>
      <t>a</t>
    </r>
    <r>
      <rPr>
        <vertAlign val="subscript"/>
        <sz val="11"/>
        <color theme="1"/>
        <rFont val="Times New Roman"/>
        <family val="1"/>
      </rPr>
      <t>0</t>
    </r>
  </si>
  <si>
    <t>z</t>
  </si>
  <si>
    <t>m/s</t>
  </si>
  <si>
    <r>
      <t>v</t>
    </r>
    <r>
      <rPr>
        <vertAlign val="subscript"/>
        <sz val="11"/>
        <color theme="1"/>
        <rFont val="Times New Roman"/>
        <family val="1"/>
      </rPr>
      <t>b,0</t>
    </r>
  </si>
  <si>
    <t>Altezza dell'edificio</t>
  </si>
  <si>
    <r>
      <t>c</t>
    </r>
    <r>
      <rPr>
        <b/>
        <vertAlign val="subscript"/>
        <sz val="11"/>
        <color theme="1"/>
        <rFont val="Times New Roman"/>
        <family val="1"/>
      </rPr>
      <t>e,min</t>
    </r>
  </si>
  <si>
    <t>Quota di riferimento</t>
  </si>
  <si>
    <t>Quota del fabbricato</t>
  </si>
  <si>
    <t>velocità di riferimento del vento</t>
  </si>
  <si>
    <t>velocità di riferimento del vento di calcolo</t>
  </si>
  <si>
    <r>
      <t>v</t>
    </r>
    <r>
      <rPr>
        <b/>
        <vertAlign val="subscript"/>
        <sz val="11"/>
        <color theme="1"/>
        <rFont val="Times New Roman"/>
        <family val="1"/>
      </rPr>
      <t>b</t>
    </r>
  </si>
  <si>
    <r>
      <t>q</t>
    </r>
    <r>
      <rPr>
        <b/>
        <vertAlign val="subscript"/>
        <sz val="11"/>
        <color theme="1"/>
        <rFont val="Times New Roman"/>
        <family val="1"/>
      </rPr>
      <t>b</t>
    </r>
  </si>
  <si>
    <r>
      <t>N/m</t>
    </r>
    <r>
      <rPr>
        <b/>
        <sz val="11"/>
        <color theme="1"/>
        <rFont val="Calibri"/>
        <family val="2"/>
      </rPr>
      <t>²</t>
    </r>
  </si>
  <si>
    <r>
      <t>c</t>
    </r>
    <r>
      <rPr>
        <vertAlign val="subscript"/>
        <sz val="11"/>
        <color theme="1"/>
        <rFont val="Times New Roman"/>
        <family val="1"/>
      </rPr>
      <t>t</t>
    </r>
  </si>
  <si>
    <r>
      <t>k</t>
    </r>
    <r>
      <rPr>
        <vertAlign val="subscript"/>
        <sz val="11"/>
        <color theme="1"/>
        <rFont val="Times New Roman"/>
        <family val="1"/>
      </rPr>
      <t>r</t>
    </r>
  </si>
  <si>
    <r>
      <t>z</t>
    </r>
    <r>
      <rPr>
        <vertAlign val="subscript"/>
        <sz val="11"/>
        <color theme="1"/>
        <rFont val="Times New Roman"/>
        <family val="1"/>
      </rPr>
      <t>0</t>
    </r>
  </si>
  <si>
    <r>
      <t>z</t>
    </r>
    <r>
      <rPr>
        <vertAlign val="subscript"/>
        <sz val="11"/>
        <color theme="1"/>
        <rFont val="Times New Roman"/>
        <family val="1"/>
      </rPr>
      <t>min</t>
    </r>
  </si>
  <si>
    <r>
      <t>c</t>
    </r>
    <r>
      <rPr>
        <vertAlign val="subscript"/>
        <sz val="11"/>
        <color theme="1"/>
        <rFont val="Times New Roman"/>
        <family val="1"/>
      </rPr>
      <t>d</t>
    </r>
  </si>
  <si>
    <r>
      <t>c</t>
    </r>
    <r>
      <rPr>
        <vertAlign val="subscript"/>
        <sz val="11"/>
        <color theme="1"/>
        <rFont val="Times New Roman"/>
        <family val="1"/>
      </rPr>
      <t>p</t>
    </r>
  </si>
  <si>
    <t>Coefficiente di esposizione minimo</t>
  </si>
  <si>
    <t>Pressione del vento minima</t>
  </si>
  <si>
    <t>Pressione del vento massima</t>
  </si>
  <si>
    <r>
      <rPr>
        <sz val="14"/>
        <color theme="1"/>
        <rFont val="Times New Roman"/>
        <family val="1"/>
      </rPr>
      <t>c</t>
    </r>
    <r>
      <rPr>
        <sz val="9"/>
        <color theme="1"/>
        <rFont val="Times New Roman"/>
        <family val="1"/>
      </rPr>
      <t>e</t>
    </r>
  </si>
  <si>
    <r>
      <t>P [kN/m</t>
    </r>
    <r>
      <rPr>
        <sz val="12"/>
        <color theme="1"/>
        <rFont val="Calibri"/>
        <family val="2"/>
      </rPr>
      <t>²</t>
    </r>
    <r>
      <rPr>
        <sz val="12"/>
        <color theme="1"/>
        <rFont val="Times New Roman"/>
        <family val="1"/>
      </rPr>
      <t>]</t>
    </r>
  </si>
  <si>
    <t>Descrizione</t>
  </si>
  <si>
    <r>
      <t>v</t>
    </r>
    <r>
      <rPr>
        <vertAlign val="subscript"/>
        <sz val="10"/>
        <color indexed="8"/>
        <rFont val="Arial"/>
        <family val="2"/>
      </rPr>
      <t>b,0</t>
    </r>
    <r>
      <rPr>
        <sz val="10"/>
        <color indexed="8"/>
        <rFont val="Arial"/>
        <family val="2"/>
      </rPr>
      <t xml:space="preserve"> [m/s]</t>
    </r>
  </si>
  <si>
    <r>
      <t>a</t>
    </r>
    <r>
      <rPr>
        <vertAlign val="subscript"/>
        <sz val="10"/>
        <color indexed="8"/>
        <rFont val="Arial"/>
        <family val="2"/>
      </rPr>
      <t>0</t>
    </r>
    <r>
      <rPr>
        <sz val="10"/>
        <color indexed="8"/>
        <rFont val="Arial"/>
        <family val="2"/>
      </rPr>
      <t xml:space="preserve"> [m]</t>
    </r>
  </si>
  <si>
    <t>Zona</t>
  </si>
  <si>
    <t>1) Valle d’Aosta, Piemonte, Lombardia, Trentino Alto Adige, Veneto, Friuli Venezia Giulia (con l’eccezione della provincia di Trieste)</t>
  </si>
  <si>
    <t>2) Emilia Romagna</t>
  </si>
  <si>
    <t>3) Toscana, Marche, Umbria, Lazio, Abruzzo, Molise, Puglia, Campania, Basilicata, Calabria (esclusa la provincia di Reggio Calabria)</t>
  </si>
  <si>
    <t>4) Sicilia e provincia di Reggio Calabria</t>
  </si>
  <si>
    <t>5) Sardegna (zona a oriente della retta congiungente Capo Teulada con l’Isola di Maddalena)</t>
  </si>
  <si>
    <t>6) Sardegna (zona a occidente della retta congiungente Capo Teulada con l’Isola di Maddalena)</t>
  </si>
  <si>
    <t>7) Liguria</t>
  </si>
  <si>
    <t>8) Provincia di Trieste</t>
  </si>
  <si>
    <t>9) Isole (con l’eccezione di Sicilia e Sardegna) e mare aperto</t>
  </si>
  <si>
    <t>Classe di rugosità</t>
  </si>
  <si>
    <t>A) Aree urbane in cui almeno il 15% della superficie sia coperto da edifici la cui altezza media superi i 15m</t>
  </si>
  <si>
    <t>A</t>
  </si>
  <si>
    <t>B</t>
  </si>
  <si>
    <t>C</t>
  </si>
  <si>
    <t>D) Aree prive di ostacoli (aperta campagna, aeroporti, aree agricole, pascoli, zone paludose o sabbiose, superfici innevate o ghiacciate, mare, laghi,....)</t>
  </si>
  <si>
    <t>D</t>
  </si>
  <si>
    <t>Categoria di esposizione del sito</t>
  </si>
  <si>
    <r>
      <t>k</t>
    </r>
    <r>
      <rPr>
        <vertAlign val="subscript"/>
        <sz val="10"/>
        <color indexed="8"/>
        <rFont val="Arial"/>
        <family val="2"/>
      </rPr>
      <t>r</t>
    </r>
  </si>
  <si>
    <r>
      <t>z</t>
    </r>
    <r>
      <rPr>
        <vertAlign val="subscript"/>
        <sz val="10"/>
        <color indexed="8"/>
        <rFont val="Arial"/>
        <family val="2"/>
      </rPr>
      <t>0</t>
    </r>
    <r>
      <rPr>
        <sz val="10"/>
        <color indexed="8"/>
        <rFont val="Arial"/>
        <family val="2"/>
      </rPr>
      <t xml:space="preserve"> [m]</t>
    </r>
  </si>
  <si>
    <r>
      <t>z</t>
    </r>
    <r>
      <rPr>
        <vertAlign val="subscript"/>
        <sz val="10"/>
        <color indexed="8"/>
        <rFont val="Arial"/>
        <family val="2"/>
      </rPr>
      <t>min</t>
    </r>
    <r>
      <rPr>
        <sz val="10"/>
        <color indexed="8"/>
        <rFont val="Arial"/>
        <family val="2"/>
      </rPr>
      <t xml:space="preserve"> [m]</t>
    </r>
  </si>
  <si>
    <t>I</t>
  </si>
  <si>
    <t>II</t>
  </si>
  <si>
    <t>III</t>
  </si>
  <si>
    <t>IV</t>
  </si>
  <si>
    <t>V</t>
  </si>
  <si>
    <r>
      <t>c</t>
    </r>
    <r>
      <rPr>
        <vertAlign val="subscript"/>
        <sz val="10"/>
        <color indexed="8"/>
        <rFont val="Arial"/>
        <family val="2"/>
      </rPr>
      <t>e</t>
    </r>
    <r>
      <rPr>
        <sz val="10"/>
        <color indexed="8"/>
        <rFont val="Arial"/>
        <family val="2"/>
      </rPr>
      <t xml:space="preserve"> (coefficiente di esposizione)</t>
    </r>
  </si>
  <si>
    <r>
      <t>c</t>
    </r>
    <r>
      <rPr>
        <vertAlign val="subscript"/>
        <sz val="10"/>
        <color indexed="8"/>
        <rFont val="Arial"/>
        <family val="2"/>
      </rPr>
      <t>p</t>
    </r>
    <r>
      <rPr>
        <sz val="10"/>
        <color indexed="8"/>
        <rFont val="Arial"/>
        <family val="2"/>
      </rPr>
      <t xml:space="preserve"> (coefficiente di forma)</t>
    </r>
  </si>
  <si>
    <r>
      <t>c</t>
    </r>
    <r>
      <rPr>
        <vertAlign val="subscript"/>
        <sz val="10"/>
        <color indexed="8"/>
        <rFont val="Arial"/>
        <family val="2"/>
      </rPr>
      <t>d</t>
    </r>
    <r>
      <rPr>
        <sz val="10"/>
        <color indexed="8"/>
        <rFont val="Arial"/>
        <family val="2"/>
      </rPr>
      <t xml:space="preserve"> (coefficiente dinamico)</t>
    </r>
  </si>
  <si>
    <t xml:space="preserve">E' il coefficiente di forma (o coefficiente aerodinamico), funzione della tipologia e della geometria della costruzione e del suo orientamento rispetto alla direzione del vento. Il suo valore può essere ricavato da dati suffragati da opportuna documentazione o da prove sperimentali in galleria del vento.                                                                 </t>
  </si>
  <si>
    <r>
      <t>a</t>
    </r>
    <r>
      <rPr>
        <vertAlign val="subscript"/>
        <sz val="10"/>
        <color indexed="8"/>
        <rFont val="Arial"/>
        <family val="2"/>
      </rPr>
      <t>s</t>
    </r>
    <r>
      <rPr>
        <sz val="10"/>
        <color indexed="8"/>
        <rFont val="Arial"/>
        <family val="2"/>
      </rPr>
      <t xml:space="preserve"> [m]</t>
    </r>
  </si>
  <si>
    <r>
      <t>c</t>
    </r>
    <r>
      <rPr>
        <vertAlign val="subscript"/>
        <sz val="10"/>
        <color indexed="8"/>
        <rFont val="Arial"/>
        <family val="2"/>
      </rPr>
      <t>e</t>
    </r>
    <r>
      <rPr>
        <sz val="10"/>
        <color indexed="8"/>
        <rFont val="Arial"/>
        <family val="2"/>
      </rPr>
      <t>(z) = k</t>
    </r>
    <r>
      <rPr>
        <vertAlign val="subscript"/>
        <sz val="10"/>
        <color indexed="8"/>
        <rFont val="Arial"/>
        <family val="2"/>
      </rPr>
      <t>r</t>
    </r>
    <r>
      <rPr>
        <vertAlign val="superscript"/>
        <sz val="10"/>
        <color indexed="8"/>
        <rFont val="Arial"/>
        <family val="2"/>
      </rPr>
      <t>2</t>
    </r>
    <r>
      <rPr>
        <sz val="10"/>
        <color indexed="8"/>
        <rFont val="Calibri"/>
        <family val="2"/>
      </rPr>
      <t>∙c</t>
    </r>
    <r>
      <rPr>
        <vertAlign val="subscript"/>
        <sz val="10"/>
        <color indexed="8"/>
        <rFont val="Calibri"/>
        <family val="2"/>
      </rPr>
      <t>t</t>
    </r>
    <r>
      <rPr>
        <sz val="10"/>
        <color indexed="8"/>
        <rFont val="Calibri"/>
        <family val="2"/>
      </rPr>
      <t>∙ln(z/z</t>
    </r>
    <r>
      <rPr>
        <vertAlign val="subscript"/>
        <sz val="10"/>
        <color indexed="8"/>
        <rFont val="Calibri"/>
        <family val="2"/>
      </rPr>
      <t>0</t>
    </r>
    <r>
      <rPr>
        <sz val="10"/>
        <color indexed="8"/>
        <rFont val="Calibri"/>
        <family val="2"/>
      </rPr>
      <t>) [7+c</t>
    </r>
    <r>
      <rPr>
        <vertAlign val="subscript"/>
        <sz val="10"/>
        <color indexed="8"/>
        <rFont val="Calibri"/>
        <family val="2"/>
      </rPr>
      <t>t</t>
    </r>
    <r>
      <rPr>
        <sz val="10"/>
        <color indexed="8"/>
        <rFont val="Calibri"/>
        <family val="2"/>
      </rPr>
      <t>∙ln(z/z</t>
    </r>
    <r>
      <rPr>
        <vertAlign val="subscript"/>
        <sz val="10"/>
        <color indexed="8"/>
        <rFont val="Calibri"/>
        <family val="2"/>
      </rPr>
      <t>0</t>
    </r>
    <r>
      <rPr>
        <sz val="10"/>
        <color indexed="8"/>
        <rFont val="Calibri"/>
        <family val="2"/>
      </rPr>
      <t>)]    per z ≥ z</t>
    </r>
    <r>
      <rPr>
        <vertAlign val="subscript"/>
        <sz val="10"/>
        <color indexed="8"/>
        <rFont val="Calibri"/>
        <family val="2"/>
      </rPr>
      <t>min</t>
    </r>
  </si>
  <si>
    <r>
      <t>c</t>
    </r>
    <r>
      <rPr>
        <vertAlign val="subscript"/>
        <sz val="10"/>
        <color indexed="8"/>
        <rFont val="Arial"/>
        <family val="2"/>
      </rPr>
      <t>e</t>
    </r>
    <r>
      <rPr>
        <sz val="10"/>
        <color indexed="8"/>
        <rFont val="Arial"/>
        <family val="2"/>
      </rPr>
      <t>(z) = c</t>
    </r>
    <r>
      <rPr>
        <vertAlign val="subscript"/>
        <sz val="10"/>
        <color indexed="8"/>
        <rFont val="Arial"/>
        <family val="2"/>
      </rPr>
      <t>e</t>
    </r>
    <r>
      <rPr>
        <sz val="10"/>
        <color indexed="8"/>
        <rFont val="Calibri"/>
        <family val="2"/>
      </rPr>
      <t>(z</t>
    </r>
    <r>
      <rPr>
        <vertAlign val="subscript"/>
        <sz val="10"/>
        <color indexed="8"/>
        <rFont val="Calibri"/>
        <family val="2"/>
      </rPr>
      <t>min</t>
    </r>
    <r>
      <rPr>
        <sz val="10"/>
        <color indexed="8"/>
        <rFont val="Calibri"/>
        <family val="2"/>
      </rPr>
      <t>)                                       per z &lt; z</t>
    </r>
    <r>
      <rPr>
        <vertAlign val="subscript"/>
        <sz val="10"/>
        <color indexed="8"/>
        <rFont val="Calibri"/>
        <family val="2"/>
      </rPr>
      <t>min</t>
    </r>
  </si>
  <si>
    <t>TR</t>
  </si>
  <si>
    <r>
      <t>k</t>
    </r>
    <r>
      <rPr>
        <vertAlign val="subscript"/>
        <sz val="9"/>
        <color indexed="8"/>
        <rFont val="Arial"/>
        <family val="2"/>
      </rPr>
      <t>r</t>
    </r>
  </si>
  <si>
    <r>
      <t>z</t>
    </r>
    <r>
      <rPr>
        <vertAlign val="subscript"/>
        <sz val="9"/>
        <color indexed="8"/>
        <rFont val="Arial"/>
        <family val="2"/>
      </rPr>
      <t>0</t>
    </r>
    <r>
      <rPr>
        <sz val="9"/>
        <color indexed="8"/>
        <rFont val="Arial"/>
        <family val="2"/>
      </rPr>
      <t xml:space="preserve"> [m]</t>
    </r>
  </si>
  <si>
    <r>
      <t>z</t>
    </r>
    <r>
      <rPr>
        <vertAlign val="subscript"/>
        <sz val="9"/>
        <color indexed="8"/>
        <rFont val="Arial"/>
        <family val="2"/>
      </rPr>
      <t>min</t>
    </r>
    <r>
      <rPr>
        <sz val="9"/>
        <color indexed="8"/>
        <rFont val="Arial"/>
        <family val="2"/>
      </rPr>
      <t xml:space="preserve"> [m]</t>
    </r>
  </si>
  <si>
    <r>
      <t>c</t>
    </r>
    <r>
      <rPr>
        <vertAlign val="subscript"/>
        <sz val="10"/>
        <color indexed="8"/>
        <rFont val="Arial"/>
        <family val="2"/>
      </rPr>
      <t>p</t>
    </r>
  </si>
  <si>
    <r>
      <t>(2)</t>
    </r>
    <r>
      <rPr>
        <sz val="10"/>
        <color indexed="8"/>
        <rFont val="Arial"/>
        <family val="2"/>
      </rPr>
      <t xml:space="preserve"> c</t>
    </r>
    <r>
      <rPr>
        <vertAlign val="subscript"/>
        <sz val="10"/>
        <color indexed="8"/>
        <rFont val="Arial"/>
        <family val="2"/>
      </rPr>
      <t>pe</t>
    </r>
    <r>
      <rPr>
        <sz val="10"/>
        <color indexed="8"/>
        <rFont val="Arial"/>
        <family val="2"/>
      </rPr>
      <t xml:space="preserve"> =</t>
    </r>
    <r>
      <rPr>
        <vertAlign val="subscript"/>
        <sz val="10"/>
        <color indexed="8"/>
        <rFont val="Arial"/>
        <family val="2"/>
      </rPr>
      <t xml:space="preserve"> </t>
    </r>
  </si>
  <si>
    <r>
      <t>(1)</t>
    </r>
    <r>
      <rPr>
        <sz val="10"/>
        <color indexed="8"/>
        <rFont val="Arial"/>
        <family val="2"/>
      </rPr>
      <t xml:space="preserve"> c</t>
    </r>
    <r>
      <rPr>
        <vertAlign val="subscript"/>
        <sz val="10"/>
        <color indexed="8"/>
        <rFont val="Arial"/>
        <family val="2"/>
      </rPr>
      <t>pe</t>
    </r>
    <r>
      <rPr>
        <sz val="10"/>
        <color indexed="8"/>
        <rFont val="Arial"/>
        <family val="2"/>
      </rPr>
      <t xml:space="preserve"> = 0.8</t>
    </r>
  </si>
  <si>
    <r>
      <t>v</t>
    </r>
    <r>
      <rPr>
        <b/>
        <vertAlign val="subscript"/>
        <sz val="10"/>
        <color indexed="8"/>
        <rFont val="Arial"/>
        <family val="2"/>
      </rPr>
      <t>b,0</t>
    </r>
    <r>
      <rPr>
        <b/>
        <sz val="10"/>
        <color indexed="8"/>
        <rFont val="Arial"/>
        <family val="2"/>
      </rPr>
      <t xml:space="preserve"> [m/s]</t>
    </r>
  </si>
  <si>
    <r>
      <t>a</t>
    </r>
    <r>
      <rPr>
        <b/>
        <vertAlign val="subscript"/>
        <sz val="10"/>
        <color indexed="8"/>
        <rFont val="Arial"/>
        <family val="2"/>
      </rPr>
      <t>0</t>
    </r>
    <r>
      <rPr>
        <b/>
        <sz val="10"/>
        <color indexed="8"/>
        <rFont val="Arial"/>
        <family val="2"/>
      </rPr>
      <t xml:space="preserve"> [m]</t>
    </r>
  </si>
  <si>
    <r>
      <t>P</t>
    </r>
    <r>
      <rPr>
        <b/>
        <vertAlign val="subscript"/>
        <sz val="11"/>
        <color theme="1"/>
        <rFont val="Times New Roman"/>
        <family val="1"/>
      </rPr>
      <t>min</t>
    </r>
  </si>
  <si>
    <r>
      <t>P</t>
    </r>
    <r>
      <rPr>
        <b/>
        <vertAlign val="subscript"/>
        <sz val="11"/>
        <color theme="1"/>
        <rFont val="Times New Roman"/>
        <family val="1"/>
      </rPr>
      <t>max</t>
    </r>
  </si>
  <si>
    <t>Esso può essere assunto cautelativamente pari ad 1 nelle costruzioni di tipologia ricorrente, quali gli edifici di forma regolare non eccedenti 80 m di altezza ed i capannoni industriali, oppure può essere determinato mediante analisi specifiche o facendo riferimento a dati di comprovata affidabilità.</t>
  </si>
  <si>
    <t>[m]</t>
  </si>
  <si>
    <t>[anni]</t>
  </si>
  <si>
    <t>[N/m²]</t>
  </si>
  <si>
    <t>L'assegnazione della classe di rugosità non dipende dalla conformazione orografica e topografica del terreno. Affinchè una costruzione possa dirsi ubicata in classe A o B è necessario che la situazione che contraddistingue la classe permanga intorno alla costruzione per non meno di 1 km e comunque non meno di 20 volte l'altezza della costruzione. Laddove sussistano dubbi sulla scelta della classe di rugosità, a meno di analisi dettagliate, verrà assegnata la classe più sfavorevole.</t>
  </si>
  <si>
    <r>
      <t>c</t>
    </r>
    <r>
      <rPr>
        <b/>
        <vertAlign val="subscript"/>
        <sz val="10"/>
        <color indexed="8"/>
        <rFont val="Arial"/>
        <family val="2"/>
      </rPr>
      <t>d</t>
    </r>
  </si>
  <si>
    <t>H</t>
  </si>
  <si>
    <t>β</t>
  </si>
  <si>
    <t>ϒ</t>
  </si>
  <si>
    <t>h</t>
  </si>
  <si>
    <t>x</t>
  </si>
  <si>
    <r>
      <t>c</t>
    </r>
    <r>
      <rPr>
        <b/>
        <vertAlign val="subscript"/>
        <sz val="10"/>
        <color indexed="8"/>
        <rFont val="Arial"/>
        <family val="2"/>
      </rPr>
      <t>t</t>
    </r>
  </si>
  <si>
    <t>z/H</t>
  </si>
  <si>
    <t>H/D</t>
  </si>
  <si>
    <t>coef topografico</t>
  </si>
  <si>
    <t>Il coefficiente di esposizione  dipende dall'altezza z sul suolo del punto considerato, dalla topografia del terreno e dalla categoria di esposizione del sito (e quindi dalla classe di rugosità del terreno) ove sorge la costruzione; per altezze non maggiori di z=200m valgono le seguenti espressioni</t>
  </si>
  <si>
    <t>Edifici a pianta rettangolare con coperture piane, a falde, inclinate, curve</t>
  </si>
  <si>
    <t>stagne</t>
  </si>
  <si>
    <t>non stagne</t>
  </si>
  <si>
    <t>gradi</t>
  </si>
  <si>
    <r>
      <t>(</t>
    </r>
    <r>
      <rPr>
        <sz val="10"/>
        <color indexed="8"/>
        <rFont val="Symbol"/>
        <family val="1"/>
        <charset val="2"/>
      </rPr>
      <t>r</t>
    </r>
    <r>
      <rPr>
        <sz val="10"/>
        <color indexed="8"/>
        <rFont val="Arial"/>
        <family val="2"/>
      </rPr>
      <t xml:space="preserve"> = 1,25 kg/m</t>
    </r>
    <r>
      <rPr>
        <sz val="10"/>
        <color indexed="8"/>
        <rFont val="Times New Roman"/>
        <family val="1"/>
      </rPr>
      <t>³</t>
    </r>
    <r>
      <rPr>
        <sz val="10"/>
        <color indexed="8"/>
        <rFont val="Arial"/>
        <family val="2"/>
      </rPr>
      <t>)</t>
    </r>
  </si>
  <si>
    <t>Direzione del vento→</t>
  </si>
  <si>
    <r>
      <t>p [kN/m</t>
    </r>
    <r>
      <rPr>
        <sz val="10"/>
        <color indexed="8"/>
        <rFont val="Calibri"/>
        <family val="2"/>
      </rPr>
      <t>²</t>
    </r>
    <r>
      <rPr>
        <sz val="10"/>
        <color indexed="8"/>
        <rFont val="Arial"/>
        <family val="2"/>
      </rPr>
      <t>]</t>
    </r>
  </si>
  <si>
    <t>Di seguito la pressione del vento trascurando il coefficiente di forma (Cp=1):</t>
  </si>
  <si>
    <t>→</t>
  </si>
  <si>
    <t>(1) parete sopravento</t>
  </si>
  <si>
    <t>(2) copertura sopravento</t>
  </si>
  <si>
    <t>(3) copertura sottovento</t>
  </si>
  <si>
    <t>(4) parete sottovento</t>
  </si>
  <si>
    <t>Il coefficiente topografico vale:</t>
  </si>
  <si>
    <t>Il coefficiente topografico si assume di norma uguale ad 1, sia per zone pianeggianti, ondulate, collinose e montane. Nel caso di costruzioni che sorgono presso la sommità di colline o pendii isolati si procede nel modo seguente:</t>
  </si>
  <si>
    <t>Ing. Davide Cicchini</t>
  </si>
  <si>
    <t>www.davidecicchini.it</t>
  </si>
  <si>
    <r>
      <t>c</t>
    </r>
    <r>
      <rPr>
        <b/>
        <vertAlign val="subscript"/>
        <sz val="10"/>
        <color indexed="8"/>
        <rFont val="Arial"/>
        <family val="2"/>
      </rPr>
      <t>e</t>
    </r>
  </si>
  <si>
    <r>
      <t>c</t>
    </r>
    <r>
      <rPr>
        <b/>
        <vertAlign val="subscript"/>
        <sz val="10"/>
        <color indexed="8"/>
        <rFont val="Arial"/>
        <family val="2"/>
      </rPr>
      <t>p</t>
    </r>
  </si>
  <si>
    <r>
      <t>P [kN/m</t>
    </r>
    <r>
      <rPr>
        <b/>
        <sz val="10"/>
        <color rgb="FF00B0F0"/>
        <rFont val="Calibri"/>
        <family val="2"/>
      </rPr>
      <t>²</t>
    </r>
    <r>
      <rPr>
        <b/>
        <sz val="10"/>
        <color rgb="FF00B0F0"/>
        <rFont val="Arial"/>
        <family val="2"/>
      </rPr>
      <t>]</t>
    </r>
  </si>
  <si>
    <t>(1) par. sopravent.</t>
  </si>
  <si>
    <t>(2) cop. sopravent.</t>
  </si>
  <si>
    <t>(3) cop. Sottovent.</t>
  </si>
  <si>
    <t>(4) par. sottovent.</t>
  </si>
  <si>
    <t>I dati possono essere inseriti solo nelle caselle con il bordo doppio.</t>
  </si>
  <si>
    <t>Salva la scheda "calcolo del vento" in formato pdf per ottenere la</t>
  </si>
  <si>
    <t xml:space="preserve">Il file permette il calcolo dell'azione del vento, in accordo a quanto </t>
  </si>
  <si>
    <t>relazione! Oppure esegui direttamente la stampa dal file.</t>
  </si>
  <si>
    <t>zona</t>
  </si>
  <si>
    <t>categoria</t>
  </si>
  <si>
    <t>ZONA 1</t>
  </si>
  <si>
    <t>chilometri in mare</t>
  </si>
  <si>
    <t>chilometri dalla costa</t>
  </si>
  <si>
    <t>fino a quota</t>
  </si>
  <si>
    <t>classe error</t>
  </si>
  <si>
    <t>ZONA 2-3-4</t>
  </si>
  <si>
    <t>ZONA 5</t>
  </si>
  <si>
    <t>ZONA 6</t>
  </si>
  <si>
    <t>ZONA 7</t>
  </si>
  <si>
    <t>ZONA 8</t>
  </si>
  <si>
    <t>ZONA 9</t>
  </si>
  <si>
    <t>mare</t>
  </si>
  <si>
    <t>costa</t>
  </si>
  <si>
    <t>[km]</t>
  </si>
  <si>
    <t>Nelle fasce entro i 40km dalla costa delle zone 1,2,3,4,5 e 6 la categoria di esposizione è indipendente dall'altitudine del sito.</t>
  </si>
  <si>
    <t>Coefficiente di esposizione alla gronda</t>
  </si>
  <si>
    <t>Coefficiente di esposizione al colmo</t>
  </si>
  <si>
    <r>
      <t>c</t>
    </r>
    <r>
      <rPr>
        <b/>
        <vertAlign val="subscript"/>
        <sz val="11"/>
        <color theme="1"/>
        <rFont val="Times New Roman"/>
        <family val="1"/>
      </rPr>
      <t>e,gronda</t>
    </r>
  </si>
  <si>
    <r>
      <t>c</t>
    </r>
    <r>
      <rPr>
        <b/>
        <vertAlign val="subscript"/>
        <sz val="11"/>
        <color theme="1"/>
        <rFont val="Times New Roman"/>
        <family val="1"/>
      </rPr>
      <t>e,colmo</t>
    </r>
  </si>
  <si>
    <t xml:space="preserve">Costruzioni che hanno una parete con aperture di superficie non minore di 1/3 di quella totale       </t>
  </si>
  <si>
    <t>Costruzioni che hanno (o possono avere) una parete con aperture di superficie minore di 1/3 di quella totale (caso tipico di civile abitazione)</t>
  </si>
  <si>
    <t>Costruzioni completamente stagne</t>
  </si>
  <si>
    <t>Costruzioni che presentano su due pareti opposte, normali alla direzione del vento, aperture di superficie non minore di 1/3 di quella totale</t>
  </si>
  <si>
    <t>cp</t>
  </si>
  <si>
    <t>cpi</t>
  </si>
  <si>
    <t>↑</t>
  </si>
  <si>
    <t>↓</t>
  </si>
  <si>
    <t>↘            ↙</t>
  </si>
  <si>
    <t>↖               ↗</t>
  </si>
  <si>
    <r>
      <t>q</t>
    </r>
    <r>
      <rPr>
        <vertAlign val="subscript"/>
        <sz val="10"/>
        <color indexed="8"/>
        <rFont val="Arial"/>
        <family val="2"/>
      </rPr>
      <t>r</t>
    </r>
    <r>
      <rPr>
        <sz val="10"/>
        <color indexed="8"/>
        <rFont val="Arial"/>
        <family val="2"/>
      </rPr>
      <t>= 1/2</t>
    </r>
    <r>
      <rPr>
        <sz val="10"/>
        <color indexed="8"/>
        <rFont val="Calibri"/>
        <family val="2"/>
      </rPr>
      <t>∙</t>
    </r>
    <r>
      <rPr>
        <sz val="10"/>
        <color indexed="8"/>
        <rFont val="Symbol"/>
        <family val="1"/>
        <charset val="2"/>
      </rPr>
      <t>r</t>
    </r>
    <r>
      <rPr>
        <sz val="10"/>
        <color indexed="8"/>
        <rFont val="Calibri"/>
        <family val="2"/>
      </rPr>
      <t>∙</t>
    </r>
    <r>
      <rPr>
        <sz val="10"/>
        <color indexed="8"/>
        <rFont val="Arial"/>
        <family val="2"/>
      </rPr>
      <t>v</t>
    </r>
    <r>
      <rPr>
        <vertAlign val="subscript"/>
        <sz val="10"/>
        <color indexed="8"/>
        <rFont val="Arial"/>
        <family val="2"/>
      </rPr>
      <t>r</t>
    </r>
    <r>
      <rPr>
        <vertAlign val="superscript"/>
        <sz val="10"/>
        <color indexed="8"/>
        <rFont val="Arial"/>
        <family val="2"/>
      </rPr>
      <t>2</t>
    </r>
  </si>
  <si>
    <r>
      <t>q</t>
    </r>
    <r>
      <rPr>
        <vertAlign val="subscript"/>
        <sz val="10"/>
        <color indexed="8"/>
        <rFont val="Arial"/>
        <family val="2"/>
      </rPr>
      <t>r</t>
    </r>
    <r>
      <rPr>
        <sz val="10"/>
        <color indexed="8"/>
        <rFont val="Arial"/>
        <family val="2"/>
      </rPr>
      <t xml:space="preserve"> (pressione cinetica di riferimento [N/mq])</t>
    </r>
  </si>
  <si>
    <t>B) Aree urbane (non di classe A), suburbane, industriali e boschive. Lago (con larghezza pari ad almeno 1 km) e relativa fascia costiera (entro 1 km dalla costa)</t>
  </si>
  <si>
    <t>C) Aree con ostacoli diffusi (alberi, case, muri, recinzioni,....); aree con rugosità non riconducibile alle classi A, B, D. Aree prive di ostacoli o con al più rari ostacoli isolati.</t>
  </si>
  <si>
    <t>Distanza dalla costa</t>
  </si>
  <si>
    <t>Categoria di esposizione</t>
  </si>
  <si>
    <t>Classe di rugosità del terreno:</t>
  </si>
  <si>
    <t>zona:</t>
  </si>
  <si>
    <t>DEFINIZIONE DEI DATI</t>
  </si>
  <si>
    <t>cr</t>
  </si>
  <si>
    <t>Altezza sulla linea di gronda</t>
  </si>
  <si>
    <r>
      <t>v</t>
    </r>
    <r>
      <rPr>
        <vertAlign val="subscript"/>
        <sz val="10"/>
        <color indexed="8"/>
        <rFont val="Arial"/>
        <family val="2"/>
      </rPr>
      <t>b</t>
    </r>
    <r>
      <rPr>
        <sz val="10"/>
        <color indexed="8"/>
        <rFont val="Arial"/>
        <family val="2"/>
      </rPr>
      <t xml:space="preserve"> = v</t>
    </r>
    <r>
      <rPr>
        <sz val="8"/>
        <color indexed="8"/>
        <rFont val="Arial"/>
        <family val="2"/>
      </rPr>
      <t>b,0</t>
    </r>
    <r>
      <rPr>
        <sz val="10"/>
        <color indexed="8"/>
        <rFont val="Arial"/>
        <family val="2"/>
      </rPr>
      <t xml:space="preserve"> </t>
    </r>
    <r>
      <rPr>
        <sz val="8"/>
        <color indexed="8"/>
        <rFont val="Arial"/>
        <family val="2"/>
      </rPr>
      <t xml:space="preserve"> </t>
    </r>
    <r>
      <rPr>
        <sz val="10"/>
        <color indexed="8"/>
        <rFont val="Arial"/>
        <family val="2"/>
      </rPr>
      <t xml:space="preserve">* ca  </t>
    </r>
  </si>
  <si>
    <t>ca =1     per as ≤ a0</t>
  </si>
  <si>
    <r>
      <t>ca</t>
    </r>
    <r>
      <rPr>
        <sz val="10"/>
        <color indexed="8"/>
        <rFont val="Arial"/>
        <family val="2"/>
      </rPr>
      <t xml:space="preserve"> = 1 + ks (as/a0</t>
    </r>
    <r>
      <rPr>
        <vertAlign val="subscript"/>
        <sz val="10"/>
        <color indexed="8"/>
        <rFont val="Arial"/>
        <family val="2"/>
      </rPr>
      <t xml:space="preserve"> </t>
    </r>
    <r>
      <rPr>
        <sz val="10"/>
        <color indexed="8"/>
        <rFont val="Arial"/>
        <family val="2"/>
      </rPr>
      <t>- 1)     per a</t>
    </r>
    <r>
      <rPr>
        <vertAlign val="subscript"/>
        <sz val="10"/>
        <color indexed="8"/>
        <rFont val="Arial"/>
        <family val="2"/>
      </rPr>
      <t>0</t>
    </r>
    <r>
      <rPr>
        <sz val="10"/>
        <color indexed="8"/>
        <rFont val="Arial"/>
        <family val="2"/>
      </rPr>
      <t xml:space="preserve"> &lt; a</t>
    </r>
    <r>
      <rPr>
        <vertAlign val="subscript"/>
        <sz val="10"/>
        <color indexed="8"/>
        <rFont val="Arial"/>
        <family val="2"/>
      </rPr>
      <t>s</t>
    </r>
    <r>
      <rPr>
        <sz val="10"/>
        <color indexed="8"/>
        <rFont val="Arial"/>
        <family val="2"/>
      </rPr>
      <t xml:space="preserve"> </t>
    </r>
    <r>
      <rPr>
        <sz val="10"/>
        <color indexed="8"/>
        <rFont val="Calibri"/>
        <family val="2"/>
      </rPr>
      <t>≤</t>
    </r>
    <r>
      <rPr>
        <sz val="10"/>
        <color indexed="8"/>
        <rFont val="Arial"/>
        <family val="2"/>
      </rPr>
      <t xml:space="preserve"> 1500 m</t>
    </r>
  </si>
  <si>
    <r>
      <t>C</t>
    </r>
    <r>
      <rPr>
        <vertAlign val="subscript"/>
        <sz val="10"/>
        <color indexed="8"/>
        <rFont val="Arial"/>
        <family val="2"/>
      </rPr>
      <t>a</t>
    </r>
    <r>
      <rPr>
        <sz val="10"/>
        <color indexed="8"/>
        <rFont val="Arial"/>
        <family val="2"/>
      </rPr>
      <t xml:space="preserve"> </t>
    </r>
  </si>
  <si>
    <r>
      <t>k</t>
    </r>
    <r>
      <rPr>
        <b/>
        <vertAlign val="subscript"/>
        <sz val="10"/>
        <color indexed="8"/>
        <rFont val="Arial"/>
        <family val="2"/>
      </rPr>
      <t>s</t>
    </r>
    <r>
      <rPr>
        <b/>
        <sz val="10"/>
        <color indexed="8"/>
        <rFont val="Arial"/>
        <family val="2"/>
      </rPr>
      <t xml:space="preserve"> </t>
    </r>
  </si>
  <si>
    <r>
      <t>ks</t>
    </r>
    <r>
      <rPr>
        <sz val="10"/>
        <color indexed="8"/>
        <rFont val="Arial"/>
        <family val="2"/>
      </rPr>
      <t xml:space="preserve"> </t>
    </r>
  </si>
  <si>
    <r>
      <t>v</t>
    </r>
    <r>
      <rPr>
        <vertAlign val="subscript"/>
        <sz val="10"/>
        <color indexed="8"/>
        <rFont val="Arial"/>
        <family val="2"/>
      </rPr>
      <t>r</t>
    </r>
    <r>
      <rPr>
        <sz val="10"/>
        <color indexed="8"/>
        <rFont val="Arial"/>
        <family val="2"/>
      </rPr>
      <t xml:space="preserve"> = v</t>
    </r>
    <r>
      <rPr>
        <sz val="8"/>
        <color indexed="8"/>
        <rFont val="Arial"/>
        <family val="2"/>
      </rPr>
      <t>b</t>
    </r>
    <r>
      <rPr>
        <sz val="10"/>
        <color indexed="8"/>
        <rFont val="Arial"/>
        <family val="2"/>
      </rPr>
      <t xml:space="preserve"> </t>
    </r>
    <r>
      <rPr>
        <sz val="8"/>
        <color indexed="8"/>
        <rFont val="Arial"/>
        <family val="2"/>
      </rPr>
      <t xml:space="preserve"> </t>
    </r>
    <r>
      <rPr>
        <sz val="10"/>
        <color indexed="8"/>
        <rFont val="Arial"/>
        <family val="2"/>
      </rPr>
      <t xml:space="preserve">* cr  </t>
    </r>
  </si>
  <si>
    <t>Cr coefficiente di ritorno</t>
  </si>
  <si>
    <t xml:space="preserve">Pressione cinetica di riferimento qr </t>
  </si>
  <si>
    <t xml:space="preserve">UNI EN 1991-1-4:2010 </t>
  </si>
  <si>
    <t>Condizione non isolata</t>
  </si>
  <si>
    <t>Costruzione ubicata sul livello superiore di un altopiano isolato</t>
  </si>
  <si>
    <t>Costruzione ubicata su di un pendio isolato</t>
  </si>
  <si>
    <t>Costruzione ubicata sulla cresta di una collina isolata</t>
  </si>
  <si>
    <t>Dati inseriti, in base alla figura di riferimento:</t>
  </si>
  <si>
    <t>Caso selezionato:</t>
  </si>
  <si>
    <t>Coefficiente Topografico (Orografico)</t>
  </si>
  <si>
    <t>CALCOLO DEI COEFFICIENTI</t>
  </si>
  <si>
    <r>
      <t>a</t>
    </r>
    <r>
      <rPr>
        <b/>
        <vertAlign val="subscript"/>
        <sz val="10"/>
        <rFont val="Arial"/>
        <family val="2"/>
      </rPr>
      <t>s</t>
    </r>
    <r>
      <rPr>
        <b/>
        <sz val="10"/>
        <rFont val="Arial"/>
        <family val="2"/>
      </rPr>
      <t xml:space="preserve"> (altitudine sul livello del mare della costruzione):</t>
    </r>
  </si>
  <si>
    <r>
      <t>T</t>
    </r>
    <r>
      <rPr>
        <b/>
        <vertAlign val="subscript"/>
        <sz val="10"/>
        <rFont val="Arial"/>
        <family val="2"/>
      </rPr>
      <t>R</t>
    </r>
    <r>
      <rPr>
        <b/>
        <sz val="10"/>
        <rFont val="Arial"/>
        <family val="2"/>
      </rPr>
      <t xml:space="preserve"> (Tempo di ritorno):</t>
    </r>
  </si>
  <si>
    <r>
      <t>v</t>
    </r>
    <r>
      <rPr>
        <b/>
        <vertAlign val="subscript"/>
        <sz val="11"/>
        <rFont val="Arial"/>
        <family val="2"/>
      </rPr>
      <t>b</t>
    </r>
    <r>
      <rPr>
        <b/>
        <sz val="11"/>
        <rFont val="Arial"/>
        <family val="2"/>
      </rPr>
      <t xml:space="preserve"> (velocità base di riferimento )</t>
    </r>
  </si>
  <si>
    <t>Coefficiente di forma</t>
  </si>
  <si>
    <t>Altezza del colmo della copertura</t>
  </si>
  <si>
    <t>Altezza del colmo della copertura, rispetto al suolo e inclinazione della falda sopravento</t>
  </si>
  <si>
    <t>Inclinazione della falda sopravento</t>
  </si>
  <si>
    <t>parete sopravento</t>
  </si>
  <si>
    <t>parete sottovento</t>
  </si>
  <si>
    <t>copertura sopravento</t>
  </si>
  <si>
    <t>Coefficiente di esposizione gronda</t>
  </si>
  <si>
    <t>Coefficiente di esposizione colmo</t>
  </si>
  <si>
    <t>coperturasottovento</t>
  </si>
  <si>
    <t xml:space="preserve">PRESSIONI DEL VENTO </t>
  </si>
  <si>
    <t>Combinazione più sfavorevole per pareti e copertura:</t>
  </si>
  <si>
    <t>somma integrale copertura sopravento</t>
  </si>
  <si>
    <t>somma integrale parete sopravento</t>
  </si>
  <si>
    <t>somma integrale copertura sottovento</t>
  </si>
  <si>
    <t>somma integrale parete sottovento</t>
  </si>
  <si>
    <t>pressione media integrale</t>
  </si>
  <si>
    <t>inclinazione variabile per le cupole</t>
  </si>
  <si>
    <t>si</t>
  </si>
  <si>
    <t>no</t>
  </si>
  <si>
    <t>La copertura è curva:</t>
  </si>
  <si>
    <t>Valori massimi della pressione per ogni elemento</t>
  </si>
  <si>
    <t>Superficie liscia (acciaio, calcestruzzo a faccia liscia…)</t>
  </si>
  <si>
    <t>Scabra</t>
  </si>
  <si>
    <t>Molto Scabra (Ondulata, costolata, piegata...)</t>
  </si>
  <si>
    <t>Coperture Multiple</t>
  </si>
  <si>
    <t>Tettoia ad uno spiovente</t>
  </si>
  <si>
    <t>Tettoia a due spioventi</t>
  </si>
  <si>
    <t>cpe</t>
  </si>
  <si>
    <t>cpe falda sottovento</t>
  </si>
  <si>
    <r>
      <t>(4)</t>
    </r>
    <r>
      <rPr>
        <sz val="10"/>
        <color indexed="8"/>
        <rFont val="Arial"/>
        <family val="2"/>
      </rPr>
      <t xml:space="preserve"> c</t>
    </r>
    <r>
      <rPr>
        <vertAlign val="subscript"/>
        <sz val="10"/>
        <color indexed="8"/>
        <rFont val="Arial"/>
        <family val="2"/>
      </rPr>
      <t>pe</t>
    </r>
    <r>
      <rPr>
        <sz val="10"/>
        <color indexed="8"/>
        <rFont val="Arial"/>
        <family val="2"/>
      </rPr>
      <t xml:space="preserve"> = - 0.4</t>
    </r>
  </si>
  <si>
    <t>Andamento delle pressioni più svataggiose</t>
  </si>
  <si>
    <t>Valori medi della pressione per ogni elemento (da utilizzare per caricare il modello FEM)</t>
  </si>
  <si>
    <t xml:space="preserve">cp variabile </t>
  </si>
  <si>
    <t>cp var; case+</t>
  </si>
  <si>
    <t>cp var; tettoie mono</t>
  </si>
  <si>
    <t>controlli per superficie piana</t>
  </si>
  <si>
    <t>Configurazione B</t>
  </si>
  <si>
    <t>Configurazione A</t>
  </si>
  <si>
    <t>*Vale sia per le falde che per le cupole (a base rettangolare)</t>
  </si>
  <si>
    <t>cp var; case-</t>
  </si>
  <si>
    <t>cp var; tettoie bi</t>
  </si>
  <si>
    <t>P</t>
  </si>
  <si>
    <t>L</t>
  </si>
  <si>
    <t>somma</t>
  </si>
  <si>
    <t>pendenza della cupola</t>
  </si>
  <si>
    <t>R*</t>
  </si>
  <si>
    <t>R/corda_x</t>
  </si>
  <si>
    <t>R/corda_y</t>
  </si>
  <si>
    <t>Raggio tot</t>
  </si>
  <si>
    <t>retta ortogonale alla tangente</t>
  </si>
  <si>
    <t>inclinazione tngente di attacco</t>
  </si>
  <si>
    <t>Rtot-Rcorda_y=R*</t>
  </si>
  <si>
    <t>fuori dal cerchio</t>
  </si>
  <si>
    <t>H di gronda</t>
  </si>
  <si>
    <t>H di colmo</t>
  </si>
  <si>
    <t>Disposizione tipica delle pressioni per le coperture curve</t>
  </si>
  <si>
    <t>scelto</t>
  </si>
  <si>
    <t>qtan=</t>
  </si>
  <si>
    <t>Tipo di superficie:</t>
  </si>
  <si>
    <t xml:space="preserve">Pressione tangenziale del vento qtan </t>
  </si>
  <si>
    <t>*Si applica solitamente alle superfici piane di grande estensione</t>
  </si>
  <si>
    <t>Altezza sulla linea di colmo</t>
  </si>
  <si>
    <t>Inclinazione della falda sopravento; ovvero angolo di attacco per le coperture curve</t>
  </si>
  <si>
    <t>AZIONE DEL VENTO PAR. 3.3 NTC18</t>
  </si>
  <si>
    <r>
      <t>v</t>
    </r>
    <r>
      <rPr>
        <b/>
        <vertAlign val="subscript"/>
        <sz val="11"/>
        <rFont val="Arial"/>
        <family val="2"/>
      </rPr>
      <t>r</t>
    </r>
    <r>
      <rPr>
        <b/>
        <sz val="11"/>
        <rFont val="Arial"/>
        <family val="2"/>
      </rPr>
      <t xml:space="preserve"> (velocità di riferimento )</t>
    </r>
  </si>
  <si>
    <t>Coefficiente di esposizione [§3.3.7]</t>
  </si>
  <si>
    <t>Coefficiente dinamico [§3.3.8]</t>
  </si>
  <si>
    <t>PRESSIONE CINETICA DI RIFERIMENTO §3.3.6.</t>
  </si>
  <si>
    <r>
      <t>c</t>
    </r>
    <r>
      <rPr>
        <vertAlign val="subscript"/>
        <sz val="10"/>
        <color indexed="8"/>
        <rFont val="Arial"/>
        <family val="2"/>
      </rPr>
      <t>t</t>
    </r>
    <r>
      <rPr>
        <sz val="10"/>
        <color indexed="8"/>
        <rFont val="Arial"/>
        <family val="2"/>
      </rPr>
      <t xml:space="preserve"> (coefficiente topografico)</t>
    </r>
  </si>
  <si>
    <r>
      <t>p (pressione del vento)</t>
    </r>
    <r>
      <rPr>
        <sz val="10"/>
        <color indexed="8"/>
        <rFont val="Arial"/>
        <family val="2"/>
      </rPr>
      <t xml:space="preserve"> = q</t>
    </r>
    <r>
      <rPr>
        <vertAlign val="subscript"/>
        <sz val="10"/>
        <color indexed="8"/>
        <rFont val="Arial"/>
        <family val="2"/>
      </rPr>
      <t>r∙</t>
    </r>
    <r>
      <rPr>
        <sz val="10"/>
        <color indexed="8"/>
        <rFont val="Arial"/>
        <family val="2"/>
      </rPr>
      <t>c</t>
    </r>
    <r>
      <rPr>
        <vertAlign val="subscript"/>
        <sz val="10"/>
        <color indexed="8"/>
        <rFont val="Arial"/>
        <family val="2"/>
      </rPr>
      <t>d</t>
    </r>
    <r>
      <rPr>
        <sz val="10"/>
        <color indexed="8"/>
        <rFont val="Arial"/>
        <family val="2"/>
      </rPr>
      <t>∙c</t>
    </r>
    <r>
      <rPr>
        <vertAlign val="subscript"/>
        <sz val="10"/>
        <color indexed="8"/>
        <rFont val="Arial"/>
        <family val="2"/>
      </rPr>
      <t>t</t>
    </r>
    <r>
      <rPr>
        <sz val="10"/>
        <color indexed="8"/>
        <rFont val="Arial"/>
        <family val="2"/>
      </rPr>
      <t>∙c</t>
    </r>
    <r>
      <rPr>
        <vertAlign val="subscript"/>
        <sz val="10"/>
        <color indexed="8"/>
        <rFont val="Arial"/>
        <family val="2"/>
      </rPr>
      <t>e</t>
    </r>
    <r>
      <rPr>
        <sz val="10"/>
        <color indexed="8"/>
        <rFont val="Arial"/>
        <family val="2"/>
      </rPr>
      <t>∙c</t>
    </r>
    <r>
      <rPr>
        <vertAlign val="subscript"/>
        <sz val="10"/>
        <color indexed="8"/>
        <rFont val="Arial"/>
        <family val="2"/>
      </rPr>
      <t>p</t>
    </r>
  </si>
  <si>
    <t>prescritto dalle norme tecniche delle costruzioni del 2018</t>
  </si>
  <si>
    <t>PRESSIONI DEL VENTO IN DIREZIONE TANGENZIALE [§3.3.5]</t>
  </si>
  <si>
    <t>Per la prima copertura investita dal vento valgono i coefficienti ricavati sopra, per la seconda</t>
  </si>
  <si>
    <t xml:space="preserve"> copertura si applica una riduzione del 25% per lo spiovente sopravento mentre per l'altro</t>
  </si>
  <si>
    <t xml:space="preserve"> sottovento si lascia il valore ricavato sopra; per le altre coperture ad entrambi gli spioventi </t>
  </si>
  <si>
    <t>si applica una riduzione del 25%; Oppure si applicano al primo e all'ultimo spiovente le</t>
  </si>
  <si>
    <t xml:space="preserve"> pressioni valutate come sopra e sulla superficie proiettata in piano di tutte le parti del tetto, </t>
  </si>
  <si>
    <t>un'azione superfeciale di tipo tangenziale il cui valore unitario è assunto convenzionalmente</t>
  </si>
  <si>
    <t xml:space="preserve"> pari a qtan=0,10 qref ce</t>
  </si>
  <si>
    <t>Configurazione più svantaggiosa</t>
  </si>
  <si>
    <t>E' consigliabile calcolare la pressione del vento per ogni facciata del fabbricato modificando  i parametri per ogni caso. Nel caso di studio su prospetto di timpano, la valutazione della pressione del vento si conduce come se la  copertura fosse piana e la parete alta fino alla linea di colmo. Nel caso di coperture a padiglione, la valutazione delle pressioni si esegue su ogni facciata del fabbricato  utilizzando di volta in volta l'angolo della falda investito dal vento. Nel caso di coperture curve, si deve inserire l'angolo della retta tangente al bordo della  copertura, in sostanza l'angolo di attacco della copertura. (per cupole a tutto sesto l'angolo è  di 90°, per cupole a sesto ribassato è minore di 90°). Nel caso di studio su prospetto piano  l'analisi si conduce come su prospetto di timpano. Si osserva che oltre alle pressioni andrebbe considerata anche la forza tangenziale esercitata  dal vento sul fabbricato. Generalmente essa si trascura, è necessaria modellarla solo per  grandi coperture piane ad esempio: coperture di grandi capannoni industriali. Il foglio di calcolo è utilizzabile per fabbricati a base rettangolare.</t>
  </si>
  <si>
    <t>CALCOLO VELOCITA' DI RIFERIMENTO DEL VENTO §3.3.2.</t>
  </si>
  <si>
    <t>Versione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</si>
</sst>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0.000"/>
    <numFmt numFmtId="165" formatCode="0.0"/>
    <numFmt numFmtId="166" formatCode="0.00\ &quot;m&quot;"/>
    <numFmt numFmtId="167" formatCode="&quot;a = &quot;0&quot;°&quot;"/>
    <numFmt numFmtId="168" formatCode="0.00\ &quot;kN/mq&quot;"/>
    <numFmt numFmtId="169" formatCode="\z\ \&lt;\ 0.00"/>
    <numFmt numFmtId="170" formatCode="\z\ \=\ 0.00"/>
    <numFmt numFmtId="171" formatCode="&quot;←     Cpi= &quot;0.00&quot;    →&quot;"/>
    <numFmt numFmtId="172" formatCode="&quot;  →   Cpi= &quot;0.00\ \ &quot;    ←&quot;"/>
    <numFmt numFmtId="173" formatCode="0.00&quot; m/s&quot;"/>
    <numFmt numFmtId="174" formatCode="0&quot; m&quot;"/>
    <numFmt numFmtId="175" formatCode="0&quot;°&quot;"/>
    <numFmt numFmtId="176" formatCode="0.0&quot; =cpe (3)   &quot;"/>
    <numFmt numFmtId="177" formatCode="&quot;Hc1= &quot;0.00&quot; m&quot;"/>
    <numFmt numFmtId="178" formatCode="&quot;Hc2= &quot;0.00&quot; m&quot;"/>
  </numFmts>
  <fonts count="79" x14ac:knownFonts="1">
    <font>
      <sz val="11"/>
      <color theme="1"/>
      <name val="Calibri"/>
      <family val="2"/>
      <scheme val="minor"/>
    </font>
    <font>
      <sz val="11"/>
      <color theme="1"/>
      <name val="Times New Roman"/>
      <family val="1"/>
    </font>
    <font>
      <sz val="11"/>
      <color rgb="FFFF0000"/>
      <name val="Times New Roman"/>
      <family val="1"/>
    </font>
    <font>
      <b/>
      <sz val="11"/>
      <color theme="1"/>
      <name val="Times New Roman"/>
      <family val="1"/>
    </font>
    <font>
      <b/>
      <vertAlign val="superscript"/>
      <sz val="11"/>
      <color theme="1"/>
      <name val="Times New Roman"/>
      <family val="1"/>
    </font>
    <font>
      <b/>
      <vertAlign val="subscript"/>
      <sz val="11"/>
      <color theme="1"/>
      <name val="Times New Roman"/>
      <family val="1"/>
    </font>
    <font>
      <vertAlign val="subscript"/>
      <sz val="11"/>
      <color theme="1"/>
      <name val="Times New Roman"/>
      <family val="1"/>
    </font>
    <font>
      <b/>
      <sz val="11"/>
      <color theme="1"/>
      <name val="Calibri"/>
      <family val="2"/>
    </font>
    <font>
      <b/>
      <sz val="12"/>
      <color rgb="FFFF0000"/>
      <name val="Calibri Light"/>
      <family val="2"/>
      <scheme val="major"/>
    </font>
    <font>
      <sz val="9"/>
      <color theme="1"/>
      <name val="Times New Roman"/>
      <family val="1"/>
    </font>
    <font>
      <sz val="12"/>
      <color theme="1"/>
      <name val="Times New Roman"/>
      <family val="1"/>
    </font>
    <font>
      <sz val="14"/>
      <color theme="1"/>
      <name val="Times New Roman"/>
      <family val="1"/>
    </font>
    <font>
      <sz val="12"/>
      <color theme="1"/>
      <name val="Calibri"/>
      <family val="2"/>
    </font>
    <font>
      <b/>
      <sz val="11"/>
      <color theme="1"/>
      <name val="Calibri"/>
      <family val="2"/>
      <scheme val="minor"/>
    </font>
    <font>
      <sz val="10"/>
      <color theme="1"/>
      <name val="Arial"/>
      <family val="2"/>
    </font>
    <font>
      <vertAlign val="subscript"/>
      <sz val="10"/>
      <color indexed="8"/>
      <name val="Arial"/>
      <family val="2"/>
    </font>
    <font>
      <sz val="10"/>
      <color indexed="8"/>
      <name val="Arial"/>
      <family val="2"/>
    </font>
    <font>
      <sz val="7"/>
      <color theme="1"/>
      <name val="Arial"/>
      <family val="2"/>
    </font>
    <font>
      <b/>
      <sz val="10"/>
      <color theme="1"/>
      <name val="Arial"/>
      <family val="2"/>
    </font>
    <font>
      <sz val="10"/>
      <color indexed="8"/>
      <name val="Calibri"/>
      <family val="2"/>
    </font>
    <font>
      <sz val="10"/>
      <color indexed="8"/>
      <name val="Symbol"/>
      <family val="1"/>
      <charset val="2"/>
    </font>
    <font>
      <vertAlign val="superscript"/>
      <sz val="10"/>
      <color indexed="8"/>
      <name val="Arial"/>
      <family val="2"/>
    </font>
    <font>
      <vertAlign val="subscript"/>
      <sz val="10"/>
      <color indexed="8"/>
      <name val="Calibri"/>
      <family val="2"/>
    </font>
    <font>
      <sz val="9"/>
      <color theme="1"/>
      <name val="Arial"/>
      <family val="2"/>
    </font>
    <font>
      <vertAlign val="subscript"/>
      <sz val="9"/>
      <color indexed="8"/>
      <name val="Arial"/>
      <family val="2"/>
    </font>
    <font>
      <sz val="9"/>
      <color indexed="8"/>
      <name val="Arial"/>
      <family val="2"/>
    </font>
    <font>
      <sz val="9"/>
      <color theme="1"/>
      <name val="Calibri"/>
      <family val="2"/>
      <scheme val="minor"/>
    </font>
    <font>
      <i/>
      <sz val="10"/>
      <color indexed="8"/>
      <name val="Arial"/>
      <family val="2"/>
    </font>
    <font>
      <b/>
      <vertAlign val="subscript"/>
      <sz val="10"/>
      <color indexed="8"/>
      <name val="Arial"/>
      <family val="2"/>
    </font>
    <font>
      <b/>
      <sz val="10"/>
      <color indexed="8"/>
      <name val="Arial"/>
      <family val="2"/>
    </font>
    <font>
      <b/>
      <u/>
      <sz val="10"/>
      <color theme="1"/>
      <name val="Arial"/>
      <family val="2"/>
    </font>
    <font>
      <sz val="11"/>
      <color theme="1"/>
      <name val="Calibri"/>
      <family val="2"/>
    </font>
    <font>
      <sz val="10"/>
      <color theme="1"/>
      <name val="Calibri"/>
      <family val="2"/>
      <scheme val="minor"/>
    </font>
    <font>
      <b/>
      <sz val="10"/>
      <color rgb="FFFF0000"/>
      <name val="Arial"/>
      <family val="2"/>
    </font>
    <font>
      <b/>
      <sz val="10"/>
      <color rgb="FF00B0F0"/>
      <name val="Arial"/>
      <family val="2"/>
    </font>
    <font>
      <b/>
      <sz val="10"/>
      <color theme="0" tint="-0.499984740745262"/>
      <name val="Arial"/>
      <family val="2"/>
    </font>
    <font>
      <b/>
      <u/>
      <sz val="10"/>
      <color theme="0" tint="-0.499984740745262"/>
      <name val="Arial"/>
      <family val="2"/>
    </font>
    <font>
      <sz val="10"/>
      <color indexed="8"/>
      <name val="Times New Roman"/>
      <family val="1"/>
    </font>
    <font>
      <b/>
      <sz val="10"/>
      <color rgb="FF00B0F0"/>
      <name val="Calibri"/>
      <family val="2"/>
    </font>
    <font>
      <sz val="10"/>
      <color rgb="FF00B0F0"/>
      <name val="Arial"/>
      <family val="2"/>
    </font>
    <font>
      <b/>
      <sz val="10"/>
      <color indexed="8"/>
      <name val="Symbol"/>
      <family val="1"/>
      <charset val="2"/>
    </font>
    <font>
      <sz val="12"/>
      <color theme="1"/>
      <name val="Arial"/>
      <family val="2"/>
    </font>
    <font>
      <u/>
      <sz val="11"/>
      <color theme="10"/>
      <name val="Calibri"/>
      <family val="2"/>
      <scheme val="minor"/>
    </font>
    <font>
      <b/>
      <sz val="8"/>
      <color theme="1"/>
      <name val="Calibri"/>
      <family val="2"/>
      <scheme val="minor"/>
    </font>
    <font>
      <b/>
      <sz val="9"/>
      <color indexed="8"/>
      <name val="Arial"/>
      <family val="2"/>
    </font>
    <font>
      <b/>
      <sz val="12"/>
      <color rgb="FFFF0000"/>
      <name val="Calibri"/>
      <family val="2"/>
      <scheme val="minor"/>
    </font>
    <font>
      <i/>
      <sz val="9"/>
      <color indexed="8"/>
      <name val="Arial"/>
      <family val="2"/>
    </font>
    <font>
      <b/>
      <sz val="11"/>
      <color rgb="FF00B050"/>
      <name val="Calibri"/>
      <family val="2"/>
      <scheme val="minor"/>
    </font>
    <font>
      <b/>
      <i/>
      <u/>
      <sz val="12"/>
      <color theme="1"/>
      <name val="Arial"/>
      <family val="2"/>
    </font>
    <font>
      <sz val="11"/>
      <color rgb="FFFF0000"/>
      <name val="Calibri"/>
      <family val="2"/>
      <scheme val="minor"/>
    </font>
    <font>
      <sz val="9"/>
      <name val="Arial"/>
      <family val="2"/>
    </font>
    <font>
      <sz val="9"/>
      <color indexed="81"/>
      <name val="Tahoma"/>
      <family val="2"/>
    </font>
    <font>
      <b/>
      <sz val="9"/>
      <color indexed="81"/>
      <name val="Tahoma"/>
      <family val="2"/>
    </font>
    <font>
      <sz val="11"/>
      <name val="Calibri"/>
      <family val="2"/>
    </font>
    <font>
      <b/>
      <sz val="11"/>
      <name val="Calibri"/>
      <family val="2"/>
    </font>
    <font>
      <b/>
      <sz val="10"/>
      <color theme="1"/>
      <name val="Calibri"/>
      <family val="2"/>
    </font>
    <font>
      <sz val="8"/>
      <color indexed="8"/>
      <name val="Arial"/>
      <family val="2"/>
    </font>
    <font>
      <b/>
      <u/>
      <sz val="11"/>
      <name val="Arial"/>
      <family val="2"/>
    </font>
    <font>
      <b/>
      <sz val="11"/>
      <name val="Arial"/>
      <family val="2"/>
    </font>
    <font>
      <b/>
      <u/>
      <sz val="10"/>
      <name val="Arial"/>
      <family val="2"/>
    </font>
    <font>
      <b/>
      <sz val="10"/>
      <name val="Arial"/>
      <family val="2"/>
    </font>
    <font>
      <sz val="10"/>
      <name val="Arial"/>
      <family val="2"/>
    </font>
    <font>
      <sz val="11"/>
      <name val="Calibri"/>
      <family val="2"/>
      <scheme val="minor"/>
    </font>
    <font>
      <b/>
      <vertAlign val="subscript"/>
      <sz val="10"/>
      <name val="Arial"/>
      <family val="2"/>
    </font>
    <font>
      <b/>
      <sz val="11"/>
      <name val="Calibri"/>
      <family val="2"/>
      <scheme val="minor"/>
    </font>
    <font>
      <sz val="10.5"/>
      <color theme="1"/>
      <name val="Arial"/>
      <family val="2"/>
    </font>
    <font>
      <b/>
      <vertAlign val="subscript"/>
      <sz val="11"/>
      <name val="Arial"/>
      <family val="2"/>
    </font>
    <font>
      <b/>
      <sz val="9"/>
      <name val="Arial"/>
      <family val="2"/>
    </font>
    <font>
      <b/>
      <sz val="8"/>
      <color theme="0" tint="-0.499984740745262"/>
      <name val="Arial"/>
      <family val="2"/>
    </font>
    <font>
      <sz val="10"/>
      <color theme="1"/>
      <name val="Times New Roman"/>
      <family val="1"/>
    </font>
    <font>
      <u/>
      <sz val="11"/>
      <color theme="1"/>
      <name val="Calibri"/>
      <family val="2"/>
      <scheme val="minor"/>
    </font>
    <font>
      <b/>
      <sz val="11"/>
      <color indexed="8"/>
      <name val="Arial"/>
      <family val="2"/>
    </font>
    <font>
      <sz val="11"/>
      <color indexed="8"/>
      <name val="Arial"/>
      <family val="2"/>
    </font>
    <font>
      <b/>
      <i/>
      <u/>
      <sz val="12"/>
      <color theme="1"/>
      <name val="Calibri"/>
      <family val="2"/>
      <scheme val="minor"/>
    </font>
    <font>
      <b/>
      <i/>
      <sz val="11"/>
      <color theme="1"/>
      <name val="Calibri"/>
      <family val="2"/>
      <scheme val="minor"/>
    </font>
    <font>
      <b/>
      <i/>
      <sz val="10"/>
      <color theme="0"/>
      <name val="Arial"/>
      <family val="2"/>
    </font>
    <font>
      <b/>
      <sz val="9"/>
      <color theme="1"/>
      <name val="Calibri"/>
      <family val="2"/>
      <scheme val="minor"/>
    </font>
    <font>
      <sz val="9"/>
      <color indexed="81"/>
      <name val="Tahoma"/>
      <charset val="1"/>
    </font>
    <font>
      <b/>
      <sz val="9"/>
      <color indexed="81"/>
      <name val="Tahoma"/>
      <charset val="1"/>
    </font>
  </fonts>
  <fills count="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9" tint="0.39997558519241921"/>
        <bgColor indexed="64"/>
      </patternFill>
    </fill>
  </fills>
  <borders count="35">
    <border>
      <left/>
      <right/>
      <top/>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diagonalUp="1">
      <left/>
      <right/>
      <top/>
      <bottom/>
      <diagonal style="medium">
        <color indexed="64"/>
      </diagonal>
    </border>
    <border diagonalDown="1">
      <left/>
      <right/>
      <top/>
      <bottom/>
      <diagonal style="medium">
        <color indexed="64"/>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auto="1"/>
      </right>
      <top/>
      <bottom/>
      <diagonal/>
    </border>
    <border>
      <left style="thin">
        <color indexed="64"/>
      </left>
      <right/>
      <top style="double">
        <color indexed="64"/>
      </top>
      <bottom/>
      <diagonal/>
    </border>
    <border>
      <left/>
      <right style="thin">
        <color indexed="64"/>
      </right>
      <top style="double">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otted">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s>
  <cellStyleXfs count="2">
    <xf numFmtId="0" fontId="0" fillId="0" borderId="0"/>
    <xf numFmtId="0" fontId="42" fillId="0" borderId="0" applyNumberFormat="0" applyFill="0" applyBorder="0" applyAlignment="0" applyProtection="0"/>
  </cellStyleXfs>
  <cellXfs count="358">
    <xf numFmtId="0" fontId="0" fillId="0" borderId="0" xfId="0"/>
    <xf numFmtId="0" fontId="1" fillId="0" borderId="0" xfId="0" applyFont="1" applyAlignment="1">
      <alignment horizontal="center" vertical="center"/>
    </xf>
    <xf numFmtId="2" fontId="1" fillId="0" borderId="0" xfId="0" applyNumberFormat="1" applyFont="1" applyAlignment="1">
      <alignment horizontal="center" vertical="center"/>
    </xf>
    <xf numFmtId="164" fontId="1" fillId="0" borderId="0" xfId="0" applyNumberFormat="1" applyFont="1" applyAlignment="1">
      <alignment horizontal="center" vertical="center"/>
    </xf>
    <xf numFmtId="165" fontId="1" fillId="0" borderId="0" xfId="0" applyNumberFormat="1" applyFont="1" applyAlignment="1">
      <alignment horizontal="center" vertical="center"/>
    </xf>
    <xf numFmtId="0" fontId="2" fillId="0" borderId="0" xfId="0" applyFont="1" applyFill="1" applyAlignment="1">
      <alignment horizontal="center" vertical="center"/>
    </xf>
    <xf numFmtId="2" fontId="2" fillId="0" borderId="0" xfId="0" applyNumberFormat="1" applyFont="1" applyFill="1" applyAlignment="1">
      <alignment horizontal="center" vertical="center"/>
    </xf>
    <xf numFmtId="2"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Alignment="1">
      <alignment horizontal="center" vertical="center"/>
    </xf>
    <xf numFmtId="0" fontId="3" fillId="0" borderId="0" xfId="0" applyFont="1" applyFill="1" applyBorder="1" applyAlignment="1">
      <alignment horizontal="center" vertical="center"/>
    </xf>
    <xf numFmtId="2" fontId="3" fillId="0" borderId="0" xfId="0" applyNumberFormat="1" applyFont="1" applyBorder="1" applyAlignment="1">
      <alignment horizontal="center" vertical="center"/>
    </xf>
    <xf numFmtId="2" fontId="3" fillId="0" borderId="0" xfId="0" applyNumberFormat="1" applyFont="1" applyFill="1" applyBorder="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center" vertical="center"/>
    </xf>
    <xf numFmtId="0" fontId="14" fillId="0" borderId="0" xfId="0" applyFont="1" applyAlignment="1" applyProtection="1">
      <alignment vertical="center"/>
      <protection hidden="1"/>
    </xf>
    <xf numFmtId="0" fontId="14" fillId="0" borderId="2" xfId="0" applyFont="1" applyBorder="1" applyAlignment="1" applyProtection="1">
      <alignment horizontal="center" vertical="center"/>
      <protection hidden="1"/>
    </xf>
    <xf numFmtId="0" fontId="0" fillId="0" borderId="0" xfId="0" applyAlignment="1">
      <alignment horizontal="center" vertical="center"/>
    </xf>
    <xf numFmtId="0" fontId="16" fillId="0" borderId="0" xfId="0" applyFont="1" applyBorder="1" applyAlignment="1" applyProtection="1">
      <alignment horizontal="center" vertical="center"/>
      <protection hidden="1"/>
    </xf>
    <xf numFmtId="0" fontId="16" fillId="0" borderId="0" xfId="0" applyFont="1" applyBorder="1" applyAlignment="1" applyProtection="1">
      <alignment vertical="center"/>
      <protection hidden="1"/>
    </xf>
    <xf numFmtId="0" fontId="18" fillId="0" borderId="2" xfId="0" applyFont="1" applyBorder="1" applyAlignment="1" applyProtection="1">
      <alignment horizontal="center" vertical="center"/>
      <protection hidden="1"/>
    </xf>
    <xf numFmtId="0" fontId="1" fillId="0" borderId="0" xfId="0" applyFont="1" applyAlignment="1">
      <alignment horizontal="center" vertical="center"/>
    </xf>
    <xf numFmtId="0" fontId="0" fillId="0" borderId="0" xfId="0" applyBorder="1"/>
    <xf numFmtId="0" fontId="0" fillId="0" borderId="4" xfId="0" applyBorder="1"/>
    <xf numFmtId="0" fontId="0" fillId="0" borderId="5" xfId="0" applyBorder="1"/>
    <xf numFmtId="0" fontId="0" fillId="0" borderId="6" xfId="0" applyBorder="1"/>
    <xf numFmtId="0" fontId="0" fillId="0" borderId="10" xfId="0" applyBorder="1"/>
    <xf numFmtId="0" fontId="0" fillId="0" borderId="11" xfId="0" applyBorder="1"/>
    <xf numFmtId="0" fontId="0" fillId="0" borderId="0" xfId="0" applyBorder="1" applyAlignment="1">
      <alignment horizontal="center" vertical="center"/>
    </xf>
    <xf numFmtId="0" fontId="0" fillId="0" borderId="7" xfId="0" applyBorder="1"/>
    <xf numFmtId="0" fontId="0" fillId="0" borderId="8" xfId="0" applyBorder="1"/>
    <xf numFmtId="0" fontId="0" fillId="0" borderId="8" xfId="0" applyBorder="1" applyAlignment="1">
      <alignment horizontal="center" vertical="center"/>
    </xf>
    <xf numFmtId="0" fontId="0" fillId="0" borderId="9" xfId="0" applyBorder="1"/>
    <xf numFmtId="0" fontId="1" fillId="0" borderId="0" xfId="0" applyFont="1" applyFill="1" applyAlignment="1">
      <alignment horizontal="center" vertical="center"/>
    </xf>
    <xf numFmtId="0" fontId="1" fillId="2" borderId="0" xfId="0" applyFont="1" applyFill="1" applyAlignment="1">
      <alignment horizontal="center" vertical="center"/>
    </xf>
    <xf numFmtId="0" fontId="1" fillId="3" borderId="0" xfId="0" applyFont="1" applyFill="1" applyAlignment="1">
      <alignment horizontal="center" vertical="center"/>
    </xf>
    <xf numFmtId="164" fontId="1" fillId="3" borderId="0" xfId="0" applyNumberFormat="1" applyFont="1" applyFill="1" applyAlignment="1">
      <alignment horizontal="center" vertical="center"/>
    </xf>
    <xf numFmtId="2" fontId="1" fillId="3" borderId="0" xfId="0" applyNumberFormat="1" applyFont="1" applyFill="1" applyAlignment="1">
      <alignment horizontal="center" vertical="center"/>
    </xf>
    <xf numFmtId="0" fontId="0" fillId="0" borderId="0" xfId="0" applyProtection="1">
      <protection locked="0"/>
    </xf>
    <xf numFmtId="0" fontId="26" fillId="0" borderId="0" xfId="0" applyFont="1" applyProtection="1">
      <protection locked="0"/>
    </xf>
    <xf numFmtId="0" fontId="14" fillId="0" borderId="0" xfId="0" applyFont="1" applyAlignment="1" applyProtection="1">
      <alignment vertical="center"/>
      <protection locked="0"/>
    </xf>
    <xf numFmtId="0" fontId="14" fillId="0" borderId="2"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3" fillId="0" borderId="2" xfId="0" applyFont="1" applyFill="1" applyBorder="1" applyAlignment="1" applyProtection="1">
      <alignment horizontal="center" vertical="center"/>
      <protection locked="0"/>
    </xf>
    <xf numFmtId="2" fontId="3" fillId="0" borderId="2" xfId="0" applyNumberFormat="1" applyFont="1" applyFill="1" applyBorder="1" applyAlignment="1" applyProtection="1">
      <alignment horizontal="center" vertical="center"/>
      <protection locked="0"/>
    </xf>
    <xf numFmtId="0" fontId="34" fillId="0" borderId="0" xfId="0" applyFont="1" applyAlignment="1" applyProtection="1">
      <alignment vertical="center"/>
      <protection locked="0"/>
    </xf>
    <xf numFmtId="0" fontId="18" fillId="0" borderId="2" xfId="0" applyFont="1" applyBorder="1" applyAlignment="1" applyProtection="1">
      <alignment horizontal="center" vertical="center"/>
      <protection locked="0"/>
    </xf>
    <xf numFmtId="164" fontId="0" fillId="0" borderId="2" xfId="0" applyNumberForma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1" fillId="0" borderId="2" xfId="0" applyFont="1" applyBorder="1" applyAlignment="1">
      <alignment horizontal="center" vertical="center"/>
    </xf>
    <xf numFmtId="0" fontId="1" fillId="0" borderId="2" xfId="0" applyFont="1" applyFill="1" applyBorder="1" applyAlignment="1">
      <alignment horizontal="center" vertical="center"/>
    </xf>
    <xf numFmtId="2" fontId="1" fillId="0" borderId="2" xfId="0" applyNumberFormat="1" applyFont="1" applyFill="1" applyBorder="1" applyAlignment="1">
      <alignment horizontal="center" vertical="center"/>
    </xf>
    <xf numFmtId="0" fontId="13" fillId="0" borderId="2" xfId="0" applyFont="1" applyBorder="1" applyAlignment="1" applyProtection="1">
      <alignment horizontal="center" vertical="center"/>
      <protection locked="0"/>
    </xf>
    <xf numFmtId="0" fontId="23" fillId="0" borderId="2" xfId="0" applyFont="1" applyBorder="1" applyAlignment="1" applyProtection="1">
      <alignment vertical="center" wrapText="1"/>
      <protection locked="0"/>
    </xf>
    <xf numFmtId="0" fontId="23" fillId="0" borderId="2" xfId="0" applyFont="1" applyBorder="1" applyAlignment="1" applyProtection="1">
      <alignment horizontal="center" vertical="center"/>
      <protection locked="0"/>
    </xf>
    <xf numFmtId="164" fontId="23" fillId="0" borderId="2" xfId="0" applyNumberFormat="1" applyFont="1" applyBorder="1" applyAlignment="1" applyProtection="1">
      <alignment horizontal="center" vertical="center"/>
      <protection locked="0"/>
    </xf>
    <xf numFmtId="0" fontId="23" fillId="0" borderId="0" xfId="0" applyFont="1" applyAlignment="1" applyProtection="1">
      <alignment vertical="center"/>
      <protection locked="0"/>
    </xf>
    <xf numFmtId="0" fontId="23" fillId="0" borderId="2" xfId="0" applyFont="1" applyBorder="1" applyAlignment="1" applyProtection="1">
      <alignment vertical="center"/>
      <protection locked="0"/>
    </xf>
    <xf numFmtId="0" fontId="0" fillId="0" borderId="0" xfId="0" applyProtection="1">
      <protection hidden="1"/>
    </xf>
    <xf numFmtId="0" fontId="0" fillId="0" borderId="0" xfId="0" applyBorder="1" applyProtection="1">
      <protection hidden="1"/>
    </xf>
    <xf numFmtId="0" fontId="0" fillId="0" borderId="0" xfId="0" applyFill="1" applyBorder="1" applyAlignment="1" applyProtection="1">
      <protection hidden="1"/>
    </xf>
    <xf numFmtId="0" fontId="18" fillId="0" borderId="0" xfId="0" applyFont="1" applyBorder="1" applyAlignment="1" applyProtection="1">
      <alignment vertical="center"/>
      <protection hidden="1"/>
    </xf>
    <xf numFmtId="0" fontId="14"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18" fillId="0" borderId="3" xfId="0" applyFont="1" applyBorder="1" applyAlignment="1" applyProtection="1">
      <alignment horizontal="center" vertical="center"/>
      <protection hidden="1"/>
    </xf>
    <xf numFmtId="0" fontId="17" fillId="0" borderId="0" xfId="0" applyFont="1" applyBorder="1" applyAlignment="1" applyProtection="1">
      <alignment vertical="center" wrapText="1"/>
      <protection hidden="1"/>
    </xf>
    <xf numFmtId="0" fontId="14" fillId="0" borderId="0" xfId="0" applyFont="1" applyAlignment="1" applyProtection="1">
      <alignment vertical="center" wrapText="1"/>
      <protection hidden="1"/>
    </xf>
    <xf numFmtId="0" fontId="17" fillId="0" borderId="0" xfId="0" applyFont="1" applyAlignment="1" applyProtection="1">
      <alignment horizontal="center" vertical="center" wrapText="1"/>
      <protection hidden="1"/>
    </xf>
    <xf numFmtId="0" fontId="30" fillId="0" borderId="0" xfId="0" applyFont="1" applyAlignment="1" applyProtection="1">
      <alignment horizontal="left" vertical="center"/>
      <protection hidden="1"/>
    </xf>
    <xf numFmtId="0" fontId="0" fillId="0" borderId="0" xfId="0" applyAlignment="1" applyProtection="1">
      <alignment horizontal="center" vertical="center"/>
      <protection hidden="1"/>
    </xf>
    <xf numFmtId="0" fontId="31" fillId="0" borderId="2" xfId="0" applyFont="1" applyBorder="1" applyAlignment="1" applyProtection="1">
      <alignment horizontal="center" vertical="center"/>
      <protection hidden="1"/>
    </xf>
    <xf numFmtId="2" fontId="0" fillId="0" borderId="2" xfId="0" applyNumberFormat="1" applyBorder="1" applyAlignment="1" applyProtection="1">
      <alignment horizontal="center" vertical="center"/>
      <protection hidden="1"/>
    </xf>
    <xf numFmtId="0" fontId="0" fillId="0" borderId="0" xfId="0" applyAlignment="1" applyProtection="1">
      <alignment horizontal="center" vertical="center" wrapText="1"/>
      <protection hidden="1"/>
    </xf>
    <xf numFmtId="2" fontId="14" fillId="0" borderId="2" xfId="0" applyNumberFormat="1" applyFont="1" applyBorder="1" applyAlignment="1" applyProtection="1">
      <alignment horizontal="center" vertical="center"/>
      <protection hidden="1"/>
    </xf>
    <xf numFmtId="170" fontId="16" fillId="0" borderId="2" xfId="0" applyNumberFormat="1"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2" fontId="3" fillId="0" borderId="0" xfId="0" applyNumberFormat="1" applyFont="1" applyFill="1" applyBorder="1" applyAlignment="1" applyProtection="1">
      <alignment horizontal="center" vertical="center"/>
      <protection hidden="1"/>
    </xf>
    <xf numFmtId="0" fontId="16" fillId="0" borderId="0" xfId="0" applyFont="1" applyAlignment="1" applyProtection="1">
      <alignment vertical="center"/>
      <protection hidden="1"/>
    </xf>
    <xf numFmtId="0" fontId="33" fillId="0" borderId="29" xfId="0" applyFont="1" applyBorder="1" applyAlignment="1" applyProtection="1">
      <alignment vertical="center"/>
      <protection hidden="1"/>
    </xf>
    <xf numFmtId="166" fontId="16" fillId="0" borderId="0" xfId="0" applyNumberFormat="1" applyFont="1" applyFill="1" applyBorder="1" applyAlignment="1" applyProtection="1">
      <alignment horizontal="center" vertical="center"/>
      <protection hidden="1"/>
    </xf>
    <xf numFmtId="0" fontId="16" fillId="0" borderId="12" xfId="0" applyFont="1" applyBorder="1" applyAlignment="1" applyProtection="1">
      <alignment vertical="center"/>
      <protection hidden="1"/>
    </xf>
    <xf numFmtId="0" fontId="16" fillId="0" borderId="13" xfId="0" applyFont="1" applyBorder="1" applyAlignment="1" applyProtection="1">
      <alignment vertical="center"/>
      <protection hidden="1"/>
    </xf>
    <xf numFmtId="166" fontId="16" fillId="0" borderId="2" xfId="0" applyNumberFormat="1" applyFont="1" applyFill="1" applyBorder="1" applyAlignment="1" applyProtection="1">
      <alignment horizontal="center" vertical="center"/>
      <protection hidden="1"/>
    </xf>
    <xf numFmtId="0" fontId="20" fillId="0" borderId="12" xfId="0" applyFont="1" applyBorder="1" applyAlignment="1" applyProtection="1">
      <alignment horizontal="right" vertical="center"/>
      <protection hidden="1"/>
    </xf>
    <xf numFmtId="0" fontId="16" fillId="0" borderId="14" xfId="0" applyFont="1" applyBorder="1" applyAlignment="1" applyProtection="1">
      <alignment vertical="center"/>
      <protection hidden="1"/>
    </xf>
    <xf numFmtId="0" fontId="16" fillId="0" borderId="15" xfId="0" applyFont="1" applyBorder="1" applyAlignment="1" applyProtection="1">
      <alignment vertical="center"/>
      <protection hidden="1"/>
    </xf>
    <xf numFmtId="0" fontId="29" fillId="0" borderId="2"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16" fillId="0" borderId="2" xfId="0" applyFont="1" applyBorder="1" applyAlignment="1" applyProtection="1">
      <alignment horizontal="center" vertical="center"/>
      <protection hidden="1"/>
    </xf>
    <xf numFmtId="0" fontId="27" fillId="0" borderId="0" xfId="0" applyFont="1" applyBorder="1" applyAlignment="1" applyProtection="1">
      <alignment horizontal="right" vertical="center"/>
      <protection hidden="1"/>
    </xf>
    <xf numFmtId="0" fontId="16" fillId="0" borderId="0" xfId="0" applyFont="1" applyBorder="1" applyAlignment="1" applyProtection="1">
      <alignment horizontal="left" vertical="center"/>
      <protection hidden="1"/>
    </xf>
    <xf numFmtId="2" fontId="16" fillId="0" borderId="2" xfId="0" applyNumberFormat="1" applyFont="1" applyBorder="1" applyAlignment="1" applyProtection="1">
      <alignment horizontal="center" vertical="center"/>
      <protection hidden="1"/>
    </xf>
    <xf numFmtId="0" fontId="38" fillId="0" borderId="0" xfId="0" applyFont="1" applyAlignment="1" applyProtection="1">
      <alignment horizontal="right" vertical="center"/>
      <protection hidden="1"/>
    </xf>
    <xf numFmtId="0" fontId="38" fillId="0" borderId="0" xfId="0" applyFont="1" applyAlignment="1" applyProtection="1">
      <alignment vertical="center"/>
      <protection hidden="1"/>
    </xf>
    <xf numFmtId="0" fontId="39" fillId="0" borderId="0" xfId="0" applyFont="1" applyAlignment="1" applyProtection="1">
      <alignment vertical="center"/>
      <protection hidden="1"/>
    </xf>
    <xf numFmtId="0" fontId="16" fillId="0" borderId="0" xfId="0" applyFont="1" applyAlignment="1" applyProtection="1">
      <alignment horizontal="left" vertical="center"/>
      <protection hidden="1"/>
    </xf>
    <xf numFmtId="0" fontId="27" fillId="0" borderId="0" xfId="0" applyFont="1" applyBorder="1" applyAlignment="1" applyProtection="1">
      <alignment horizontal="center" vertical="center"/>
      <protection hidden="1"/>
    </xf>
    <xf numFmtId="2" fontId="16" fillId="0" borderId="0" xfId="0" applyNumberFormat="1" applyFont="1" applyBorder="1" applyAlignment="1" applyProtection="1">
      <alignment horizontal="center" vertical="center"/>
      <protection hidden="1"/>
    </xf>
    <xf numFmtId="0" fontId="29" fillId="0" borderId="0" xfId="0" applyFont="1" applyBorder="1" applyAlignment="1" applyProtection="1">
      <alignment vertical="center"/>
      <protection hidden="1"/>
    </xf>
    <xf numFmtId="164" fontId="0" fillId="0" borderId="2" xfId="0" applyNumberFormat="1" applyBorder="1" applyAlignment="1" applyProtection="1">
      <alignment horizontal="center" vertical="center"/>
      <protection hidden="1"/>
    </xf>
    <xf numFmtId="164" fontId="16" fillId="0" borderId="2" xfId="0" applyNumberFormat="1" applyFont="1" applyBorder="1" applyAlignment="1" applyProtection="1">
      <alignment horizontal="center" vertical="center"/>
      <protection hidden="1"/>
    </xf>
    <xf numFmtId="2" fontId="0" fillId="0" borderId="2" xfId="0" applyNumberFormat="1" applyFill="1" applyBorder="1" applyAlignment="1" applyProtection="1">
      <alignment horizontal="center" vertical="center"/>
      <protection hidden="1"/>
    </xf>
    <xf numFmtId="0" fontId="0" fillId="0" borderId="2" xfId="0" applyBorder="1" applyAlignment="1" applyProtection="1">
      <alignment horizontal="center" vertical="center"/>
      <protection hidden="1"/>
    </xf>
    <xf numFmtId="164" fontId="0" fillId="0" borderId="2" xfId="0" applyNumberFormat="1" applyFill="1" applyBorder="1" applyAlignment="1" applyProtection="1">
      <alignment horizontal="center" vertical="center"/>
      <protection hidden="1"/>
    </xf>
    <xf numFmtId="168" fontId="16" fillId="0" borderId="0" xfId="0" applyNumberFormat="1" applyFont="1" applyBorder="1" applyAlignment="1" applyProtection="1">
      <alignment horizontal="center" vertical="center"/>
      <protection hidden="1"/>
    </xf>
    <xf numFmtId="0" fontId="0" fillId="0" borderId="0" xfId="0" applyBorder="1" applyAlignment="1" applyProtection="1">
      <protection hidden="1"/>
    </xf>
    <xf numFmtId="0" fontId="41" fillId="0" borderId="0" xfId="0" applyFont="1"/>
    <xf numFmtId="0" fontId="36" fillId="0" borderId="0" xfId="0" applyFont="1" applyAlignment="1" applyProtection="1">
      <alignment horizontal="left" vertical="center"/>
      <protection hidden="1"/>
    </xf>
    <xf numFmtId="0" fontId="23" fillId="0" borderId="0"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34" fillId="0" borderId="2" xfId="0" applyFont="1" applyBorder="1" applyAlignment="1" applyProtection="1">
      <alignment horizontal="center" vertical="center"/>
      <protection hidden="1"/>
    </xf>
    <xf numFmtId="0" fontId="13" fillId="0" borderId="30" xfId="0" applyFont="1" applyBorder="1" applyAlignment="1" applyProtection="1">
      <protection hidden="1"/>
    </xf>
    <xf numFmtId="0" fontId="43" fillId="0" borderId="3" xfId="0" applyFont="1" applyBorder="1" applyAlignment="1" applyProtection="1">
      <alignment horizontal="left" vertical="center"/>
      <protection hidden="1"/>
    </xf>
    <xf numFmtId="0" fontId="16" fillId="0" borderId="0" xfId="0" applyFont="1" applyAlignment="1" applyProtection="1">
      <alignment horizontal="center" vertical="center"/>
      <protection hidden="1"/>
    </xf>
    <xf numFmtId="0" fontId="3" fillId="0" borderId="0" xfId="0" applyFont="1" applyBorder="1" applyAlignment="1" applyProtection="1">
      <alignment vertical="center"/>
      <protection hidden="1"/>
    </xf>
    <xf numFmtId="170" fontId="16" fillId="0" borderId="0" xfId="0" applyNumberFormat="1" applyFont="1" applyBorder="1" applyAlignment="1" applyProtection="1">
      <alignment horizontal="center" vertical="center"/>
      <protection hidden="1"/>
    </xf>
    <xf numFmtId="0" fontId="3" fillId="0" borderId="0" xfId="0" applyFont="1" applyBorder="1" applyAlignment="1" applyProtection="1">
      <alignment horizontal="center" vertical="center"/>
      <protection hidden="1"/>
    </xf>
    <xf numFmtId="169" fontId="16" fillId="0" borderId="0" xfId="0" applyNumberFormat="1" applyFont="1" applyBorder="1" applyAlignment="1" applyProtection="1">
      <alignment horizontal="center" vertical="center"/>
      <protection hidden="1"/>
    </xf>
    <xf numFmtId="0" fontId="45" fillId="0" borderId="0" xfId="0" applyFont="1" applyProtection="1">
      <protection hidden="1"/>
    </xf>
    <xf numFmtId="0" fontId="1" fillId="0" borderId="0" xfId="0" applyFont="1" applyAlignment="1">
      <alignment horizontal="center" vertical="center"/>
    </xf>
    <xf numFmtId="0" fontId="0" fillId="2" borderId="2" xfId="0" applyFill="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 xfId="0" applyBorder="1" applyAlignment="1" applyProtection="1">
      <alignment horizontal="center"/>
      <protection hidden="1"/>
    </xf>
    <xf numFmtId="0" fontId="0" fillId="0" borderId="2" xfId="0" applyBorder="1" applyAlignment="1">
      <alignment horizontal="center" vertical="center"/>
    </xf>
    <xf numFmtId="0" fontId="0" fillId="5" borderId="2" xfId="0" applyFill="1" applyBorder="1" applyAlignment="1" applyProtection="1">
      <alignment horizontal="center" vertical="center"/>
      <protection hidden="1"/>
    </xf>
    <xf numFmtId="0" fontId="0" fillId="2" borderId="2" xfId="0" applyFill="1" applyBorder="1" applyAlignment="1">
      <alignment horizontal="center" vertical="center"/>
    </xf>
    <xf numFmtId="0" fontId="0" fillId="0" borderId="31" xfId="0" applyBorder="1" applyAlignment="1" applyProtection="1">
      <alignment horizontal="center" vertical="center"/>
      <protection hidden="1"/>
    </xf>
    <xf numFmtId="0" fontId="0" fillId="0" borderId="10" xfId="0" applyBorder="1" applyAlignment="1" applyProtection="1">
      <protection hidden="1"/>
    </xf>
    <xf numFmtId="0" fontId="0" fillId="0" borderId="10" xfId="0" applyBorder="1" applyAlignment="1">
      <alignment horizontal="center" vertical="center"/>
    </xf>
    <xf numFmtId="0" fontId="0" fillId="0" borderId="31" xfId="0" applyBorder="1" applyAlignment="1" applyProtection="1">
      <alignment horizontal="center"/>
      <protection hidden="1"/>
    </xf>
    <xf numFmtId="0" fontId="0" fillId="0" borderId="4" xfId="0" applyBorder="1" applyAlignment="1" applyProtection="1">
      <protection hidden="1"/>
    </xf>
    <xf numFmtId="0" fontId="0" fillId="0" borderId="10" xfId="0" applyBorder="1" applyAlignment="1" applyProtection="1">
      <alignment horizontal="center" vertical="center"/>
      <protection hidden="1"/>
    </xf>
    <xf numFmtId="0" fontId="49" fillId="0" borderId="10" xfId="0" applyFont="1" applyFill="1" applyBorder="1" applyAlignment="1" applyProtection="1">
      <alignment horizontal="center" vertical="center"/>
      <protection hidden="1"/>
    </xf>
    <xf numFmtId="0" fontId="14" fillId="0" borderId="2" xfId="0" applyFont="1" applyFill="1" applyBorder="1" applyAlignment="1" applyProtection="1">
      <alignment horizontal="center" vertical="center"/>
    </xf>
    <xf numFmtId="0" fontId="14" fillId="0" borderId="1" xfId="0" quotePrefix="1" applyFont="1" applyFill="1" applyBorder="1" applyAlignment="1" applyProtection="1">
      <alignment horizontal="center" vertical="center"/>
      <protection locked="0"/>
    </xf>
    <xf numFmtId="0" fontId="16" fillId="0" borderId="1" xfId="0" applyFont="1" applyFill="1" applyBorder="1" applyAlignment="1" applyProtection="1">
      <alignment horizontal="center" vertical="center"/>
      <protection locked="0"/>
    </xf>
    <xf numFmtId="2" fontId="18" fillId="0" borderId="1" xfId="0" applyNumberFormat="1" applyFont="1" applyBorder="1" applyAlignment="1" applyProtection="1">
      <alignment horizontal="center" vertical="center"/>
      <protection locked="0"/>
    </xf>
    <xf numFmtId="166" fontId="29" fillId="0" borderId="1" xfId="0" applyNumberFormat="1" applyFont="1" applyFill="1" applyBorder="1" applyAlignment="1" applyProtection="1">
      <alignment horizontal="center" vertical="center"/>
      <protection locked="0"/>
    </xf>
    <xf numFmtId="0" fontId="1" fillId="0" borderId="0" xfId="0" applyFont="1" applyAlignment="1">
      <alignment horizontal="center" vertical="center"/>
    </xf>
    <xf numFmtId="0" fontId="31" fillId="0" borderId="0" xfId="0" applyFont="1" applyProtection="1">
      <protection hidden="1"/>
    </xf>
    <xf numFmtId="0" fontId="31" fillId="0" borderId="0" xfId="0" applyFont="1" applyAlignment="1" applyProtection="1">
      <alignment horizontal="right"/>
      <protection hidden="1"/>
    </xf>
    <xf numFmtId="0" fontId="31" fillId="0" borderId="0" xfId="0" applyFont="1" applyAlignment="1" applyProtection="1">
      <alignment horizontal="center" vertical="center"/>
      <protection hidden="1"/>
    </xf>
    <xf numFmtId="0" fontId="0" fillId="0" borderId="12" xfId="0" applyBorder="1" applyProtection="1">
      <protection hidden="1"/>
    </xf>
    <xf numFmtId="0" fontId="0" fillId="0" borderId="13" xfId="0" applyBorder="1" applyProtection="1">
      <protection hidden="1"/>
    </xf>
    <xf numFmtId="0" fontId="53" fillId="0" borderId="0" xfId="0" applyFont="1" applyAlignment="1" applyProtection="1">
      <alignment horizontal="center" vertical="center"/>
      <protection hidden="1"/>
    </xf>
    <xf numFmtId="0" fontId="54"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72" fontId="0" fillId="0" borderId="14" xfId="0" applyNumberFormat="1" applyBorder="1" applyAlignment="1" applyProtection="1">
      <alignment vertical="center"/>
      <protection hidden="1"/>
    </xf>
    <xf numFmtId="172" fontId="0" fillId="0" borderId="15" xfId="0" applyNumberFormat="1" applyBorder="1" applyAlignment="1" applyProtection="1">
      <alignment vertical="center"/>
      <protection hidden="1"/>
    </xf>
    <xf numFmtId="2" fontId="0" fillId="0" borderId="0" xfId="0" applyNumberFormat="1"/>
    <xf numFmtId="0" fontId="38" fillId="0" borderId="0" xfId="0" applyFont="1" applyAlignment="1" applyProtection="1">
      <alignment horizontal="left" vertical="center"/>
      <protection hidden="1"/>
    </xf>
    <xf numFmtId="0" fontId="35" fillId="0" borderId="0" xfId="0" applyFont="1" applyBorder="1" applyAlignment="1" applyProtection="1">
      <alignment horizontal="left" vertical="center"/>
      <protection hidden="1"/>
    </xf>
    <xf numFmtId="2" fontId="23" fillId="0" borderId="2" xfId="0" applyNumberFormat="1" applyFont="1" applyBorder="1" applyAlignment="1" applyProtection="1">
      <alignment horizontal="center" vertical="center"/>
      <protection locked="0"/>
    </xf>
    <xf numFmtId="0" fontId="23" fillId="0" borderId="2" xfId="0" applyFont="1" applyBorder="1" applyAlignment="1" applyProtection="1">
      <alignment horizontal="center" vertical="center" wrapText="1"/>
      <protection locked="0"/>
    </xf>
    <xf numFmtId="0" fontId="55" fillId="0" borderId="2" xfId="0" applyFont="1" applyBorder="1" applyAlignment="1" applyProtection="1">
      <alignment horizontal="center" vertical="center"/>
      <protection locked="0"/>
    </xf>
    <xf numFmtId="0" fontId="1" fillId="0" borderId="0" xfId="0" applyFont="1" applyAlignment="1">
      <alignment horizontal="center" vertical="center"/>
    </xf>
    <xf numFmtId="0" fontId="14" fillId="0" borderId="2" xfId="0" applyFont="1" applyBorder="1" applyAlignment="1" applyProtection="1">
      <alignment horizontal="center" vertical="center"/>
      <protection hidden="1"/>
    </xf>
    <xf numFmtId="0" fontId="1" fillId="0" borderId="0" xfId="0" applyFont="1" applyAlignment="1">
      <alignment horizontal="center" vertical="center"/>
    </xf>
    <xf numFmtId="0" fontId="1" fillId="0" borderId="0" xfId="0" applyFont="1" applyAlignment="1">
      <alignment horizontal="left" vertical="center"/>
    </xf>
    <xf numFmtId="0" fontId="1" fillId="0" borderId="0" xfId="0" applyFont="1" applyBorder="1" applyAlignment="1">
      <alignment horizontal="left" vertical="center"/>
    </xf>
    <xf numFmtId="167" fontId="40" fillId="0" borderId="0" xfId="0" applyNumberFormat="1" applyFont="1" applyFill="1" applyBorder="1" applyAlignment="1" applyProtection="1">
      <alignment horizontal="center" vertical="center"/>
      <protection locked="0"/>
    </xf>
    <xf numFmtId="0" fontId="58" fillId="0" borderId="0" xfId="0" applyFont="1" applyBorder="1" applyAlignment="1" applyProtection="1">
      <alignment vertical="center"/>
      <protection hidden="1"/>
    </xf>
    <xf numFmtId="164" fontId="14" fillId="0" borderId="2" xfId="0" applyNumberFormat="1" applyFont="1" applyBorder="1" applyAlignment="1" applyProtection="1">
      <alignment horizontal="center" vertical="center"/>
      <protection hidden="1"/>
    </xf>
    <xf numFmtId="2" fontId="60" fillId="0" borderId="0" xfId="0" applyNumberFormat="1" applyFont="1" applyBorder="1" applyAlignment="1" applyProtection="1">
      <alignment horizontal="center" vertical="center"/>
      <protection hidden="1"/>
    </xf>
    <xf numFmtId="0" fontId="60" fillId="0" borderId="0" xfId="0" applyFont="1" applyBorder="1" applyAlignment="1" applyProtection="1">
      <alignment vertical="center"/>
      <protection hidden="1"/>
    </xf>
    <xf numFmtId="0" fontId="57" fillId="0" borderId="0" xfId="0" applyFont="1" applyBorder="1" applyAlignment="1" applyProtection="1">
      <alignment horizontal="right" vertical="center"/>
      <protection hidden="1"/>
    </xf>
    <xf numFmtId="173" fontId="58" fillId="0" borderId="0" xfId="0" applyNumberFormat="1" applyFont="1" applyBorder="1" applyAlignment="1" applyProtection="1">
      <alignment horizontal="center" vertical="center"/>
      <protection hidden="1"/>
    </xf>
    <xf numFmtId="0" fontId="61" fillId="0" borderId="0" xfId="0" applyFont="1" applyBorder="1" applyAlignment="1" applyProtection="1">
      <alignment horizontal="left" vertical="center"/>
      <protection hidden="1"/>
    </xf>
    <xf numFmtId="2" fontId="14" fillId="0" borderId="5" xfId="0" applyNumberFormat="1" applyFont="1" applyFill="1" applyBorder="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vertical="center"/>
      <protection hidden="1"/>
    </xf>
    <xf numFmtId="0" fontId="58" fillId="0" borderId="8" xfId="0" applyFont="1" applyBorder="1" applyAlignment="1" applyProtection="1">
      <alignment vertical="center"/>
      <protection hidden="1"/>
    </xf>
    <xf numFmtId="0" fontId="0" fillId="0" borderId="8" xfId="0" applyBorder="1" applyProtection="1">
      <protection hidden="1"/>
    </xf>
    <xf numFmtId="0" fontId="14" fillId="0" borderId="8" xfId="0" applyFont="1" applyBorder="1" applyAlignment="1" applyProtection="1">
      <alignment vertical="center"/>
      <protection hidden="1"/>
    </xf>
    <xf numFmtId="0" fontId="62" fillId="0" borderId="8" xfId="0" applyFont="1" applyBorder="1" applyProtection="1">
      <protection hidden="1"/>
    </xf>
    <xf numFmtId="0" fontId="61" fillId="0" borderId="8" xfId="0" applyFont="1" applyBorder="1" applyAlignment="1" applyProtection="1">
      <alignment vertical="center"/>
      <protection hidden="1"/>
    </xf>
    <xf numFmtId="0" fontId="62" fillId="0" borderId="23" xfId="0" applyFont="1" applyBorder="1" applyProtection="1">
      <protection hidden="1"/>
    </xf>
    <xf numFmtId="0" fontId="64" fillId="0" borderId="0" xfId="0" applyFont="1" applyProtection="1">
      <protection hidden="1"/>
    </xf>
    <xf numFmtId="174" fontId="0" fillId="0" borderId="1" xfId="0" applyNumberFormat="1" applyBorder="1" applyAlignment="1" applyProtection="1">
      <alignment horizontal="center" vertical="center"/>
      <protection locked="0"/>
    </xf>
    <xf numFmtId="0" fontId="65" fillId="0" borderId="0" xfId="0" applyFont="1" applyBorder="1" applyAlignment="1" applyProtection="1">
      <alignment horizontal="center" vertical="center"/>
      <protection hidden="1"/>
    </xf>
    <xf numFmtId="174" fontId="65" fillId="0" borderId="0" xfId="0" applyNumberFormat="1" applyFont="1" applyBorder="1" applyAlignment="1" applyProtection="1">
      <alignment horizontal="center" vertical="center"/>
      <protection locked="0"/>
    </xf>
    <xf numFmtId="2" fontId="65" fillId="0" borderId="0" xfId="0" applyNumberFormat="1" applyFont="1" applyBorder="1" applyAlignment="1" applyProtection="1">
      <alignment horizontal="center" vertical="center"/>
      <protection hidden="1"/>
    </xf>
    <xf numFmtId="0" fontId="68" fillId="0" borderId="0" xfId="0" applyFont="1" applyBorder="1" applyAlignment="1" applyProtection="1">
      <alignment vertical="center"/>
      <protection hidden="1"/>
    </xf>
    <xf numFmtId="2" fontId="1" fillId="0" borderId="2" xfId="0" applyNumberFormat="1" applyFont="1" applyBorder="1" applyAlignment="1">
      <alignment horizontal="center" vertical="center"/>
    </xf>
    <xf numFmtId="0" fontId="3" fillId="0" borderId="2" xfId="0" applyFont="1" applyBorder="1" applyAlignment="1">
      <alignment horizontal="center" vertical="center" wrapText="1"/>
    </xf>
    <xf numFmtId="175" fontId="40" fillId="0" borderId="1" xfId="0" applyNumberFormat="1" applyFont="1" applyFill="1" applyBorder="1" applyAlignment="1" applyProtection="1">
      <alignment horizontal="center" vertical="center"/>
      <protection locked="0"/>
    </xf>
    <xf numFmtId="165" fontId="11" fillId="0" borderId="0" xfId="0" applyNumberFormat="1" applyFont="1" applyAlignment="1">
      <alignment horizontal="center" vertical="center"/>
    </xf>
    <xf numFmtId="0" fontId="69" fillId="0" borderId="0" xfId="0" applyFont="1" applyAlignment="1">
      <alignment horizontal="center" vertical="center" wrapText="1"/>
    </xf>
    <xf numFmtId="2" fontId="1" fillId="2" borderId="0" xfId="0" applyNumberFormat="1" applyFont="1" applyFill="1" applyAlignment="1">
      <alignment horizontal="center" vertical="center"/>
    </xf>
    <xf numFmtId="2" fontId="1" fillId="7" borderId="0" xfId="0" applyNumberFormat="1" applyFont="1" applyFill="1" applyAlignment="1">
      <alignment horizontal="center" vertical="center"/>
    </xf>
    <xf numFmtId="0" fontId="1" fillId="7" borderId="0" xfId="0" applyFont="1" applyFill="1" applyAlignment="1">
      <alignment horizontal="center" vertical="center"/>
    </xf>
    <xf numFmtId="0" fontId="60" fillId="0" borderId="1" xfId="0" applyFont="1" applyBorder="1" applyAlignment="1" applyProtection="1">
      <alignment horizontal="center" vertical="center"/>
      <protection locked="0"/>
    </xf>
    <xf numFmtId="2" fontId="0" fillId="0" borderId="0" xfId="0" applyNumberFormat="1" applyAlignment="1">
      <alignment horizontal="left"/>
    </xf>
    <xf numFmtId="0" fontId="0" fillId="2" borderId="0" xfId="0" applyFill="1" applyProtection="1">
      <protection hidden="1"/>
    </xf>
    <xf numFmtId="176" fontId="27" fillId="0" borderId="0" xfId="0" applyNumberFormat="1" applyFont="1" applyBorder="1" applyAlignment="1" applyProtection="1">
      <alignment horizontal="right" vertical="center"/>
      <protection hidden="1"/>
    </xf>
    <xf numFmtId="175" fontId="0" fillId="0" borderId="0" xfId="0" applyNumberFormat="1"/>
    <xf numFmtId="0" fontId="0" fillId="2" borderId="0" xfId="0" applyFill="1"/>
    <xf numFmtId="0" fontId="1" fillId="0" borderId="0" xfId="0" applyFont="1" applyAlignment="1">
      <alignment horizontal="center" vertical="center"/>
    </xf>
    <xf numFmtId="2" fontId="34" fillId="0" borderId="2" xfId="0" applyNumberFormat="1" applyFont="1" applyBorder="1" applyAlignment="1" applyProtection="1">
      <alignment horizontal="center" vertical="center"/>
      <protection hidden="1"/>
    </xf>
    <xf numFmtId="0" fontId="1" fillId="0" borderId="0" xfId="0" applyFont="1" applyAlignment="1">
      <alignment horizontal="center" vertical="center" wrapText="1"/>
    </xf>
    <xf numFmtId="166" fontId="29" fillId="2" borderId="1" xfId="0" applyNumberFormat="1" applyFont="1" applyFill="1" applyBorder="1" applyAlignment="1" applyProtection="1">
      <alignment horizontal="center" vertical="center"/>
      <protection locked="0"/>
    </xf>
    <xf numFmtId="175" fontId="40" fillId="2" borderId="1" xfId="0" applyNumberFormat="1" applyFont="1" applyFill="1" applyBorder="1" applyAlignment="1" applyProtection="1">
      <alignment horizontal="center" vertical="center"/>
      <protection locked="0"/>
    </xf>
    <xf numFmtId="0" fontId="70" fillId="0" borderId="0" xfId="0" applyFont="1" applyProtection="1">
      <protection hidden="1"/>
    </xf>
    <xf numFmtId="0" fontId="0" fillId="0" borderId="0" xfId="0" applyBorder="1" applyAlignment="1">
      <alignment horizontal="center" vertical="center" wrapText="1"/>
    </xf>
    <xf numFmtId="0" fontId="62" fillId="2" borderId="0" xfId="0" applyFont="1" applyFill="1" applyBorder="1" applyAlignment="1" applyProtection="1">
      <alignment horizontal="center" vertical="center" wrapText="1"/>
      <protection locked="0"/>
    </xf>
    <xf numFmtId="0" fontId="16" fillId="0" borderId="0" xfId="0" applyFont="1" applyAlignment="1" applyProtection="1">
      <alignment horizontal="right" vertical="center"/>
      <protection hidden="1"/>
    </xf>
    <xf numFmtId="0" fontId="71" fillId="0" borderId="0" xfId="0" applyFont="1" applyBorder="1" applyAlignment="1" applyProtection="1">
      <alignment vertical="center"/>
      <protection hidden="1"/>
    </xf>
    <xf numFmtId="0" fontId="72" fillId="0" borderId="0" xfId="0" applyFont="1" applyBorder="1" applyAlignment="1" applyProtection="1">
      <alignment vertical="center"/>
      <protection hidden="1"/>
    </xf>
    <xf numFmtId="2" fontId="0" fillId="0" borderId="0" xfId="0" applyNumberFormat="1" applyProtection="1">
      <protection hidden="1"/>
    </xf>
    <xf numFmtId="0" fontId="0" fillId="2" borderId="0" xfId="0" applyFill="1" applyAlignment="1" applyProtection="1">
      <alignment horizontal="center" vertical="center"/>
      <protection hidden="1"/>
    </xf>
    <xf numFmtId="2" fontId="0" fillId="2" borderId="0" xfId="0" applyNumberFormat="1" applyFill="1" applyAlignment="1" applyProtection="1">
      <alignment horizontal="center" vertical="center"/>
      <protection hidden="1"/>
    </xf>
    <xf numFmtId="177" fontId="16" fillId="0" borderId="0" xfId="0" applyNumberFormat="1" applyFont="1" applyAlignment="1" applyProtection="1">
      <alignment horizontal="center" vertical="center"/>
      <protection hidden="1"/>
    </xf>
    <xf numFmtId="178" fontId="16" fillId="0" borderId="0" xfId="0" applyNumberFormat="1" applyFont="1" applyAlignment="1" applyProtection="1">
      <alignment horizontal="center" vertical="center"/>
      <protection hidden="1"/>
    </xf>
    <xf numFmtId="2" fontId="11" fillId="0" borderId="0" xfId="0" applyNumberFormat="1" applyFont="1" applyAlignment="1">
      <alignment horizontal="center" vertical="center"/>
    </xf>
    <xf numFmtId="2" fontId="1" fillId="0" borderId="0" xfId="0" applyNumberFormat="1" applyFont="1" applyFill="1" applyAlignment="1">
      <alignment horizontal="center" vertical="center"/>
    </xf>
    <xf numFmtId="164" fontId="1" fillId="0" borderId="0" xfId="0" applyNumberFormat="1" applyFont="1" applyFill="1" applyAlignment="1">
      <alignment horizontal="center" vertical="center"/>
    </xf>
    <xf numFmtId="0" fontId="73" fillId="0" borderId="0" xfId="0" applyFont="1"/>
    <xf numFmtId="0" fontId="74" fillId="0" borderId="0" xfId="0" applyFont="1"/>
    <xf numFmtId="0" fontId="75" fillId="0" borderId="0" xfId="0" applyFont="1" applyBorder="1" applyAlignment="1" applyProtection="1">
      <alignment horizontal="left" vertical="center"/>
      <protection hidden="1"/>
    </xf>
    <xf numFmtId="0" fontId="29" fillId="8" borderId="2" xfId="0" applyFont="1" applyFill="1" applyBorder="1" applyAlignment="1" applyProtection="1">
      <alignment horizontal="center" vertical="center"/>
      <protection hidden="1"/>
    </xf>
    <xf numFmtId="0" fontId="0" fillId="8" borderId="2" xfId="0" applyFill="1" applyBorder="1" applyProtection="1">
      <protection hidden="1"/>
    </xf>
    <xf numFmtId="0" fontId="76" fillId="0" borderId="0" xfId="0" applyFont="1"/>
    <xf numFmtId="0" fontId="75" fillId="0" borderId="0" xfId="0" applyFont="1" applyBorder="1" applyAlignment="1" applyProtection="1">
      <alignment horizontal="right" vertical="center"/>
      <protection hidden="1"/>
    </xf>
    <xf numFmtId="2" fontId="75" fillId="0" borderId="0" xfId="0" applyNumberFormat="1" applyFont="1" applyBorder="1" applyAlignment="1" applyProtection="1">
      <alignment horizontal="center" vertical="center"/>
      <protection hidden="1"/>
    </xf>
    <xf numFmtId="0" fontId="14" fillId="2" borderId="0" xfId="0" applyFont="1" applyFill="1" applyAlignment="1" applyProtection="1">
      <alignment vertical="center"/>
      <protection hidden="1"/>
    </xf>
    <xf numFmtId="166" fontId="0" fillId="0" borderId="0" xfId="0" applyNumberFormat="1" applyAlignment="1" applyProtection="1">
      <alignment horizontal="center" vertical="center"/>
      <protection hidden="1"/>
    </xf>
    <xf numFmtId="0" fontId="60" fillId="0" borderId="0" xfId="0" applyFont="1" applyBorder="1" applyAlignment="1" applyProtection="1">
      <alignment horizontal="left" vertical="center"/>
      <protection hidden="1"/>
    </xf>
    <xf numFmtId="0" fontId="60" fillId="0" borderId="0" xfId="0" applyFont="1" applyAlignment="1" applyProtection="1">
      <alignment horizontal="left" vertical="center"/>
      <protection hidden="1"/>
    </xf>
    <xf numFmtId="0" fontId="58" fillId="0" borderId="0" xfId="0" applyFont="1" applyBorder="1" applyAlignment="1" applyProtection="1">
      <alignment horizontal="center" vertical="center"/>
      <protection hidden="1"/>
    </xf>
    <xf numFmtId="174" fontId="0" fillId="0" borderId="0" xfId="0" applyNumberFormat="1" applyBorder="1" applyAlignment="1" applyProtection="1">
      <alignment horizontal="center" vertical="center"/>
      <protection locked="0"/>
    </xf>
    <xf numFmtId="0" fontId="18" fillId="0" borderId="0" xfId="0" applyFont="1" applyBorder="1" applyAlignment="1" applyProtection="1">
      <alignment horizontal="center" vertical="center"/>
      <protection hidden="1"/>
    </xf>
    <xf numFmtId="2" fontId="18" fillId="0" borderId="0" xfId="0" applyNumberFormat="1" applyFont="1" applyBorder="1" applyAlignment="1" applyProtection="1">
      <alignment horizontal="center" vertical="center"/>
      <protection hidden="1"/>
    </xf>
    <xf numFmtId="0" fontId="14" fillId="0" borderId="0" xfId="0" applyFont="1" applyFill="1" applyBorder="1" applyAlignment="1" applyProtection="1">
      <alignment horizontal="center" vertical="center"/>
    </xf>
    <xf numFmtId="0" fontId="42" fillId="0" borderId="0" xfId="1" applyProtection="1">
      <protection locked="0" hidden="1"/>
    </xf>
    <xf numFmtId="0" fontId="13" fillId="0" borderId="0" xfId="0" applyFont="1" applyAlignment="1">
      <alignment horizontal="center"/>
    </xf>
    <xf numFmtId="0" fontId="42" fillId="0" borderId="0" xfId="1" applyAlignment="1" applyProtection="1">
      <alignment horizontal="center"/>
    </xf>
    <xf numFmtId="0" fontId="42" fillId="0" borderId="0" xfId="1" applyAlignment="1" applyProtection="1">
      <alignment horizontal="center"/>
      <protection locked="0"/>
    </xf>
    <xf numFmtId="0" fontId="47" fillId="6" borderId="0" xfId="0" applyFont="1" applyFill="1" applyAlignment="1">
      <alignment horizontal="center" vertical="center"/>
    </xf>
    <xf numFmtId="14" fontId="47" fillId="6" borderId="0" xfId="0" applyNumberFormat="1" applyFont="1" applyFill="1" applyAlignment="1">
      <alignment horizontal="center" vertical="center"/>
    </xf>
    <xf numFmtId="0" fontId="0" fillId="0" borderId="26"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13" fillId="0" borderId="0" xfId="0" applyFont="1" applyAlignment="1" applyProtection="1">
      <alignment horizontal="center" vertical="center"/>
      <protection hidden="1"/>
    </xf>
    <xf numFmtId="0" fontId="13" fillId="0" borderId="23" xfId="0" applyFont="1" applyBorder="1" applyAlignment="1" applyProtection="1">
      <alignment horizontal="center" vertical="center"/>
      <protection hidden="1"/>
    </xf>
    <xf numFmtId="0" fontId="0" fillId="0" borderId="17"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46" fillId="0" borderId="16" xfId="0" applyFont="1" applyBorder="1" applyAlignment="1" applyProtection="1">
      <alignment horizontal="center" vertical="center" wrapText="1"/>
      <protection hidden="1"/>
    </xf>
    <xf numFmtId="0" fontId="46" fillId="0" borderId="31" xfId="0" applyFont="1" applyBorder="1" applyAlignment="1" applyProtection="1">
      <alignment horizontal="center" vertical="center" wrapText="1"/>
      <protection hidden="1"/>
    </xf>
    <xf numFmtId="0" fontId="13" fillId="0" borderId="0" xfId="0" applyFont="1" applyBorder="1" applyAlignment="1" applyProtection="1">
      <alignment horizontal="center"/>
      <protection hidden="1"/>
    </xf>
    <xf numFmtId="0" fontId="13" fillId="0" borderId="15" xfId="0" applyFont="1" applyBorder="1" applyAlignment="1" applyProtection="1">
      <alignment horizontal="center"/>
      <protection hidden="1"/>
    </xf>
    <xf numFmtId="0" fontId="13" fillId="0" borderId="14" xfId="0" applyFont="1" applyBorder="1" applyAlignment="1" applyProtection="1">
      <alignment horizontal="center"/>
      <protection hidden="1"/>
    </xf>
    <xf numFmtId="0" fontId="31" fillId="0" borderId="14" xfId="0" applyFont="1" applyBorder="1" applyAlignment="1" applyProtection="1">
      <alignment horizontal="center"/>
      <protection hidden="1"/>
    </xf>
    <xf numFmtId="0" fontId="0" fillId="0" borderId="15" xfId="0" applyBorder="1" applyAlignment="1" applyProtection="1">
      <alignment horizontal="center"/>
      <protection hidden="1"/>
    </xf>
    <xf numFmtId="0" fontId="31" fillId="0" borderId="32" xfId="0" applyFont="1" applyBorder="1" applyAlignment="1" applyProtection="1">
      <alignment horizontal="center"/>
      <protection hidden="1"/>
    </xf>
    <xf numFmtId="0" fontId="0" fillId="0" borderId="33" xfId="0" applyBorder="1" applyAlignment="1" applyProtection="1">
      <alignment horizontal="center"/>
      <protection hidden="1"/>
    </xf>
    <xf numFmtId="171" fontId="0" fillId="0" borderId="14" xfId="0" applyNumberFormat="1" applyBorder="1" applyAlignment="1" applyProtection="1">
      <alignment horizontal="center" vertical="center"/>
      <protection hidden="1"/>
    </xf>
    <xf numFmtId="171" fontId="0" fillId="0" borderId="15" xfId="0" applyNumberFormat="1" applyBorder="1" applyAlignment="1" applyProtection="1">
      <alignment horizontal="center" vertical="center"/>
      <protection hidden="1"/>
    </xf>
    <xf numFmtId="0" fontId="14" fillId="0" borderId="17" xfId="0" applyFont="1" applyFill="1" applyBorder="1" applyAlignment="1" applyProtection="1">
      <alignment horizontal="center" vertical="center" wrapText="1"/>
      <protection locked="0"/>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wrapText="1"/>
      <protection hidden="1"/>
    </xf>
    <xf numFmtId="0" fontId="14" fillId="0" borderId="21" xfId="0" applyFont="1" applyFill="1" applyBorder="1" applyAlignment="1" applyProtection="1">
      <alignment horizontal="center" vertical="center" wrapText="1"/>
      <protection hidden="1"/>
    </xf>
    <xf numFmtId="0" fontId="14" fillId="0" borderId="22" xfId="0" applyFont="1" applyFill="1" applyBorder="1" applyAlignment="1" applyProtection="1">
      <alignment horizontal="center" vertical="center" wrapText="1"/>
      <protection hidden="1"/>
    </xf>
    <xf numFmtId="0" fontId="60" fillId="0" borderId="0"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61" fillId="0" borderId="23" xfId="0" applyFont="1" applyBorder="1" applyAlignment="1" applyProtection="1">
      <alignment horizontal="center" vertical="center"/>
      <protection hidden="1"/>
    </xf>
    <xf numFmtId="0" fontId="16" fillId="0" borderId="34" xfId="0" applyFont="1" applyBorder="1" applyAlignment="1" applyProtection="1">
      <alignment horizontal="center" vertical="center"/>
      <protection hidden="1"/>
    </xf>
    <xf numFmtId="0" fontId="44" fillId="0" borderId="0" xfId="0" applyFont="1" applyBorder="1" applyAlignment="1" applyProtection="1">
      <alignment horizontal="center" vertical="center"/>
      <protection locked="0"/>
    </xf>
    <xf numFmtId="0" fontId="14" fillId="0" borderId="10" xfId="0" applyFont="1" applyBorder="1" applyAlignment="1" applyProtection="1">
      <alignment horizontal="left" vertical="center"/>
      <protection hidden="1"/>
    </xf>
    <xf numFmtId="0" fontId="14" fillId="0" borderId="0" xfId="0" applyFont="1" applyBorder="1" applyAlignment="1" applyProtection="1">
      <alignment horizontal="left" vertical="center"/>
      <protection hidden="1"/>
    </xf>
    <xf numFmtId="0" fontId="14" fillId="0" borderId="11" xfId="0" applyFont="1" applyBorder="1" applyAlignment="1" applyProtection="1">
      <alignment horizontal="left" vertical="center"/>
      <protection hidden="1"/>
    </xf>
    <xf numFmtId="0" fontId="58" fillId="0" borderId="0"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28" xfId="0" applyBorder="1" applyAlignment="1" applyProtection="1">
      <alignment horizontal="center"/>
      <protection locked="0"/>
    </xf>
    <xf numFmtId="0" fontId="58" fillId="0" borderId="0" xfId="0" applyFont="1" applyBorder="1" applyAlignment="1" applyProtection="1">
      <alignment horizontal="right" vertical="center"/>
      <protection hidden="1"/>
    </xf>
    <xf numFmtId="0" fontId="23" fillId="0" borderId="24" xfId="0" applyFont="1" applyFill="1" applyBorder="1" applyAlignment="1" applyProtection="1">
      <alignment horizontal="center" vertical="center" wrapText="1"/>
      <protection hidden="1"/>
    </xf>
    <xf numFmtId="0" fontId="23" fillId="0" borderId="18" xfId="0" applyFont="1" applyFill="1" applyBorder="1" applyAlignment="1" applyProtection="1">
      <alignment horizontal="center" vertical="center" wrapText="1"/>
      <protection hidden="1"/>
    </xf>
    <xf numFmtId="0" fontId="23" fillId="0" borderId="25" xfId="0" applyFont="1" applyFill="1" applyBorder="1" applyAlignment="1" applyProtection="1">
      <alignment horizontal="center" vertical="center" wrapText="1"/>
      <protection hidden="1"/>
    </xf>
    <xf numFmtId="0" fontId="23" fillId="0" borderId="10" xfId="0" applyFont="1" applyFill="1" applyBorder="1" applyAlignment="1" applyProtection="1">
      <alignment horizontal="center" vertical="center" wrapText="1"/>
      <protection hidden="1"/>
    </xf>
    <xf numFmtId="0" fontId="23" fillId="0" borderId="0" xfId="0" applyFont="1" applyFill="1" applyBorder="1" applyAlignment="1" applyProtection="1">
      <alignment horizontal="center" vertical="center" wrapText="1"/>
      <protection hidden="1"/>
    </xf>
    <xf numFmtId="0" fontId="23" fillId="0" borderId="11" xfId="0" applyFont="1" applyFill="1" applyBorder="1" applyAlignment="1" applyProtection="1">
      <alignment horizontal="center" vertical="center" wrapText="1"/>
      <protection hidden="1"/>
    </xf>
    <xf numFmtId="0" fontId="23" fillId="0" borderId="7" xfId="0" applyFont="1" applyFill="1" applyBorder="1" applyAlignment="1" applyProtection="1">
      <alignment horizontal="center" vertical="center" wrapText="1"/>
      <protection hidden="1"/>
    </xf>
    <xf numFmtId="0" fontId="23" fillId="0" borderId="8" xfId="0" applyFont="1" applyFill="1" applyBorder="1" applyAlignment="1" applyProtection="1">
      <alignment horizontal="center" vertical="center" wrapText="1"/>
      <protection hidden="1"/>
    </xf>
    <xf numFmtId="0" fontId="23" fillId="0" borderId="9" xfId="0" applyFont="1" applyFill="1" applyBorder="1" applyAlignment="1" applyProtection="1">
      <alignment horizontal="center" vertical="center" wrapText="1"/>
      <protection hidden="1"/>
    </xf>
    <xf numFmtId="0" fontId="14" fillId="0" borderId="7"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9" xfId="0" applyFont="1" applyBorder="1" applyAlignment="1" applyProtection="1">
      <alignment horizontal="center" vertical="center"/>
      <protection hidden="1"/>
    </xf>
    <xf numFmtId="0" fontId="60" fillId="0" borderId="0" xfId="0" applyFont="1" applyAlignment="1" applyProtection="1">
      <alignment horizontal="left" vertical="center"/>
      <protection hidden="1"/>
    </xf>
    <xf numFmtId="0" fontId="18" fillId="4" borderId="0" xfId="0" applyFont="1" applyFill="1" applyBorder="1" applyAlignment="1" applyProtection="1">
      <alignment horizontal="center" vertical="center" wrapText="1"/>
      <protection hidden="1"/>
    </xf>
    <xf numFmtId="0" fontId="60" fillId="0" borderId="0" xfId="0" applyFont="1" applyAlignment="1" applyProtection="1">
      <alignment horizontal="right" vertical="center"/>
      <protection hidden="1"/>
    </xf>
    <xf numFmtId="0" fontId="60" fillId="0" borderId="0" xfId="0" applyFont="1" applyBorder="1" applyAlignment="1" applyProtection="1">
      <alignment horizontal="right" vertical="center"/>
      <protection hidden="1"/>
    </xf>
    <xf numFmtId="0" fontId="0" fillId="0" borderId="0" xfId="0" applyAlignment="1">
      <alignment horizontal="center"/>
    </xf>
    <xf numFmtId="0" fontId="0" fillId="0" borderId="0" xfId="0" applyBorder="1" applyAlignment="1">
      <alignment horizontal="center"/>
    </xf>
    <xf numFmtId="0" fontId="67" fillId="0" borderId="0" xfId="0" applyFont="1" applyFill="1" applyBorder="1" applyAlignment="1" applyProtection="1">
      <alignment horizontal="left" vertical="center"/>
      <protection hidden="1"/>
    </xf>
    <xf numFmtId="0" fontId="60" fillId="0" borderId="23" xfId="0" applyFont="1" applyBorder="1" applyAlignment="1" applyProtection="1">
      <alignment horizontal="left" vertical="center"/>
      <protection hidden="1"/>
    </xf>
    <xf numFmtId="0" fontId="50" fillId="0" borderId="0" xfId="0" applyFont="1" applyAlignment="1" applyProtection="1">
      <alignment horizontal="left" vertical="center" wrapText="1"/>
      <protection hidden="1"/>
    </xf>
    <xf numFmtId="0" fontId="14" fillId="0" borderId="4"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61" fillId="0" borderId="0" xfId="0" applyFont="1" applyAlignment="1" applyProtection="1">
      <alignment horizontal="left" vertical="justify" wrapText="1"/>
      <protection hidden="1"/>
    </xf>
    <xf numFmtId="0" fontId="59" fillId="0" borderId="0" xfId="0" applyFont="1" applyAlignment="1" applyProtection="1">
      <alignment horizontal="center" vertical="center"/>
      <protection hidden="1"/>
    </xf>
    <xf numFmtId="0" fontId="14" fillId="0" borderId="4"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10"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14" fillId="0" borderId="7"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9" xfId="0" applyFont="1" applyBorder="1" applyAlignment="1" applyProtection="1">
      <alignment horizontal="center" vertical="center" wrapText="1"/>
      <protection hidden="1"/>
    </xf>
    <xf numFmtId="172" fontId="0" fillId="0" borderId="14" xfId="0" applyNumberFormat="1" applyBorder="1" applyAlignment="1" applyProtection="1">
      <alignment horizontal="center" vertical="center"/>
      <protection hidden="1"/>
    </xf>
    <xf numFmtId="172" fontId="0" fillId="0" borderId="15" xfId="0" applyNumberFormat="1" applyBorder="1" applyAlignment="1" applyProtection="1">
      <alignment horizontal="center" vertical="center"/>
      <protection hidden="1"/>
    </xf>
    <xf numFmtId="0" fontId="32" fillId="0" borderId="2"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59" fillId="0" borderId="0" xfId="0" applyFont="1" applyAlignment="1" applyProtection="1">
      <alignment horizontal="left" vertical="center"/>
      <protection hidden="1"/>
    </xf>
    <xf numFmtId="0" fontId="59" fillId="0" borderId="23" xfId="0" applyFont="1" applyBorder="1" applyAlignment="1" applyProtection="1">
      <alignment horizontal="left" vertical="center"/>
      <protection hidden="1"/>
    </xf>
    <xf numFmtId="0" fontId="48" fillId="0" borderId="0" xfId="0" applyFont="1" applyBorder="1" applyAlignment="1" applyProtection="1">
      <alignment horizontal="center"/>
      <protection hidden="1"/>
    </xf>
    <xf numFmtId="0" fontId="60" fillId="0" borderId="0" xfId="0" applyFont="1" applyBorder="1" applyAlignment="1" applyProtection="1">
      <alignment horizontal="left" vertical="center"/>
      <protection hidden="1"/>
    </xf>
    <xf numFmtId="0" fontId="23" fillId="0" borderId="2" xfId="0" applyFont="1" applyBorder="1" applyAlignment="1" applyProtection="1">
      <alignment horizontal="center" vertical="center" wrapText="1"/>
      <protection hidden="1"/>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0" fontId="14" fillId="0" borderId="7" xfId="0" applyFont="1" applyBorder="1" applyAlignment="1" applyProtection="1">
      <alignment horizontal="left" vertical="center"/>
      <protection hidden="1"/>
    </xf>
    <xf numFmtId="0" fontId="14" fillId="0" borderId="8" xfId="0" applyFont="1" applyBorder="1" applyAlignment="1" applyProtection="1">
      <alignment horizontal="left" vertical="center"/>
      <protection hidden="1"/>
    </xf>
    <xf numFmtId="0" fontId="14" fillId="0" borderId="9" xfId="0" applyFont="1" applyBorder="1" applyAlignment="1" applyProtection="1">
      <alignment horizontal="left" vertical="center"/>
      <protection hidden="1"/>
    </xf>
    <xf numFmtId="0" fontId="58" fillId="0" borderId="8" xfId="0" applyFont="1" applyBorder="1" applyAlignment="1" applyProtection="1">
      <alignment horizontal="left"/>
      <protection hidden="1"/>
    </xf>
    <xf numFmtId="0" fontId="1" fillId="0" borderId="0" xfId="0" applyFont="1" applyAlignment="1">
      <alignment horizontal="center" vertical="center"/>
    </xf>
    <xf numFmtId="0" fontId="0" fillId="0" borderId="7" xfId="0" applyBorder="1" applyAlignment="1" applyProtection="1">
      <alignment horizontal="center"/>
      <protection hidden="1"/>
    </xf>
    <xf numFmtId="0" fontId="0" fillId="0" borderId="9" xfId="0"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3" xfId="0" applyBorder="1" applyAlignment="1" applyProtection="1">
      <alignment horizontal="center"/>
      <protection hidden="1"/>
    </xf>
    <xf numFmtId="0" fontId="0" fillId="0" borderId="30" xfId="0" applyBorder="1" applyAlignment="1" applyProtection="1">
      <alignment horizontal="center"/>
      <protection hidden="1"/>
    </xf>
    <xf numFmtId="0" fontId="3" fillId="0" borderId="2" xfId="0" applyFont="1" applyBorder="1" applyAlignment="1" applyProtection="1">
      <alignment horizontal="center" vertical="center"/>
      <protection locked="0"/>
    </xf>
    <xf numFmtId="0" fontId="3" fillId="0" borderId="0" xfId="0" applyFont="1" applyAlignment="1">
      <alignment horizontal="center" vertical="center"/>
    </xf>
    <xf numFmtId="0" fontId="1" fillId="0" borderId="0" xfId="0" applyFont="1" applyAlignment="1">
      <alignment horizontal="center" vertical="center" wrapText="1"/>
    </xf>
    <xf numFmtId="0" fontId="62" fillId="2" borderId="17" xfId="0" applyFont="1" applyFill="1" applyBorder="1" applyAlignment="1" applyProtection="1">
      <alignment horizontal="center" vertical="center" wrapText="1"/>
      <protection locked="0"/>
    </xf>
    <xf numFmtId="0" fontId="62" fillId="2" borderId="18" xfId="0" applyFont="1" applyFill="1" applyBorder="1" applyAlignment="1" applyProtection="1">
      <alignment horizontal="center" vertical="center" wrapText="1"/>
      <protection locked="0"/>
    </xf>
    <xf numFmtId="0" fontId="62" fillId="2" borderId="19" xfId="0" applyFont="1" applyFill="1" applyBorder="1" applyAlignment="1" applyProtection="1">
      <alignment horizontal="center" vertical="center" wrapText="1"/>
      <protection locked="0"/>
    </xf>
    <xf numFmtId="0" fontId="62" fillId="2" borderId="20" xfId="0" applyFont="1" applyFill="1" applyBorder="1" applyAlignment="1" applyProtection="1">
      <alignment horizontal="center" vertical="center" wrapText="1"/>
      <protection locked="0"/>
    </xf>
    <xf numFmtId="0" fontId="62" fillId="2" borderId="21" xfId="0" applyFont="1" applyFill="1" applyBorder="1" applyAlignment="1" applyProtection="1">
      <alignment horizontal="center" vertical="center" wrapText="1"/>
      <protection locked="0"/>
    </xf>
    <xf numFmtId="0" fontId="62" fillId="2" borderId="22" xfId="0" applyFont="1" applyFill="1" applyBorder="1" applyAlignment="1" applyProtection="1">
      <alignment horizontal="center" vertical="center" wrapText="1"/>
      <protection locked="0"/>
    </xf>
    <xf numFmtId="175" fontId="0" fillId="0" borderId="0" xfId="0" applyNumberFormat="1" applyAlignment="1" applyProtection="1">
      <alignment horizontal="center" vertical="center"/>
      <protection hidden="1"/>
    </xf>
    <xf numFmtId="0" fontId="0" fillId="0" borderId="0" xfId="0" applyAlignment="1">
      <alignment horizontal="center" vertical="center" wrapText="1"/>
    </xf>
    <xf numFmtId="0" fontId="23" fillId="0" borderId="2" xfId="0" applyFont="1" applyBorder="1" applyAlignment="1" applyProtection="1">
      <alignment horizontal="center" vertical="center"/>
      <protection locked="0"/>
    </xf>
  </cellXfs>
  <cellStyles count="2">
    <cellStyle name="Collegamento ipertestuale" xfId="1" builtinId="8"/>
    <cellStyle name="Normale" xfId="0" builtinId="0"/>
  </cellStyles>
  <dxfs count="21">
    <dxf>
      <font>
        <color theme="0"/>
      </font>
      <border>
        <left/>
        <right/>
        <top/>
        <bottom/>
        <vertical/>
        <horizontal/>
      </border>
    </dxf>
    <dxf>
      <font>
        <color theme="0"/>
      </font>
      <border>
        <left/>
        <right/>
        <top/>
        <bottom/>
      </border>
    </dxf>
    <dxf>
      <font>
        <color theme="0"/>
      </font>
    </dxf>
    <dxf>
      <border>
        <right style="thin">
          <color auto="1"/>
        </right>
        <vertical/>
        <horizontal/>
      </border>
    </dxf>
    <dxf>
      <border>
        <left style="thin">
          <color auto="1"/>
        </left>
        <vertical/>
        <horizontal/>
      </border>
    </dxf>
    <dxf>
      <border>
        <right/>
        <bottom/>
        <vertical/>
        <horizontal/>
      </border>
    </dxf>
    <dxf>
      <border>
        <left/>
        <bottom/>
        <vertical/>
        <horizontal/>
      </border>
    </dxf>
    <dxf>
      <font>
        <color theme="0"/>
      </font>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1"/>
      </font>
    </dxf>
    <dxf>
      <font>
        <color theme="0"/>
      </font>
      <border>
        <left/>
        <right/>
        <top/>
        <bottom/>
        <vertical/>
        <horizontal/>
      </border>
    </dxf>
    <dxf>
      <font>
        <color theme="0"/>
      </font>
    </dxf>
    <dxf>
      <font>
        <color theme="0"/>
      </font>
      <border>
        <left/>
        <right/>
        <top/>
        <bottom/>
      </border>
    </dxf>
    <dxf>
      <font>
        <color theme="0"/>
      </font>
    </dxf>
    <dxf>
      <font>
        <color theme="0"/>
      </font>
      <fill>
        <patternFill>
          <bgColor theme="0"/>
        </patternFill>
      </fill>
    </dxf>
    <dxf>
      <font>
        <color theme="0"/>
      </font>
    </dxf>
    <dxf>
      <fill>
        <patternFill>
          <bgColor theme="1"/>
        </patternFill>
      </fill>
    </dxf>
    <dxf>
      <font>
        <color theme="0"/>
      </font>
    </dxf>
    <dxf>
      <font>
        <color theme="0"/>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usernames" Target="revisions/userNames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it-IT" sz="1100"/>
              <a:t>Pressione del vento (riferita all</a:t>
            </a:r>
            <a:r>
              <a:rPr lang="it-IT" sz="1100" baseline="0"/>
              <a:t>a parte sopravento)</a:t>
            </a:r>
            <a:endParaRPr lang="it-IT" sz="1100"/>
          </a:p>
        </c:rich>
      </c:tx>
      <c:layout>
        <c:manualLayout>
          <c:xMode val="edge"/>
          <c:yMode val="edge"/>
          <c:x val="0.16553649975943974"/>
          <c:y val="2.8971191913615676E-2"/>
        </c:manualLayout>
      </c:layout>
      <c:overlay val="0"/>
    </c:title>
    <c:autoTitleDeleted val="0"/>
    <c:plotArea>
      <c:layout/>
      <c:scatterChart>
        <c:scatterStyle val="smoothMarker"/>
        <c:varyColors val="0"/>
        <c:ser>
          <c:idx val="1"/>
          <c:order val="0"/>
          <c:spPr>
            <a:ln>
              <a:solidFill>
                <a:srgbClr val="FF0000"/>
              </a:solidFill>
            </a:ln>
          </c:spPr>
          <c:marker>
            <c:symbol val="none"/>
          </c:marker>
          <c:xVal>
            <c:numRef>
              <c:f>'dati nascosti'!$Z$4:$Z$107</c:f>
              <c:numCache>
                <c:formatCode>0.00</c:formatCode>
                <c:ptCount val="104"/>
                <c:pt idx="0" formatCode="0.0">
                  <c:v>0</c:v>
                </c:pt>
                <c:pt idx="1">
                  <c:v>0.33516592209063945</c:v>
                </c:pt>
                <c:pt idx="2">
                  <c:v>0.33516592209063945</c:v>
                </c:pt>
                <c:pt idx="3">
                  <c:v>0.33516592209063945</c:v>
                </c:pt>
                <c:pt idx="4">
                  <c:v>0.33516592209063945</c:v>
                </c:pt>
                <c:pt idx="5">
                  <c:v>0.33516592209063945</c:v>
                </c:pt>
                <c:pt idx="6">
                  <c:v>0.33516592209063945</c:v>
                </c:pt>
                <c:pt idx="7">
                  <c:v>0.33516592209063945</c:v>
                </c:pt>
                <c:pt idx="8">
                  <c:v>0.33516592209063945</c:v>
                </c:pt>
                <c:pt idx="9">
                  <c:v>0.33516592209063945</c:v>
                </c:pt>
                <c:pt idx="10">
                  <c:v>0.33516592209063945</c:v>
                </c:pt>
                <c:pt idx="11">
                  <c:v>0.33516592209063945</c:v>
                </c:pt>
                <c:pt idx="12">
                  <c:v>0.33516592209063945</c:v>
                </c:pt>
                <c:pt idx="13">
                  <c:v>0.33516592209063945</c:v>
                </c:pt>
                <c:pt idx="14">
                  <c:v>0.33516592209063945</c:v>
                </c:pt>
                <c:pt idx="15">
                  <c:v>0.33516592209063945</c:v>
                </c:pt>
                <c:pt idx="16">
                  <c:v>0.33516592209063945</c:v>
                </c:pt>
                <c:pt idx="17">
                  <c:v>0.33516592209063945</c:v>
                </c:pt>
                <c:pt idx="18">
                  <c:v>0.33516592209063945</c:v>
                </c:pt>
                <c:pt idx="19">
                  <c:v>0.33516592209063945</c:v>
                </c:pt>
                <c:pt idx="20">
                  <c:v>0.33516592209063945</c:v>
                </c:pt>
                <c:pt idx="21">
                  <c:v>0.33516592209063945</c:v>
                </c:pt>
                <c:pt idx="22">
                  <c:v>0.33516592209063945</c:v>
                </c:pt>
                <c:pt idx="23">
                  <c:v>0.33516592209063945</c:v>
                </c:pt>
                <c:pt idx="24">
                  <c:v>0.33516592209063945</c:v>
                </c:pt>
                <c:pt idx="25">
                  <c:v>0.33516592209063945</c:v>
                </c:pt>
                <c:pt idx="26">
                  <c:v>0.33516592209063945</c:v>
                </c:pt>
                <c:pt idx="27">
                  <c:v>0.33516592209063945</c:v>
                </c:pt>
                <c:pt idx="28">
                  <c:v>0.33516592209063945</c:v>
                </c:pt>
                <c:pt idx="29">
                  <c:v>0.33516592209063945</c:v>
                </c:pt>
                <c:pt idx="30">
                  <c:v>0.33516592209063945</c:v>
                </c:pt>
                <c:pt idx="31">
                  <c:v>0.33516592209063945</c:v>
                </c:pt>
                <c:pt idx="32">
                  <c:v>0.33516592209063945</c:v>
                </c:pt>
                <c:pt idx="33">
                  <c:v>0.33516592209063945</c:v>
                </c:pt>
                <c:pt idx="34">
                  <c:v>0.33516592209063945</c:v>
                </c:pt>
                <c:pt idx="35">
                  <c:v>0.33516592209063945</c:v>
                </c:pt>
                <c:pt idx="36">
                  <c:v>0.33516592209063945</c:v>
                </c:pt>
                <c:pt idx="37">
                  <c:v>0.33516592209063945</c:v>
                </c:pt>
                <c:pt idx="38">
                  <c:v>0.33516592209063945</c:v>
                </c:pt>
                <c:pt idx="39">
                  <c:v>0.33516592209063945</c:v>
                </c:pt>
                <c:pt idx="40">
                  <c:v>0.33516592209063945</c:v>
                </c:pt>
                <c:pt idx="41">
                  <c:v>0.33516592209063945</c:v>
                </c:pt>
                <c:pt idx="42">
                  <c:v>0.33516592209063945</c:v>
                </c:pt>
                <c:pt idx="43">
                  <c:v>0.33516592209063945</c:v>
                </c:pt>
                <c:pt idx="44">
                  <c:v>0.33516592209063945</c:v>
                </c:pt>
                <c:pt idx="45">
                  <c:v>0.33516592209063945</c:v>
                </c:pt>
                <c:pt idx="46">
                  <c:v>0.33516592209063945</c:v>
                </c:pt>
                <c:pt idx="47">
                  <c:v>0.33516592209063945</c:v>
                </c:pt>
                <c:pt idx="48">
                  <c:v>0.33516592209063945</c:v>
                </c:pt>
                <c:pt idx="49">
                  <c:v>0.33516592209063945</c:v>
                </c:pt>
                <c:pt idx="50">
                  <c:v>0.33516592209063945</c:v>
                </c:pt>
                <c:pt idx="51">
                  <c:v>0.33516592209063945</c:v>
                </c:pt>
                <c:pt idx="52">
                  <c:v>0.33516592209063945</c:v>
                </c:pt>
                <c:pt idx="53">
                  <c:v>0.33516592209063945</c:v>
                </c:pt>
                <c:pt idx="54">
                  <c:v>0.33516592209063945</c:v>
                </c:pt>
                <c:pt idx="55">
                  <c:v>0.33516592209063945</c:v>
                </c:pt>
                <c:pt idx="56">
                  <c:v>0.33516592209063945</c:v>
                </c:pt>
                <c:pt idx="57">
                  <c:v>0.33516592209063945</c:v>
                </c:pt>
                <c:pt idx="58">
                  <c:v>0.33516592209063945</c:v>
                </c:pt>
                <c:pt idx="59">
                  <c:v>0.33516592209063945</c:v>
                </c:pt>
                <c:pt idx="60">
                  <c:v>0.33516592209063945</c:v>
                </c:pt>
                <c:pt idx="61">
                  <c:v>0.33516592209063945</c:v>
                </c:pt>
                <c:pt idx="62">
                  <c:v>0.33516592209063945</c:v>
                </c:pt>
                <c:pt idx="63">
                  <c:v>0.33516592209063945</c:v>
                </c:pt>
                <c:pt idx="64">
                  <c:v>0.33516592209063945</c:v>
                </c:pt>
                <c:pt idx="65">
                  <c:v>0.33516592209063945</c:v>
                </c:pt>
                <c:pt idx="66">
                  <c:v>0.33516592209063945</c:v>
                </c:pt>
                <c:pt idx="67">
                  <c:v>0.33516592209063945</c:v>
                </c:pt>
                <c:pt idx="68">
                  <c:v>0.33516592209063945</c:v>
                </c:pt>
                <c:pt idx="69">
                  <c:v>0.33516592209063945</c:v>
                </c:pt>
                <c:pt idx="70">
                  <c:v>0.33516592209063945</c:v>
                </c:pt>
                <c:pt idx="71">
                  <c:v>0.33516592209063945</c:v>
                </c:pt>
                <c:pt idx="72">
                  <c:v>-0.41895740261329945</c:v>
                </c:pt>
                <c:pt idx="73">
                  <c:v>-0.41895740261329945</c:v>
                </c:pt>
                <c:pt idx="74">
                  <c:v>-0.41895740261329945</c:v>
                </c:pt>
                <c:pt idx="75">
                  <c:v>-0.41895740261329945</c:v>
                </c:pt>
                <c:pt idx="76">
                  <c:v>-0.41895740261329945</c:v>
                </c:pt>
                <c:pt idx="77">
                  <c:v>-0.41895740261329945</c:v>
                </c:pt>
                <c:pt idx="78">
                  <c:v>-0.41895740261329945</c:v>
                </c:pt>
                <c:pt idx="79">
                  <c:v>-0.41895740261329945</c:v>
                </c:pt>
                <c:pt idx="80">
                  <c:v>-0.41895740261329945</c:v>
                </c:pt>
                <c:pt idx="81">
                  <c:v>-0.41895740261329945</c:v>
                </c:pt>
                <c:pt idx="82">
                  <c:v>-0.41895740261329945</c:v>
                </c:pt>
                <c:pt idx="83">
                  <c:v>-0.41895740261329945</c:v>
                </c:pt>
                <c:pt idx="84">
                  <c:v>-0.41895740261329945</c:v>
                </c:pt>
                <c:pt idx="85">
                  <c:v>-0.4213649145324998</c:v>
                </c:pt>
                <c:pt idx="86">
                  <c:v>-0.4237385110081775</c:v>
                </c:pt>
                <c:pt idx="87">
                  <c:v>-0.42607919434426061</c:v>
                </c:pt>
                <c:pt idx="88">
                  <c:v>-0.42838792208349047</c:v>
                </c:pt>
                <c:pt idx="89">
                  <c:v>-0.43066560966378198</c:v>
                </c:pt>
                <c:pt idx="90">
                  <c:v>-0.43291313287904531</c:v>
                </c:pt>
                <c:pt idx="91">
                  <c:v>-0.43513133016157318</c:v>
                </c:pt>
                <c:pt idx="92">
                  <c:v>-0.43732100470137036</c:v>
                </c:pt>
                <c:pt idx="93">
                  <c:v>-0.43948292641627251</c:v>
                </c:pt>
                <c:pt idx="94">
                  <c:v>-0.44161783378534353</c:v>
                </c:pt>
                <c:pt idx="95">
                  <c:v>-0.44372643555683694</c:v>
                </c:pt>
                <c:pt idx="96">
                  <c:v>-0.44580941234092675</c:v>
                </c:pt>
                <c:pt idx="97">
                  <c:v>-0.44786741809645603</c:v>
                </c:pt>
                <c:pt idx="98">
                  <c:v>-0.44990108152009622</c:v>
                </c:pt>
                <c:pt idx="99">
                  <c:v>-0.45191100734553724</c:v>
                </c:pt>
                <c:pt idx="100">
                  <c:v>-0.45389777755964689</c:v>
                </c:pt>
                <c:pt idx="101">
                  <c:v>-0.45586195254191403</c:v>
                </c:pt>
                <c:pt idx="102">
                  <c:v>-0.45780407213293856</c:v>
                </c:pt>
                <c:pt idx="103">
                  <c:v>0</c:v>
                </c:pt>
              </c:numCache>
            </c:numRef>
          </c:xVal>
          <c:yVal>
            <c:numRef>
              <c:f>'dati nascosti'!$X$4:$X$107</c:f>
              <c:numCache>
                <c:formatCode>0.00</c:formatCode>
                <c:ptCount val="104"/>
                <c:pt idx="0">
                  <c:v>0</c:v>
                </c:pt>
                <c:pt idx="1">
                  <c:v>0</c:v>
                </c:pt>
                <c:pt idx="2">
                  <c:v>5.7142857142857141E-2</c:v>
                </c:pt>
                <c:pt idx="3">
                  <c:v>0.11428571428571428</c:v>
                </c:pt>
                <c:pt idx="4">
                  <c:v>0.17142857142857143</c:v>
                </c:pt>
                <c:pt idx="5">
                  <c:v>0.22857142857142856</c:v>
                </c:pt>
                <c:pt idx="6">
                  <c:v>0.2857142857142857</c:v>
                </c:pt>
                <c:pt idx="7">
                  <c:v>0.34285714285714286</c:v>
                </c:pt>
                <c:pt idx="8">
                  <c:v>0.39999999999999997</c:v>
                </c:pt>
                <c:pt idx="9">
                  <c:v>0.45714285714285713</c:v>
                </c:pt>
                <c:pt idx="10">
                  <c:v>0.51428571428571423</c:v>
                </c:pt>
                <c:pt idx="11">
                  <c:v>0.5714285714285714</c:v>
                </c:pt>
                <c:pt idx="12">
                  <c:v>0.62857142857142856</c:v>
                </c:pt>
                <c:pt idx="13">
                  <c:v>0.68571428571428572</c:v>
                </c:pt>
                <c:pt idx="14">
                  <c:v>0.74285714285714288</c:v>
                </c:pt>
                <c:pt idx="15">
                  <c:v>0.79999999999999993</c:v>
                </c:pt>
                <c:pt idx="16">
                  <c:v>0.8571428571428571</c:v>
                </c:pt>
                <c:pt idx="17">
                  <c:v>0.91428571428571426</c:v>
                </c:pt>
                <c:pt idx="18">
                  <c:v>0.97142857142857142</c:v>
                </c:pt>
                <c:pt idx="19">
                  <c:v>1.0285714285714285</c:v>
                </c:pt>
                <c:pt idx="20">
                  <c:v>1.0857142857142856</c:v>
                </c:pt>
                <c:pt idx="21">
                  <c:v>1.1428571428571428</c:v>
                </c:pt>
                <c:pt idx="22">
                  <c:v>1.2</c:v>
                </c:pt>
                <c:pt idx="23">
                  <c:v>1.2571428571428571</c:v>
                </c:pt>
                <c:pt idx="24">
                  <c:v>1.3142857142857143</c:v>
                </c:pt>
                <c:pt idx="25">
                  <c:v>1.3714285714285714</c:v>
                </c:pt>
                <c:pt idx="26">
                  <c:v>1.4285714285714286</c:v>
                </c:pt>
                <c:pt idx="27">
                  <c:v>1.4857142857142858</c:v>
                </c:pt>
                <c:pt idx="28">
                  <c:v>1.5428571428571427</c:v>
                </c:pt>
                <c:pt idx="29">
                  <c:v>1.5999999999999999</c:v>
                </c:pt>
                <c:pt idx="30">
                  <c:v>1.657142857142857</c:v>
                </c:pt>
                <c:pt idx="31">
                  <c:v>1.7142857142857142</c:v>
                </c:pt>
                <c:pt idx="32">
                  <c:v>1.7714285714285714</c:v>
                </c:pt>
                <c:pt idx="33">
                  <c:v>1.8285714285714285</c:v>
                </c:pt>
                <c:pt idx="34">
                  <c:v>1.8857142857142857</c:v>
                </c:pt>
                <c:pt idx="35">
                  <c:v>1.9428571428571428</c:v>
                </c:pt>
                <c:pt idx="36">
                  <c:v>2</c:v>
                </c:pt>
                <c:pt idx="37">
                  <c:v>2.0571428571428569</c:v>
                </c:pt>
                <c:pt idx="38">
                  <c:v>2.1142857142857143</c:v>
                </c:pt>
                <c:pt idx="39">
                  <c:v>2.1714285714285713</c:v>
                </c:pt>
                <c:pt idx="40">
                  <c:v>2.2285714285714286</c:v>
                </c:pt>
                <c:pt idx="41">
                  <c:v>2.2857142857142856</c:v>
                </c:pt>
                <c:pt idx="42">
                  <c:v>2.342857142857143</c:v>
                </c:pt>
                <c:pt idx="43">
                  <c:v>2.4</c:v>
                </c:pt>
                <c:pt idx="44">
                  <c:v>2.4571428571428569</c:v>
                </c:pt>
                <c:pt idx="45">
                  <c:v>2.5142857142857142</c:v>
                </c:pt>
                <c:pt idx="46">
                  <c:v>2.5714285714285712</c:v>
                </c:pt>
                <c:pt idx="47">
                  <c:v>2.6285714285714286</c:v>
                </c:pt>
                <c:pt idx="48">
                  <c:v>2.6857142857142855</c:v>
                </c:pt>
                <c:pt idx="49">
                  <c:v>2.7428571428571429</c:v>
                </c:pt>
                <c:pt idx="50">
                  <c:v>2.8</c:v>
                </c:pt>
                <c:pt idx="51">
                  <c:v>2.8571428571428572</c:v>
                </c:pt>
                <c:pt idx="52">
                  <c:v>2.9142857142857141</c:v>
                </c:pt>
                <c:pt idx="53">
                  <c:v>2.9714285714285715</c:v>
                </c:pt>
                <c:pt idx="54">
                  <c:v>3.0285714285714285</c:v>
                </c:pt>
                <c:pt idx="55">
                  <c:v>3.0857142857142854</c:v>
                </c:pt>
                <c:pt idx="56">
                  <c:v>3.1428571428571428</c:v>
                </c:pt>
                <c:pt idx="57">
                  <c:v>3.1999999999999997</c:v>
                </c:pt>
                <c:pt idx="58">
                  <c:v>3.2571428571428571</c:v>
                </c:pt>
                <c:pt idx="59">
                  <c:v>3.3142857142857141</c:v>
                </c:pt>
                <c:pt idx="60">
                  <c:v>3.3714285714285714</c:v>
                </c:pt>
                <c:pt idx="61">
                  <c:v>3.4285714285714284</c:v>
                </c:pt>
                <c:pt idx="62">
                  <c:v>3.4857142857142858</c:v>
                </c:pt>
                <c:pt idx="63">
                  <c:v>3.5428571428571427</c:v>
                </c:pt>
                <c:pt idx="64">
                  <c:v>3.6</c:v>
                </c:pt>
                <c:pt idx="65">
                  <c:v>3.657142857142857</c:v>
                </c:pt>
                <c:pt idx="66">
                  <c:v>3.714285714285714</c:v>
                </c:pt>
                <c:pt idx="67">
                  <c:v>3.7714285714285714</c:v>
                </c:pt>
                <c:pt idx="68">
                  <c:v>3.8285714285714283</c:v>
                </c:pt>
                <c:pt idx="69">
                  <c:v>3.8857142857142857</c:v>
                </c:pt>
                <c:pt idx="70">
                  <c:v>3.9428571428571426</c:v>
                </c:pt>
                <c:pt idx="71">
                  <c:v>4</c:v>
                </c:pt>
                <c:pt idx="72">
                  <c:v>4</c:v>
                </c:pt>
                <c:pt idx="73">
                  <c:v>4.083333333333333</c:v>
                </c:pt>
                <c:pt idx="74">
                  <c:v>4.166666666666667</c:v>
                </c:pt>
                <c:pt idx="75">
                  <c:v>4.25</c:v>
                </c:pt>
                <c:pt idx="76">
                  <c:v>4.333333333333333</c:v>
                </c:pt>
                <c:pt idx="77">
                  <c:v>4.416666666666667</c:v>
                </c:pt>
                <c:pt idx="78">
                  <c:v>4.5</c:v>
                </c:pt>
                <c:pt idx="79">
                  <c:v>4.583333333333333</c:v>
                </c:pt>
                <c:pt idx="80">
                  <c:v>4.666666666666667</c:v>
                </c:pt>
                <c:pt idx="81">
                  <c:v>4.75</c:v>
                </c:pt>
                <c:pt idx="82">
                  <c:v>4.833333333333333</c:v>
                </c:pt>
                <c:pt idx="83">
                  <c:v>4.916666666666667</c:v>
                </c:pt>
                <c:pt idx="84">
                  <c:v>5</c:v>
                </c:pt>
                <c:pt idx="85">
                  <c:v>5.083333333333333</c:v>
                </c:pt>
                <c:pt idx="86">
                  <c:v>5.1666666666666661</c:v>
                </c:pt>
                <c:pt idx="87">
                  <c:v>5.25</c:v>
                </c:pt>
                <c:pt idx="88">
                  <c:v>5.333333333333333</c:v>
                </c:pt>
                <c:pt idx="89">
                  <c:v>5.4166666666666661</c:v>
                </c:pt>
                <c:pt idx="90">
                  <c:v>5.5</c:v>
                </c:pt>
                <c:pt idx="91">
                  <c:v>5.583333333333333</c:v>
                </c:pt>
                <c:pt idx="92">
                  <c:v>5.6666666666666661</c:v>
                </c:pt>
                <c:pt idx="93">
                  <c:v>5.75</c:v>
                </c:pt>
                <c:pt idx="94">
                  <c:v>5.833333333333333</c:v>
                </c:pt>
                <c:pt idx="95">
                  <c:v>5.9166666666666661</c:v>
                </c:pt>
                <c:pt idx="96">
                  <c:v>6</c:v>
                </c:pt>
                <c:pt idx="97">
                  <c:v>6.083333333333333</c:v>
                </c:pt>
                <c:pt idx="98">
                  <c:v>6.1666666666666661</c:v>
                </c:pt>
                <c:pt idx="99">
                  <c:v>6.25</c:v>
                </c:pt>
                <c:pt idx="100">
                  <c:v>6.333333333333333</c:v>
                </c:pt>
                <c:pt idx="101">
                  <c:v>6.4166666666666661</c:v>
                </c:pt>
                <c:pt idx="102">
                  <c:v>6.5</c:v>
                </c:pt>
                <c:pt idx="103">
                  <c:v>6.5</c:v>
                </c:pt>
              </c:numCache>
            </c:numRef>
          </c:yVal>
          <c:smooth val="1"/>
          <c:extLst>
            <c:ext xmlns:c16="http://schemas.microsoft.com/office/drawing/2014/chart" uri="{C3380CC4-5D6E-409C-BE32-E72D297353CC}">
              <c16:uniqueId val="{00000000-5FDD-4D50-935E-2A0EE11AEB78}"/>
            </c:ext>
          </c:extLst>
        </c:ser>
        <c:dLbls>
          <c:showLegendKey val="0"/>
          <c:showVal val="0"/>
          <c:showCatName val="0"/>
          <c:showSerName val="0"/>
          <c:showPercent val="0"/>
          <c:showBubbleSize val="0"/>
        </c:dLbls>
        <c:axId val="1073303264"/>
        <c:axId val="1073304896"/>
      </c:scatterChart>
      <c:valAx>
        <c:axId val="1073303264"/>
        <c:scaling>
          <c:orientation val="minMax"/>
        </c:scaling>
        <c:delete val="0"/>
        <c:axPos val="b"/>
        <c:title>
          <c:tx>
            <c:rich>
              <a:bodyPr/>
              <a:lstStyle/>
              <a:p>
                <a:pPr>
                  <a:defRPr/>
                </a:pPr>
                <a:r>
                  <a:rPr lang="it-IT"/>
                  <a:t>Pressione del vento [kN/m²]</a:t>
                </a:r>
              </a:p>
            </c:rich>
          </c:tx>
          <c:layout>
            <c:manualLayout>
              <c:xMode val="edge"/>
              <c:yMode val="edge"/>
              <c:x val="0.34256293393080939"/>
              <c:y val="0.93713835436690573"/>
            </c:manualLayout>
          </c:layout>
          <c:overlay val="0"/>
        </c:title>
        <c:numFmt formatCode="0.0" sourceLinked="1"/>
        <c:majorTickMark val="out"/>
        <c:minorTickMark val="none"/>
        <c:tickLblPos val="nextTo"/>
        <c:crossAx val="1073304896"/>
        <c:crosses val="autoZero"/>
        <c:crossBetween val="midCat"/>
      </c:valAx>
      <c:valAx>
        <c:axId val="1073304896"/>
        <c:scaling>
          <c:orientation val="minMax"/>
        </c:scaling>
        <c:delete val="0"/>
        <c:axPos val="l"/>
        <c:majorGridlines/>
        <c:title>
          <c:tx>
            <c:rich>
              <a:bodyPr/>
              <a:lstStyle/>
              <a:p>
                <a:pPr>
                  <a:defRPr/>
                </a:pPr>
                <a:r>
                  <a:rPr lang="it-IT"/>
                  <a:t>Quota del fabbricato [m]</a:t>
                </a:r>
              </a:p>
            </c:rich>
          </c:tx>
          <c:overlay val="0"/>
        </c:title>
        <c:numFmt formatCode="0.00" sourceLinked="1"/>
        <c:majorTickMark val="out"/>
        <c:minorTickMark val="none"/>
        <c:tickLblPos val="nextTo"/>
        <c:crossAx val="1073303264"/>
        <c:crosses val="autoZero"/>
        <c:crossBetween val="midCat"/>
      </c:valAx>
      <c:spPr>
        <a:noFill/>
      </c:spPr>
    </c:plotArea>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it-IT" sz="1100"/>
              <a:t>Pressione del vento (riferita all</a:t>
            </a:r>
            <a:r>
              <a:rPr lang="it-IT" sz="1100" baseline="0"/>
              <a:t>a parte sottovento)</a:t>
            </a:r>
            <a:endParaRPr lang="it-IT" sz="1100"/>
          </a:p>
        </c:rich>
      </c:tx>
      <c:layout>
        <c:manualLayout>
          <c:xMode val="edge"/>
          <c:yMode val="edge"/>
          <c:x val="0.16553649975943979"/>
          <c:y val="2.8971191913615676E-2"/>
        </c:manualLayout>
      </c:layout>
      <c:overlay val="0"/>
    </c:title>
    <c:autoTitleDeleted val="0"/>
    <c:plotArea>
      <c:layout/>
      <c:scatterChart>
        <c:scatterStyle val="smoothMarker"/>
        <c:varyColors val="0"/>
        <c:ser>
          <c:idx val="1"/>
          <c:order val="0"/>
          <c:spPr>
            <a:ln>
              <a:solidFill>
                <a:srgbClr val="0070C0"/>
              </a:solidFill>
            </a:ln>
          </c:spPr>
          <c:marker>
            <c:symbol val="none"/>
          </c:marker>
          <c:xVal>
            <c:numRef>
              <c:f>'dati nascosti'!$AC$4:$AC$107</c:f>
              <c:numCache>
                <c:formatCode>0.00</c:formatCode>
                <c:ptCount val="104"/>
                <c:pt idx="0" formatCode="0.0">
                  <c:v>0</c:v>
                </c:pt>
                <c:pt idx="1">
                  <c:v>-0.67033184418127889</c:v>
                </c:pt>
                <c:pt idx="2">
                  <c:v>-0.67033184418127889</c:v>
                </c:pt>
                <c:pt idx="3">
                  <c:v>-0.67033184418127889</c:v>
                </c:pt>
                <c:pt idx="4">
                  <c:v>-0.67033184418127889</c:v>
                </c:pt>
                <c:pt idx="5">
                  <c:v>-0.67033184418127889</c:v>
                </c:pt>
                <c:pt idx="6">
                  <c:v>-0.67033184418127889</c:v>
                </c:pt>
                <c:pt idx="7">
                  <c:v>-0.67033184418127889</c:v>
                </c:pt>
                <c:pt idx="8">
                  <c:v>-0.67033184418127889</c:v>
                </c:pt>
                <c:pt idx="9">
                  <c:v>-0.67033184418127889</c:v>
                </c:pt>
                <c:pt idx="10">
                  <c:v>-0.67033184418127889</c:v>
                </c:pt>
                <c:pt idx="11">
                  <c:v>-0.67033184418127889</c:v>
                </c:pt>
                <c:pt idx="12">
                  <c:v>-0.67033184418127889</c:v>
                </c:pt>
                <c:pt idx="13">
                  <c:v>-0.67033184418127889</c:v>
                </c:pt>
                <c:pt idx="14">
                  <c:v>-0.67033184418127889</c:v>
                </c:pt>
                <c:pt idx="15">
                  <c:v>-0.67033184418127889</c:v>
                </c:pt>
                <c:pt idx="16">
                  <c:v>-0.67033184418127889</c:v>
                </c:pt>
                <c:pt idx="17">
                  <c:v>-0.67033184418127889</c:v>
                </c:pt>
                <c:pt idx="18">
                  <c:v>-0.67033184418127889</c:v>
                </c:pt>
                <c:pt idx="19">
                  <c:v>-0.67033184418127889</c:v>
                </c:pt>
                <c:pt idx="20">
                  <c:v>-0.67033184418127889</c:v>
                </c:pt>
                <c:pt idx="21">
                  <c:v>-0.67033184418127889</c:v>
                </c:pt>
                <c:pt idx="22">
                  <c:v>-0.67033184418127889</c:v>
                </c:pt>
                <c:pt idx="23">
                  <c:v>-0.67033184418127889</c:v>
                </c:pt>
                <c:pt idx="24">
                  <c:v>-0.67033184418127889</c:v>
                </c:pt>
                <c:pt idx="25">
                  <c:v>-0.67033184418127889</c:v>
                </c:pt>
                <c:pt idx="26">
                  <c:v>-0.67033184418127889</c:v>
                </c:pt>
                <c:pt idx="27">
                  <c:v>-0.67033184418127889</c:v>
                </c:pt>
                <c:pt idx="28">
                  <c:v>-0.67033184418127889</c:v>
                </c:pt>
                <c:pt idx="29">
                  <c:v>-0.67033184418127889</c:v>
                </c:pt>
                <c:pt idx="30">
                  <c:v>-0.67033184418127889</c:v>
                </c:pt>
                <c:pt idx="31">
                  <c:v>-0.67033184418127889</c:v>
                </c:pt>
                <c:pt idx="32">
                  <c:v>-0.67033184418127889</c:v>
                </c:pt>
                <c:pt idx="33">
                  <c:v>-0.67033184418127889</c:v>
                </c:pt>
                <c:pt idx="34">
                  <c:v>-0.67033184418127889</c:v>
                </c:pt>
                <c:pt idx="35">
                  <c:v>-0.67033184418127889</c:v>
                </c:pt>
                <c:pt idx="36">
                  <c:v>-0.67033184418127889</c:v>
                </c:pt>
                <c:pt idx="37">
                  <c:v>-0.67033184418127889</c:v>
                </c:pt>
                <c:pt idx="38">
                  <c:v>-0.67033184418127889</c:v>
                </c:pt>
                <c:pt idx="39">
                  <c:v>-0.67033184418127889</c:v>
                </c:pt>
                <c:pt idx="40">
                  <c:v>-0.67033184418127889</c:v>
                </c:pt>
                <c:pt idx="41">
                  <c:v>-0.67033184418127889</c:v>
                </c:pt>
                <c:pt idx="42">
                  <c:v>-0.67033184418127889</c:v>
                </c:pt>
                <c:pt idx="43">
                  <c:v>-0.67033184418127889</c:v>
                </c:pt>
                <c:pt idx="44">
                  <c:v>-0.67033184418127889</c:v>
                </c:pt>
                <c:pt idx="45">
                  <c:v>-0.67033184418127889</c:v>
                </c:pt>
                <c:pt idx="46">
                  <c:v>-0.67033184418127889</c:v>
                </c:pt>
                <c:pt idx="47">
                  <c:v>-0.67033184418127889</c:v>
                </c:pt>
                <c:pt idx="48">
                  <c:v>-0.67033184418127889</c:v>
                </c:pt>
                <c:pt idx="49">
                  <c:v>-0.67033184418127889</c:v>
                </c:pt>
                <c:pt idx="50">
                  <c:v>-0.67033184418127889</c:v>
                </c:pt>
                <c:pt idx="51">
                  <c:v>-0.67033184418127889</c:v>
                </c:pt>
                <c:pt idx="52">
                  <c:v>-0.67033184418127889</c:v>
                </c:pt>
                <c:pt idx="53">
                  <c:v>-0.67033184418127889</c:v>
                </c:pt>
                <c:pt idx="54">
                  <c:v>-0.67033184418127889</c:v>
                </c:pt>
                <c:pt idx="55">
                  <c:v>-0.67033184418127889</c:v>
                </c:pt>
                <c:pt idx="56">
                  <c:v>-0.67033184418127889</c:v>
                </c:pt>
                <c:pt idx="57">
                  <c:v>-0.67033184418127889</c:v>
                </c:pt>
                <c:pt idx="58">
                  <c:v>-0.67033184418127889</c:v>
                </c:pt>
                <c:pt idx="59">
                  <c:v>-0.67033184418127889</c:v>
                </c:pt>
                <c:pt idx="60">
                  <c:v>-0.67033184418127889</c:v>
                </c:pt>
                <c:pt idx="61">
                  <c:v>-0.67033184418127889</c:v>
                </c:pt>
                <c:pt idx="62">
                  <c:v>-0.67033184418127889</c:v>
                </c:pt>
                <c:pt idx="63">
                  <c:v>-0.67033184418127889</c:v>
                </c:pt>
                <c:pt idx="64">
                  <c:v>-0.67033184418127889</c:v>
                </c:pt>
                <c:pt idx="65">
                  <c:v>-0.67033184418127889</c:v>
                </c:pt>
                <c:pt idx="66">
                  <c:v>-0.67033184418127889</c:v>
                </c:pt>
                <c:pt idx="67">
                  <c:v>-0.67033184418127889</c:v>
                </c:pt>
                <c:pt idx="68">
                  <c:v>-0.67033184418127889</c:v>
                </c:pt>
                <c:pt idx="69">
                  <c:v>-0.67033184418127889</c:v>
                </c:pt>
                <c:pt idx="70">
                  <c:v>-0.67033184418127889</c:v>
                </c:pt>
                <c:pt idx="71">
                  <c:v>-0.67033184418127889</c:v>
                </c:pt>
                <c:pt idx="72">
                  <c:v>-0.67033184418127889</c:v>
                </c:pt>
                <c:pt idx="73">
                  <c:v>-0.67033184418127889</c:v>
                </c:pt>
                <c:pt idx="74">
                  <c:v>-0.67033184418127889</c:v>
                </c:pt>
                <c:pt idx="75">
                  <c:v>-0.67033184418127889</c:v>
                </c:pt>
                <c:pt idx="76">
                  <c:v>-0.67033184418127889</c:v>
                </c:pt>
                <c:pt idx="77">
                  <c:v>-0.67033184418127889</c:v>
                </c:pt>
                <c:pt idx="78">
                  <c:v>-0.67033184418127889</c:v>
                </c:pt>
                <c:pt idx="79">
                  <c:v>-0.67033184418127889</c:v>
                </c:pt>
                <c:pt idx="80">
                  <c:v>-0.67033184418127889</c:v>
                </c:pt>
                <c:pt idx="81">
                  <c:v>-0.67033184418127889</c:v>
                </c:pt>
                <c:pt idx="82">
                  <c:v>-0.67033184418127889</c:v>
                </c:pt>
                <c:pt idx="83">
                  <c:v>-0.67033184418127889</c:v>
                </c:pt>
                <c:pt idx="84">
                  <c:v>-0.67033184418127889</c:v>
                </c:pt>
                <c:pt idx="85">
                  <c:v>-0.67418386325199964</c:v>
                </c:pt>
                <c:pt idx="86">
                  <c:v>-0.67798161761308395</c:v>
                </c:pt>
                <c:pt idx="87">
                  <c:v>-0.68172671095081683</c:v>
                </c:pt>
                <c:pt idx="88">
                  <c:v>-0.68542067533358464</c:v>
                </c:pt>
                <c:pt idx="89">
                  <c:v>-0.68906497546205103</c:v>
                </c:pt>
                <c:pt idx="90">
                  <c:v>-0.69266101260647239</c:v>
                </c:pt>
                <c:pt idx="91">
                  <c:v>-0.69621012825851702</c:v>
                </c:pt>
                <c:pt idx="92">
                  <c:v>-0.69971360752219247</c:v>
                </c:pt>
                <c:pt idx="93">
                  <c:v>-0.7031726822660358</c:v>
                </c:pt>
                <c:pt idx="94">
                  <c:v>-0.70658853405654953</c:v>
                </c:pt>
                <c:pt idx="95">
                  <c:v>-0.70996229689093893</c:v>
                </c:pt>
                <c:pt idx="96">
                  <c:v>-0.71329505974548268</c:v>
                </c:pt>
                <c:pt idx="97">
                  <c:v>-0.71658786895432958</c:v>
                </c:pt>
                <c:pt idx="98">
                  <c:v>-0.71984173043215383</c:v>
                </c:pt>
                <c:pt idx="99">
                  <c:v>-0.72305761175285943</c:v>
                </c:pt>
                <c:pt idx="100">
                  <c:v>-0.72623644409543486</c:v>
                </c:pt>
                <c:pt idx="101">
                  <c:v>-0.72937912406706229</c:v>
                </c:pt>
                <c:pt idx="102">
                  <c:v>-0.73248651541270149</c:v>
                </c:pt>
                <c:pt idx="103">
                  <c:v>0</c:v>
                </c:pt>
              </c:numCache>
            </c:numRef>
          </c:xVal>
          <c:yVal>
            <c:numRef>
              <c:f>'dati nascosti'!$X$4:$X$107</c:f>
              <c:numCache>
                <c:formatCode>0.00</c:formatCode>
                <c:ptCount val="104"/>
                <c:pt idx="0">
                  <c:v>0</c:v>
                </c:pt>
                <c:pt idx="1">
                  <c:v>0</c:v>
                </c:pt>
                <c:pt idx="2">
                  <c:v>5.7142857142857141E-2</c:v>
                </c:pt>
                <c:pt idx="3">
                  <c:v>0.11428571428571428</c:v>
                </c:pt>
                <c:pt idx="4">
                  <c:v>0.17142857142857143</c:v>
                </c:pt>
                <c:pt idx="5">
                  <c:v>0.22857142857142856</c:v>
                </c:pt>
                <c:pt idx="6">
                  <c:v>0.2857142857142857</c:v>
                </c:pt>
                <c:pt idx="7">
                  <c:v>0.34285714285714286</c:v>
                </c:pt>
                <c:pt idx="8">
                  <c:v>0.39999999999999997</c:v>
                </c:pt>
                <c:pt idx="9">
                  <c:v>0.45714285714285713</c:v>
                </c:pt>
                <c:pt idx="10">
                  <c:v>0.51428571428571423</c:v>
                </c:pt>
                <c:pt idx="11">
                  <c:v>0.5714285714285714</c:v>
                </c:pt>
                <c:pt idx="12">
                  <c:v>0.62857142857142856</c:v>
                </c:pt>
                <c:pt idx="13">
                  <c:v>0.68571428571428572</c:v>
                </c:pt>
                <c:pt idx="14">
                  <c:v>0.74285714285714288</c:v>
                </c:pt>
                <c:pt idx="15">
                  <c:v>0.79999999999999993</c:v>
                </c:pt>
                <c:pt idx="16">
                  <c:v>0.8571428571428571</c:v>
                </c:pt>
                <c:pt idx="17">
                  <c:v>0.91428571428571426</c:v>
                </c:pt>
                <c:pt idx="18">
                  <c:v>0.97142857142857142</c:v>
                </c:pt>
                <c:pt idx="19">
                  <c:v>1.0285714285714285</c:v>
                </c:pt>
                <c:pt idx="20">
                  <c:v>1.0857142857142856</c:v>
                </c:pt>
                <c:pt idx="21">
                  <c:v>1.1428571428571428</c:v>
                </c:pt>
                <c:pt idx="22">
                  <c:v>1.2</c:v>
                </c:pt>
                <c:pt idx="23">
                  <c:v>1.2571428571428571</c:v>
                </c:pt>
                <c:pt idx="24">
                  <c:v>1.3142857142857143</c:v>
                </c:pt>
                <c:pt idx="25">
                  <c:v>1.3714285714285714</c:v>
                </c:pt>
                <c:pt idx="26">
                  <c:v>1.4285714285714286</c:v>
                </c:pt>
                <c:pt idx="27">
                  <c:v>1.4857142857142858</c:v>
                </c:pt>
                <c:pt idx="28">
                  <c:v>1.5428571428571427</c:v>
                </c:pt>
                <c:pt idx="29">
                  <c:v>1.5999999999999999</c:v>
                </c:pt>
                <c:pt idx="30">
                  <c:v>1.657142857142857</c:v>
                </c:pt>
                <c:pt idx="31">
                  <c:v>1.7142857142857142</c:v>
                </c:pt>
                <c:pt idx="32">
                  <c:v>1.7714285714285714</c:v>
                </c:pt>
                <c:pt idx="33">
                  <c:v>1.8285714285714285</c:v>
                </c:pt>
                <c:pt idx="34">
                  <c:v>1.8857142857142857</c:v>
                </c:pt>
                <c:pt idx="35">
                  <c:v>1.9428571428571428</c:v>
                </c:pt>
                <c:pt idx="36">
                  <c:v>2</c:v>
                </c:pt>
                <c:pt idx="37">
                  <c:v>2.0571428571428569</c:v>
                </c:pt>
                <c:pt idx="38">
                  <c:v>2.1142857142857143</c:v>
                </c:pt>
                <c:pt idx="39">
                  <c:v>2.1714285714285713</c:v>
                </c:pt>
                <c:pt idx="40">
                  <c:v>2.2285714285714286</c:v>
                </c:pt>
                <c:pt idx="41">
                  <c:v>2.2857142857142856</c:v>
                </c:pt>
                <c:pt idx="42">
                  <c:v>2.342857142857143</c:v>
                </c:pt>
                <c:pt idx="43">
                  <c:v>2.4</c:v>
                </c:pt>
                <c:pt idx="44">
                  <c:v>2.4571428571428569</c:v>
                </c:pt>
                <c:pt idx="45">
                  <c:v>2.5142857142857142</c:v>
                </c:pt>
                <c:pt idx="46">
                  <c:v>2.5714285714285712</c:v>
                </c:pt>
                <c:pt idx="47">
                  <c:v>2.6285714285714286</c:v>
                </c:pt>
                <c:pt idx="48">
                  <c:v>2.6857142857142855</c:v>
                </c:pt>
                <c:pt idx="49">
                  <c:v>2.7428571428571429</c:v>
                </c:pt>
                <c:pt idx="50">
                  <c:v>2.8</c:v>
                </c:pt>
                <c:pt idx="51">
                  <c:v>2.8571428571428572</c:v>
                </c:pt>
                <c:pt idx="52">
                  <c:v>2.9142857142857141</c:v>
                </c:pt>
                <c:pt idx="53">
                  <c:v>2.9714285714285715</c:v>
                </c:pt>
                <c:pt idx="54">
                  <c:v>3.0285714285714285</c:v>
                </c:pt>
                <c:pt idx="55">
                  <c:v>3.0857142857142854</c:v>
                </c:pt>
                <c:pt idx="56">
                  <c:v>3.1428571428571428</c:v>
                </c:pt>
                <c:pt idx="57">
                  <c:v>3.1999999999999997</c:v>
                </c:pt>
                <c:pt idx="58">
                  <c:v>3.2571428571428571</c:v>
                </c:pt>
                <c:pt idx="59">
                  <c:v>3.3142857142857141</c:v>
                </c:pt>
                <c:pt idx="60">
                  <c:v>3.3714285714285714</c:v>
                </c:pt>
                <c:pt idx="61">
                  <c:v>3.4285714285714284</c:v>
                </c:pt>
                <c:pt idx="62">
                  <c:v>3.4857142857142858</c:v>
                </c:pt>
                <c:pt idx="63">
                  <c:v>3.5428571428571427</c:v>
                </c:pt>
                <c:pt idx="64">
                  <c:v>3.6</c:v>
                </c:pt>
                <c:pt idx="65">
                  <c:v>3.657142857142857</c:v>
                </c:pt>
                <c:pt idx="66">
                  <c:v>3.714285714285714</c:v>
                </c:pt>
                <c:pt idx="67">
                  <c:v>3.7714285714285714</c:v>
                </c:pt>
                <c:pt idx="68">
                  <c:v>3.8285714285714283</c:v>
                </c:pt>
                <c:pt idx="69">
                  <c:v>3.8857142857142857</c:v>
                </c:pt>
                <c:pt idx="70">
                  <c:v>3.9428571428571426</c:v>
                </c:pt>
                <c:pt idx="71">
                  <c:v>4</c:v>
                </c:pt>
                <c:pt idx="72">
                  <c:v>4</c:v>
                </c:pt>
                <c:pt idx="73">
                  <c:v>4.083333333333333</c:v>
                </c:pt>
                <c:pt idx="74">
                  <c:v>4.166666666666667</c:v>
                </c:pt>
                <c:pt idx="75">
                  <c:v>4.25</c:v>
                </c:pt>
                <c:pt idx="76">
                  <c:v>4.333333333333333</c:v>
                </c:pt>
                <c:pt idx="77">
                  <c:v>4.416666666666667</c:v>
                </c:pt>
                <c:pt idx="78">
                  <c:v>4.5</c:v>
                </c:pt>
                <c:pt idx="79">
                  <c:v>4.583333333333333</c:v>
                </c:pt>
                <c:pt idx="80">
                  <c:v>4.666666666666667</c:v>
                </c:pt>
                <c:pt idx="81">
                  <c:v>4.75</c:v>
                </c:pt>
                <c:pt idx="82">
                  <c:v>4.833333333333333</c:v>
                </c:pt>
                <c:pt idx="83">
                  <c:v>4.916666666666667</c:v>
                </c:pt>
                <c:pt idx="84">
                  <c:v>5</c:v>
                </c:pt>
                <c:pt idx="85">
                  <c:v>5.083333333333333</c:v>
                </c:pt>
                <c:pt idx="86">
                  <c:v>5.1666666666666661</c:v>
                </c:pt>
                <c:pt idx="87">
                  <c:v>5.25</c:v>
                </c:pt>
                <c:pt idx="88">
                  <c:v>5.333333333333333</c:v>
                </c:pt>
                <c:pt idx="89">
                  <c:v>5.4166666666666661</c:v>
                </c:pt>
                <c:pt idx="90">
                  <c:v>5.5</c:v>
                </c:pt>
                <c:pt idx="91">
                  <c:v>5.583333333333333</c:v>
                </c:pt>
                <c:pt idx="92">
                  <c:v>5.6666666666666661</c:v>
                </c:pt>
                <c:pt idx="93">
                  <c:v>5.75</c:v>
                </c:pt>
                <c:pt idx="94">
                  <c:v>5.833333333333333</c:v>
                </c:pt>
                <c:pt idx="95">
                  <c:v>5.9166666666666661</c:v>
                </c:pt>
                <c:pt idx="96">
                  <c:v>6</c:v>
                </c:pt>
                <c:pt idx="97">
                  <c:v>6.083333333333333</c:v>
                </c:pt>
                <c:pt idx="98">
                  <c:v>6.1666666666666661</c:v>
                </c:pt>
                <c:pt idx="99">
                  <c:v>6.25</c:v>
                </c:pt>
                <c:pt idx="100">
                  <c:v>6.333333333333333</c:v>
                </c:pt>
                <c:pt idx="101">
                  <c:v>6.4166666666666661</c:v>
                </c:pt>
                <c:pt idx="102">
                  <c:v>6.5</c:v>
                </c:pt>
                <c:pt idx="103">
                  <c:v>6.5</c:v>
                </c:pt>
              </c:numCache>
            </c:numRef>
          </c:yVal>
          <c:smooth val="1"/>
          <c:extLst>
            <c:ext xmlns:c16="http://schemas.microsoft.com/office/drawing/2014/chart" uri="{C3380CC4-5D6E-409C-BE32-E72D297353CC}">
              <c16:uniqueId val="{00000000-5907-4DEE-9FF5-7AF8DC2A7AEF}"/>
            </c:ext>
          </c:extLst>
        </c:ser>
        <c:dLbls>
          <c:showLegendKey val="0"/>
          <c:showVal val="0"/>
          <c:showCatName val="0"/>
          <c:showSerName val="0"/>
          <c:showPercent val="0"/>
          <c:showBubbleSize val="0"/>
        </c:dLbls>
        <c:axId val="1105862336"/>
        <c:axId val="1105855808"/>
      </c:scatterChart>
      <c:valAx>
        <c:axId val="1105862336"/>
        <c:scaling>
          <c:orientation val="minMax"/>
        </c:scaling>
        <c:delete val="0"/>
        <c:axPos val="b"/>
        <c:title>
          <c:tx>
            <c:rich>
              <a:bodyPr/>
              <a:lstStyle/>
              <a:p>
                <a:pPr>
                  <a:defRPr/>
                </a:pPr>
                <a:r>
                  <a:rPr lang="it-IT"/>
                  <a:t>Pressione del vento [kN/m²]</a:t>
                </a:r>
              </a:p>
            </c:rich>
          </c:tx>
          <c:layout>
            <c:manualLayout>
              <c:xMode val="edge"/>
              <c:yMode val="edge"/>
              <c:x val="0.34484976227930053"/>
              <c:y val="0.9170204977586931"/>
            </c:manualLayout>
          </c:layout>
          <c:overlay val="0"/>
        </c:title>
        <c:numFmt formatCode="0.0" sourceLinked="1"/>
        <c:majorTickMark val="out"/>
        <c:minorTickMark val="none"/>
        <c:tickLblPos val="nextTo"/>
        <c:crossAx val="1105855808"/>
        <c:crosses val="autoZero"/>
        <c:crossBetween val="midCat"/>
      </c:valAx>
      <c:valAx>
        <c:axId val="1105855808"/>
        <c:scaling>
          <c:orientation val="minMax"/>
        </c:scaling>
        <c:delete val="0"/>
        <c:axPos val="l"/>
        <c:majorGridlines/>
        <c:title>
          <c:tx>
            <c:rich>
              <a:bodyPr/>
              <a:lstStyle/>
              <a:p>
                <a:pPr>
                  <a:defRPr/>
                </a:pPr>
                <a:r>
                  <a:rPr lang="it-IT"/>
                  <a:t>Quota del fabbricato [m]</a:t>
                </a:r>
              </a:p>
            </c:rich>
          </c:tx>
          <c:overlay val="0"/>
        </c:title>
        <c:numFmt formatCode="0.00" sourceLinked="1"/>
        <c:majorTickMark val="out"/>
        <c:minorTickMark val="none"/>
        <c:tickLblPos val="nextTo"/>
        <c:crossAx val="1105862336"/>
        <c:crosses val="autoZero"/>
        <c:crossBetween val="midCat"/>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66421697287838"/>
          <c:y val="0.16836402682356177"/>
          <c:w val="0.79952230971128591"/>
          <c:h val="0.70006262310144074"/>
        </c:manualLayout>
      </c:layout>
      <c:scatterChart>
        <c:scatterStyle val="smoothMarker"/>
        <c:varyColors val="0"/>
        <c:ser>
          <c:idx val="1"/>
          <c:order val="0"/>
          <c:spPr>
            <a:ln>
              <a:solidFill>
                <a:schemeClr val="tx1"/>
              </a:solidFill>
            </a:ln>
          </c:spPr>
          <c:marker>
            <c:symbol val="none"/>
          </c:marker>
          <c:xVal>
            <c:numRef>
              <c:f>'dati nascosti'!$Y$5:$Y$106</c:f>
              <c:numCache>
                <c:formatCode>0.000</c:formatCode>
                <c:ptCount val="102"/>
                <c:pt idx="0">
                  <c:v>1.7075234013198439</c:v>
                </c:pt>
                <c:pt idx="1">
                  <c:v>1.7075234013198439</c:v>
                </c:pt>
                <c:pt idx="2">
                  <c:v>1.7075234013198439</c:v>
                </c:pt>
                <c:pt idx="3">
                  <c:v>1.7075234013198439</c:v>
                </c:pt>
                <c:pt idx="4">
                  <c:v>1.7075234013198439</c:v>
                </c:pt>
                <c:pt idx="5">
                  <c:v>1.7075234013198439</c:v>
                </c:pt>
                <c:pt idx="6">
                  <c:v>1.7075234013198439</c:v>
                </c:pt>
                <c:pt idx="7">
                  <c:v>1.7075234013198439</c:v>
                </c:pt>
                <c:pt idx="8">
                  <c:v>1.7075234013198439</c:v>
                </c:pt>
                <c:pt idx="9">
                  <c:v>1.7075234013198439</c:v>
                </c:pt>
                <c:pt idx="10">
                  <c:v>1.7075234013198439</c:v>
                </c:pt>
                <c:pt idx="11">
                  <c:v>1.7075234013198439</c:v>
                </c:pt>
                <c:pt idx="12">
                  <c:v>1.7075234013198439</c:v>
                </c:pt>
                <c:pt idx="13">
                  <c:v>1.7075234013198439</c:v>
                </c:pt>
                <c:pt idx="14">
                  <c:v>1.7075234013198439</c:v>
                </c:pt>
                <c:pt idx="15">
                  <c:v>1.7075234013198439</c:v>
                </c:pt>
                <c:pt idx="16">
                  <c:v>1.7075234013198439</c:v>
                </c:pt>
                <c:pt idx="17">
                  <c:v>1.7075234013198439</c:v>
                </c:pt>
                <c:pt idx="18">
                  <c:v>1.7075234013198439</c:v>
                </c:pt>
                <c:pt idx="19">
                  <c:v>1.7075234013198439</c:v>
                </c:pt>
                <c:pt idx="20">
                  <c:v>1.7075234013198439</c:v>
                </c:pt>
                <c:pt idx="21">
                  <c:v>1.7075234013198439</c:v>
                </c:pt>
                <c:pt idx="22">
                  <c:v>1.7075234013198439</c:v>
                </c:pt>
                <c:pt idx="23">
                  <c:v>1.7075234013198439</c:v>
                </c:pt>
                <c:pt idx="24">
                  <c:v>1.7075234013198439</c:v>
                </c:pt>
                <c:pt idx="25">
                  <c:v>1.7075234013198439</c:v>
                </c:pt>
                <c:pt idx="26">
                  <c:v>1.7075234013198439</c:v>
                </c:pt>
                <c:pt idx="27">
                  <c:v>1.7075234013198439</c:v>
                </c:pt>
                <c:pt idx="28">
                  <c:v>1.7075234013198439</c:v>
                </c:pt>
                <c:pt idx="29">
                  <c:v>1.7075234013198439</c:v>
                </c:pt>
                <c:pt idx="30">
                  <c:v>1.7075234013198439</c:v>
                </c:pt>
                <c:pt idx="31">
                  <c:v>1.7075234013198439</c:v>
                </c:pt>
                <c:pt idx="32">
                  <c:v>1.7075234013198439</c:v>
                </c:pt>
                <c:pt idx="33">
                  <c:v>1.7075234013198439</c:v>
                </c:pt>
                <c:pt idx="34">
                  <c:v>1.7075234013198439</c:v>
                </c:pt>
                <c:pt idx="35">
                  <c:v>1.7075234013198439</c:v>
                </c:pt>
                <c:pt idx="36">
                  <c:v>1.7075234013198439</c:v>
                </c:pt>
                <c:pt idx="37">
                  <c:v>1.7075234013198439</c:v>
                </c:pt>
                <c:pt idx="38">
                  <c:v>1.7075234013198439</c:v>
                </c:pt>
                <c:pt idx="39">
                  <c:v>1.7075234013198439</c:v>
                </c:pt>
                <c:pt idx="40">
                  <c:v>1.7075234013198439</c:v>
                </c:pt>
                <c:pt idx="41">
                  <c:v>1.7075234013198439</c:v>
                </c:pt>
                <c:pt idx="42">
                  <c:v>1.7075234013198439</c:v>
                </c:pt>
                <c:pt idx="43">
                  <c:v>1.7075234013198439</c:v>
                </c:pt>
                <c:pt idx="44">
                  <c:v>1.7075234013198439</c:v>
                </c:pt>
                <c:pt idx="45">
                  <c:v>1.7075234013198439</c:v>
                </c:pt>
                <c:pt idx="46">
                  <c:v>1.7075234013198439</c:v>
                </c:pt>
                <c:pt idx="47">
                  <c:v>1.7075234013198439</c:v>
                </c:pt>
                <c:pt idx="48">
                  <c:v>1.7075234013198439</c:v>
                </c:pt>
                <c:pt idx="49">
                  <c:v>1.7075234013198439</c:v>
                </c:pt>
                <c:pt idx="50">
                  <c:v>1.7075234013198439</c:v>
                </c:pt>
                <c:pt idx="51">
                  <c:v>1.7075234013198439</c:v>
                </c:pt>
                <c:pt idx="52">
                  <c:v>1.7075234013198439</c:v>
                </c:pt>
                <c:pt idx="53">
                  <c:v>1.7075234013198439</c:v>
                </c:pt>
                <c:pt idx="54">
                  <c:v>1.7075234013198439</c:v>
                </c:pt>
                <c:pt idx="55">
                  <c:v>1.7075234013198439</c:v>
                </c:pt>
                <c:pt idx="56">
                  <c:v>1.7075234013198439</c:v>
                </c:pt>
                <c:pt idx="57">
                  <c:v>1.7075234013198439</c:v>
                </c:pt>
                <c:pt idx="58">
                  <c:v>1.7075234013198439</c:v>
                </c:pt>
                <c:pt idx="59">
                  <c:v>1.7075234013198439</c:v>
                </c:pt>
                <c:pt idx="60">
                  <c:v>1.7075234013198439</c:v>
                </c:pt>
                <c:pt idx="61">
                  <c:v>1.7075234013198439</c:v>
                </c:pt>
                <c:pt idx="62">
                  <c:v>1.7075234013198439</c:v>
                </c:pt>
                <c:pt idx="63">
                  <c:v>1.7075234013198439</c:v>
                </c:pt>
                <c:pt idx="64">
                  <c:v>1.7075234013198439</c:v>
                </c:pt>
                <c:pt idx="65">
                  <c:v>1.7075234013198439</c:v>
                </c:pt>
                <c:pt idx="66">
                  <c:v>1.7075234013198439</c:v>
                </c:pt>
                <c:pt idx="67">
                  <c:v>1.7075234013198439</c:v>
                </c:pt>
                <c:pt idx="68">
                  <c:v>1.7075234013198439</c:v>
                </c:pt>
                <c:pt idx="69">
                  <c:v>1.7075234013198439</c:v>
                </c:pt>
                <c:pt idx="70">
                  <c:v>1.7075234013198439</c:v>
                </c:pt>
                <c:pt idx="71">
                  <c:v>1.7075234013198439</c:v>
                </c:pt>
                <c:pt idx="72">
                  <c:v>1.7075234013198439</c:v>
                </c:pt>
                <c:pt idx="73">
                  <c:v>1.7075234013198439</c:v>
                </c:pt>
                <c:pt idx="74">
                  <c:v>1.7075234013198439</c:v>
                </c:pt>
                <c:pt idx="75">
                  <c:v>1.7075234013198439</c:v>
                </c:pt>
                <c:pt idx="76">
                  <c:v>1.7075234013198439</c:v>
                </c:pt>
                <c:pt idx="77">
                  <c:v>1.7075234013198439</c:v>
                </c:pt>
                <c:pt idx="78">
                  <c:v>1.7075234013198439</c:v>
                </c:pt>
                <c:pt idx="79">
                  <c:v>1.7075234013198439</c:v>
                </c:pt>
                <c:pt idx="80">
                  <c:v>1.7075234013198439</c:v>
                </c:pt>
                <c:pt idx="81">
                  <c:v>1.7075234013198439</c:v>
                </c:pt>
                <c:pt idx="82">
                  <c:v>1.7075234013198439</c:v>
                </c:pt>
                <c:pt idx="83">
                  <c:v>1.7075234013198439</c:v>
                </c:pt>
                <c:pt idx="84">
                  <c:v>1.7173355753388466</c:v>
                </c:pt>
                <c:pt idx="85">
                  <c:v>1.727009521907708</c:v>
                </c:pt>
                <c:pt idx="86">
                  <c:v>1.7365493260656268</c:v>
                </c:pt>
                <c:pt idx="87">
                  <c:v>1.745958890420908</c:v>
                </c:pt>
                <c:pt idx="88">
                  <c:v>1.7552419459773534</c:v>
                </c:pt>
                <c:pt idx="89">
                  <c:v>1.7644020621637093</c:v>
                </c:pt>
                <c:pt idx="90">
                  <c:v>1.7734426561358763</c:v>
                </c:pt>
                <c:pt idx="91">
                  <c:v>1.7823670014145514</c:v>
                </c:pt>
                <c:pt idx="92">
                  <c:v>1.7911782359147428</c:v>
                </c:pt>
                <c:pt idx="93">
                  <c:v>1.7998793694180542</c:v>
                </c:pt>
                <c:pt idx="94">
                  <c:v>1.8084732905337355</c:v>
                </c:pt>
                <c:pt idx="95">
                  <c:v>1.8169627731900959</c:v>
                </c:pt>
                <c:pt idx="96">
                  <c:v>1.8253504826939682</c:v>
                </c:pt>
                <c:pt idx="97">
                  <c:v>1.8336389813924361</c:v>
                </c:pt>
                <c:pt idx="98">
                  <c:v>1.8418307339678772</c:v>
                </c:pt>
                <c:pt idx="99">
                  <c:v>1.8499281123946016</c:v>
                </c:pt>
                <c:pt idx="100">
                  <c:v>1.857933400582823</c:v>
                </c:pt>
                <c:pt idx="101">
                  <c:v>1.8658487987334482</c:v>
                </c:pt>
              </c:numCache>
            </c:numRef>
          </c:xVal>
          <c:yVal>
            <c:numRef>
              <c:f>'dati nascosti'!$X$5:$X$106</c:f>
              <c:numCache>
                <c:formatCode>0.00</c:formatCode>
                <c:ptCount val="102"/>
                <c:pt idx="0">
                  <c:v>0</c:v>
                </c:pt>
                <c:pt idx="1">
                  <c:v>5.7142857142857141E-2</c:v>
                </c:pt>
                <c:pt idx="2">
                  <c:v>0.11428571428571428</c:v>
                </c:pt>
                <c:pt idx="3">
                  <c:v>0.17142857142857143</c:v>
                </c:pt>
                <c:pt idx="4">
                  <c:v>0.22857142857142856</c:v>
                </c:pt>
                <c:pt idx="5">
                  <c:v>0.2857142857142857</c:v>
                </c:pt>
                <c:pt idx="6">
                  <c:v>0.34285714285714286</c:v>
                </c:pt>
                <c:pt idx="7">
                  <c:v>0.39999999999999997</c:v>
                </c:pt>
                <c:pt idx="8">
                  <c:v>0.45714285714285713</c:v>
                </c:pt>
                <c:pt idx="9">
                  <c:v>0.51428571428571423</c:v>
                </c:pt>
                <c:pt idx="10">
                  <c:v>0.5714285714285714</c:v>
                </c:pt>
                <c:pt idx="11">
                  <c:v>0.62857142857142856</c:v>
                </c:pt>
                <c:pt idx="12">
                  <c:v>0.68571428571428572</c:v>
                </c:pt>
                <c:pt idx="13">
                  <c:v>0.74285714285714288</c:v>
                </c:pt>
                <c:pt idx="14">
                  <c:v>0.79999999999999993</c:v>
                </c:pt>
                <c:pt idx="15">
                  <c:v>0.8571428571428571</c:v>
                </c:pt>
                <c:pt idx="16">
                  <c:v>0.91428571428571426</c:v>
                </c:pt>
                <c:pt idx="17">
                  <c:v>0.97142857142857142</c:v>
                </c:pt>
                <c:pt idx="18">
                  <c:v>1.0285714285714285</c:v>
                </c:pt>
                <c:pt idx="19">
                  <c:v>1.0857142857142856</c:v>
                </c:pt>
                <c:pt idx="20">
                  <c:v>1.1428571428571428</c:v>
                </c:pt>
                <c:pt idx="21">
                  <c:v>1.2</c:v>
                </c:pt>
                <c:pt idx="22">
                  <c:v>1.2571428571428571</c:v>
                </c:pt>
                <c:pt idx="23">
                  <c:v>1.3142857142857143</c:v>
                </c:pt>
                <c:pt idx="24">
                  <c:v>1.3714285714285714</c:v>
                </c:pt>
                <c:pt idx="25">
                  <c:v>1.4285714285714286</c:v>
                </c:pt>
                <c:pt idx="26">
                  <c:v>1.4857142857142858</c:v>
                </c:pt>
                <c:pt idx="27">
                  <c:v>1.5428571428571427</c:v>
                </c:pt>
                <c:pt idx="28">
                  <c:v>1.5999999999999999</c:v>
                </c:pt>
                <c:pt idx="29">
                  <c:v>1.657142857142857</c:v>
                </c:pt>
                <c:pt idx="30">
                  <c:v>1.7142857142857142</c:v>
                </c:pt>
                <c:pt idx="31">
                  <c:v>1.7714285714285714</c:v>
                </c:pt>
                <c:pt idx="32">
                  <c:v>1.8285714285714285</c:v>
                </c:pt>
                <c:pt idx="33">
                  <c:v>1.8857142857142857</c:v>
                </c:pt>
                <c:pt idx="34">
                  <c:v>1.9428571428571428</c:v>
                </c:pt>
                <c:pt idx="35">
                  <c:v>2</c:v>
                </c:pt>
                <c:pt idx="36">
                  <c:v>2.0571428571428569</c:v>
                </c:pt>
                <c:pt idx="37">
                  <c:v>2.1142857142857143</c:v>
                </c:pt>
                <c:pt idx="38">
                  <c:v>2.1714285714285713</c:v>
                </c:pt>
                <c:pt idx="39">
                  <c:v>2.2285714285714286</c:v>
                </c:pt>
                <c:pt idx="40">
                  <c:v>2.2857142857142856</c:v>
                </c:pt>
                <c:pt idx="41">
                  <c:v>2.342857142857143</c:v>
                </c:pt>
                <c:pt idx="42">
                  <c:v>2.4</c:v>
                </c:pt>
                <c:pt idx="43">
                  <c:v>2.4571428571428569</c:v>
                </c:pt>
                <c:pt idx="44">
                  <c:v>2.5142857142857142</c:v>
                </c:pt>
                <c:pt idx="45">
                  <c:v>2.5714285714285712</c:v>
                </c:pt>
                <c:pt idx="46">
                  <c:v>2.6285714285714286</c:v>
                </c:pt>
                <c:pt idx="47">
                  <c:v>2.6857142857142855</c:v>
                </c:pt>
                <c:pt idx="48">
                  <c:v>2.7428571428571429</c:v>
                </c:pt>
                <c:pt idx="49">
                  <c:v>2.8</c:v>
                </c:pt>
                <c:pt idx="50">
                  <c:v>2.8571428571428572</c:v>
                </c:pt>
                <c:pt idx="51">
                  <c:v>2.9142857142857141</c:v>
                </c:pt>
                <c:pt idx="52">
                  <c:v>2.9714285714285715</c:v>
                </c:pt>
                <c:pt idx="53">
                  <c:v>3.0285714285714285</c:v>
                </c:pt>
                <c:pt idx="54">
                  <c:v>3.0857142857142854</c:v>
                </c:pt>
                <c:pt idx="55">
                  <c:v>3.1428571428571428</c:v>
                </c:pt>
                <c:pt idx="56">
                  <c:v>3.1999999999999997</c:v>
                </c:pt>
                <c:pt idx="57">
                  <c:v>3.2571428571428571</c:v>
                </c:pt>
                <c:pt idx="58">
                  <c:v>3.3142857142857141</c:v>
                </c:pt>
                <c:pt idx="59">
                  <c:v>3.3714285714285714</c:v>
                </c:pt>
                <c:pt idx="60">
                  <c:v>3.4285714285714284</c:v>
                </c:pt>
                <c:pt idx="61">
                  <c:v>3.4857142857142858</c:v>
                </c:pt>
                <c:pt idx="62">
                  <c:v>3.5428571428571427</c:v>
                </c:pt>
                <c:pt idx="63">
                  <c:v>3.6</c:v>
                </c:pt>
                <c:pt idx="64">
                  <c:v>3.657142857142857</c:v>
                </c:pt>
                <c:pt idx="65">
                  <c:v>3.714285714285714</c:v>
                </c:pt>
                <c:pt idx="66">
                  <c:v>3.7714285714285714</c:v>
                </c:pt>
                <c:pt idx="67">
                  <c:v>3.8285714285714283</c:v>
                </c:pt>
                <c:pt idx="68">
                  <c:v>3.8857142857142857</c:v>
                </c:pt>
                <c:pt idx="69">
                  <c:v>3.9428571428571426</c:v>
                </c:pt>
                <c:pt idx="70">
                  <c:v>4</c:v>
                </c:pt>
                <c:pt idx="71">
                  <c:v>4</c:v>
                </c:pt>
                <c:pt idx="72">
                  <c:v>4.083333333333333</c:v>
                </c:pt>
                <c:pt idx="73">
                  <c:v>4.166666666666667</c:v>
                </c:pt>
                <c:pt idx="74">
                  <c:v>4.25</c:v>
                </c:pt>
                <c:pt idx="75">
                  <c:v>4.333333333333333</c:v>
                </c:pt>
                <c:pt idx="76">
                  <c:v>4.416666666666667</c:v>
                </c:pt>
                <c:pt idx="77">
                  <c:v>4.5</c:v>
                </c:pt>
                <c:pt idx="78">
                  <c:v>4.583333333333333</c:v>
                </c:pt>
                <c:pt idx="79">
                  <c:v>4.666666666666667</c:v>
                </c:pt>
                <c:pt idx="80">
                  <c:v>4.75</c:v>
                </c:pt>
                <c:pt idx="81">
                  <c:v>4.833333333333333</c:v>
                </c:pt>
                <c:pt idx="82">
                  <c:v>4.916666666666667</c:v>
                </c:pt>
                <c:pt idx="83">
                  <c:v>5</c:v>
                </c:pt>
                <c:pt idx="84">
                  <c:v>5.083333333333333</c:v>
                </c:pt>
                <c:pt idx="85">
                  <c:v>5.1666666666666661</c:v>
                </c:pt>
                <c:pt idx="86">
                  <c:v>5.25</c:v>
                </c:pt>
                <c:pt idx="87">
                  <c:v>5.333333333333333</c:v>
                </c:pt>
                <c:pt idx="88">
                  <c:v>5.4166666666666661</c:v>
                </c:pt>
                <c:pt idx="89">
                  <c:v>5.5</c:v>
                </c:pt>
                <c:pt idx="90">
                  <c:v>5.583333333333333</c:v>
                </c:pt>
                <c:pt idx="91">
                  <c:v>5.6666666666666661</c:v>
                </c:pt>
                <c:pt idx="92">
                  <c:v>5.75</c:v>
                </c:pt>
                <c:pt idx="93">
                  <c:v>5.833333333333333</c:v>
                </c:pt>
                <c:pt idx="94">
                  <c:v>5.9166666666666661</c:v>
                </c:pt>
                <c:pt idx="95">
                  <c:v>6</c:v>
                </c:pt>
                <c:pt idx="96">
                  <c:v>6.083333333333333</c:v>
                </c:pt>
                <c:pt idx="97">
                  <c:v>6.1666666666666661</c:v>
                </c:pt>
                <c:pt idx="98">
                  <c:v>6.25</c:v>
                </c:pt>
                <c:pt idx="99">
                  <c:v>6.333333333333333</c:v>
                </c:pt>
                <c:pt idx="100">
                  <c:v>6.4166666666666661</c:v>
                </c:pt>
                <c:pt idx="101">
                  <c:v>6.5</c:v>
                </c:pt>
              </c:numCache>
            </c:numRef>
          </c:yVal>
          <c:smooth val="1"/>
          <c:extLst>
            <c:ext xmlns:c16="http://schemas.microsoft.com/office/drawing/2014/chart" uri="{C3380CC4-5D6E-409C-BE32-E72D297353CC}">
              <c16:uniqueId val="{00000000-262F-4D4C-9492-D864173A641F}"/>
            </c:ext>
          </c:extLst>
        </c:ser>
        <c:dLbls>
          <c:showLegendKey val="0"/>
          <c:showVal val="0"/>
          <c:showCatName val="0"/>
          <c:showSerName val="0"/>
          <c:showPercent val="0"/>
          <c:showBubbleSize val="0"/>
        </c:dLbls>
        <c:axId val="1105857440"/>
        <c:axId val="1105857984"/>
      </c:scatterChart>
      <c:valAx>
        <c:axId val="1105857440"/>
        <c:scaling>
          <c:orientation val="minMax"/>
        </c:scaling>
        <c:delete val="0"/>
        <c:axPos val="b"/>
        <c:title>
          <c:tx>
            <c:rich>
              <a:bodyPr/>
              <a:lstStyle/>
              <a:p>
                <a:pPr>
                  <a:defRPr/>
                </a:pPr>
                <a:r>
                  <a:rPr lang="it-IT"/>
                  <a:t>Andamento</a:t>
                </a:r>
                <a:r>
                  <a:rPr lang="it-IT" baseline="0"/>
                  <a:t> Co</a:t>
                </a:r>
                <a:r>
                  <a:rPr lang="it-IT"/>
                  <a:t>efficiente</a:t>
                </a:r>
                <a:r>
                  <a:rPr lang="it-IT" baseline="0"/>
                  <a:t> di Esposizione</a:t>
                </a:r>
                <a:endParaRPr lang="it-IT"/>
              </a:p>
            </c:rich>
          </c:tx>
          <c:layout>
            <c:manualLayout>
              <c:xMode val="edge"/>
              <c:yMode val="edge"/>
              <c:x val="0.36051233595800525"/>
              <c:y val="4.8907892327412564E-2"/>
            </c:manualLayout>
          </c:layout>
          <c:overlay val="0"/>
        </c:title>
        <c:numFmt formatCode="0.000" sourceLinked="1"/>
        <c:majorTickMark val="out"/>
        <c:minorTickMark val="none"/>
        <c:tickLblPos val="nextTo"/>
        <c:crossAx val="1105857984"/>
        <c:crosses val="autoZero"/>
        <c:crossBetween val="midCat"/>
      </c:valAx>
      <c:valAx>
        <c:axId val="1105857984"/>
        <c:scaling>
          <c:orientation val="minMax"/>
        </c:scaling>
        <c:delete val="0"/>
        <c:axPos val="l"/>
        <c:majorGridlines/>
        <c:title>
          <c:tx>
            <c:rich>
              <a:bodyPr/>
              <a:lstStyle/>
              <a:p>
                <a:pPr>
                  <a:defRPr/>
                </a:pPr>
                <a:r>
                  <a:rPr lang="it-IT"/>
                  <a:t>Quota del fabbricato [m]</a:t>
                </a:r>
              </a:p>
            </c:rich>
          </c:tx>
          <c:layout>
            <c:manualLayout>
              <c:xMode val="edge"/>
              <c:yMode val="edge"/>
              <c:x val="2.8326182172024074E-2"/>
              <c:y val="0.24460449004474547"/>
            </c:manualLayout>
          </c:layout>
          <c:overlay val="0"/>
        </c:title>
        <c:numFmt formatCode="0.00" sourceLinked="1"/>
        <c:majorTickMark val="out"/>
        <c:minorTickMark val="none"/>
        <c:tickLblPos val="nextTo"/>
        <c:crossAx val="1105857440"/>
        <c:crosses val="autoZero"/>
        <c:crossBetween val="midCat"/>
      </c:valAx>
      <c:spPr>
        <a:noFill/>
      </c:spPr>
    </c:plotArea>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32621296383865"/>
          <c:y val="4.4318301470183792E-2"/>
          <c:w val="0.77558479773887112"/>
          <c:h val="0.77376868901145524"/>
        </c:manualLayout>
      </c:layout>
      <c:scatterChart>
        <c:scatterStyle val="lineMarker"/>
        <c:varyColors val="0"/>
        <c:ser>
          <c:idx val="0"/>
          <c:order val="0"/>
          <c:marker>
            <c:symbol val="none"/>
          </c:marker>
          <c:xVal>
            <c:numRef>
              <c:f>'DATI NTC18'!$H$3:$H$101</c:f>
              <c:numCache>
                <c:formatCode>General</c:formatCode>
                <c:ptCount val="99"/>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pt idx="48">
                  <c:v>245</c:v>
                </c:pt>
                <c:pt idx="49">
                  <c:v>250</c:v>
                </c:pt>
                <c:pt idx="50">
                  <c:v>255</c:v>
                </c:pt>
                <c:pt idx="51">
                  <c:v>260</c:v>
                </c:pt>
                <c:pt idx="52">
                  <c:v>265</c:v>
                </c:pt>
                <c:pt idx="53">
                  <c:v>270</c:v>
                </c:pt>
                <c:pt idx="54">
                  <c:v>275</c:v>
                </c:pt>
                <c:pt idx="55">
                  <c:v>280</c:v>
                </c:pt>
                <c:pt idx="56">
                  <c:v>285</c:v>
                </c:pt>
                <c:pt idx="57">
                  <c:v>290</c:v>
                </c:pt>
                <c:pt idx="58">
                  <c:v>295</c:v>
                </c:pt>
                <c:pt idx="59">
                  <c:v>300</c:v>
                </c:pt>
                <c:pt idx="60">
                  <c:v>305</c:v>
                </c:pt>
                <c:pt idx="61">
                  <c:v>310</c:v>
                </c:pt>
                <c:pt idx="62">
                  <c:v>315</c:v>
                </c:pt>
                <c:pt idx="63">
                  <c:v>320</c:v>
                </c:pt>
                <c:pt idx="64">
                  <c:v>325</c:v>
                </c:pt>
                <c:pt idx="65">
                  <c:v>330</c:v>
                </c:pt>
                <c:pt idx="66">
                  <c:v>335</c:v>
                </c:pt>
                <c:pt idx="67">
                  <c:v>340</c:v>
                </c:pt>
                <c:pt idx="68">
                  <c:v>345</c:v>
                </c:pt>
                <c:pt idx="69">
                  <c:v>350</c:v>
                </c:pt>
                <c:pt idx="70">
                  <c:v>355</c:v>
                </c:pt>
                <c:pt idx="71">
                  <c:v>360</c:v>
                </c:pt>
                <c:pt idx="72">
                  <c:v>365</c:v>
                </c:pt>
                <c:pt idx="73">
                  <c:v>370</c:v>
                </c:pt>
                <c:pt idx="74">
                  <c:v>375</c:v>
                </c:pt>
                <c:pt idx="75">
                  <c:v>380</c:v>
                </c:pt>
                <c:pt idx="76">
                  <c:v>385</c:v>
                </c:pt>
                <c:pt idx="77">
                  <c:v>390</c:v>
                </c:pt>
                <c:pt idx="78">
                  <c:v>395</c:v>
                </c:pt>
                <c:pt idx="79">
                  <c:v>400</c:v>
                </c:pt>
                <c:pt idx="80">
                  <c:v>405</c:v>
                </c:pt>
                <c:pt idx="81">
                  <c:v>410</c:v>
                </c:pt>
                <c:pt idx="82">
                  <c:v>415</c:v>
                </c:pt>
                <c:pt idx="83">
                  <c:v>420</c:v>
                </c:pt>
                <c:pt idx="84">
                  <c:v>425</c:v>
                </c:pt>
                <c:pt idx="85">
                  <c:v>430</c:v>
                </c:pt>
                <c:pt idx="86">
                  <c:v>435</c:v>
                </c:pt>
                <c:pt idx="87">
                  <c:v>440</c:v>
                </c:pt>
                <c:pt idx="88">
                  <c:v>445</c:v>
                </c:pt>
                <c:pt idx="89">
                  <c:v>450</c:v>
                </c:pt>
                <c:pt idx="90">
                  <c:v>455</c:v>
                </c:pt>
                <c:pt idx="91">
                  <c:v>460</c:v>
                </c:pt>
                <c:pt idx="92">
                  <c:v>465</c:v>
                </c:pt>
                <c:pt idx="93">
                  <c:v>470</c:v>
                </c:pt>
                <c:pt idx="94">
                  <c:v>475</c:v>
                </c:pt>
                <c:pt idx="95">
                  <c:v>480</c:v>
                </c:pt>
                <c:pt idx="96">
                  <c:v>485</c:v>
                </c:pt>
                <c:pt idx="97">
                  <c:v>490</c:v>
                </c:pt>
                <c:pt idx="98">
                  <c:v>495</c:v>
                </c:pt>
              </c:numCache>
            </c:numRef>
          </c:xVal>
          <c:yVal>
            <c:numRef>
              <c:f>'DATI NTC18'!$I$3:$I$101</c:f>
              <c:numCache>
                <c:formatCode>0.000</c:formatCode>
                <c:ptCount val="99"/>
                <c:pt idx="0">
                  <c:v>0.85512762118320407</c:v>
                </c:pt>
                <c:pt idx="1">
                  <c:v>0.90314247177433216</c:v>
                </c:pt>
                <c:pt idx="2">
                  <c:v>0.92913783169900976</c:v>
                </c:pt>
                <c:pt idx="3">
                  <c:v>0.94691444466606578</c:v>
                </c:pt>
                <c:pt idx="4">
                  <c:v>0.96038279056457787</c:v>
                </c:pt>
                <c:pt idx="5">
                  <c:v>0.97120189997686168</c:v>
                </c:pt>
                <c:pt idx="6">
                  <c:v>0.98022958879064337</c:v>
                </c:pt>
                <c:pt idx="7">
                  <c:v>0.98796650576820921</c:v>
                </c:pt>
                <c:pt idx="8">
                  <c:v>0.99473001325592336</c:v>
                </c:pt>
                <c:pt idx="9">
                  <c:v>1.0007337802921321</c:v>
                </c:pt>
                <c:pt idx="10">
                  <c:v>1.0061284324193829</c:v>
                </c:pt>
                <c:pt idx="11">
                  <c:v>1.01102407832996</c:v>
                </c:pt>
                <c:pt idx="12">
                  <c:v>1.0155036110958284</c:v>
                </c:pt>
                <c:pt idx="13">
                  <c:v>1.0196309718360603</c:v>
                </c:pt>
                <c:pt idx="14">
                  <c:v>1.0234565024757023</c:v>
                </c:pt>
                <c:pt idx="15">
                  <c:v>1.0270205361062441</c:v>
                </c:pt>
                <c:pt idx="16">
                  <c:v>1.0303558776542665</c:v>
                </c:pt>
                <c:pt idx="17">
                  <c:v>1.0334895620918512</c:v>
                </c:pt>
                <c:pt idx="18">
                  <c:v>1.0364441285307389</c:v>
                </c:pt>
                <c:pt idx="19">
                  <c:v>1.0392385616461532</c:v>
                </c:pt>
                <c:pt idx="20">
                  <c:v>1.0418889993793494</c:v>
                </c:pt>
                <c:pt idx="21">
                  <c:v>1.0444092731774344</c:v>
                </c:pt>
                <c:pt idx="22">
                  <c:v>1.0468113261192826</c:v>
                </c:pt>
                <c:pt idx="23">
                  <c:v>1.049105540578835</c:v>
                </c:pt>
                <c:pt idx="24">
                  <c:v>1.0513009979097823</c:v>
                </c:pt>
                <c:pt idx="25">
                  <c:v>1.0534056863805785</c:v>
                </c:pt>
                <c:pt idx="26">
                  <c:v>1.0554266692452625</c:v>
                </c:pt>
                <c:pt idx="27">
                  <c:v>1.0573702217709586</c:v>
                </c:pt>
                <c:pt idx="28">
                  <c:v>1.0592419438487357</c:v>
                </c:pt>
                <c:pt idx="29">
                  <c:v>1.0610468532223396</c:v>
                </c:pt>
                <c:pt idx="30">
                  <c:v>1.0627894631995203</c:v>
                </c:pt>
                <c:pt idx="31">
                  <c:v>1.0644738478413656</c:v>
                </c:pt>
                <c:pt idx="32">
                  <c:v>1.0661036969721076</c:v>
                </c:pt>
                <c:pt idx="33">
                  <c:v>1.0676823628565562</c:v>
                </c:pt>
                <c:pt idx="34">
                  <c:v>1.0692129000131074</c:v>
                </c:pt>
                <c:pt idx="35">
                  <c:v>1.070698099337472</c:v>
                </c:pt>
                <c:pt idx="36">
                  <c:v>1.0721405174842671</c:v>
                </c:pt>
                <c:pt idx="37">
                  <c:v>1.0735425022748137</c:v>
                </c:pt>
                <c:pt idx="38">
                  <c:v>1.074906214758208</c:v>
                </c:pt>
                <c:pt idx="39">
                  <c:v>1.0762336484403332</c:v>
                </c:pt>
                <c:pt idx="40">
                  <c:v>1.0775266461055821</c:v>
                </c:pt>
                <c:pt idx="41">
                  <c:v>1.0787869145835749</c:v>
                </c:pt>
                <c:pt idx="42">
                  <c:v>1.0800160377545249</c:v>
                </c:pt>
                <c:pt idx="43">
                  <c:v>1.0812154880391427</c:v>
                </c:pt>
                <c:pt idx="44">
                  <c:v>1.082386636579844</c:v>
                </c:pt>
                <c:pt idx="45">
                  <c:v>1.0835307622879164</c:v>
                </c:pt>
                <c:pt idx="46">
                  <c:v>1.0846490599046814</c:v>
                </c:pt>
                <c:pt idx="47">
                  <c:v>1.085742647202695</c:v>
                </c:pt>
                <c:pt idx="48">
                  <c:v>1.086812571434594</c:v>
                </c:pt>
                <c:pt idx="49">
                  <c:v>1.0878598151218681</c:v>
                </c:pt>
                <c:pt idx="50">
                  <c:v>1.0888853012628652</c:v>
                </c:pt>
                <c:pt idx="51">
                  <c:v>1.0898898980284994</c:v>
                </c:pt>
                <c:pt idx="52">
                  <c:v>1.0908744230048619</c:v>
                </c:pt>
                <c:pt idx="53">
                  <c:v>1.0918396470341369</c:v>
                </c:pt>
                <c:pt idx="54">
                  <c:v>1.0927862976985416</c:v>
                </c:pt>
                <c:pt idx="55">
                  <c:v>1.0937150624863372</c:v>
                </c:pt>
                <c:pt idx="56">
                  <c:v>1.0946265916740203</c:v>
                </c:pt>
                <c:pt idx="57">
                  <c:v>1.095521500954681</c:v>
                </c:pt>
                <c:pt idx="58">
                  <c:v>1.0964003738388195</c:v>
                </c:pt>
                <c:pt idx="59">
                  <c:v>1.0972637638508393</c:v>
                </c:pt>
                <c:pt idx="60">
                  <c:v>1.0981121965417078</c:v>
                </c:pt>
                <c:pt idx="61">
                  <c:v>1.0989461713358977</c:v>
                </c:pt>
                <c:pt idx="62">
                  <c:v>1.0997661632287137</c:v>
                </c:pt>
                <c:pt idx="63">
                  <c:v>1.1005726243482847</c:v>
                </c:pt>
                <c:pt idx="64">
                  <c:v>1.1013659853949533</c:v>
                </c:pt>
                <c:pt idx="65">
                  <c:v>1.1021466569694025</c:v>
                </c:pt>
                <c:pt idx="66">
                  <c:v>1.1029150307996933</c:v>
                </c:pt>
                <c:pt idx="67">
                  <c:v>1.1036714808762682</c:v>
                </c:pt>
                <c:pt idx="68">
                  <c:v>1.1044163645030824</c:v>
                </c:pt>
                <c:pt idx="69">
                  <c:v>1.1051500232721798</c:v>
                </c:pt>
                <c:pt idx="70">
                  <c:v>1.105872783968306</c:v>
                </c:pt>
                <c:pt idx="71">
                  <c:v>1.1065849594094628</c:v>
                </c:pt>
                <c:pt idx="72">
                  <c:v>1.1072868492288062</c:v>
                </c:pt>
                <c:pt idx="73">
                  <c:v>1.1079787406026906</c:v>
                </c:pt>
                <c:pt idx="74">
                  <c:v>1.1086609089292538</c:v>
                </c:pt>
                <c:pt idx="75">
                  <c:v>1.1093336184615306</c:v>
                </c:pt>
                <c:pt idx="76">
                  <c:v>1.1099971228986598</c:v>
                </c:pt>
                <c:pt idx="77">
                  <c:v>1.1106516659385122</c:v>
                </c:pt>
                <c:pt idx="78">
                  <c:v>1.1112974817946781</c:v>
                </c:pt>
                <c:pt idx="79">
                  <c:v>1.1119347956805583</c:v>
                </c:pt>
                <c:pt idx="80">
                  <c:v>1.1125638242630134</c:v>
                </c:pt>
                <c:pt idx="81">
                  <c:v>1.1131847760878655</c:v>
                </c:pt>
                <c:pt idx="82">
                  <c:v>1.1137978519792913</c:v>
                </c:pt>
                <c:pt idx="83">
                  <c:v>1.1144032454150117</c:v>
                </c:pt>
                <c:pt idx="84">
                  <c:v>1.1150011428790321</c:v>
                </c:pt>
                <c:pt idx="85">
                  <c:v>1.1155917241934883</c:v>
                </c:pt>
                <c:pt idx="86">
                  <c:v>1.1161751628311067</c:v>
                </c:pt>
                <c:pt idx="87">
                  <c:v>1.1167516262095742</c:v>
                </c:pt>
                <c:pt idx="88">
                  <c:v>1.1173212759691014</c:v>
                </c:pt>
                <c:pt idx="89">
                  <c:v>1.1178842682342789</c:v>
                </c:pt>
                <c:pt idx="90">
                  <c:v>1.1184407538613177</c:v>
                </c:pt>
                <c:pt idx="91">
                  <c:v>1.118990878671597</c:v>
                </c:pt>
                <c:pt idx="92">
                  <c:v>1.1195347836724561</c:v>
                </c:pt>
                <c:pt idx="93">
                  <c:v>1.1200726052660412</c:v>
                </c:pt>
                <c:pt idx="94">
                  <c:v>1.120604475446954</c:v>
                </c:pt>
                <c:pt idx="95">
                  <c:v>1.1211305219894632</c:v>
                </c:pt>
                <c:pt idx="96">
                  <c:v>1.1216508686248758</c:v>
                </c:pt>
                <c:pt idx="97">
                  <c:v>1.1221656352097182</c:v>
                </c:pt>
                <c:pt idx="98">
                  <c:v>1.1226749378852849</c:v>
                </c:pt>
              </c:numCache>
            </c:numRef>
          </c:yVal>
          <c:smooth val="0"/>
          <c:extLst>
            <c:ext xmlns:c16="http://schemas.microsoft.com/office/drawing/2014/chart" uri="{C3380CC4-5D6E-409C-BE32-E72D297353CC}">
              <c16:uniqueId val="{00000000-EBDD-41F0-8FE2-074E95A3D400}"/>
            </c:ext>
          </c:extLst>
        </c:ser>
        <c:dLbls>
          <c:showLegendKey val="0"/>
          <c:showVal val="0"/>
          <c:showCatName val="0"/>
          <c:showSerName val="0"/>
          <c:showPercent val="0"/>
          <c:showBubbleSize val="0"/>
        </c:dLbls>
        <c:axId val="1104855200"/>
        <c:axId val="1104859552"/>
      </c:scatterChart>
      <c:valAx>
        <c:axId val="1104855200"/>
        <c:scaling>
          <c:logBase val="10"/>
          <c:orientation val="minMax"/>
          <c:max val="500"/>
          <c:min val="10"/>
        </c:scaling>
        <c:delete val="0"/>
        <c:axPos val="b"/>
        <c:title>
          <c:tx>
            <c:rich>
              <a:bodyPr/>
              <a:lstStyle/>
              <a:p>
                <a:pPr>
                  <a:defRPr/>
                </a:pPr>
                <a:r>
                  <a:rPr lang="it-IT" sz="1200"/>
                  <a:t>Tr</a:t>
                </a:r>
              </a:p>
            </c:rich>
          </c:tx>
          <c:layout/>
          <c:overlay val="0"/>
        </c:title>
        <c:numFmt formatCode="General" sourceLinked="1"/>
        <c:majorTickMark val="out"/>
        <c:minorTickMark val="none"/>
        <c:tickLblPos val="nextTo"/>
        <c:crossAx val="1104859552"/>
        <c:crosses val="autoZero"/>
        <c:crossBetween val="midCat"/>
      </c:valAx>
      <c:valAx>
        <c:axId val="1104859552"/>
        <c:scaling>
          <c:orientation val="minMax"/>
          <c:max val="1.5"/>
          <c:min val="0.5"/>
        </c:scaling>
        <c:delete val="0"/>
        <c:axPos val="l"/>
        <c:majorGridlines/>
        <c:title>
          <c:tx>
            <c:rich>
              <a:bodyPr/>
              <a:lstStyle/>
              <a:p>
                <a:pPr>
                  <a:defRPr/>
                </a:pPr>
                <a:r>
                  <a:rPr lang="it-IT" sz="1200"/>
                  <a:t>Cr</a:t>
                </a:r>
              </a:p>
            </c:rich>
          </c:tx>
          <c:layout>
            <c:manualLayout>
              <c:xMode val="edge"/>
              <c:yMode val="edge"/>
              <c:x val="2.1823836604726352E-2"/>
              <c:y val="0.38755034995745258"/>
            </c:manualLayout>
          </c:layout>
          <c:overlay val="0"/>
        </c:title>
        <c:numFmt formatCode="0.000" sourceLinked="1"/>
        <c:majorTickMark val="out"/>
        <c:minorTickMark val="none"/>
        <c:tickLblPos val="nextTo"/>
        <c:crossAx val="1104855200"/>
        <c:crosses val="autoZero"/>
        <c:crossBetween val="midCat"/>
        <c:majorUnit val="0.25"/>
        <c:minorUnit val="2.0000000000000011E-2"/>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emf"/><Relationship Id="rId7" Type="http://schemas.openxmlformats.org/officeDocument/2006/relationships/image" Target="../media/image8.pn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png"/><Relationship Id="rId11" Type="http://schemas.openxmlformats.org/officeDocument/2006/relationships/chart" Target="../charts/chart3.xml"/><Relationship Id="rId5" Type="http://schemas.openxmlformats.org/officeDocument/2006/relationships/image" Target="../media/image6.emf"/><Relationship Id="rId10" Type="http://schemas.openxmlformats.org/officeDocument/2006/relationships/chart" Target="../charts/chart2.xml"/><Relationship Id="rId4" Type="http://schemas.openxmlformats.org/officeDocument/2006/relationships/image" Target="../media/image5.emf"/><Relationship Id="rId9"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jpeg"/><Relationship Id="rId7" Type="http://schemas.openxmlformats.org/officeDocument/2006/relationships/image" Target="../media/image4.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22861</xdr:colOff>
      <xdr:row>0</xdr:row>
      <xdr:rowOff>164716</xdr:rowOff>
    </xdr:from>
    <xdr:to>
      <xdr:col>8</xdr:col>
      <xdr:colOff>570825</xdr:colOff>
      <xdr:row>3</xdr:row>
      <xdr:rowOff>130354</xdr:rowOff>
    </xdr:to>
    <xdr:pic>
      <xdr:nvPicPr>
        <xdr:cNvPr id="2" name="Immagine 1" descr="Cattura.PNG"/>
        <xdr:cNvPicPr>
          <a:picLocks noChangeAspect="1"/>
        </xdr:cNvPicPr>
      </xdr:nvPicPr>
      <xdr:blipFill>
        <a:blip xmlns:r="http://schemas.openxmlformats.org/officeDocument/2006/relationships" r:embed="rId1" cstate="print"/>
        <a:stretch>
          <a:fillRect/>
        </a:stretch>
      </xdr:blipFill>
      <xdr:spPr>
        <a:xfrm>
          <a:off x="632461" y="164716"/>
          <a:ext cx="4815164" cy="5142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890081</xdr:colOff>
      <xdr:row>6</xdr:row>
      <xdr:rowOff>69273</xdr:rowOff>
    </xdr:from>
    <xdr:to>
      <xdr:col>5</xdr:col>
      <xdr:colOff>481860</xdr:colOff>
      <xdr:row>17</xdr:row>
      <xdr:rowOff>184630</xdr:rowOff>
    </xdr:to>
    <xdr:pic>
      <xdr:nvPicPr>
        <xdr:cNvPr id="2"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98" r="5389" b="6702"/>
        <a:stretch>
          <a:fillRect/>
        </a:stretch>
      </xdr:blipFill>
      <xdr:spPr bwMode="auto">
        <a:xfrm>
          <a:off x="1894536" y="1428750"/>
          <a:ext cx="2138995" cy="2218459"/>
        </a:xfrm>
        <a:prstGeom prst="rect">
          <a:avLst/>
        </a:prstGeom>
        <a:noFill/>
        <a:ln w="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39369</xdr:colOff>
      <xdr:row>31</xdr:row>
      <xdr:rowOff>34628</xdr:rowOff>
    </xdr:from>
    <xdr:to>
      <xdr:col>4</xdr:col>
      <xdr:colOff>114272</xdr:colOff>
      <xdr:row>45</xdr:row>
      <xdr:rowOff>21167</xdr:rowOff>
    </xdr:to>
    <xdr:pic>
      <xdr:nvPicPr>
        <xdr:cNvPr id="3"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1465"/>
        <a:stretch>
          <a:fillRect/>
        </a:stretch>
      </xdr:blipFill>
      <xdr:spPr bwMode="auto">
        <a:xfrm>
          <a:off x="39369" y="6236461"/>
          <a:ext cx="2667820" cy="2664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87317</xdr:colOff>
      <xdr:row>41</xdr:row>
      <xdr:rowOff>52918</xdr:rowOff>
    </xdr:from>
    <xdr:to>
      <xdr:col>7</xdr:col>
      <xdr:colOff>592667</xdr:colOff>
      <xdr:row>50</xdr:row>
      <xdr:rowOff>120844</xdr:rowOff>
    </xdr:to>
    <xdr:pic>
      <xdr:nvPicPr>
        <xdr:cNvPr id="4" name="Picture 3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10067" y="8307918"/>
          <a:ext cx="1404933" cy="1793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163716</xdr:colOff>
      <xdr:row>31</xdr:row>
      <xdr:rowOff>41181</xdr:rowOff>
    </xdr:from>
    <xdr:to>
      <xdr:col>7</xdr:col>
      <xdr:colOff>99388</xdr:colOff>
      <xdr:row>41</xdr:row>
      <xdr:rowOff>23640</xdr:rowOff>
    </xdr:to>
    <xdr:pic>
      <xdr:nvPicPr>
        <xdr:cNvPr id="5" name="Picture 3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56633" y="6243014"/>
          <a:ext cx="2465088" cy="1887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152916</xdr:colOff>
      <xdr:row>41</xdr:row>
      <xdr:rowOff>42333</xdr:rowOff>
    </xdr:from>
    <xdr:to>
      <xdr:col>6</xdr:col>
      <xdr:colOff>84667</xdr:colOff>
      <xdr:row>51</xdr:row>
      <xdr:rowOff>176535</xdr:rowOff>
    </xdr:to>
    <xdr:pic>
      <xdr:nvPicPr>
        <xdr:cNvPr id="6" name="Picture 3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r="2359"/>
        <a:stretch>
          <a:fillRect/>
        </a:stretch>
      </xdr:blipFill>
      <xdr:spPr bwMode="auto">
        <a:xfrm>
          <a:off x="2745833" y="8297333"/>
          <a:ext cx="1561584" cy="2049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441485</xdr:colOff>
      <xdr:row>71</xdr:row>
      <xdr:rowOff>84534</xdr:rowOff>
    </xdr:from>
    <xdr:to>
      <xdr:col>2</xdr:col>
      <xdr:colOff>518876</xdr:colOff>
      <xdr:row>72</xdr:row>
      <xdr:rowOff>124689</xdr:rowOff>
    </xdr:to>
    <xdr:sp macro="" textlink="">
      <xdr:nvSpPr>
        <xdr:cNvPr id="13" name="Arco 12"/>
        <xdr:cNvSpPr/>
      </xdr:nvSpPr>
      <xdr:spPr>
        <a:xfrm>
          <a:off x="1413035" y="13209984"/>
          <a:ext cx="77391" cy="240180"/>
        </a:xfrm>
        <a:prstGeom prst="arc">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it-IT"/>
        </a:p>
      </xdr:txBody>
    </xdr:sp>
    <xdr:clientData/>
  </xdr:twoCellAnchor>
  <xdr:twoCellAnchor>
    <xdr:from>
      <xdr:col>1</xdr:col>
      <xdr:colOff>805837</xdr:colOff>
      <xdr:row>72</xdr:row>
      <xdr:rowOff>1</xdr:rowOff>
    </xdr:from>
    <xdr:to>
      <xdr:col>2</xdr:col>
      <xdr:colOff>646471</xdr:colOff>
      <xdr:row>72</xdr:row>
      <xdr:rowOff>1</xdr:rowOff>
    </xdr:to>
    <xdr:cxnSp macro="">
      <xdr:nvCxnSpPr>
        <xdr:cNvPr id="14" name="Connettore 1 13"/>
        <xdr:cNvCxnSpPr/>
      </xdr:nvCxnSpPr>
      <xdr:spPr>
        <a:xfrm>
          <a:off x="961701" y="13317683"/>
          <a:ext cx="663247"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442080</xdr:colOff>
      <xdr:row>71</xdr:row>
      <xdr:rowOff>151209</xdr:rowOff>
    </xdr:from>
    <xdr:to>
      <xdr:col>2</xdr:col>
      <xdr:colOff>752475</xdr:colOff>
      <xdr:row>72</xdr:row>
      <xdr:rowOff>133350</xdr:rowOff>
    </xdr:to>
    <xdr:cxnSp macro="">
      <xdr:nvCxnSpPr>
        <xdr:cNvPr id="15" name="Connettore 1 14"/>
        <xdr:cNvCxnSpPr/>
      </xdr:nvCxnSpPr>
      <xdr:spPr>
        <a:xfrm>
          <a:off x="1413630" y="13705284"/>
          <a:ext cx="310395" cy="191691"/>
        </a:xfrm>
        <a:prstGeom prst="line">
          <a:avLst/>
        </a:prstGeom>
        <a:ln w="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229061</xdr:colOff>
      <xdr:row>160</xdr:row>
      <xdr:rowOff>0</xdr:rowOff>
    </xdr:from>
    <xdr:to>
      <xdr:col>3</xdr:col>
      <xdr:colOff>390361</xdr:colOff>
      <xdr:row>160</xdr:row>
      <xdr:rowOff>126493</xdr:rowOff>
    </xdr:to>
    <xdr:sp macro="" textlink="">
      <xdr:nvSpPr>
        <xdr:cNvPr id="1035" name="Rectangle 126"/>
        <xdr:cNvSpPr>
          <a:spLocks noChangeArrowheads="1"/>
        </xdr:cNvSpPr>
      </xdr:nvSpPr>
      <xdr:spPr bwMode="auto">
        <a:xfrm>
          <a:off x="2088341" y="25159044"/>
          <a:ext cx="161300" cy="166789"/>
        </a:xfrm>
        <a:prstGeom prst="rect">
          <a:avLst/>
        </a:prstGeom>
        <a:noFill/>
        <a:ln w="9525">
          <a:noFill/>
          <a:miter lim="800000"/>
          <a:headEnd/>
          <a:tailEnd/>
        </a:ln>
      </xdr:spPr>
      <xdr:txBody>
        <a:bodyPr vertOverflow="clip" wrap="square" lIns="0" tIns="0" rIns="0" bIns="0" anchor="t" upright="1"/>
        <a:lstStyle/>
        <a:p>
          <a:pPr algn="l" rtl="0">
            <a:defRPr sz="1000"/>
          </a:pPr>
          <a:r>
            <a:rPr lang="it-IT" sz="1400" b="0" i="0" u="none" strike="noStrike" baseline="0">
              <a:solidFill>
                <a:srgbClr val="000000"/>
              </a:solidFill>
              <a:latin typeface="Calibri"/>
            </a:rPr>
            <a:t> </a:t>
          </a:r>
          <a:endParaRPr lang="it-IT" sz="1100" b="0" i="0" u="none" strike="noStrike" baseline="0">
            <a:solidFill>
              <a:srgbClr val="000000"/>
            </a:solidFill>
            <a:latin typeface="Times New Roman"/>
            <a:cs typeface="Times New Roman"/>
          </a:endParaRPr>
        </a:p>
        <a:p>
          <a:pPr algn="l" rtl="0">
            <a:defRPr sz="1000"/>
          </a:pPr>
          <a:endParaRPr lang="it-IT" sz="1100" b="0" i="0" u="none" strike="noStrike" baseline="0">
            <a:solidFill>
              <a:srgbClr val="000000"/>
            </a:solidFill>
            <a:latin typeface="Times New Roman"/>
            <a:cs typeface="Times New Roman"/>
          </a:endParaRPr>
        </a:p>
      </xdr:txBody>
    </xdr:sp>
    <xdr:clientData/>
  </xdr:twoCellAnchor>
  <xdr:twoCellAnchor editAs="oneCell">
    <xdr:from>
      <xdr:col>2</xdr:col>
      <xdr:colOff>306917</xdr:colOff>
      <xdr:row>196</xdr:row>
      <xdr:rowOff>66918</xdr:rowOff>
    </xdr:from>
    <xdr:to>
      <xdr:col>6</xdr:col>
      <xdr:colOff>201299</xdr:colOff>
      <xdr:row>213</xdr:row>
      <xdr:rowOff>120260</xdr:rowOff>
    </xdr:to>
    <xdr:pic>
      <xdr:nvPicPr>
        <xdr:cNvPr id="9" name="Immagine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3290" b="7805"/>
        <a:stretch>
          <a:fillRect/>
        </a:stretch>
      </xdr:blipFill>
      <xdr:spPr>
        <a:xfrm>
          <a:off x="1270000" y="40855085"/>
          <a:ext cx="3154049" cy="3111925"/>
        </a:xfrm>
        <a:prstGeom prst="rect">
          <a:avLst/>
        </a:prstGeom>
      </xdr:spPr>
    </xdr:pic>
    <xdr:clientData/>
  </xdr:twoCellAnchor>
  <xdr:twoCellAnchor editAs="oneCell">
    <xdr:from>
      <xdr:col>1</xdr:col>
      <xdr:colOff>6926</xdr:colOff>
      <xdr:row>135</xdr:row>
      <xdr:rowOff>0</xdr:rowOff>
    </xdr:from>
    <xdr:to>
      <xdr:col>6</xdr:col>
      <xdr:colOff>792786</xdr:colOff>
      <xdr:row>148</xdr:row>
      <xdr:rowOff>88805</xdr:rowOff>
    </xdr:to>
    <xdr:pic>
      <xdr:nvPicPr>
        <xdr:cNvPr id="31" name="Immagine 30" descr="1.PNG"/>
        <xdr:cNvPicPr>
          <a:picLocks noChangeAspect="1"/>
        </xdr:cNvPicPr>
      </xdr:nvPicPr>
      <xdr:blipFill>
        <a:blip xmlns:r="http://schemas.openxmlformats.org/officeDocument/2006/relationships" r:embed="rId7" cstate="print"/>
        <a:stretch>
          <a:fillRect/>
        </a:stretch>
      </xdr:blipFill>
      <xdr:spPr>
        <a:xfrm>
          <a:off x="162790" y="27509932"/>
          <a:ext cx="4920095" cy="2550105"/>
        </a:xfrm>
        <a:prstGeom prst="rect">
          <a:avLst/>
        </a:prstGeom>
      </xdr:spPr>
    </xdr:pic>
    <xdr:clientData/>
  </xdr:twoCellAnchor>
  <xdr:twoCellAnchor editAs="oneCell">
    <xdr:from>
      <xdr:col>1</xdr:col>
      <xdr:colOff>804332</xdr:colOff>
      <xdr:row>105</xdr:row>
      <xdr:rowOff>164128</xdr:rowOff>
    </xdr:from>
    <xdr:to>
      <xdr:col>6</xdr:col>
      <xdr:colOff>624416</xdr:colOff>
      <xdr:row>129</xdr:row>
      <xdr:rowOff>60511</xdr:rowOff>
    </xdr:to>
    <xdr:pic>
      <xdr:nvPicPr>
        <xdr:cNvPr id="32" name="Immagine 31" descr="2.PNG"/>
        <xdr:cNvPicPr>
          <a:picLocks noChangeAspect="1"/>
        </xdr:cNvPicPr>
      </xdr:nvPicPr>
      <xdr:blipFill>
        <a:blip xmlns:r="http://schemas.openxmlformats.org/officeDocument/2006/relationships" r:embed="rId8" cstate="print"/>
        <a:stretch>
          <a:fillRect/>
        </a:stretch>
      </xdr:blipFill>
      <xdr:spPr>
        <a:xfrm rot="10800000">
          <a:off x="952499" y="20896878"/>
          <a:ext cx="3894667" cy="4468383"/>
        </a:xfrm>
        <a:prstGeom prst="rect">
          <a:avLst/>
        </a:prstGeom>
        <a:ln w="9525">
          <a:solidFill>
            <a:schemeClr val="tx1"/>
          </a:solidFill>
        </a:ln>
      </xdr:spPr>
    </xdr:pic>
    <xdr:clientData/>
  </xdr:twoCellAnchor>
  <xdr:twoCellAnchor>
    <xdr:from>
      <xdr:col>1</xdr:col>
      <xdr:colOff>10583</xdr:colOff>
      <xdr:row>286</xdr:row>
      <xdr:rowOff>127000</xdr:rowOff>
    </xdr:from>
    <xdr:to>
      <xdr:col>7</xdr:col>
      <xdr:colOff>423334</xdr:colOff>
      <xdr:row>302</xdr:row>
      <xdr:rowOff>148167</xdr:rowOff>
    </xdr:to>
    <xdr:graphicFrame macro="">
      <xdr:nvGraphicFramePr>
        <xdr:cNvPr id="19" name="Gra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303</xdr:row>
      <xdr:rowOff>84666</xdr:rowOff>
    </xdr:from>
    <xdr:to>
      <xdr:col>7</xdr:col>
      <xdr:colOff>412749</xdr:colOff>
      <xdr:row>320</xdr:row>
      <xdr:rowOff>74083</xdr:rowOff>
    </xdr:to>
    <xdr:graphicFrame macro="">
      <xdr:nvGraphicFramePr>
        <xdr:cNvPr id="20" name="Gra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19050</xdr:colOff>
      <xdr:row>70</xdr:row>
      <xdr:rowOff>161292</xdr:rowOff>
    </xdr:from>
    <xdr:to>
      <xdr:col>5</xdr:col>
      <xdr:colOff>809626</xdr:colOff>
      <xdr:row>72</xdr:row>
      <xdr:rowOff>23813</xdr:rowOff>
    </xdr:to>
    <xdr:sp macro="" textlink="">
      <xdr:nvSpPr>
        <xdr:cNvPr id="25" name="Figura a mano libera 24"/>
        <xdr:cNvSpPr/>
      </xdr:nvSpPr>
      <xdr:spPr>
        <a:xfrm>
          <a:off x="990600" y="13505817"/>
          <a:ext cx="3248026" cy="262571"/>
        </a:xfrm>
        <a:custGeom>
          <a:avLst/>
          <a:gdLst>
            <a:gd name="connsiteX0" fmla="*/ 0 w 3262313"/>
            <a:gd name="connsiteY0" fmla="*/ 228983 h 252796"/>
            <a:gd name="connsiteX1" fmla="*/ 800100 w 3262313"/>
            <a:gd name="connsiteY1" fmla="*/ 43246 h 252796"/>
            <a:gd name="connsiteX2" fmla="*/ 1633538 w 3262313"/>
            <a:gd name="connsiteY2" fmla="*/ 383 h 252796"/>
            <a:gd name="connsiteX3" fmla="*/ 2462213 w 3262313"/>
            <a:gd name="connsiteY3" fmla="*/ 38483 h 252796"/>
            <a:gd name="connsiteX4" fmla="*/ 3262313 w 3262313"/>
            <a:gd name="connsiteY4" fmla="*/ 252796 h 252796"/>
            <a:gd name="connsiteX0" fmla="*/ 0 w 3262313"/>
            <a:gd name="connsiteY0" fmla="*/ 229233 h 253046"/>
            <a:gd name="connsiteX1" fmla="*/ 800100 w 3262313"/>
            <a:gd name="connsiteY1" fmla="*/ 43496 h 253046"/>
            <a:gd name="connsiteX2" fmla="*/ 1633538 w 3262313"/>
            <a:gd name="connsiteY2" fmla="*/ 633 h 253046"/>
            <a:gd name="connsiteX3" fmla="*/ 2452688 w 3262313"/>
            <a:gd name="connsiteY3" fmla="*/ 62546 h 253046"/>
            <a:gd name="connsiteX4" fmla="*/ 3262313 w 3262313"/>
            <a:gd name="connsiteY4" fmla="*/ 253046 h 253046"/>
            <a:gd name="connsiteX0" fmla="*/ 0 w 3248026"/>
            <a:gd name="connsiteY0" fmla="*/ 229233 h 262571"/>
            <a:gd name="connsiteX1" fmla="*/ 800100 w 3248026"/>
            <a:gd name="connsiteY1" fmla="*/ 43496 h 262571"/>
            <a:gd name="connsiteX2" fmla="*/ 1633538 w 3248026"/>
            <a:gd name="connsiteY2" fmla="*/ 633 h 262571"/>
            <a:gd name="connsiteX3" fmla="*/ 2452688 w 3248026"/>
            <a:gd name="connsiteY3" fmla="*/ 62546 h 262571"/>
            <a:gd name="connsiteX4" fmla="*/ 3248026 w 3248026"/>
            <a:gd name="connsiteY4" fmla="*/ 262571 h 262571"/>
            <a:gd name="connsiteX0" fmla="*/ 0 w 3248026"/>
            <a:gd name="connsiteY0" fmla="*/ 229233 h 262571"/>
            <a:gd name="connsiteX1" fmla="*/ 800100 w 3248026"/>
            <a:gd name="connsiteY1" fmla="*/ 43496 h 262571"/>
            <a:gd name="connsiteX2" fmla="*/ 1633538 w 3248026"/>
            <a:gd name="connsiteY2" fmla="*/ 633 h 262571"/>
            <a:gd name="connsiteX3" fmla="*/ 2452688 w 3248026"/>
            <a:gd name="connsiteY3" fmla="*/ 62546 h 262571"/>
            <a:gd name="connsiteX4" fmla="*/ 3081338 w 3248026"/>
            <a:gd name="connsiteY4" fmla="*/ 205421 h 262571"/>
            <a:gd name="connsiteX5" fmla="*/ 3248026 w 3248026"/>
            <a:gd name="connsiteY5" fmla="*/ 262571 h 262571"/>
            <a:gd name="connsiteX0" fmla="*/ 0 w 3248026"/>
            <a:gd name="connsiteY0" fmla="*/ 229233 h 262571"/>
            <a:gd name="connsiteX1" fmla="*/ 800100 w 3248026"/>
            <a:gd name="connsiteY1" fmla="*/ 43496 h 262571"/>
            <a:gd name="connsiteX2" fmla="*/ 1633538 w 3248026"/>
            <a:gd name="connsiteY2" fmla="*/ 633 h 262571"/>
            <a:gd name="connsiteX3" fmla="*/ 2452688 w 3248026"/>
            <a:gd name="connsiteY3" fmla="*/ 62546 h 262571"/>
            <a:gd name="connsiteX4" fmla="*/ 3081338 w 3248026"/>
            <a:gd name="connsiteY4" fmla="*/ 205421 h 262571"/>
            <a:gd name="connsiteX5" fmla="*/ 3248026 w 3248026"/>
            <a:gd name="connsiteY5" fmla="*/ 262571 h 2625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248026" h="262571">
              <a:moveTo>
                <a:pt x="0" y="229233"/>
              </a:moveTo>
              <a:cubicBezTo>
                <a:pt x="263922" y="155414"/>
                <a:pt x="527844" y="81596"/>
                <a:pt x="800100" y="43496"/>
              </a:cubicBezTo>
              <a:cubicBezTo>
                <a:pt x="1072356" y="5396"/>
                <a:pt x="1358107" y="-2542"/>
                <a:pt x="1633538" y="633"/>
              </a:cubicBezTo>
              <a:cubicBezTo>
                <a:pt x="1908969" y="3808"/>
                <a:pt x="2211388" y="28415"/>
                <a:pt x="2452688" y="62546"/>
              </a:cubicBezTo>
              <a:cubicBezTo>
                <a:pt x="2693988" y="96677"/>
                <a:pt x="2948782" y="172084"/>
                <a:pt x="3081338" y="205421"/>
              </a:cubicBezTo>
              <a:cubicBezTo>
                <a:pt x="3247231" y="262571"/>
                <a:pt x="3212307" y="246696"/>
                <a:pt x="3248026" y="262571"/>
              </a:cubicBezTo>
            </a:path>
          </a:pathLst>
        </a:custGeom>
        <a:noFill/>
        <a:ln w="190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5</xdr:col>
      <xdr:colOff>57150</xdr:colOff>
      <xdr:row>221</xdr:row>
      <xdr:rowOff>87857</xdr:rowOff>
    </xdr:from>
    <xdr:to>
      <xdr:col>6</xdr:col>
      <xdr:colOff>866775</xdr:colOff>
      <xdr:row>222</xdr:row>
      <xdr:rowOff>23814</xdr:rowOff>
    </xdr:to>
    <xdr:sp macro="" textlink="">
      <xdr:nvSpPr>
        <xdr:cNvPr id="26" name="Figura a mano libera 25"/>
        <xdr:cNvSpPr/>
      </xdr:nvSpPr>
      <xdr:spPr>
        <a:xfrm>
          <a:off x="3486150" y="46522232"/>
          <a:ext cx="1628775" cy="116932"/>
        </a:xfrm>
        <a:custGeom>
          <a:avLst/>
          <a:gdLst>
            <a:gd name="connsiteX0" fmla="*/ 0 w 1633538"/>
            <a:gd name="connsiteY0" fmla="*/ 111107 h 130157"/>
            <a:gd name="connsiteX1" fmla="*/ 452438 w 1633538"/>
            <a:gd name="connsiteY1" fmla="*/ 11094 h 130157"/>
            <a:gd name="connsiteX2" fmla="*/ 1200150 w 1633538"/>
            <a:gd name="connsiteY2" fmla="*/ 15857 h 130157"/>
            <a:gd name="connsiteX3" fmla="*/ 1633538 w 1633538"/>
            <a:gd name="connsiteY3" fmla="*/ 130157 h 130157"/>
            <a:gd name="connsiteX0" fmla="*/ 0 w 1633538"/>
            <a:gd name="connsiteY0" fmla="*/ 104111 h 123161"/>
            <a:gd name="connsiteX1" fmla="*/ 485776 w 1633538"/>
            <a:gd name="connsiteY1" fmla="*/ 18386 h 123161"/>
            <a:gd name="connsiteX2" fmla="*/ 1200150 w 1633538"/>
            <a:gd name="connsiteY2" fmla="*/ 8861 h 123161"/>
            <a:gd name="connsiteX3" fmla="*/ 1633538 w 1633538"/>
            <a:gd name="connsiteY3" fmla="*/ 123161 h 123161"/>
            <a:gd name="connsiteX0" fmla="*/ 0 w 1643063"/>
            <a:gd name="connsiteY0" fmla="*/ 107274 h 169186"/>
            <a:gd name="connsiteX1" fmla="*/ 485776 w 1643063"/>
            <a:gd name="connsiteY1" fmla="*/ 21549 h 169186"/>
            <a:gd name="connsiteX2" fmla="*/ 1200150 w 1643063"/>
            <a:gd name="connsiteY2" fmla="*/ 12024 h 169186"/>
            <a:gd name="connsiteX3" fmla="*/ 1643063 w 1643063"/>
            <a:gd name="connsiteY3" fmla="*/ 169186 h 169186"/>
            <a:gd name="connsiteX0" fmla="*/ 0 w 1643063"/>
            <a:gd name="connsiteY0" fmla="*/ 107274 h 169186"/>
            <a:gd name="connsiteX1" fmla="*/ 485776 w 1643063"/>
            <a:gd name="connsiteY1" fmla="*/ 21549 h 169186"/>
            <a:gd name="connsiteX2" fmla="*/ 1200150 w 1643063"/>
            <a:gd name="connsiteY2" fmla="*/ 12024 h 169186"/>
            <a:gd name="connsiteX3" fmla="*/ 1643063 w 1643063"/>
            <a:gd name="connsiteY3" fmla="*/ 169186 h 169186"/>
            <a:gd name="connsiteX0" fmla="*/ 0 w 1643063"/>
            <a:gd name="connsiteY0" fmla="*/ 95083 h 156995"/>
            <a:gd name="connsiteX1" fmla="*/ 485776 w 1643063"/>
            <a:gd name="connsiteY1" fmla="*/ 9358 h 156995"/>
            <a:gd name="connsiteX2" fmla="*/ 1181100 w 1643063"/>
            <a:gd name="connsiteY2" fmla="*/ 18883 h 156995"/>
            <a:gd name="connsiteX3" fmla="*/ 1643063 w 1643063"/>
            <a:gd name="connsiteY3" fmla="*/ 156995 h 156995"/>
            <a:gd name="connsiteX0" fmla="*/ 0 w 1628775"/>
            <a:gd name="connsiteY0" fmla="*/ 93120 h 116932"/>
            <a:gd name="connsiteX1" fmla="*/ 485776 w 1628775"/>
            <a:gd name="connsiteY1" fmla="*/ 7395 h 116932"/>
            <a:gd name="connsiteX2" fmla="*/ 1181100 w 1628775"/>
            <a:gd name="connsiteY2" fmla="*/ 16920 h 116932"/>
            <a:gd name="connsiteX3" fmla="*/ 1628775 w 1628775"/>
            <a:gd name="connsiteY3" fmla="*/ 116932 h 116932"/>
          </a:gdLst>
          <a:ahLst/>
          <a:cxnLst>
            <a:cxn ang="0">
              <a:pos x="connsiteX0" y="connsiteY0"/>
            </a:cxn>
            <a:cxn ang="0">
              <a:pos x="connsiteX1" y="connsiteY1"/>
            </a:cxn>
            <a:cxn ang="0">
              <a:pos x="connsiteX2" y="connsiteY2"/>
            </a:cxn>
            <a:cxn ang="0">
              <a:pos x="connsiteX3" y="connsiteY3"/>
            </a:cxn>
          </a:cxnLst>
          <a:rect l="l" t="t" r="r" b="b"/>
          <a:pathLst>
            <a:path w="1628775" h="116932">
              <a:moveTo>
                <a:pt x="0" y="93120"/>
              </a:moveTo>
              <a:cubicBezTo>
                <a:pt x="126206" y="51051"/>
                <a:pt x="288926" y="20095"/>
                <a:pt x="485776" y="7395"/>
              </a:cubicBezTo>
              <a:cubicBezTo>
                <a:pt x="682626" y="-5305"/>
                <a:pt x="990600" y="-1336"/>
                <a:pt x="1181100" y="16920"/>
              </a:cubicBezTo>
              <a:cubicBezTo>
                <a:pt x="1371600" y="35176"/>
                <a:pt x="1589088" y="61370"/>
                <a:pt x="1628775" y="116932"/>
              </a:cubicBezTo>
            </a:path>
          </a:pathLst>
        </a:custGeom>
        <a:noFill/>
        <a:ln w="190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5</xdr:col>
      <xdr:colOff>52388</xdr:colOff>
      <xdr:row>231</xdr:row>
      <xdr:rowOff>90487</xdr:rowOff>
    </xdr:from>
    <xdr:to>
      <xdr:col>6</xdr:col>
      <xdr:colOff>862013</xdr:colOff>
      <xdr:row>232</xdr:row>
      <xdr:rowOff>26444</xdr:rowOff>
    </xdr:to>
    <xdr:sp macro="" textlink="">
      <xdr:nvSpPr>
        <xdr:cNvPr id="33" name="Figura a mano libera 32"/>
        <xdr:cNvSpPr/>
      </xdr:nvSpPr>
      <xdr:spPr>
        <a:xfrm>
          <a:off x="3481388" y="48334612"/>
          <a:ext cx="1628775" cy="116932"/>
        </a:xfrm>
        <a:custGeom>
          <a:avLst/>
          <a:gdLst>
            <a:gd name="connsiteX0" fmla="*/ 0 w 1633538"/>
            <a:gd name="connsiteY0" fmla="*/ 111107 h 130157"/>
            <a:gd name="connsiteX1" fmla="*/ 452438 w 1633538"/>
            <a:gd name="connsiteY1" fmla="*/ 11094 h 130157"/>
            <a:gd name="connsiteX2" fmla="*/ 1200150 w 1633538"/>
            <a:gd name="connsiteY2" fmla="*/ 15857 h 130157"/>
            <a:gd name="connsiteX3" fmla="*/ 1633538 w 1633538"/>
            <a:gd name="connsiteY3" fmla="*/ 130157 h 130157"/>
            <a:gd name="connsiteX0" fmla="*/ 0 w 1633538"/>
            <a:gd name="connsiteY0" fmla="*/ 104111 h 123161"/>
            <a:gd name="connsiteX1" fmla="*/ 485776 w 1633538"/>
            <a:gd name="connsiteY1" fmla="*/ 18386 h 123161"/>
            <a:gd name="connsiteX2" fmla="*/ 1200150 w 1633538"/>
            <a:gd name="connsiteY2" fmla="*/ 8861 h 123161"/>
            <a:gd name="connsiteX3" fmla="*/ 1633538 w 1633538"/>
            <a:gd name="connsiteY3" fmla="*/ 123161 h 123161"/>
            <a:gd name="connsiteX0" fmla="*/ 0 w 1643063"/>
            <a:gd name="connsiteY0" fmla="*/ 107274 h 169186"/>
            <a:gd name="connsiteX1" fmla="*/ 485776 w 1643063"/>
            <a:gd name="connsiteY1" fmla="*/ 21549 h 169186"/>
            <a:gd name="connsiteX2" fmla="*/ 1200150 w 1643063"/>
            <a:gd name="connsiteY2" fmla="*/ 12024 h 169186"/>
            <a:gd name="connsiteX3" fmla="*/ 1643063 w 1643063"/>
            <a:gd name="connsiteY3" fmla="*/ 169186 h 169186"/>
            <a:gd name="connsiteX0" fmla="*/ 0 w 1643063"/>
            <a:gd name="connsiteY0" fmla="*/ 107274 h 169186"/>
            <a:gd name="connsiteX1" fmla="*/ 485776 w 1643063"/>
            <a:gd name="connsiteY1" fmla="*/ 21549 h 169186"/>
            <a:gd name="connsiteX2" fmla="*/ 1200150 w 1643063"/>
            <a:gd name="connsiteY2" fmla="*/ 12024 h 169186"/>
            <a:gd name="connsiteX3" fmla="*/ 1643063 w 1643063"/>
            <a:gd name="connsiteY3" fmla="*/ 169186 h 169186"/>
            <a:gd name="connsiteX0" fmla="*/ 0 w 1643063"/>
            <a:gd name="connsiteY0" fmla="*/ 95083 h 156995"/>
            <a:gd name="connsiteX1" fmla="*/ 485776 w 1643063"/>
            <a:gd name="connsiteY1" fmla="*/ 9358 h 156995"/>
            <a:gd name="connsiteX2" fmla="*/ 1181100 w 1643063"/>
            <a:gd name="connsiteY2" fmla="*/ 18883 h 156995"/>
            <a:gd name="connsiteX3" fmla="*/ 1643063 w 1643063"/>
            <a:gd name="connsiteY3" fmla="*/ 156995 h 156995"/>
            <a:gd name="connsiteX0" fmla="*/ 0 w 1628775"/>
            <a:gd name="connsiteY0" fmla="*/ 93120 h 116932"/>
            <a:gd name="connsiteX1" fmla="*/ 485776 w 1628775"/>
            <a:gd name="connsiteY1" fmla="*/ 7395 h 116932"/>
            <a:gd name="connsiteX2" fmla="*/ 1181100 w 1628775"/>
            <a:gd name="connsiteY2" fmla="*/ 16920 h 116932"/>
            <a:gd name="connsiteX3" fmla="*/ 1628775 w 1628775"/>
            <a:gd name="connsiteY3" fmla="*/ 116932 h 116932"/>
          </a:gdLst>
          <a:ahLst/>
          <a:cxnLst>
            <a:cxn ang="0">
              <a:pos x="connsiteX0" y="connsiteY0"/>
            </a:cxn>
            <a:cxn ang="0">
              <a:pos x="connsiteX1" y="connsiteY1"/>
            </a:cxn>
            <a:cxn ang="0">
              <a:pos x="connsiteX2" y="connsiteY2"/>
            </a:cxn>
            <a:cxn ang="0">
              <a:pos x="connsiteX3" y="connsiteY3"/>
            </a:cxn>
          </a:cxnLst>
          <a:rect l="l" t="t" r="r" b="b"/>
          <a:pathLst>
            <a:path w="1628775" h="116932">
              <a:moveTo>
                <a:pt x="0" y="93120"/>
              </a:moveTo>
              <a:cubicBezTo>
                <a:pt x="126206" y="51051"/>
                <a:pt x="288926" y="20095"/>
                <a:pt x="485776" y="7395"/>
              </a:cubicBezTo>
              <a:cubicBezTo>
                <a:pt x="682626" y="-5305"/>
                <a:pt x="990600" y="-1336"/>
                <a:pt x="1181100" y="16920"/>
              </a:cubicBezTo>
              <a:cubicBezTo>
                <a:pt x="1371600" y="35176"/>
                <a:pt x="1589088" y="61370"/>
                <a:pt x="1628775" y="116932"/>
              </a:cubicBezTo>
            </a:path>
          </a:pathLst>
        </a:custGeom>
        <a:noFill/>
        <a:ln w="190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0</xdr:col>
      <xdr:colOff>74083</xdr:colOff>
      <xdr:row>174</xdr:row>
      <xdr:rowOff>179916</xdr:rowOff>
    </xdr:from>
    <xdr:to>
      <xdr:col>7</xdr:col>
      <xdr:colOff>666750</xdr:colOff>
      <xdr:row>189</xdr:row>
      <xdr:rowOff>52916</xdr:rowOff>
    </xdr:to>
    <xdr:graphicFrame macro="">
      <xdr:nvGraphicFramePr>
        <xdr:cNvPr id="21" name="Gra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3</xdr:row>
      <xdr:rowOff>67571</xdr:rowOff>
    </xdr:from>
    <xdr:to>
      <xdr:col>14</xdr:col>
      <xdr:colOff>198608</xdr:colOff>
      <xdr:row>22</xdr:row>
      <xdr:rowOff>123183</xdr:rowOff>
    </xdr:to>
    <xdr:pic>
      <xdr:nvPicPr>
        <xdr:cNvPr id="3" name="Immagine 2"/>
        <xdr:cNvPicPr>
          <a:picLocks noChangeAspect="1"/>
        </xdr:cNvPicPr>
      </xdr:nvPicPr>
      <xdr:blipFill>
        <a:blip xmlns:r="http://schemas.openxmlformats.org/officeDocument/2006/relationships" r:embed="rId1"/>
        <a:stretch>
          <a:fillRect/>
        </a:stretch>
      </xdr:blipFill>
      <xdr:spPr>
        <a:xfrm>
          <a:off x="276225" y="648596"/>
          <a:ext cx="8113883" cy="36751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46</xdr:col>
      <xdr:colOff>55418</xdr:colOff>
      <xdr:row>38</xdr:row>
      <xdr:rowOff>0</xdr:rowOff>
    </xdr:from>
    <xdr:to>
      <xdr:col>48</xdr:col>
      <xdr:colOff>249572</xdr:colOff>
      <xdr:row>43</xdr:row>
      <xdr:rowOff>102710</xdr:rowOff>
    </xdr:to>
    <xdr:pic>
      <xdr:nvPicPr>
        <xdr:cNvPr id="2" name="Picture 685"/>
        <xdr:cNvPicPr>
          <a:picLocks noChangeAspect="1" noChangeArrowheads="1"/>
        </xdr:cNvPicPr>
      </xdr:nvPicPr>
      <xdr:blipFill>
        <a:blip xmlns:r="http://schemas.openxmlformats.org/officeDocument/2006/relationships" r:embed="rId1" cstate="print"/>
        <a:srcRect/>
        <a:stretch>
          <a:fillRect/>
        </a:stretch>
      </xdr:blipFill>
      <xdr:spPr bwMode="auto">
        <a:xfrm>
          <a:off x="25720001" y="7524750"/>
          <a:ext cx="1421822" cy="1055210"/>
        </a:xfrm>
        <a:prstGeom prst="rect">
          <a:avLst/>
        </a:prstGeom>
        <a:noFill/>
        <a:ln w="9525">
          <a:noFill/>
          <a:miter lim="800000"/>
          <a:headEnd/>
          <a:tailEnd/>
        </a:ln>
      </xdr:spPr>
    </xdr:pic>
    <xdr:clientData/>
  </xdr:twoCellAnchor>
  <xdr:twoCellAnchor editAs="oneCell">
    <xdr:from>
      <xdr:col>46</xdr:col>
      <xdr:colOff>0</xdr:colOff>
      <xdr:row>46</xdr:row>
      <xdr:rowOff>160352</xdr:rowOff>
    </xdr:from>
    <xdr:to>
      <xdr:col>48</xdr:col>
      <xdr:colOff>334064</xdr:colOff>
      <xdr:row>52</xdr:row>
      <xdr:rowOff>38890</xdr:rowOff>
    </xdr:to>
    <xdr:pic>
      <xdr:nvPicPr>
        <xdr:cNvPr id="3" name="Picture 689"/>
        <xdr:cNvPicPr>
          <a:picLocks noChangeAspect="1" noChangeArrowheads="1"/>
        </xdr:cNvPicPr>
      </xdr:nvPicPr>
      <xdr:blipFill>
        <a:blip xmlns:r="http://schemas.openxmlformats.org/officeDocument/2006/relationships" r:embed="rId2" cstate="print"/>
        <a:srcRect/>
        <a:stretch>
          <a:fillRect/>
        </a:stretch>
      </xdr:blipFill>
      <xdr:spPr bwMode="auto">
        <a:xfrm>
          <a:off x="25664583" y="9209102"/>
          <a:ext cx="1561732" cy="1085038"/>
        </a:xfrm>
        <a:prstGeom prst="rect">
          <a:avLst/>
        </a:prstGeom>
        <a:noFill/>
        <a:ln w="9525">
          <a:noFill/>
          <a:miter lim="800000"/>
          <a:headEnd/>
          <a:tailEnd/>
        </a:ln>
      </xdr:spPr>
    </xdr:pic>
    <xdr:clientData/>
  </xdr:twoCellAnchor>
  <xdr:twoCellAnchor editAs="oneCell">
    <xdr:from>
      <xdr:col>46</xdr:col>
      <xdr:colOff>0</xdr:colOff>
      <xdr:row>54</xdr:row>
      <xdr:rowOff>0</xdr:rowOff>
    </xdr:from>
    <xdr:to>
      <xdr:col>48</xdr:col>
      <xdr:colOff>354405</xdr:colOff>
      <xdr:row>59</xdr:row>
      <xdr:rowOff>183574</xdr:rowOff>
    </xdr:to>
    <xdr:pic>
      <xdr:nvPicPr>
        <xdr:cNvPr id="4" name="Picture 700" descr="Immagine"/>
        <xdr:cNvPicPr>
          <a:picLocks noChangeAspect="1" noChangeArrowheads="1"/>
        </xdr:cNvPicPr>
      </xdr:nvPicPr>
      <xdr:blipFill>
        <a:blip xmlns:r="http://schemas.openxmlformats.org/officeDocument/2006/relationships" r:embed="rId3" cstate="print"/>
        <a:srcRect/>
        <a:stretch>
          <a:fillRect/>
        </a:stretch>
      </xdr:blipFill>
      <xdr:spPr bwMode="auto">
        <a:xfrm>
          <a:off x="25664583" y="10636250"/>
          <a:ext cx="1582073" cy="1136074"/>
        </a:xfrm>
        <a:prstGeom prst="rect">
          <a:avLst/>
        </a:prstGeom>
        <a:noFill/>
        <a:ln w="9525">
          <a:noFill/>
          <a:miter lim="800000"/>
          <a:headEnd/>
          <a:tailEnd/>
        </a:ln>
      </xdr:spPr>
    </xdr:pic>
    <xdr:clientData/>
  </xdr:twoCellAnchor>
  <xdr:twoCellAnchor editAs="oneCell">
    <xdr:from>
      <xdr:col>42</xdr:col>
      <xdr:colOff>486834</xdr:colOff>
      <xdr:row>16</xdr:row>
      <xdr:rowOff>158749</xdr:rowOff>
    </xdr:from>
    <xdr:to>
      <xdr:col>48</xdr:col>
      <xdr:colOff>412749</xdr:colOff>
      <xdr:row>30</xdr:row>
      <xdr:rowOff>170844</xdr:rowOff>
    </xdr:to>
    <xdr:pic>
      <xdr:nvPicPr>
        <xdr:cNvPr id="5" name="Picture 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r="1465"/>
        <a:stretch>
          <a:fillRect/>
        </a:stretch>
      </xdr:blipFill>
      <xdr:spPr bwMode="auto">
        <a:xfrm>
          <a:off x="23696084" y="3301999"/>
          <a:ext cx="3608916" cy="291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43</xdr:col>
      <xdr:colOff>52917</xdr:colOff>
      <xdr:row>32</xdr:row>
      <xdr:rowOff>52917</xdr:rowOff>
    </xdr:from>
    <xdr:to>
      <xdr:col>47</xdr:col>
      <xdr:colOff>81529</xdr:colOff>
      <xdr:row>42</xdr:row>
      <xdr:rowOff>35376</xdr:rowOff>
    </xdr:to>
    <xdr:pic>
      <xdr:nvPicPr>
        <xdr:cNvPr id="7" name="Picture 3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876000" y="6434667"/>
          <a:ext cx="2483946" cy="1887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43</xdr:col>
      <xdr:colOff>42334</xdr:colOff>
      <xdr:row>44</xdr:row>
      <xdr:rowOff>52917</xdr:rowOff>
    </xdr:from>
    <xdr:to>
      <xdr:col>45</xdr:col>
      <xdr:colOff>368783</xdr:colOff>
      <xdr:row>54</xdr:row>
      <xdr:rowOff>93080</xdr:rowOff>
    </xdr:to>
    <xdr:pic>
      <xdr:nvPicPr>
        <xdr:cNvPr id="8" name="Picture 3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r="2359"/>
        <a:stretch>
          <a:fillRect/>
        </a:stretch>
      </xdr:blipFill>
      <xdr:spPr bwMode="auto">
        <a:xfrm>
          <a:off x="23865417" y="8720667"/>
          <a:ext cx="1554117" cy="2008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48</xdr:col>
      <xdr:colOff>0</xdr:colOff>
      <xdr:row>45</xdr:row>
      <xdr:rowOff>0</xdr:rowOff>
    </xdr:from>
    <xdr:to>
      <xdr:col>50</xdr:col>
      <xdr:colOff>147765</xdr:colOff>
      <xdr:row>53</xdr:row>
      <xdr:rowOff>152633</xdr:rowOff>
    </xdr:to>
    <xdr:pic>
      <xdr:nvPicPr>
        <xdr:cNvPr id="9" name="Picture 3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6892250" y="8858250"/>
          <a:ext cx="1375431" cy="174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501575</xdr:colOff>
      <xdr:row>0</xdr:row>
      <xdr:rowOff>292250</xdr:rowOff>
    </xdr:from>
    <xdr:to>
      <xdr:col>17</xdr:col>
      <xdr:colOff>196775</xdr:colOff>
      <xdr:row>10</xdr:row>
      <xdr:rowOff>100853</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rchivio1\Desktop\PROGETTO%20MURATURA%20NUOVA%20ORDINARIA\vento\Azione%20vento%20e%20neve%20NTC%20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Vento"/>
      <sheetName val="Neve"/>
    </sheetNames>
    <sheetDataSet>
      <sheetData sheetId="0" refreshError="1"/>
      <sheetData sheetId="1">
        <row r="5">
          <cell r="Q5" t="str">
            <v>1) Valle d’Aosta, Piemonte, Lombardia, Trentino Alto Adige, Veneto, Friuli Venezia Giulia (con l’eccezione della provincia di Trieste)</v>
          </cell>
        </row>
        <row r="6">
          <cell r="Q6" t="str">
            <v>2) Emilia Romagna</v>
          </cell>
        </row>
        <row r="7">
          <cell r="Q7" t="str">
            <v>3) Toscana, Marche, Umbria, Lazio, Abruzzo, Molise, Puglia, Campania, Basilicata, Calabria (esclusa la provincia di Reggio Calabria)</v>
          </cell>
        </row>
        <row r="8">
          <cell r="Q8" t="str">
            <v>4) Sicilia e provincia di Reggio Calabria</v>
          </cell>
        </row>
        <row r="9">
          <cell r="Q9" t="str">
            <v>5) Sardegna (zona a oriente della retta congiungente Capo Teulada con l’Isola di Maddalena)</v>
          </cell>
        </row>
        <row r="10">
          <cell r="Q10" t="str">
            <v>6) Sardegna (zona a occidente della retta congiungente Capo Teulada con l’Isola di Maddalena)</v>
          </cell>
        </row>
        <row r="11">
          <cell r="Q11" t="str">
            <v>7) Liguria</v>
          </cell>
        </row>
        <row r="12">
          <cell r="Q12" t="str">
            <v>8) Provincia di Trieste</v>
          </cell>
        </row>
        <row r="13">
          <cell r="Q13" t="str">
            <v>9) Isole (con l’eccezione di Sicilia e Sardegna) e mare aperto</v>
          </cell>
        </row>
      </sheetData>
      <sheetData sheetId="2" refreshError="1"/>
    </sheetDataSet>
  </externalBook>
</externalLink>
</file>

<file path=xl/revisions/_rels/revisionHeaders.xml.rels><?xml version="1.0" encoding="UTF-8" standalone="yes"?>
<Relationships xmlns="http://schemas.openxmlformats.org/package/2006/relationships"><Relationship Id="rId3" Type="http://schemas.openxmlformats.org/officeDocument/2006/relationships/revisionLog" Target="revisionLog3.xml"/><Relationship Id="rId2" Type="http://schemas.openxmlformats.org/officeDocument/2006/relationships/revisionLog" Target="revisionLog2.xml"/><Relationship Id="rId1" Type="http://schemas.openxmlformats.org/officeDocument/2006/relationships/revisionLog" Target="revisionLog1.xml"/><Relationship Id="rId4" Type="http://schemas.openxmlformats.org/officeDocument/2006/relationships/revisionLog" Target="revisionLog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18B2875-DA26-4EEC-A73D-AAE71C8ED5FC}" diskRevisions="1" revisionId="3" version="4" protected="1">
  <header guid="{2ACD6773-5A44-4320-888F-000D95950BC7}" dateTime="2018-12-15T19:38:23" maxSheetId="6" userName="Davide Cicchini" r:id="rId1">
    <sheetIdMap count="5">
      <sheetId val="1"/>
      <sheetId val="2"/>
      <sheetId val="3"/>
      <sheetId val="4"/>
      <sheetId val="5"/>
    </sheetIdMap>
  </header>
  <header guid="{87466CCA-C401-423C-B51A-0EEFABF01883}" dateTime="2018-12-15T19:38:46" maxSheetId="6" userName="Davide Cicchini" r:id="rId2">
    <sheetIdMap count="5">
      <sheetId val="1"/>
      <sheetId val="2"/>
      <sheetId val="3"/>
      <sheetId val="4"/>
      <sheetId val="5"/>
    </sheetIdMap>
  </header>
  <header guid="{C567E60D-3E53-43F3-B5DF-AA1170803567}" dateTime="2018-12-15T19:38:58" maxSheetId="6" userName="Davide Cicchini" r:id="rId3">
    <sheetIdMap count="5">
      <sheetId val="1"/>
      <sheetId val="2"/>
      <sheetId val="3"/>
      <sheetId val="4"/>
      <sheetId val="5"/>
    </sheetIdMap>
  </header>
  <header guid="{B18B2875-DA26-4EEC-A73D-AAE71C8ED5FC}" dateTime="2018-12-15T19:39:01" maxSheetId="6" userName="Davide Cicchini" r:id="rId4">
    <sheetIdMap count="5">
      <sheetId val="1"/>
      <sheetId val="2"/>
      <sheetId val="3"/>
      <sheetId val="4"/>
      <sheetId val="5"/>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C56548B1-AD9F-45D5-A6C9-CFD9EB8CFADF}" action="delete"/>
  <rdn rId="0" localSheetId="2" customView="1" name="Z_C56548B1_AD9F_45D5_A6C9_CFD9EB8CFADF_.wvu.PrintArea" hidden="1" oldHidden="1">
    <formula>'CALCOLO DEL VENTO NTC18'!$A$1:$H$327</formula>
    <oldFormula>'CALCOLO DEL VENTO NTC18'!$A$1:$H$327</oldFormula>
  </rdn>
  <rcv guid="{C56548B1-AD9F-45D5-A6C9-CFD9EB8CFADF}"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C56548B1-AD9F-45D5-A6C9-CFD9EB8CFADF}" action="delete"/>
  <rdn rId="0" localSheetId="2" customView="1" name="Z_C56548B1_AD9F_45D5_A6C9_CFD9EB8CFADF_.wvu.PrintArea" hidden="1" oldHidden="1">
    <formula>'CALCOLO DEL VENTO NTC18'!$A$1:$H$327</formula>
    <oldFormula>'CALCOLO DEL VENTO NTC18'!$A$1:$H$327</oldFormula>
  </rdn>
  <rcv guid="{C56548B1-AD9F-45D5-A6C9-CFD9EB8CFADF}"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C56548B1-AD9F-45D5-A6C9-CFD9EB8CFADF}" action="delete"/>
  <rdn rId="0" localSheetId="2" customView="1" name="Z_C56548B1_AD9F_45D5_A6C9_CFD9EB8CFADF_.wvu.PrintArea" hidden="1" oldHidden="1">
    <formula>'CALCOLO DEL VENTO NTC18'!$A$1:$H$327</formula>
    <oldFormula>'CALCOLO DEL VENTO NTC18'!$A$1:$H$327</oldFormula>
  </rdn>
  <rcv guid="{C56548B1-AD9F-45D5-A6C9-CFD9EB8CFADF}"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davidecicchini.it/"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www.davidecicchini.i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16"/>
  <sheetViews>
    <sheetView showGridLines="0" showRowColHeaders="0" tabSelected="1" workbookViewId="0">
      <selection activeCell="G16" sqref="G16:I16"/>
    </sheetView>
  </sheetViews>
  <sheetFormatPr defaultRowHeight="15" x14ac:dyDescent="0.25"/>
  <cols>
    <col min="1" max="1" width="2.7109375" customWidth="1"/>
  </cols>
  <sheetData>
    <row r="5" spans="2:9" ht="15.75" x14ac:dyDescent="0.25">
      <c r="B5" s="110" t="s">
        <v>120</v>
      </c>
    </row>
    <row r="6" spans="2:9" ht="15.75" x14ac:dyDescent="0.25">
      <c r="B6" s="110" t="s">
        <v>256</v>
      </c>
    </row>
    <row r="8" spans="2:9" ht="15.75" x14ac:dyDescent="0.25">
      <c r="B8" s="110" t="s">
        <v>118</v>
      </c>
    </row>
    <row r="10" spans="2:9" ht="15.75" x14ac:dyDescent="0.25">
      <c r="B10" s="110" t="s">
        <v>119</v>
      </c>
    </row>
    <row r="11" spans="2:9" ht="15.75" x14ac:dyDescent="0.25">
      <c r="B11" s="110" t="s">
        <v>121</v>
      </c>
    </row>
    <row r="13" spans="2:9" x14ac:dyDescent="0.25">
      <c r="B13" s="242" t="s">
        <v>268</v>
      </c>
      <c r="C13" s="242"/>
      <c r="D13" s="242"/>
    </row>
    <row r="14" spans="2:9" x14ac:dyDescent="0.25">
      <c r="B14" s="243">
        <v>43449</v>
      </c>
      <c r="C14" s="242"/>
      <c r="D14" s="242"/>
      <c r="G14" s="239" t="s">
        <v>109</v>
      </c>
      <c r="H14" s="239"/>
      <c r="I14" s="239"/>
    </row>
    <row r="15" spans="2:9" x14ac:dyDescent="0.25">
      <c r="B15" s="240" t="s">
        <v>110</v>
      </c>
      <c r="C15" s="240"/>
      <c r="D15" s="240"/>
    </row>
    <row r="16" spans="2:9" x14ac:dyDescent="0.25">
      <c r="G16" s="241" t="s">
        <v>110</v>
      </c>
      <c r="H16" s="241"/>
      <c r="I16" s="241"/>
    </row>
  </sheetData>
  <sheetProtection algorithmName="SHA-512" hashValue="9ITK7vXEr5orSGHW0HaXR6pYwos2Ss7ZVm84nsclZTP3XHFIvLxNUhntTrHdUaj8lSGm0Nh83NjF5SX0NbOuOg==" saltValue="5HJcYbztzlau5BkLs2R/hg==" spinCount="100000" sheet="1" selectLockedCells="1"/>
  <customSheetViews>
    <customSheetView guid="{C56548B1-AD9F-45D5-A6C9-CFD9EB8CFADF}" showGridLines="0" showRowCol="0">
      <selection activeCell="G16" sqref="G16:I16"/>
      <pageMargins left="0.7" right="0.7" top="0.75" bottom="0.75" header="0.3" footer="0.3"/>
      <pageSetup paperSize="9" orientation="portrait" horizontalDpi="4294967293" r:id="rId1"/>
    </customSheetView>
    <customSheetView guid="{948D5EE8-4948-4B88-9BE1-4533C7B89844}" showGridLines="0" showRowCol="0">
      <selection activeCell="G16" sqref="G16:I16"/>
      <pageMargins left="0.7" right="0.7" top="0.75" bottom="0.75" header="0.3" footer="0.3"/>
      <pageSetup paperSize="9" orientation="portrait" horizontalDpi="4294967293" r:id="rId2"/>
    </customSheetView>
  </customSheetViews>
  <mergeCells count="5">
    <mergeCell ref="G14:I14"/>
    <mergeCell ref="B15:D15"/>
    <mergeCell ref="G16:I16"/>
    <mergeCell ref="B13:D13"/>
    <mergeCell ref="B14:D14"/>
  </mergeCells>
  <hyperlinks>
    <hyperlink ref="B15" r:id="rId3"/>
    <hyperlink ref="G16" r:id="rId4"/>
  </hyperlinks>
  <pageMargins left="0.7" right="0.7" top="0.75" bottom="0.75" header="0.3" footer="0.3"/>
  <pageSetup paperSize="9" orientation="portrait" horizontalDpi="4294967293" r:id="rId5"/>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1:H415"/>
  <sheetViews>
    <sheetView showGridLines="0" showRowColHeaders="0" zoomScale="90" zoomScaleNormal="90" zoomScaleSheetLayoutView="80" workbookViewId="0">
      <selection activeCell="B5" sqref="B5:H6"/>
    </sheetView>
  </sheetViews>
  <sheetFormatPr defaultRowHeight="15" x14ac:dyDescent="0.25"/>
  <cols>
    <col min="1" max="1" width="2.28515625" customWidth="1"/>
    <col min="2" max="6" width="12.28515625" customWidth="1"/>
    <col min="7" max="7" width="13.42578125" customWidth="1"/>
    <col min="8" max="8" width="12.28515625" customWidth="1"/>
  </cols>
  <sheetData>
    <row r="1" spans="2:8" ht="10.5" customHeight="1" x14ac:dyDescent="0.25"/>
    <row r="2" spans="2:8" ht="15.75" x14ac:dyDescent="0.25">
      <c r="B2" s="328" t="s">
        <v>249</v>
      </c>
      <c r="C2" s="328"/>
      <c r="D2" s="328"/>
      <c r="E2" s="328"/>
      <c r="F2" s="328"/>
      <c r="G2" s="328"/>
      <c r="H2" s="328"/>
    </row>
    <row r="3" spans="2:8" x14ac:dyDescent="0.25">
      <c r="B3" s="337" t="s">
        <v>161</v>
      </c>
      <c r="C3" s="337"/>
      <c r="D3" s="337"/>
      <c r="E3" s="179"/>
      <c r="F3" s="179"/>
      <c r="G3" s="179"/>
      <c r="H3" s="179"/>
    </row>
    <row r="4" spans="2:8" ht="15.75" thickBot="1" x14ac:dyDescent="0.3">
      <c r="B4" s="182" t="s">
        <v>160</v>
      </c>
      <c r="C4" s="61"/>
      <c r="D4" s="61"/>
      <c r="E4" s="61"/>
      <c r="F4" s="61"/>
      <c r="G4" s="61"/>
      <c r="H4" s="61"/>
    </row>
    <row r="5" spans="2:8" ht="15" customHeight="1" thickTop="1" x14ac:dyDescent="0.25">
      <c r="B5" s="266" t="s">
        <v>39</v>
      </c>
      <c r="C5" s="267"/>
      <c r="D5" s="267"/>
      <c r="E5" s="267"/>
      <c r="F5" s="267"/>
      <c r="G5" s="267"/>
      <c r="H5" s="268"/>
    </row>
    <row r="6" spans="2:8" ht="15.75" thickBot="1" x14ac:dyDescent="0.3">
      <c r="B6" s="331"/>
      <c r="C6" s="332"/>
      <c r="D6" s="332"/>
      <c r="E6" s="332"/>
      <c r="F6" s="332"/>
      <c r="G6" s="332"/>
      <c r="H6" s="333"/>
    </row>
    <row r="7" spans="2:8" ht="15.75" thickTop="1" x14ac:dyDescent="0.25">
      <c r="B7" s="61"/>
      <c r="C7" s="61"/>
      <c r="D7" s="61"/>
      <c r="E7" s="61"/>
      <c r="F7" s="61"/>
      <c r="G7" s="61"/>
      <c r="H7" s="61"/>
    </row>
    <row r="8" spans="2:8" x14ac:dyDescent="0.25">
      <c r="B8" s="61"/>
      <c r="C8" s="61"/>
      <c r="D8" s="61"/>
      <c r="E8" s="61"/>
      <c r="F8" s="61"/>
      <c r="G8" s="61"/>
      <c r="H8" s="61"/>
    </row>
    <row r="9" spans="2:8" x14ac:dyDescent="0.25">
      <c r="B9" s="61"/>
      <c r="C9" s="61"/>
      <c r="D9" s="61"/>
      <c r="E9" s="61"/>
      <c r="F9" s="61"/>
      <c r="G9" s="61"/>
      <c r="H9" s="61"/>
    </row>
    <row r="10" spans="2:8" x14ac:dyDescent="0.25">
      <c r="B10" s="61"/>
      <c r="C10" s="61"/>
      <c r="D10" s="61"/>
      <c r="E10" s="61"/>
      <c r="F10" s="61"/>
      <c r="G10" s="61"/>
      <c r="H10" s="61"/>
    </row>
    <row r="11" spans="2:8" x14ac:dyDescent="0.25">
      <c r="B11" s="61"/>
      <c r="C11" s="61"/>
      <c r="D11" s="61"/>
      <c r="E11" s="61"/>
      <c r="F11" s="61"/>
      <c r="G11" s="61"/>
      <c r="H11" s="61"/>
    </row>
    <row r="12" spans="2:8" x14ac:dyDescent="0.25">
      <c r="B12" s="61"/>
      <c r="C12" s="61"/>
      <c r="D12" s="61"/>
      <c r="E12" s="61"/>
      <c r="F12" s="61"/>
      <c r="G12" s="61"/>
      <c r="H12" s="61"/>
    </row>
    <row r="13" spans="2:8" x14ac:dyDescent="0.25">
      <c r="B13" s="61"/>
      <c r="C13" s="61"/>
      <c r="D13" s="61"/>
      <c r="E13" s="61"/>
      <c r="F13" s="61"/>
      <c r="G13" s="61"/>
      <c r="H13" s="18"/>
    </row>
    <row r="14" spans="2:8" ht="15" customHeight="1" x14ac:dyDescent="0.25">
      <c r="B14" s="61"/>
      <c r="C14" s="61"/>
      <c r="D14" s="61"/>
      <c r="E14" s="61"/>
      <c r="F14" s="61"/>
      <c r="G14" s="62"/>
      <c r="H14" s="63"/>
    </row>
    <row r="15" spans="2:8" x14ac:dyDescent="0.25">
      <c r="B15" s="61"/>
      <c r="C15" s="61"/>
      <c r="D15" s="61"/>
      <c r="E15" s="61"/>
      <c r="F15" s="61"/>
      <c r="G15" s="62"/>
      <c r="H15" s="63"/>
    </row>
    <row r="16" spans="2:8" x14ac:dyDescent="0.25">
      <c r="B16" s="61"/>
      <c r="C16" s="61"/>
      <c r="D16" s="61"/>
      <c r="E16" s="61"/>
      <c r="F16" s="61"/>
      <c r="G16" s="61"/>
      <c r="H16" s="61"/>
    </row>
    <row r="17" spans="2:8" x14ac:dyDescent="0.25">
      <c r="B17" s="61"/>
      <c r="C17" s="61"/>
      <c r="D17" s="61"/>
      <c r="E17" s="61"/>
      <c r="F17" s="61"/>
      <c r="G17" s="61"/>
      <c r="H17" s="61"/>
    </row>
    <row r="18" spans="2:8" x14ac:dyDescent="0.25">
      <c r="B18" s="61"/>
      <c r="C18" s="61"/>
      <c r="D18" s="61"/>
      <c r="E18" s="61"/>
      <c r="F18" s="61"/>
      <c r="G18" s="61"/>
      <c r="H18" s="61"/>
    </row>
    <row r="19" spans="2:8" ht="15.75" thickBot="1" x14ac:dyDescent="0.3">
      <c r="B19" s="175" t="s">
        <v>159</v>
      </c>
      <c r="C19" s="18"/>
      <c r="D19" s="18"/>
      <c r="E19" s="18"/>
      <c r="F19" s="18"/>
      <c r="G19" s="18"/>
      <c r="H19" s="61"/>
    </row>
    <row r="20" spans="2:8" ht="26.1" customHeight="1" thickTop="1" x14ac:dyDescent="0.25">
      <c r="B20" s="266" t="s">
        <v>156</v>
      </c>
      <c r="C20" s="267"/>
      <c r="D20" s="267"/>
      <c r="E20" s="267"/>
      <c r="F20" s="267"/>
      <c r="G20" s="267"/>
      <c r="H20" s="268"/>
    </row>
    <row r="21" spans="2:8" ht="26.1" customHeight="1" thickBot="1" x14ac:dyDescent="0.3">
      <c r="B21" s="269" t="s">
        <v>49</v>
      </c>
      <c r="C21" s="270"/>
      <c r="D21" s="270"/>
      <c r="E21" s="270"/>
      <c r="F21" s="270"/>
      <c r="G21" s="270"/>
      <c r="H21" s="271"/>
    </row>
    <row r="22" spans="2:8" ht="15" customHeight="1" thickTop="1" x14ac:dyDescent="0.25">
      <c r="B22" s="287" t="s">
        <v>82</v>
      </c>
      <c r="C22" s="288"/>
      <c r="D22" s="288"/>
      <c r="E22" s="288"/>
      <c r="F22" s="288"/>
      <c r="G22" s="288"/>
      <c r="H22" s="289"/>
    </row>
    <row r="23" spans="2:8" ht="20.25" customHeight="1" x14ac:dyDescent="0.25">
      <c r="B23" s="290"/>
      <c r="C23" s="291"/>
      <c r="D23" s="291"/>
      <c r="E23" s="291"/>
      <c r="F23" s="291"/>
      <c r="G23" s="291"/>
      <c r="H23" s="292"/>
    </row>
    <row r="24" spans="2:8" x14ac:dyDescent="0.25">
      <c r="B24" s="290"/>
      <c r="C24" s="291"/>
      <c r="D24" s="291"/>
      <c r="E24" s="291"/>
      <c r="F24" s="291"/>
      <c r="G24" s="291"/>
      <c r="H24" s="292"/>
    </row>
    <row r="25" spans="2:8" x14ac:dyDescent="0.25">
      <c r="B25" s="293"/>
      <c r="C25" s="294"/>
      <c r="D25" s="294"/>
      <c r="E25" s="294"/>
      <c r="F25" s="294"/>
      <c r="G25" s="294"/>
      <c r="H25" s="295"/>
    </row>
    <row r="26" spans="2:8" x14ac:dyDescent="0.25">
      <c r="B26" s="307" t="s">
        <v>138</v>
      </c>
      <c r="C26" s="307"/>
      <c r="D26" s="307"/>
      <c r="E26" s="307"/>
      <c r="F26" s="307"/>
      <c r="G26" s="307"/>
      <c r="H26" s="307"/>
    </row>
    <row r="27" spans="2:8" ht="15.75" thickBot="1" x14ac:dyDescent="0.3">
      <c r="B27" s="307"/>
      <c r="C27" s="307"/>
      <c r="D27" s="307"/>
      <c r="E27" s="307"/>
      <c r="F27" s="307"/>
      <c r="G27" s="307"/>
      <c r="H27" s="307"/>
    </row>
    <row r="28" spans="2:8" ht="17.25" thickTop="1" thickBot="1" x14ac:dyDescent="0.3">
      <c r="B28" s="169" t="s">
        <v>182</v>
      </c>
      <c r="C28" s="169"/>
      <c r="D28" s="169"/>
      <c r="E28" s="181"/>
      <c r="F28" s="139">
        <v>100</v>
      </c>
      <c r="G28" s="61" t="s">
        <v>79</v>
      </c>
      <c r="H28" s="123" t="str">
        <f>IF(F28&lt;0,"ERROR!","")</f>
        <v/>
      </c>
    </row>
    <row r="29" spans="2:8" ht="17.25" thickTop="1" thickBot="1" x14ac:dyDescent="0.3">
      <c r="B29" s="299" t="s">
        <v>157</v>
      </c>
      <c r="C29" s="299"/>
      <c r="D29" s="299"/>
      <c r="E29" s="306"/>
      <c r="F29" s="139">
        <v>10</v>
      </c>
      <c r="G29" s="61" t="s">
        <v>137</v>
      </c>
      <c r="H29" s="123"/>
    </row>
    <row r="30" spans="2:8" ht="16.5" thickTop="1" thickBot="1" x14ac:dyDescent="0.3">
      <c r="B30" s="329" t="s">
        <v>183</v>
      </c>
      <c r="C30" s="329"/>
      <c r="D30" s="329"/>
      <c r="E30" s="181"/>
      <c r="F30" s="140">
        <v>50</v>
      </c>
      <c r="G30" s="61" t="s">
        <v>80</v>
      </c>
      <c r="H30" s="61"/>
    </row>
    <row r="31" spans="2:8" ht="15.75" thickTop="1" x14ac:dyDescent="0.25">
      <c r="B31" s="299" t="s">
        <v>158</v>
      </c>
      <c r="C31" s="299"/>
      <c r="D31" s="299"/>
      <c r="E31" s="329"/>
      <c r="F31" s="138" t="str">
        <f>VLOOKUP('dati nascosti'!AK16,'dati nascosti'!AY19:AZ27,2,FALSE)</f>
        <v>III</v>
      </c>
      <c r="G31" s="18"/>
      <c r="H31" s="18"/>
    </row>
    <row r="32" spans="2:8" x14ac:dyDescent="0.25">
      <c r="B32" s="232"/>
      <c r="C32" s="232"/>
      <c r="D32" s="232"/>
      <c r="E32" s="231"/>
      <c r="F32" s="237"/>
      <c r="G32" s="18"/>
      <c r="H32" s="18"/>
    </row>
    <row r="33" spans="2:8" x14ac:dyDescent="0.25">
      <c r="B33" s="18"/>
      <c r="C33" s="18"/>
      <c r="D33" s="18"/>
      <c r="E33" s="18"/>
      <c r="F33" s="18"/>
      <c r="G33" s="18"/>
      <c r="H33" s="18"/>
    </row>
    <row r="34" spans="2:8" x14ac:dyDescent="0.25">
      <c r="B34" s="18"/>
      <c r="C34" s="18"/>
      <c r="D34" s="18"/>
      <c r="E34" s="18"/>
      <c r="F34" s="18"/>
      <c r="G34" s="18"/>
      <c r="H34" s="18"/>
    </row>
    <row r="35" spans="2:8" x14ac:dyDescent="0.25">
      <c r="B35" s="18"/>
      <c r="C35" s="18"/>
      <c r="D35" s="18"/>
      <c r="E35" s="18"/>
      <c r="F35" s="18"/>
      <c r="G35" s="18"/>
      <c r="H35" s="18"/>
    </row>
    <row r="36" spans="2:8" x14ac:dyDescent="0.25">
      <c r="B36" s="18"/>
      <c r="C36" s="18"/>
      <c r="D36" s="18"/>
      <c r="E36" s="18"/>
      <c r="F36" s="18"/>
      <c r="G36" s="18"/>
      <c r="H36" s="18"/>
    </row>
    <row r="37" spans="2:8" x14ac:dyDescent="0.25">
      <c r="B37" s="18"/>
      <c r="C37" s="18"/>
      <c r="D37" s="18"/>
      <c r="E37" s="18"/>
      <c r="F37" s="18"/>
      <c r="G37" s="18"/>
      <c r="H37" s="18"/>
    </row>
    <row r="38" spans="2:8" x14ac:dyDescent="0.25">
      <c r="B38" s="18"/>
      <c r="C38" s="18"/>
      <c r="D38" s="18"/>
      <c r="E38" s="18"/>
      <c r="F38" s="18"/>
      <c r="G38" s="61"/>
      <c r="H38" s="18"/>
    </row>
    <row r="39" spans="2:8" x14ac:dyDescent="0.25">
      <c r="B39" s="18"/>
      <c r="C39" s="18"/>
      <c r="D39" s="18"/>
      <c r="E39" s="18"/>
      <c r="F39" s="18"/>
      <c r="G39" s="61"/>
      <c r="H39" s="18"/>
    </row>
    <row r="40" spans="2:8" x14ac:dyDescent="0.25">
      <c r="B40" s="18"/>
      <c r="C40" s="18"/>
      <c r="D40" s="18"/>
      <c r="E40" s="18"/>
      <c r="F40" s="18"/>
      <c r="G40" s="18"/>
      <c r="H40" s="18"/>
    </row>
    <row r="41" spans="2:8" x14ac:dyDescent="0.25">
      <c r="B41" s="18"/>
      <c r="C41" s="18"/>
      <c r="D41" s="18"/>
      <c r="E41" s="18"/>
      <c r="F41" s="18"/>
      <c r="G41" s="18"/>
      <c r="H41" s="18"/>
    </row>
    <row r="42" spans="2:8" x14ac:dyDescent="0.25">
      <c r="B42" s="18"/>
      <c r="C42" s="18"/>
      <c r="D42" s="18"/>
      <c r="E42" s="18"/>
      <c r="F42" s="18"/>
      <c r="G42" s="18"/>
      <c r="H42" s="18"/>
    </row>
    <row r="43" spans="2:8" x14ac:dyDescent="0.25">
      <c r="B43" s="18"/>
      <c r="C43" s="18"/>
      <c r="D43" s="18"/>
      <c r="E43" s="18"/>
      <c r="F43" s="18"/>
      <c r="G43" s="18"/>
      <c r="H43" s="18"/>
    </row>
    <row r="44" spans="2:8" x14ac:dyDescent="0.25">
      <c r="B44" s="18"/>
      <c r="C44" s="18"/>
      <c r="D44" s="18"/>
      <c r="E44" s="18"/>
      <c r="F44" s="18"/>
      <c r="G44" s="18"/>
      <c r="H44" s="18"/>
    </row>
    <row r="45" spans="2:8" ht="16.149999999999999" customHeight="1" x14ac:dyDescent="0.25">
      <c r="B45" s="18"/>
      <c r="C45" s="18"/>
      <c r="D45" s="18"/>
      <c r="E45" s="18"/>
      <c r="F45" s="18"/>
      <c r="G45" s="18"/>
      <c r="H45" s="18"/>
    </row>
    <row r="46" spans="2:8" x14ac:dyDescent="0.25">
      <c r="B46" s="18"/>
      <c r="C46" s="18"/>
      <c r="D46" s="18"/>
      <c r="E46" s="18"/>
      <c r="F46" s="18"/>
      <c r="G46" s="18"/>
      <c r="H46" s="18"/>
    </row>
    <row r="47" spans="2:8" x14ac:dyDescent="0.25">
      <c r="B47" s="18"/>
      <c r="C47" s="18"/>
      <c r="D47" s="18"/>
      <c r="E47" s="18"/>
      <c r="F47" s="18"/>
      <c r="G47" s="18"/>
      <c r="H47" s="18"/>
    </row>
    <row r="48" spans="2:8" x14ac:dyDescent="0.25">
      <c r="B48" s="18"/>
      <c r="C48" s="18"/>
      <c r="D48" s="18"/>
      <c r="E48" s="18"/>
      <c r="F48" s="18"/>
      <c r="G48" s="18"/>
      <c r="H48" s="18"/>
    </row>
    <row r="49" spans="2:8" x14ac:dyDescent="0.25">
      <c r="B49" s="18"/>
      <c r="C49" s="18"/>
      <c r="D49" s="18"/>
      <c r="E49" s="18"/>
      <c r="F49" s="18"/>
      <c r="G49" s="18"/>
      <c r="H49" s="18"/>
    </row>
    <row r="50" spans="2:8" x14ac:dyDescent="0.25">
      <c r="B50" s="18"/>
      <c r="C50" s="18"/>
      <c r="D50" s="18"/>
      <c r="E50" s="18"/>
      <c r="F50" s="18"/>
      <c r="G50" s="18"/>
      <c r="H50" s="18"/>
    </row>
    <row r="51" spans="2:8" x14ac:dyDescent="0.25">
      <c r="B51" s="18"/>
      <c r="C51" s="18"/>
      <c r="D51" s="18"/>
      <c r="E51" s="18"/>
      <c r="F51" s="18"/>
      <c r="G51" s="18"/>
      <c r="H51" s="18"/>
    </row>
    <row r="52" spans="2:8" x14ac:dyDescent="0.25">
      <c r="B52" s="18"/>
      <c r="C52" s="18"/>
      <c r="D52" s="18"/>
      <c r="E52" s="18"/>
      <c r="F52" s="18"/>
      <c r="G52" s="18"/>
      <c r="H52" s="18"/>
    </row>
    <row r="53" spans="2:8" x14ac:dyDescent="0.25">
      <c r="B53" s="174" t="s">
        <v>187</v>
      </c>
      <c r="C53" s="66"/>
      <c r="D53" s="66"/>
      <c r="E53" s="66"/>
      <c r="F53" s="66"/>
      <c r="G53" s="66"/>
      <c r="H53" s="66"/>
    </row>
    <row r="54" spans="2:8" x14ac:dyDescent="0.25">
      <c r="B54" s="174"/>
      <c r="C54" s="66"/>
      <c r="D54" s="66"/>
      <c r="E54" s="66"/>
      <c r="F54" s="66"/>
      <c r="G54" s="66"/>
      <c r="H54" s="66"/>
    </row>
    <row r="55" spans="2:8" x14ac:dyDescent="0.25">
      <c r="B55" s="311" t="s">
        <v>266</v>
      </c>
      <c r="C55" s="311"/>
      <c r="D55" s="311"/>
      <c r="E55" s="311"/>
      <c r="F55" s="311"/>
      <c r="G55" s="311"/>
      <c r="H55" s="311"/>
    </row>
    <row r="56" spans="2:8" x14ac:dyDescent="0.25">
      <c r="B56" s="311"/>
      <c r="C56" s="311"/>
      <c r="D56" s="311"/>
      <c r="E56" s="311"/>
      <c r="F56" s="311"/>
      <c r="G56" s="311"/>
      <c r="H56" s="311"/>
    </row>
    <row r="57" spans="2:8" x14ac:dyDescent="0.25">
      <c r="B57" s="311"/>
      <c r="C57" s="311"/>
      <c r="D57" s="311"/>
      <c r="E57" s="311"/>
      <c r="F57" s="311"/>
      <c r="G57" s="311"/>
      <c r="H57" s="311"/>
    </row>
    <row r="58" spans="2:8" x14ac:dyDescent="0.25">
      <c r="B58" s="311"/>
      <c r="C58" s="311"/>
      <c r="D58" s="311"/>
      <c r="E58" s="311"/>
      <c r="F58" s="311"/>
      <c r="G58" s="311"/>
      <c r="H58" s="311"/>
    </row>
    <row r="59" spans="2:8" x14ac:dyDescent="0.25">
      <c r="B59" s="311"/>
      <c r="C59" s="311"/>
      <c r="D59" s="311"/>
      <c r="E59" s="311"/>
      <c r="F59" s="311"/>
      <c r="G59" s="311"/>
      <c r="H59" s="311"/>
    </row>
    <row r="60" spans="2:8" x14ac:dyDescent="0.25">
      <c r="B60" s="311"/>
      <c r="C60" s="311"/>
      <c r="D60" s="311"/>
      <c r="E60" s="311"/>
      <c r="F60" s="311"/>
      <c r="G60" s="311"/>
      <c r="H60" s="311"/>
    </row>
    <row r="61" spans="2:8" x14ac:dyDescent="0.25">
      <c r="B61" s="311"/>
      <c r="C61" s="311"/>
      <c r="D61" s="311"/>
      <c r="E61" s="311"/>
      <c r="F61" s="311"/>
      <c r="G61" s="311"/>
      <c r="H61" s="311"/>
    </row>
    <row r="62" spans="2:8" x14ac:dyDescent="0.25">
      <c r="B62" s="311"/>
      <c r="C62" s="311"/>
      <c r="D62" s="311"/>
      <c r="E62" s="311"/>
      <c r="F62" s="311"/>
      <c r="G62" s="311"/>
      <c r="H62" s="311"/>
    </row>
    <row r="63" spans="2:8" x14ac:dyDescent="0.25">
      <c r="B63" s="311"/>
      <c r="C63" s="311"/>
      <c r="D63" s="311"/>
      <c r="E63" s="311"/>
      <c r="F63" s="311"/>
      <c r="G63" s="311"/>
      <c r="H63" s="311"/>
    </row>
    <row r="64" spans="2:8" x14ac:dyDescent="0.25">
      <c r="B64" s="311"/>
      <c r="C64" s="311"/>
      <c r="D64" s="311"/>
      <c r="E64" s="311"/>
      <c r="F64" s="311"/>
      <c r="G64" s="311"/>
      <c r="H64" s="311"/>
    </row>
    <row r="65" spans="2:8" x14ac:dyDescent="0.25">
      <c r="B65" s="311"/>
      <c r="C65" s="311"/>
      <c r="D65" s="311"/>
      <c r="E65" s="311"/>
      <c r="F65" s="311"/>
      <c r="G65" s="311"/>
      <c r="H65" s="311"/>
    </row>
    <row r="66" spans="2:8" x14ac:dyDescent="0.25">
      <c r="B66" s="311"/>
      <c r="C66" s="311"/>
      <c r="D66" s="311"/>
      <c r="E66" s="311"/>
      <c r="F66" s="311"/>
      <c r="G66" s="311"/>
      <c r="H66" s="311"/>
    </row>
    <row r="67" spans="2:8" ht="15.75" thickBot="1" x14ac:dyDescent="0.3">
      <c r="C67" s="66"/>
      <c r="D67" s="66"/>
      <c r="E67" s="66"/>
      <c r="F67" s="66"/>
      <c r="G67" s="66"/>
      <c r="H67" s="66"/>
    </row>
    <row r="68" spans="2:8" ht="16.5" thickTop="1" thickBot="1" x14ac:dyDescent="0.3">
      <c r="B68" s="273" t="s">
        <v>205</v>
      </c>
      <c r="C68" s="274"/>
      <c r="D68" s="196" t="s">
        <v>204</v>
      </c>
      <c r="E68" s="66"/>
      <c r="F68" s="66"/>
      <c r="G68" s="66"/>
      <c r="H68" s="66"/>
    </row>
    <row r="69" spans="2:8" ht="16.5" thickTop="1" thickBot="1" x14ac:dyDescent="0.3">
      <c r="B69" s="81"/>
      <c r="C69" s="81"/>
      <c r="D69" s="61"/>
      <c r="E69" s="61"/>
      <c r="F69" s="61"/>
      <c r="G69" s="61"/>
      <c r="H69" s="61"/>
    </row>
    <row r="70" spans="2:8" ht="16.5" thickTop="1" thickBot="1" x14ac:dyDescent="0.3">
      <c r="B70" s="72" t="s">
        <v>240</v>
      </c>
      <c r="C70" s="142">
        <v>6.5</v>
      </c>
      <c r="D70" s="82" t="str">
        <f>IF('dati nascosti'!M9&lt;G72,"ERROR (&lt; z)!","")</f>
        <v/>
      </c>
      <c r="E70" s="81"/>
      <c r="F70" s="81"/>
      <c r="H70" s="61"/>
    </row>
    <row r="71" spans="2:8" ht="16.5" thickTop="1" thickBot="1" x14ac:dyDescent="0.3">
      <c r="B71" s="155" t="s">
        <v>99</v>
      </c>
      <c r="C71" s="22"/>
      <c r="D71" s="84"/>
      <c r="E71" s="85"/>
      <c r="F71" s="81"/>
      <c r="G71" s="61"/>
      <c r="H71" s="61"/>
    </row>
    <row r="72" spans="2:8" ht="16.5" thickTop="1" thickBot="1" x14ac:dyDescent="0.3">
      <c r="C72" s="87"/>
      <c r="D72" s="81"/>
      <c r="E72" s="81"/>
      <c r="F72" s="85"/>
      <c r="G72" s="142">
        <v>4</v>
      </c>
      <c r="H72" s="72" t="s">
        <v>239</v>
      </c>
    </row>
    <row r="73" spans="2:8" ht="16.5" thickTop="1" thickBot="1" x14ac:dyDescent="0.3">
      <c r="B73" s="61"/>
      <c r="C73" s="88"/>
      <c r="D73" s="190">
        <v>30</v>
      </c>
      <c r="E73" s="81"/>
      <c r="F73" s="89"/>
      <c r="G73" s="61"/>
      <c r="H73" s="61"/>
    </row>
    <row r="74" spans="2:8" ht="15.75" thickTop="1" x14ac:dyDescent="0.25">
      <c r="B74" s="187" t="s">
        <v>224</v>
      </c>
      <c r="C74" s="64"/>
      <c r="D74" s="64"/>
      <c r="E74" s="65"/>
      <c r="F74" s="65"/>
      <c r="G74" s="65"/>
      <c r="H74" s="18"/>
    </row>
    <row r="75" spans="2:8" x14ac:dyDescent="0.25">
      <c r="B75" s="18"/>
      <c r="C75" s="18"/>
      <c r="D75" s="18"/>
      <c r="E75" s="18"/>
      <c r="F75" s="18"/>
      <c r="G75" s="18"/>
      <c r="H75" s="18"/>
    </row>
    <row r="76" spans="2:8" x14ac:dyDescent="0.25">
      <c r="B76" s="176" t="s">
        <v>267</v>
      </c>
      <c r="C76" s="179"/>
      <c r="D76" s="179"/>
      <c r="E76" s="179"/>
      <c r="F76" s="180"/>
      <c r="G76" s="180"/>
      <c r="H76" s="180"/>
    </row>
    <row r="77" spans="2:8" x14ac:dyDescent="0.25">
      <c r="B77" s="18"/>
      <c r="C77" s="18"/>
      <c r="D77" s="18"/>
      <c r="E77" s="18"/>
      <c r="F77" s="61"/>
      <c r="G77" s="61"/>
      <c r="H77" s="61"/>
    </row>
    <row r="78" spans="2:8" ht="15.75" x14ac:dyDescent="0.25">
      <c r="B78" s="114" t="s">
        <v>34</v>
      </c>
      <c r="C78" s="114" t="s">
        <v>32</v>
      </c>
      <c r="D78" s="114" t="s">
        <v>33</v>
      </c>
      <c r="E78" s="114" t="s">
        <v>169</v>
      </c>
      <c r="F78" s="161" t="s">
        <v>167</v>
      </c>
      <c r="G78" s="61"/>
      <c r="H78" s="61"/>
    </row>
    <row r="79" spans="2:8" x14ac:dyDescent="0.25">
      <c r="B79" s="114">
        <f>IF($B$5='DATI NTC18'!$B$3,'DATI NTC18'!C3,IF($B$5='DATI NTC18'!$B$4,'DATI NTC18'!C4,IF($B$5='DATI NTC18'!$B$5,'DATI NTC18'!C5,IF($B$5='DATI NTC18'!$B$6,'DATI NTC18'!C6,IF($B$5='DATI NTC18'!$B$7,'DATI NTC18'!C7,IF($B$5='DATI NTC18'!$B$8,'DATI NTC18'!C8,IF($B$5='DATI NTC18'!$B$9,'DATI NTC18'!C9,IF($B$5='DATI NTC18'!$B$10,'DATI NTC18'!C10,IF($B$5='DATI NTC18'!$B$11,'DATI NTC18'!C11,"")))))))))</f>
        <v>5</v>
      </c>
      <c r="C79" s="114">
        <f>IF($B$5='DATI NTC18'!$B$3,'DATI NTC18'!D3,IF($B$5='DATI NTC18'!$B$4,'DATI NTC18'!D4,IF($B$5='DATI NTC18'!$B$5,'DATI NTC18'!D5,IF($B$5='DATI NTC18'!$B$6,'DATI NTC18'!D6,IF($B$5='DATI NTC18'!$B$7,'DATI NTC18'!D7,IF($B$5='DATI NTC18'!$B$8,'DATI NTC18'!D8,IF($B$5='DATI NTC18'!$B$9,'DATI NTC18'!D9,IF($B$5='DATI NTC18'!$B$10,'DATI NTC18'!D10,IF($B$5='DATI NTC18'!$B$11,'DATI NTC18'!D11,"")))))))))</f>
        <v>28</v>
      </c>
      <c r="D79" s="114">
        <f>IF($B$5='DATI NTC18'!$B$3,'DATI NTC18'!E3,IF($B$5='DATI NTC18'!$B$4,'DATI NTC18'!E4,IF($B$5='DATI NTC18'!$B$5,'DATI NTC18'!E5,IF($B$5='DATI NTC18'!$B$6,'DATI NTC18'!E6,IF($B$5='DATI NTC18'!$B$7,'DATI NTC18'!E7,IF($B$5='DATI NTC18'!$B$8,'DATI NTC18'!E8,IF($B$5='DATI NTC18'!$B$9,'DATI NTC18'!E9,IF($B$5='DATI NTC18'!$B$10,'DATI NTC18'!E10,IF($B$5='DATI NTC18'!$B$11,'DATI NTC18'!E11,"")))))))))</f>
        <v>750</v>
      </c>
      <c r="E79" s="114">
        <f>IF($B$5='DATI NTC18'!$B$3,'DATI NTC18'!F3,IF($B$5='DATI NTC18'!$B$4,'DATI NTC18'!F4,IF($B$5='DATI NTC18'!$B$5,'DATI NTC18'!F5,IF($B$5='DATI NTC18'!$B$6,'DATI NTC18'!F6,IF($B$5='DATI NTC18'!$B$7,'DATI NTC18'!F7,IF($B$5='DATI NTC18'!$B$8,'DATI NTC18'!F8,IF($B$5='DATI NTC18'!$B$9,'DATI NTC18'!F9,IF($B$5='DATI NTC18'!$B$10,'DATI NTC18'!F10,IF($B$5='DATI NTC18'!$B$11,'DATI NTC18'!F11,"")))))))))</f>
        <v>0.4</v>
      </c>
      <c r="F79" s="167">
        <f>IF(F28&lt;=D79,1,1+E79*(F28/D79-1))</f>
        <v>1</v>
      </c>
      <c r="G79" s="61"/>
      <c r="H79" s="61"/>
    </row>
    <row r="80" spans="2:8" x14ac:dyDescent="0.25">
      <c r="B80" s="18"/>
      <c r="C80" s="18"/>
      <c r="D80" s="18"/>
      <c r="E80" s="18"/>
      <c r="F80" s="18"/>
      <c r="G80" s="18"/>
      <c r="H80" s="18"/>
    </row>
    <row r="81" spans="2:8" ht="15.75" x14ac:dyDescent="0.25">
      <c r="B81" s="308" t="s">
        <v>164</v>
      </c>
      <c r="C81" s="309"/>
      <c r="D81" s="309"/>
      <c r="E81" s="310"/>
      <c r="F81" s="61"/>
      <c r="G81" s="61"/>
      <c r="H81" s="61"/>
    </row>
    <row r="82" spans="2:8" x14ac:dyDescent="0.25">
      <c r="B82" s="277" t="s">
        <v>165</v>
      </c>
      <c r="C82" s="278"/>
      <c r="D82" s="278"/>
      <c r="E82" s="279"/>
      <c r="F82" s="61"/>
      <c r="G82" s="61"/>
      <c r="H82" s="61"/>
    </row>
    <row r="83" spans="2:8" ht="14.45" customHeight="1" x14ac:dyDescent="0.25">
      <c r="B83" s="334" t="s">
        <v>166</v>
      </c>
      <c r="C83" s="335"/>
      <c r="D83" s="335"/>
      <c r="E83" s="336"/>
      <c r="F83" s="61"/>
      <c r="G83" s="61"/>
      <c r="H83" s="61"/>
    </row>
    <row r="84" spans="2:8" x14ac:dyDescent="0.25">
      <c r="B84" s="61"/>
      <c r="C84" s="61"/>
      <c r="D84" s="61"/>
      <c r="E84" s="61"/>
      <c r="F84" s="18"/>
      <c r="G84" s="18"/>
      <c r="H84" s="18"/>
    </row>
    <row r="85" spans="2:8" ht="17.25" x14ac:dyDescent="0.25">
      <c r="B85" s="286" t="s">
        <v>184</v>
      </c>
      <c r="C85" s="286"/>
      <c r="D85" s="286"/>
      <c r="E85" s="171">
        <f>'CALCOLO DEL VENTO NTC18'!C79*'CALCOLO DEL VENTO NTC18'!F79</f>
        <v>28</v>
      </c>
      <c r="F85" s="166"/>
      <c r="G85" s="18"/>
      <c r="H85" s="18"/>
    </row>
    <row r="86" spans="2:8" x14ac:dyDescent="0.25">
      <c r="B86" s="170"/>
      <c r="C86" s="170"/>
      <c r="D86" s="170"/>
      <c r="E86" s="171"/>
      <c r="F86" s="166"/>
      <c r="G86" s="18"/>
      <c r="H86" s="18"/>
    </row>
    <row r="87" spans="2:8" ht="15.75" x14ac:dyDescent="0.25">
      <c r="B87" s="281" t="s">
        <v>170</v>
      </c>
      <c r="C87" s="281"/>
      <c r="D87" s="281"/>
      <c r="E87" s="282"/>
      <c r="F87" s="166"/>
      <c r="G87" s="18"/>
      <c r="H87" s="18"/>
    </row>
    <row r="88" spans="2:8" x14ac:dyDescent="0.25">
      <c r="B88" s="172" t="s">
        <v>171</v>
      </c>
      <c r="C88" s="156"/>
      <c r="D88" s="156"/>
      <c r="E88" s="173">
        <f>VLOOKUP(F30,'DATI NTC18'!H3:I101,2,FALSE)</f>
        <v>1.0007337802921321</v>
      </c>
      <c r="G88" s="18"/>
      <c r="H88" s="18"/>
    </row>
    <row r="89" spans="2:8" ht="17.25" x14ac:dyDescent="0.25">
      <c r="B89" s="280" t="s">
        <v>250</v>
      </c>
      <c r="C89" s="280"/>
      <c r="D89" s="280"/>
      <c r="E89" s="171">
        <f>'CALCOLO DEL VENTO NTC18'!E85*E88</f>
        <v>28.020545848179701</v>
      </c>
      <c r="F89" s="166"/>
      <c r="G89" s="18"/>
      <c r="H89" s="18"/>
    </row>
    <row r="90" spans="2:8" x14ac:dyDescent="0.25">
      <c r="B90" s="233"/>
      <c r="C90" s="233"/>
      <c r="D90" s="233"/>
      <c r="E90" s="171"/>
      <c r="F90" s="166"/>
      <c r="G90" s="18"/>
      <c r="H90" s="18"/>
    </row>
    <row r="91" spans="2:8" x14ac:dyDescent="0.25">
      <c r="B91" s="176" t="s">
        <v>253</v>
      </c>
      <c r="C91" s="179"/>
      <c r="D91" s="179"/>
      <c r="E91" s="179"/>
      <c r="F91" s="180"/>
      <c r="G91" s="180"/>
      <c r="H91" s="180"/>
    </row>
    <row r="92" spans="2:8" x14ac:dyDescent="0.25">
      <c r="B92" s="18"/>
      <c r="C92" s="18"/>
      <c r="D92" s="18"/>
      <c r="E92" s="18"/>
      <c r="F92" s="18"/>
      <c r="G92" s="18"/>
      <c r="H92" s="18"/>
    </row>
    <row r="93" spans="2:8" ht="15.75" x14ac:dyDescent="0.25">
      <c r="B93" s="325" t="s">
        <v>154</v>
      </c>
      <c r="C93" s="325"/>
      <c r="D93" s="325"/>
      <c r="E93" s="325"/>
      <c r="F93" s="18"/>
      <c r="G93" s="18"/>
    </row>
    <row r="94" spans="2:8" ht="15.75" x14ac:dyDescent="0.25">
      <c r="B94" s="325" t="s">
        <v>153</v>
      </c>
      <c r="C94" s="325"/>
      <c r="D94" s="18" t="s">
        <v>98</v>
      </c>
      <c r="E94" s="61"/>
      <c r="F94" s="18"/>
      <c r="G94" s="18"/>
      <c r="H94" s="18"/>
    </row>
    <row r="95" spans="2:8" x14ac:dyDescent="0.25">
      <c r="B95" s="272" t="s">
        <v>172</v>
      </c>
      <c r="C95" s="272"/>
      <c r="D95" s="272"/>
      <c r="E95" s="168">
        <f>0.5*1.25*E89^2</f>
        <v>490.71936851871294</v>
      </c>
      <c r="F95" s="169" t="s">
        <v>81</v>
      </c>
      <c r="G95" s="18"/>
      <c r="H95" s="18"/>
    </row>
    <row r="96" spans="2:8" x14ac:dyDescent="0.25">
      <c r="B96" s="61"/>
      <c r="C96" s="61"/>
      <c r="D96" s="61"/>
      <c r="E96" s="61"/>
      <c r="F96" s="18"/>
      <c r="G96" s="61"/>
      <c r="H96" s="18"/>
    </row>
    <row r="97" spans="2:8" x14ac:dyDescent="0.25">
      <c r="B97" s="176" t="s">
        <v>181</v>
      </c>
      <c r="C97" s="177"/>
      <c r="D97" s="177"/>
      <c r="E97" s="177"/>
      <c r="F97" s="178"/>
      <c r="G97" s="178"/>
      <c r="H97" s="178"/>
    </row>
    <row r="98" spans="2:8" ht="15.75" thickBot="1" x14ac:dyDescent="0.3">
      <c r="B98" s="61"/>
      <c r="C98" s="61"/>
      <c r="D98" s="61"/>
      <c r="E98" s="61"/>
      <c r="F98" s="61"/>
      <c r="G98" s="18"/>
      <c r="H98" s="61"/>
    </row>
    <row r="99" spans="2:8" ht="14.45" customHeight="1" thickTop="1" thickBot="1" x14ac:dyDescent="0.3">
      <c r="B99" s="175" t="s">
        <v>252</v>
      </c>
      <c r="C99" s="66"/>
      <c r="D99" s="66"/>
      <c r="E99" s="61"/>
      <c r="G99" s="67" t="s">
        <v>83</v>
      </c>
      <c r="H99" s="141">
        <v>1</v>
      </c>
    </row>
    <row r="100" spans="2:8" ht="14.45" customHeight="1" thickTop="1" x14ac:dyDescent="0.25">
      <c r="B100" s="111"/>
      <c r="C100" s="111"/>
      <c r="D100" s="111"/>
      <c r="E100" s="61"/>
      <c r="F100" s="61"/>
      <c r="G100" s="68"/>
      <c r="H100" s="61"/>
    </row>
    <row r="101" spans="2:8" ht="14.45" customHeight="1" x14ac:dyDescent="0.25">
      <c r="B101" s="313" t="s">
        <v>78</v>
      </c>
      <c r="C101" s="314"/>
      <c r="D101" s="314"/>
      <c r="E101" s="314"/>
      <c r="F101" s="314"/>
      <c r="G101" s="314"/>
      <c r="H101" s="315"/>
    </row>
    <row r="102" spans="2:8" x14ac:dyDescent="0.25">
      <c r="B102" s="316"/>
      <c r="C102" s="317"/>
      <c r="D102" s="317"/>
      <c r="E102" s="317"/>
      <c r="F102" s="317"/>
      <c r="G102" s="317"/>
      <c r="H102" s="318"/>
    </row>
    <row r="103" spans="2:8" x14ac:dyDescent="0.25">
      <c r="B103" s="316"/>
      <c r="C103" s="317"/>
      <c r="D103" s="317"/>
      <c r="E103" s="317"/>
      <c r="F103" s="317"/>
      <c r="G103" s="317"/>
      <c r="H103" s="318"/>
    </row>
    <row r="104" spans="2:8" x14ac:dyDescent="0.25">
      <c r="B104" s="319"/>
      <c r="C104" s="320"/>
      <c r="D104" s="320"/>
      <c r="E104" s="320"/>
      <c r="F104" s="320"/>
      <c r="G104" s="320"/>
      <c r="H104" s="321"/>
    </row>
    <row r="105" spans="2:8" x14ac:dyDescent="0.25">
      <c r="B105" s="69"/>
      <c r="C105" s="69"/>
      <c r="D105" s="69"/>
      <c r="E105" s="69"/>
      <c r="F105" s="69"/>
      <c r="G105" s="69"/>
      <c r="H105" s="61"/>
    </row>
    <row r="106" spans="2:8" x14ac:dyDescent="0.25">
      <c r="B106" s="113"/>
      <c r="C106" s="113"/>
      <c r="D106" s="113"/>
      <c r="E106" s="113"/>
      <c r="F106" s="113"/>
      <c r="G106" s="113"/>
      <c r="H106" s="61"/>
    </row>
    <row r="107" spans="2:8" x14ac:dyDescent="0.25">
      <c r="B107" s="113"/>
      <c r="C107" s="113"/>
      <c r="D107" s="113"/>
      <c r="E107" s="113"/>
      <c r="F107" s="113"/>
      <c r="G107" s="113"/>
      <c r="H107" s="61"/>
    </row>
    <row r="108" spans="2:8" x14ac:dyDescent="0.25">
      <c r="B108" s="113"/>
      <c r="C108" s="113"/>
      <c r="D108" s="113"/>
      <c r="E108" s="113"/>
      <c r="F108" s="113"/>
      <c r="G108" s="113"/>
      <c r="H108" s="61"/>
    </row>
    <row r="109" spans="2:8" x14ac:dyDescent="0.25">
      <c r="B109" s="113"/>
      <c r="C109" s="113"/>
      <c r="D109" s="113"/>
      <c r="E109" s="113"/>
      <c r="F109" s="113"/>
      <c r="G109" s="113"/>
      <c r="H109" s="61"/>
    </row>
    <row r="110" spans="2:8" x14ac:dyDescent="0.25">
      <c r="B110" s="113"/>
      <c r="C110" s="113"/>
      <c r="D110" s="113"/>
      <c r="E110" s="113"/>
      <c r="F110" s="113"/>
      <c r="G110" s="113"/>
      <c r="H110" s="61"/>
    </row>
    <row r="111" spans="2:8" x14ac:dyDescent="0.25">
      <c r="B111" s="113"/>
      <c r="C111" s="113"/>
      <c r="D111" s="113"/>
      <c r="E111" s="113"/>
      <c r="F111" s="113"/>
      <c r="G111" s="113"/>
      <c r="H111" s="61"/>
    </row>
    <row r="112" spans="2:8" x14ac:dyDescent="0.25">
      <c r="B112" s="113"/>
      <c r="C112" s="113"/>
      <c r="D112" s="113"/>
      <c r="E112" s="113"/>
      <c r="F112" s="113"/>
      <c r="G112" s="113"/>
      <c r="H112" s="61"/>
    </row>
    <row r="113" spans="2:8" x14ac:dyDescent="0.25">
      <c r="B113" s="113"/>
      <c r="C113" s="113"/>
      <c r="D113" s="113"/>
      <c r="E113" s="113"/>
      <c r="F113" s="113"/>
      <c r="G113" s="113"/>
      <c r="H113" s="61"/>
    </row>
    <row r="114" spans="2:8" x14ac:dyDescent="0.25">
      <c r="B114" s="113"/>
      <c r="C114" s="113"/>
      <c r="D114" s="113"/>
      <c r="E114" s="113"/>
      <c r="F114" s="113"/>
      <c r="G114" s="113"/>
      <c r="H114" s="61"/>
    </row>
    <row r="115" spans="2:8" x14ac:dyDescent="0.25">
      <c r="B115" s="113"/>
      <c r="C115" s="113"/>
      <c r="D115" s="113"/>
      <c r="E115" s="113"/>
      <c r="F115" s="113"/>
      <c r="G115" s="113"/>
      <c r="H115" s="61"/>
    </row>
    <row r="116" spans="2:8" x14ac:dyDescent="0.25">
      <c r="B116" s="113"/>
      <c r="C116" s="113"/>
      <c r="D116" s="113"/>
      <c r="E116" s="113"/>
      <c r="F116" s="113"/>
      <c r="G116" s="113"/>
      <c r="H116" s="61"/>
    </row>
    <row r="117" spans="2:8" x14ac:dyDescent="0.25">
      <c r="B117" s="113"/>
      <c r="C117" s="113"/>
      <c r="D117" s="113"/>
      <c r="E117" s="113"/>
      <c r="F117" s="113"/>
      <c r="G117" s="113"/>
      <c r="H117" s="61"/>
    </row>
    <row r="118" spans="2:8" x14ac:dyDescent="0.25">
      <c r="B118" s="69"/>
      <c r="C118" s="69"/>
      <c r="D118" s="69"/>
      <c r="E118" s="69"/>
      <c r="F118" s="69"/>
      <c r="G118" s="68"/>
      <c r="H118" s="61"/>
    </row>
    <row r="119" spans="2:8" x14ac:dyDescent="0.25">
      <c r="B119" s="69"/>
      <c r="C119" s="69"/>
      <c r="D119" s="69"/>
      <c r="E119" s="69"/>
      <c r="F119" s="69"/>
      <c r="G119" s="68"/>
      <c r="H119" s="61"/>
    </row>
    <row r="120" spans="2:8" x14ac:dyDescent="0.25">
      <c r="B120" s="69"/>
      <c r="C120" s="69"/>
      <c r="D120" s="69"/>
      <c r="E120" s="69"/>
      <c r="F120" s="69"/>
      <c r="G120" s="68"/>
      <c r="H120" s="61"/>
    </row>
    <row r="121" spans="2:8" x14ac:dyDescent="0.25">
      <c r="B121" s="69"/>
      <c r="C121" s="69"/>
      <c r="D121" s="69"/>
      <c r="E121" s="69"/>
      <c r="F121" s="69"/>
      <c r="G121" s="68"/>
      <c r="H121" s="61"/>
    </row>
    <row r="122" spans="2:8" x14ac:dyDescent="0.25">
      <c r="B122" s="69"/>
      <c r="C122" s="69"/>
      <c r="D122" s="69"/>
      <c r="E122" s="69"/>
      <c r="F122" s="69"/>
      <c r="G122" s="68"/>
      <c r="H122" s="61"/>
    </row>
    <row r="123" spans="2:8" x14ac:dyDescent="0.25">
      <c r="B123" s="69"/>
      <c r="C123" s="69"/>
      <c r="D123" s="69"/>
      <c r="E123" s="69"/>
      <c r="F123" s="69"/>
      <c r="G123" s="68"/>
      <c r="H123" s="61"/>
    </row>
    <row r="124" spans="2:8" x14ac:dyDescent="0.25">
      <c r="B124" s="69"/>
      <c r="C124" s="69"/>
      <c r="D124" s="69"/>
      <c r="E124" s="69"/>
      <c r="F124" s="69"/>
      <c r="G124" s="68"/>
      <c r="H124" s="61"/>
    </row>
    <row r="125" spans="2:8" x14ac:dyDescent="0.25">
      <c r="B125" s="69"/>
      <c r="C125" s="69"/>
      <c r="D125" s="69"/>
      <c r="E125" s="69"/>
      <c r="F125" s="69"/>
      <c r="G125" s="68"/>
      <c r="H125" s="61"/>
    </row>
    <row r="126" spans="2:8" x14ac:dyDescent="0.25">
      <c r="B126" s="69"/>
      <c r="C126" s="69"/>
      <c r="D126" s="69"/>
      <c r="E126" s="69"/>
      <c r="F126" s="69"/>
      <c r="G126" s="68"/>
      <c r="H126" s="61"/>
    </row>
    <row r="127" spans="2:8" x14ac:dyDescent="0.25">
      <c r="B127" s="69"/>
      <c r="C127" s="69"/>
      <c r="D127" s="69"/>
      <c r="E127" s="69"/>
      <c r="F127" s="69"/>
      <c r="G127" s="68"/>
      <c r="H127" s="61"/>
    </row>
    <row r="128" spans="2:8" x14ac:dyDescent="0.25">
      <c r="B128" s="69"/>
      <c r="C128" s="69"/>
      <c r="D128" s="69"/>
      <c r="E128" s="69"/>
      <c r="F128" s="69"/>
      <c r="G128" s="68"/>
      <c r="H128" s="61"/>
    </row>
    <row r="129" spans="2:8" x14ac:dyDescent="0.25">
      <c r="B129" s="69"/>
      <c r="C129" s="69"/>
      <c r="D129" s="69"/>
      <c r="E129" s="69"/>
      <c r="F129" s="69"/>
      <c r="G129" s="68"/>
      <c r="H129" s="61"/>
    </row>
    <row r="130" spans="2:8" x14ac:dyDescent="0.25">
      <c r="B130" s="69"/>
      <c r="C130" s="69"/>
      <c r="D130" s="69"/>
      <c r="E130" s="69"/>
      <c r="F130" s="69"/>
      <c r="G130" s="68"/>
      <c r="H130" s="61"/>
    </row>
    <row r="131" spans="2:8" x14ac:dyDescent="0.25">
      <c r="B131" s="299" t="s">
        <v>180</v>
      </c>
      <c r="C131" s="299"/>
      <c r="D131" s="299"/>
      <c r="E131" s="113"/>
      <c r="F131" s="113"/>
      <c r="G131" s="18"/>
      <c r="H131" s="18"/>
    </row>
    <row r="132" spans="2:8" ht="15" customHeight="1" x14ac:dyDescent="0.25">
      <c r="B132" s="313" t="s">
        <v>108</v>
      </c>
      <c r="C132" s="314"/>
      <c r="D132" s="314"/>
      <c r="E132" s="314"/>
      <c r="F132" s="314"/>
      <c r="G132" s="314"/>
      <c r="H132" s="315"/>
    </row>
    <row r="133" spans="2:8" ht="14.45" customHeight="1" x14ac:dyDescent="0.25">
      <c r="B133" s="316"/>
      <c r="C133" s="317"/>
      <c r="D133" s="317"/>
      <c r="E133" s="317"/>
      <c r="F133" s="317"/>
      <c r="G133" s="317"/>
      <c r="H133" s="318"/>
    </row>
    <row r="134" spans="2:8" x14ac:dyDescent="0.25">
      <c r="B134" s="319"/>
      <c r="C134" s="320"/>
      <c r="D134" s="320"/>
      <c r="E134" s="320"/>
      <c r="F134" s="320"/>
      <c r="G134" s="320"/>
      <c r="H134" s="321"/>
    </row>
    <row r="135" spans="2:8" x14ac:dyDescent="0.25">
      <c r="B135" s="300">
        <v>1</v>
      </c>
      <c r="C135" s="300"/>
      <c r="D135" s="300">
        <v>2</v>
      </c>
      <c r="E135" s="300"/>
      <c r="F135" s="300">
        <v>3</v>
      </c>
      <c r="G135" s="300"/>
      <c r="H135" s="61"/>
    </row>
    <row r="136" spans="2:8" ht="14.45" customHeight="1" x14ac:dyDescent="0.25">
      <c r="B136" s="70"/>
      <c r="C136" s="70"/>
      <c r="D136" s="70"/>
      <c r="E136" s="70"/>
      <c r="F136" s="70"/>
      <c r="G136" s="70"/>
      <c r="H136" s="61"/>
    </row>
    <row r="137" spans="2:8" ht="14.45" customHeight="1" x14ac:dyDescent="0.25">
      <c r="B137" s="71"/>
      <c r="C137" s="71"/>
      <c r="D137" s="71"/>
      <c r="E137" s="61"/>
      <c r="F137" s="61"/>
      <c r="G137" s="61"/>
      <c r="H137" s="61"/>
    </row>
    <row r="138" spans="2:8" x14ac:dyDescent="0.25">
      <c r="B138" s="61"/>
      <c r="C138" s="61"/>
      <c r="D138" s="61"/>
      <c r="E138" s="61"/>
      <c r="F138" s="61"/>
      <c r="G138" s="61"/>
      <c r="H138" s="61"/>
    </row>
    <row r="139" spans="2:8" x14ac:dyDescent="0.25">
      <c r="B139" s="61"/>
      <c r="C139" s="61"/>
      <c r="D139" s="61"/>
      <c r="E139" s="61"/>
      <c r="F139" s="61"/>
      <c r="G139" s="61"/>
      <c r="H139" s="61"/>
    </row>
    <row r="140" spans="2:8" x14ac:dyDescent="0.25">
      <c r="B140" s="61"/>
      <c r="C140" s="61"/>
      <c r="D140" s="61"/>
      <c r="E140" s="61"/>
      <c r="F140" s="61"/>
      <c r="G140" s="61"/>
      <c r="H140" s="61"/>
    </row>
    <row r="141" spans="2:8" x14ac:dyDescent="0.25">
      <c r="B141" s="61"/>
      <c r="C141" s="61"/>
      <c r="D141" s="61"/>
      <c r="E141" s="61"/>
      <c r="F141" s="61"/>
      <c r="G141" s="61"/>
      <c r="H141" s="61"/>
    </row>
    <row r="142" spans="2:8" x14ac:dyDescent="0.25">
      <c r="B142" s="61"/>
      <c r="C142" s="61"/>
      <c r="D142" s="61"/>
      <c r="E142" s="61"/>
      <c r="F142" s="61"/>
      <c r="G142" s="61"/>
      <c r="H142" s="61"/>
    </row>
    <row r="143" spans="2:8" x14ac:dyDescent="0.25">
      <c r="B143" s="61"/>
      <c r="C143" s="61"/>
      <c r="D143" s="61"/>
      <c r="E143" s="61"/>
      <c r="F143" s="61"/>
      <c r="G143" s="61"/>
      <c r="H143" s="61"/>
    </row>
    <row r="144" spans="2:8" x14ac:dyDescent="0.25">
      <c r="B144" s="61"/>
      <c r="C144" s="61"/>
      <c r="D144" s="61"/>
      <c r="E144" s="61"/>
      <c r="F144" s="61"/>
      <c r="G144" s="61"/>
      <c r="H144" s="61"/>
    </row>
    <row r="145" spans="2:8" x14ac:dyDescent="0.25">
      <c r="B145" s="61"/>
      <c r="C145" s="61"/>
      <c r="D145" s="61"/>
      <c r="E145" s="61"/>
      <c r="F145" s="61"/>
      <c r="G145" s="61"/>
      <c r="H145" s="61"/>
    </row>
    <row r="146" spans="2:8" x14ac:dyDescent="0.25">
      <c r="B146" s="61"/>
      <c r="C146" s="61"/>
      <c r="D146" s="61"/>
      <c r="E146" s="61"/>
      <c r="F146" s="61"/>
      <c r="G146" s="61"/>
      <c r="H146" s="61"/>
    </row>
    <row r="147" spans="2:8" x14ac:dyDescent="0.25">
      <c r="B147" s="61"/>
      <c r="C147" s="61"/>
      <c r="D147" s="61"/>
      <c r="E147" s="61"/>
      <c r="F147" s="61"/>
      <c r="G147" s="61"/>
      <c r="H147" s="61"/>
    </row>
    <row r="148" spans="2:8" x14ac:dyDescent="0.25">
      <c r="B148" s="61"/>
      <c r="C148" s="61"/>
      <c r="D148" s="61"/>
      <c r="E148" s="61"/>
      <c r="F148" s="61"/>
      <c r="G148" s="61"/>
      <c r="H148" s="61"/>
    </row>
    <row r="149" spans="2:8" ht="15.75" thickBot="1" x14ac:dyDescent="0.3">
      <c r="B149" s="61"/>
      <c r="C149" s="61"/>
      <c r="D149" s="61"/>
      <c r="E149" s="61"/>
      <c r="F149" s="61"/>
      <c r="G149" s="61"/>
      <c r="H149" s="61"/>
    </row>
    <row r="150" spans="2:8" ht="16.5" thickTop="1" thickBot="1" x14ac:dyDescent="0.3">
      <c r="B150" s="326" t="s">
        <v>179</v>
      </c>
      <c r="C150" s="327"/>
      <c r="D150" s="283" t="s">
        <v>174</v>
      </c>
      <c r="E150" s="284"/>
      <c r="F150" s="284"/>
      <c r="G150" s="284"/>
      <c r="H150" s="285"/>
    </row>
    <row r="151" spans="2:8" ht="15.75" thickTop="1" x14ac:dyDescent="0.25">
      <c r="B151" s="61"/>
      <c r="C151" s="109"/>
      <c r="D151" s="61"/>
      <c r="E151" s="61"/>
      <c r="F151" s="61"/>
      <c r="G151" s="61"/>
      <c r="H151" s="61"/>
    </row>
    <row r="152" spans="2:8" ht="15.75" thickBot="1" x14ac:dyDescent="0.3">
      <c r="B152" s="312" t="s">
        <v>178</v>
      </c>
      <c r="C152" s="312"/>
      <c r="D152" s="312"/>
      <c r="E152" s="312"/>
      <c r="F152" s="312"/>
      <c r="G152" s="61"/>
      <c r="H152" s="61"/>
    </row>
    <row r="153" spans="2:8" ht="16.5" thickTop="1" thickBot="1" x14ac:dyDescent="0.3">
      <c r="B153" s="72" t="s">
        <v>84</v>
      </c>
      <c r="C153" s="183">
        <v>250</v>
      </c>
      <c r="D153" s="61"/>
      <c r="E153" s="73" t="s">
        <v>85</v>
      </c>
      <c r="F153" s="74">
        <f>IF('dati nascosti'!C41&lt;=0.75,0.5,IF('dati nascosti'!C41&lt;=2,0.8-0.4*'dati nascosti'!C41,0))</f>
        <v>0.5</v>
      </c>
      <c r="G153" s="61"/>
    </row>
    <row r="154" spans="2:8" ht="16.5" thickTop="1" thickBot="1" x14ac:dyDescent="0.3">
      <c r="B154" s="72" t="s">
        <v>50</v>
      </c>
      <c r="C154" s="183">
        <v>30</v>
      </c>
      <c r="D154" s="61"/>
      <c r="E154" s="73" t="s">
        <v>86</v>
      </c>
      <c r="F154" s="74">
        <f>IF('dati nascosti'!D41&lt;=0.1,0,IF('dati nascosti'!D41&lt;=0.3,5*('dati nascosti'!D41-0.1),1))</f>
        <v>1</v>
      </c>
      <c r="G154" s="61"/>
    </row>
    <row r="155" spans="2:8" ht="16.5" thickTop="1" thickBot="1" x14ac:dyDescent="0.3">
      <c r="B155" s="72" t="s">
        <v>87</v>
      </c>
      <c r="C155" s="183">
        <v>10</v>
      </c>
      <c r="D155" s="61"/>
      <c r="E155" s="61"/>
      <c r="F155" s="61"/>
      <c r="G155" s="61"/>
      <c r="H155" s="61"/>
    </row>
    <row r="156" spans="2:8" ht="16.5" thickTop="1" thickBot="1" x14ac:dyDescent="0.3">
      <c r="B156" s="72" t="s">
        <v>88</v>
      </c>
      <c r="C156" s="183">
        <v>10</v>
      </c>
      <c r="D156" s="61"/>
      <c r="E156" s="61"/>
      <c r="F156" s="61"/>
      <c r="G156" s="61"/>
      <c r="H156" s="61"/>
    </row>
    <row r="157" spans="2:8" ht="15.75" thickTop="1" x14ac:dyDescent="0.25">
      <c r="B157" s="72"/>
      <c r="C157" s="234"/>
      <c r="D157" s="61"/>
      <c r="E157" s="61"/>
      <c r="F157" s="61"/>
      <c r="G157" s="61"/>
      <c r="H157" s="61"/>
    </row>
    <row r="158" spans="2:8" x14ac:dyDescent="0.25">
      <c r="B158" s="301" t="s">
        <v>107</v>
      </c>
      <c r="C158" s="301"/>
      <c r="D158" s="302"/>
      <c r="E158" s="235" t="s">
        <v>89</v>
      </c>
      <c r="F158" s="236">
        <f>VLOOKUP(D150,'dati nascosti'!B35:C38,2,FALSE)</f>
        <v>1</v>
      </c>
      <c r="G158" s="61"/>
      <c r="H158" s="61"/>
    </row>
    <row r="159" spans="2:8" x14ac:dyDescent="0.25">
      <c r="B159" s="61"/>
      <c r="C159" s="61"/>
      <c r="D159" s="61"/>
      <c r="E159" s="61"/>
      <c r="F159" s="61"/>
      <c r="G159" s="61"/>
      <c r="H159" s="61"/>
    </row>
    <row r="160" spans="2:8" x14ac:dyDescent="0.25">
      <c r="B160" s="299" t="s">
        <v>251</v>
      </c>
      <c r="C160" s="299"/>
      <c r="D160" s="299"/>
      <c r="E160" s="61"/>
      <c r="F160" s="61"/>
      <c r="G160" s="61"/>
      <c r="H160" s="61"/>
    </row>
    <row r="161" spans="2:8" ht="14.45" customHeight="1" x14ac:dyDescent="0.25">
      <c r="B161" s="324" t="s">
        <v>93</v>
      </c>
      <c r="C161" s="324"/>
      <c r="D161" s="324"/>
      <c r="E161" s="324"/>
      <c r="F161" s="324"/>
      <c r="G161" s="324"/>
      <c r="H161" s="324"/>
    </row>
    <row r="162" spans="2:8" x14ac:dyDescent="0.25">
      <c r="B162" s="324"/>
      <c r="C162" s="324"/>
      <c r="D162" s="324"/>
      <c r="E162" s="324"/>
      <c r="F162" s="324"/>
      <c r="G162" s="324"/>
      <c r="H162" s="324"/>
    </row>
    <row r="163" spans="2:8" x14ac:dyDescent="0.25">
      <c r="B163" s="324"/>
      <c r="C163" s="324"/>
      <c r="D163" s="324"/>
      <c r="E163" s="324"/>
      <c r="F163" s="324"/>
      <c r="G163" s="324"/>
      <c r="H163" s="324"/>
    </row>
    <row r="164" spans="2:8" x14ac:dyDescent="0.25">
      <c r="B164" s="324"/>
      <c r="C164" s="324"/>
      <c r="D164" s="324"/>
      <c r="E164" s="324"/>
      <c r="F164" s="324"/>
      <c r="G164" s="324"/>
      <c r="H164" s="324"/>
    </row>
    <row r="165" spans="2:8" x14ac:dyDescent="0.25">
      <c r="B165" s="75"/>
      <c r="C165" s="75"/>
      <c r="D165" s="75"/>
      <c r="E165" s="75"/>
      <c r="F165" s="75"/>
      <c r="G165" s="75"/>
      <c r="H165" s="61"/>
    </row>
    <row r="166" spans="2:8" ht="15.75" x14ac:dyDescent="0.25">
      <c r="B166" s="308" t="s">
        <v>65</v>
      </c>
      <c r="C166" s="309"/>
      <c r="D166" s="309"/>
      <c r="E166" s="310"/>
      <c r="F166" s="75"/>
      <c r="G166" s="75"/>
      <c r="H166" s="61"/>
    </row>
    <row r="167" spans="2:8" ht="15.75" x14ac:dyDescent="0.25">
      <c r="B167" s="296" t="s">
        <v>66</v>
      </c>
      <c r="C167" s="297"/>
      <c r="D167" s="297"/>
      <c r="E167" s="298"/>
      <c r="F167" s="75"/>
      <c r="G167" s="75"/>
      <c r="H167" s="61"/>
    </row>
    <row r="168" spans="2:8" x14ac:dyDescent="0.25">
      <c r="B168" s="61"/>
      <c r="C168" s="61"/>
      <c r="D168" s="61"/>
      <c r="E168" s="61"/>
      <c r="F168" s="61"/>
      <c r="G168" s="61"/>
      <c r="H168" s="61"/>
    </row>
    <row r="169" spans="2:8" ht="15.75" x14ac:dyDescent="0.25">
      <c r="B169" s="114" t="s">
        <v>52</v>
      </c>
      <c r="C169" s="114" t="s">
        <v>53</v>
      </c>
      <c r="D169" s="114" t="s">
        <v>54</v>
      </c>
      <c r="E169" s="61"/>
      <c r="F169" s="61"/>
      <c r="G169" s="18"/>
      <c r="H169" s="18"/>
    </row>
    <row r="170" spans="2:8" x14ac:dyDescent="0.25">
      <c r="B170" s="76">
        <f>IF($F$31='DATI NTC18'!$B$20,'DATI NTC18'!C20,IF($F$31='DATI NTC18'!$B$21,'DATI NTC18'!C21,IF($F$31='DATI NTC18'!$B$22,'DATI NTC18'!C22,IF($F$31='DATI NTC18'!$B$23,'DATI NTC18'!C23,IF($F$31='DATI NTC18'!$B$24,'DATI NTC18'!C24,"")))))</f>
        <v>0.2</v>
      </c>
      <c r="C170" s="76">
        <f>IF($F$31='DATI NTC18'!$B$20,'DATI NTC18'!D20,IF($F$31='DATI NTC18'!$B$21,'DATI NTC18'!D21,IF($F$31='DATI NTC18'!$B$22,'DATI NTC18'!D22,IF($F$31='DATI NTC18'!$B$23,'DATI NTC18'!D23,IF($F$31='DATI NTC18'!$B$24,'DATI NTC18'!D24,"")))))</f>
        <v>0.1</v>
      </c>
      <c r="D170" s="76">
        <f>IF($F$31='DATI NTC18'!$B$20,'DATI NTC18'!E20,IF($F$31='DATI NTC18'!$B$21,'DATI NTC18'!E21,IF($F$31='DATI NTC18'!$B$22,'DATI NTC18'!E22,IF($F$31='DATI NTC18'!$B$23,'DATI NTC18'!E23,IF($F$31='DATI NTC18'!$B$24,'DATI NTC18'!E24,"")))))</f>
        <v>5</v>
      </c>
      <c r="E170" s="61"/>
      <c r="F170" s="61"/>
      <c r="G170" s="61"/>
      <c r="H170" s="61"/>
    </row>
    <row r="171" spans="2:8" x14ac:dyDescent="0.25">
      <c r="B171" s="61"/>
      <c r="C171" s="61"/>
      <c r="D171" s="61"/>
      <c r="E171" s="65"/>
      <c r="F171" s="61"/>
      <c r="G171" s="61"/>
      <c r="H171" s="61"/>
    </row>
    <row r="172" spans="2:8" ht="17.25" x14ac:dyDescent="0.25">
      <c r="B172" s="119" t="s">
        <v>26</v>
      </c>
      <c r="C172" s="119"/>
      <c r="D172" s="119"/>
      <c r="E172" s="79" t="s">
        <v>12</v>
      </c>
      <c r="F172" s="80">
        <f>B170^2*F158*LN(D170/C170)*(7+F158*LN(D170/C170))</f>
        <v>1.7075234013198439</v>
      </c>
      <c r="G172" s="122">
        <f>D170</f>
        <v>5</v>
      </c>
    </row>
    <row r="173" spans="2:8" ht="17.25" x14ac:dyDescent="0.25">
      <c r="B173" s="119" t="s">
        <v>139</v>
      </c>
      <c r="C173" s="119"/>
      <c r="D173" s="119"/>
      <c r="E173" s="79" t="s">
        <v>141</v>
      </c>
      <c r="F173" s="80">
        <f>IF(G173&lt;G172,F172,B170^2*F158*LN(G72/C170)*(7+F158*LN(G72/C170)))</f>
        <v>1.7075234013198439</v>
      </c>
      <c r="G173" s="120">
        <f>G72</f>
        <v>4</v>
      </c>
      <c r="H173" s="25"/>
    </row>
    <row r="174" spans="2:8" ht="17.25" x14ac:dyDescent="0.25">
      <c r="B174" s="119" t="s">
        <v>140</v>
      </c>
      <c r="C174" s="119"/>
      <c r="D174" s="119"/>
      <c r="E174" s="79" t="s">
        <v>142</v>
      </c>
      <c r="F174" s="80">
        <f>IF(G174&lt;G172,F172,B170^2*F158*LN('dati nascosti'!M9/C170)*(7+F158*LN(C70/C170)))</f>
        <v>1.8658487987334482</v>
      </c>
      <c r="G174" s="120">
        <f>'dati nascosti'!M9</f>
        <v>6.5</v>
      </c>
      <c r="H174" s="25"/>
    </row>
    <row r="175" spans="2:8" x14ac:dyDescent="0.25">
      <c r="B175" s="62"/>
      <c r="C175" s="62"/>
      <c r="D175" s="119"/>
      <c r="E175" s="62"/>
      <c r="F175" s="62"/>
      <c r="G175" s="62"/>
      <c r="H175" s="62"/>
    </row>
    <row r="176" spans="2:8" x14ac:dyDescent="0.25">
      <c r="B176" s="79"/>
      <c r="C176" s="80"/>
      <c r="D176" s="121"/>
      <c r="E176" s="121"/>
      <c r="F176" s="121"/>
      <c r="G176" s="121"/>
      <c r="H176" s="121"/>
    </row>
    <row r="177" spans="2:8" x14ac:dyDescent="0.25">
      <c r="B177" s="79"/>
      <c r="C177" s="80"/>
      <c r="D177" s="121"/>
      <c r="E177" s="121"/>
      <c r="F177" s="121"/>
      <c r="G177" s="121"/>
      <c r="H177" s="121"/>
    </row>
    <row r="178" spans="2:8" x14ac:dyDescent="0.25">
      <c r="B178" s="79"/>
      <c r="C178" s="80"/>
      <c r="D178" s="78"/>
      <c r="E178" s="78"/>
      <c r="F178" s="78"/>
      <c r="G178" s="78"/>
      <c r="H178" s="78"/>
    </row>
    <row r="179" spans="2:8" x14ac:dyDescent="0.25">
      <c r="B179" s="79"/>
      <c r="C179" s="80"/>
      <c r="D179" s="78"/>
      <c r="E179" s="78"/>
      <c r="F179" s="78"/>
      <c r="G179" s="78"/>
      <c r="H179" s="78"/>
    </row>
    <row r="180" spans="2:8" x14ac:dyDescent="0.25">
      <c r="B180" s="79"/>
      <c r="C180" s="80"/>
      <c r="D180" s="78"/>
      <c r="E180" s="78"/>
      <c r="F180" s="78"/>
      <c r="G180" s="78"/>
      <c r="H180" s="78"/>
    </row>
    <row r="181" spans="2:8" x14ac:dyDescent="0.25">
      <c r="B181" s="79"/>
      <c r="C181" s="80"/>
      <c r="D181" s="78"/>
      <c r="E181" s="78"/>
      <c r="F181" s="78"/>
      <c r="G181" s="78"/>
      <c r="H181" s="78"/>
    </row>
    <row r="182" spans="2:8" x14ac:dyDescent="0.25">
      <c r="B182" s="79"/>
      <c r="C182" s="80"/>
      <c r="D182" s="78"/>
      <c r="E182" s="78"/>
      <c r="F182" s="78"/>
      <c r="G182" s="78"/>
      <c r="H182" s="78"/>
    </row>
    <row r="183" spans="2:8" x14ac:dyDescent="0.25">
      <c r="B183" s="79"/>
      <c r="C183" s="80"/>
      <c r="D183" s="78"/>
      <c r="E183" s="78"/>
      <c r="F183" s="78"/>
      <c r="G183" s="78"/>
      <c r="H183" s="78"/>
    </row>
    <row r="184" spans="2:8" x14ac:dyDescent="0.25">
      <c r="B184" s="79"/>
      <c r="C184" s="80"/>
      <c r="D184" s="78"/>
      <c r="E184" s="78"/>
      <c r="F184" s="78"/>
      <c r="G184" s="78"/>
      <c r="H184" s="78"/>
    </row>
    <row r="185" spans="2:8" x14ac:dyDescent="0.25">
      <c r="B185" s="79"/>
      <c r="C185" s="80"/>
      <c r="D185" s="78"/>
      <c r="E185" s="78"/>
      <c r="F185" s="78"/>
      <c r="G185" s="78"/>
      <c r="H185" s="78"/>
    </row>
    <row r="186" spans="2:8" x14ac:dyDescent="0.25">
      <c r="B186" s="79"/>
      <c r="C186" s="80"/>
      <c r="D186" s="78"/>
      <c r="E186" s="78"/>
      <c r="F186" s="78"/>
      <c r="G186" s="78"/>
      <c r="H186" s="78"/>
    </row>
    <row r="187" spans="2:8" x14ac:dyDescent="0.25">
      <c r="B187" s="61"/>
      <c r="C187" s="61"/>
      <c r="D187" s="61"/>
      <c r="E187" s="61"/>
      <c r="F187" s="61"/>
      <c r="G187" s="61"/>
      <c r="H187" s="61"/>
    </row>
    <row r="188" spans="2:8" x14ac:dyDescent="0.25">
      <c r="B188" s="61"/>
      <c r="C188" s="61"/>
      <c r="D188" s="61"/>
      <c r="E188" s="61"/>
      <c r="F188" s="61"/>
      <c r="G188" s="61"/>
      <c r="H188" s="61"/>
    </row>
    <row r="189" spans="2:8" x14ac:dyDescent="0.25">
      <c r="B189" s="61"/>
      <c r="C189" s="61"/>
      <c r="D189" s="61"/>
      <c r="E189" s="61"/>
      <c r="F189" s="61"/>
      <c r="G189" s="61"/>
      <c r="H189" s="61"/>
    </row>
    <row r="190" spans="2:8" x14ac:dyDescent="0.25">
      <c r="B190" s="61"/>
      <c r="C190" s="61"/>
      <c r="D190" s="61"/>
      <c r="E190" s="61"/>
      <c r="F190" s="61"/>
      <c r="G190" s="61"/>
      <c r="H190" s="61"/>
    </row>
    <row r="191" spans="2:8" ht="14.45" customHeight="1" x14ac:dyDescent="0.25">
      <c r="B191" s="175" t="s">
        <v>185</v>
      </c>
      <c r="C191" s="80"/>
      <c r="D191" s="79"/>
      <c r="E191" s="78"/>
      <c r="F191" s="78"/>
      <c r="G191" s="78"/>
      <c r="H191" s="78"/>
    </row>
    <row r="192" spans="2:8" ht="14.45" customHeight="1" x14ac:dyDescent="0.25">
      <c r="B192" s="305" t="s">
        <v>94</v>
      </c>
      <c r="C192" s="305"/>
      <c r="D192" s="305"/>
      <c r="E192" s="305"/>
      <c r="F192" s="305"/>
      <c r="G192" s="305"/>
      <c r="H192" s="78"/>
    </row>
    <row r="193" spans="2:8" ht="14.45" customHeight="1" x14ac:dyDescent="0.25">
      <c r="B193" s="330" t="s">
        <v>63</v>
      </c>
      <c r="C193" s="330"/>
      <c r="D193" s="330"/>
      <c r="E193" s="330"/>
      <c r="F193" s="330"/>
      <c r="G193" s="330"/>
      <c r="H193" s="330"/>
    </row>
    <row r="194" spans="2:8" ht="14.45" customHeight="1" x14ac:dyDescent="0.25">
      <c r="B194" s="330"/>
      <c r="C194" s="330"/>
      <c r="D194" s="330"/>
      <c r="E194" s="330"/>
      <c r="F194" s="330"/>
      <c r="G194" s="330"/>
      <c r="H194" s="330"/>
    </row>
    <row r="195" spans="2:8" ht="14.45" customHeight="1" x14ac:dyDescent="0.25">
      <c r="B195" s="330"/>
      <c r="C195" s="330"/>
      <c r="D195" s="330"/>
      <c r="E195" s="330"/>
      <c r="F195" s="330"/>
      <c r="G195" s="330"/>
      <c r="H195" s="330"/>
    </row>
    <row r="196" spans="2:8" ht="14.45" customHeight="1" x14ac:dyDescent="0.25">
      <c r="B196" s="330"/>
      <c r="C196" s="330"/>
      <c r="D196" s="330"/>
      <c r="E196" s="330"/>
      <c r="F196" s="330"/>
      <c r="G196" s="330"/>
      <c r="H196" s="330"/>
    </row>
    <row r="197" spans="2:8" ht="14.45" customHeight="1" x14ac:dyDescent="0.25">
      <c r="B197" s="112"/>
      <c r="C197" s="112"/>
      <c r="D197" s="112"/>
      <c r="E197" s="112"/>
      <c r="F197" s="112"/>
      <c r="G197" s="112"/>
      <c r="H197" s="78"/>
    </row>
    <row r="198" spans="2:8" ht="14.45" customHeight="1" x14ac:dyDescent="0.25">
      <c r="B198" s="112"/>
      <c r="C198" s="112"/>
      <c r="D198" s="112"/>
      <c r="E198" s="112"/>
      <c r="F198" s="112"/>
      <c r="G198" s="112"/>
      <c r="H198" s="78"/>
    </row>
    <row r="199" spans="2:8" ht="14.45" customHeight="1" x14ac:dyDescent="0.25">
      <c r="B199" s="112"/>
      <c r="C199" s="112"/>
      <c r="D199" s="112"/>
      <c r="E199" s="112"/>
      <c r="F199" s="112"/>
      <c r="G199" s="112"/>
      <c r="H199" s="78"/>
    </row>
    <row r="200" spans="2:8" ht="14.45" customHeight="1" x14ac:dyDescent="0.25">
      <c r="B200" s="112"/>
      <c r="C200" s="112"/>
      <c r="D200" s="112"/>
      <c r="E200" s="112"/>
      <c r="F200" s="112"/>
      <c r="G200" s="112"/>
      <c r="H200" s="78"/>
    </row>
    <row r="201" spans="2:8" ht="14.45" customHeight="1" x14ac:dyDescent="0.25">
      <c r="B201" s="112"/>
      <c r="C201" s="112"/>
      <c r="D201" s="112"/>
      <c r="E201" s="112"/>
      <c r="F201" s="112"/>
      <c r="G201" s="112"/>
      <c r="H201" s="78"/>
    </row>
    <row r="202" spans="2:8" ht="14.45" customHeight="1" x14ac:dyDescent="0.25">
      <c r="B202" s="112"/>
      <c r="C202" s="112"/>
      <c r="D202" s="112"/>
      <c r="E202" s="112"/>
      <c r="F202" s="112"/>
      <c r="G202" s="112"/>
      <c r="H202" s="78"/>
    </row>
    <row r="203" spans="2:8" ht="14.45" customHeight="1" x14ac:dyDescent="0.25">
      <c r="B203" s="112"/>
      <c r="C203" s="112"/>
      <c r="D203" s="112"/>
      <c r="E203" s="112"/>
      <c r="F203" s="112"/>
      <c r="G203" s="112"/>
      <c r="H203" s="78"/>
    </row>
    <row r="204" spans="2:8" ht="14.45" customHeight="1" x14ac:dyDescent="0.25">
      <c r="B204" s="112"/>
      <c r="C204" s="112"/>
      <c r="D204" s="112"/>
      <c r="E204" s="112"/>
      <c r="F204" s="112"/>
      <c r="G204" s="112"/>
      <c r="H204" s="78"/>
    </row>
    <row r="205" spans="2:8" ht="14.45" customHeight="1" x14ac:dyDescent="0.25">
      <c r="B205" s="112"/>
      <c r="C205" s="112"/>
      <c r="D205" s="112"/>
      <c r="E205" s="112"/>
      <c r="F205" s="112"/>
      <c r="G205" s="112"/>
      <c r="H205" s="78"/>
    </row>
    <row r="206" spans="2:8" ht="14.45" customHeight="1" x14ac:dyDescent="0.25">
      <c r="B206" s="112"/>
      <c r="C206" s="112"/>
      <c r="D206" s="112"/>
      <c r="E206" s="112"/>
      <c r="F206" s="112"/>
      <c r="G206" s="112"/>
      <c r="H206" s="78"/>
    </row>
    <row r="207" spans="2:8" ht="14.45" customHeight="1" x14ac:dyDescent="0.25">
      <c r="B207" s="112"/>
      <c r="C207" s="112"/>
      <c r="D207" s="112"/>
      <c r="E207" s="112"/>
      <c r="F207" s="112"/>
      <c r="G207" s="112"/>
      <c r="H207" s="78"/>
    </row>
    <row r="208" spans="2:8" ht="14.45" customHeight="1" x14ac:dyDescent="0.25">
      <c r="B208" s="112"/>
      <c r="C208" s="112"/>
      <c r="D208" s="112"/>
      <c r="E208" s="112"/>
      <c r="F208" s="112"/>
      <c r="G208" s="112"/>
      <c r="H208" s="78"/>
    </row>
    <row r="209" spans="2:8" ht="14.45" customHeight="1" x14ac:dyDescent="0.25">
      <c r="B209" s="112"/>
      <c r="C209" s="112"/>
      <c r="D209" s="112"/>
      <c r="E209" s="112"/>
      <c r="F209" s="112"/>
      <c r="G209" s="112"/>
      <c r="H209" s="78"/>
    </row>
    <row r="210" spans="2:8" ht="14.45" customHeight="1" x14ac:dyDescent="0.25">
      <c r="B210" s="112"/>
      <c r="C210" s="112"/>
      <c r="D210" s="112"/>
      <c r="E210" s="112"/>
      <c r="F210" s="112"/>
      <c r="G210" s="112"/>
      <c r="H210" s="78"/>
    </row>
    <row r="211" spans="2:8" ht="14.45" customHeight="1" x14ac:dyDescent="0.25">
      <c r="B211" s="112"/>
      <c r="C211" s="112"/>
      <c r="D211" s="112"/>
      <c r="E211" s="112"/>
      <c r="F211" s="112"/>
      <c r="G211" s="112"/>
      <c r="H211" s="78"/>
    </row>
    <row r="212" spans="2:8" ht="14.45" customHeight="1" x14ac:dyDescent="0.25">
      <c r="B212" s="112"/>
      <c r="C212" s="112"/>
      <c r="D212" s="112"/>
      <c r="E212" s="112"/>
      <c r="F212" s="112"/>
      <c r="G212" s="112"/>
      <c r="H212" s="78"/>
    </row>
    <row r="213" spans="2:8" ht="14.45" customHeight="1" x14ac:dyDescent="0.25">
      <c r="B213" s="112"/>
      <c r="C213" s="112"/>
      <c r="D213" s="112"/>
      <c r="E213" s="112"/>
      <c r="F213" s="112"/>
      <c r="G213" s="112"/>
      <c r="H213" s="78"/>
    </row>
    <row r="214" spans="2:8" ht="14.45" customHeight="1" thickBot="1" x14ac:dyDescent="0.3"/>
    <row r="215" spans="2:8" ht="14.45" customHeight="1" thickTop="1" x14ac:dyDescent="0.25">
      <c r="B215" s="249" t="s">
        <v>146</v>
      </c>
      <c r="C215" s="250"/>
      <c r="D215" s="250"/>
      <c r="E215" s="250"/>
      <c r="F215" s="250"/>
      <c r="G215" s="251"/>
    </row>
    <row r="216" spans="2:8" ht="14.45" customHeight="1" thickBot="1" x14ac:dyDescent="0.3">
      <c r="B216" s="252"/>
      <c r="C216" s="253"/>
      <c r="D216" s="253"/>
      <c r="E216" s="253"/>
      <c r="F216" s="253"/>
      <c r="G216" s="254"/>
    </row>
    <row r="217" spans="2:8" ht="9.75" customHeight="1" thickTop="1" x14ac:dyDescent="0.25">
      <c r="B217" s="208"/>
      <c r="C217" s="208"/>
      <c r="D217" s="208"/>
      <c r="E217" s="208"/>
      <c r="F217" s="208"/>
      <c r="G217" s="208"/>
    </row>
    <row r="218" spans="2:8" ht="14.45" customHeight="1" x14ac:dyDescent="0.25">
      <c r="B218" s="303" t="s">
        <v>265</v>
      </c>
      <c r="C218" s="303"/>
      <c r="D218" s="303"/>
      <c r="E218" s="304"/>
      <c r="F218" s="276" t="s">
        <v>223</v>
      </c>
      <c r="G218" s="276"/>
      <c r="H218" s="91"/>
    </row>
    <row r="219" spans="2:8" ht="14.45" customHeight="1" x14ac:dyDescent="0.25">
      <c r="B219" s="81"/>
      <c r="C219" s="81"/>
      <c r="D219" s="81"/>
      <c r="E219" s="81"/>
      <c r="F219" s="81"/>
      <c r="G219" s="81"/>
      <c r="H219" s="81"/>
    </row>
    <row r="220" spans="2:8" ht="14.45" customHeight="1" x14ac:dyDescent="0.25">
      <c r="B220" s="255" t="s">
        <v>103</v>
      </c>
      <c r="C220" s="92" t="s">
        <v>71</v>
      </c>
      <c r="D220" s="21"/>
      <c r="E220" s="93" t="s">
        <v>72</v>
      </c>
      <c r="F220" s="197">
        <f>IF(B215='dati nascosti'!AJ73,'dati nascosti'!BA73,IF(B215='dati nascosti'!AJ72,'dati nascosti'!BA72,'dati nascosti'!G190))</f>
        <v>-0.10000000000000009</v>
      </c>
      <c r="G220" s="199">
        <f>IF(B215='dati nascosti'!AJ73,-0.6,-0.4)</f>
        <v>-0.4</v>
      </c>
      <c r="H220" s="61"/>
    </row>
    <row r="221" spans="2:8" ht="14.45" customHeight="1" x14ac:dyDescent="0.25">
      <c r="B221" s="256"/>
      <c r="C221" s="95">
        <f>IF('dati nascosti'!E188=1,0,0.8-F224)</f>
        <v>0.4</v>
      </c>
      <c r="D221" s="96" t="s">
        <v>102</v>
      </c>
      <c r="E221" s="61"/>
      <c r="F221" s="144" t="str">
        <f>IF(F220&lt;=0,"↖","↘")</f>
        <v>↖</v>
      </c>
      <c r="G221" s="145" t="str">
        <f>IF(G220&lt;0,"↗","  ↙")</f>
        <v>↗</v>
      </c>
      <c r="H221" s="61"/>
    </row>
    <row r="222" spans="2:8" ht="14.45" customHeight="1" x14ac:dyDescent="0.25">
      <c r="B222" s="255" t="s">
        <v>104</v>
      </c>
      <c r="C222" s="92" t="s">
        <v>71</v>
      </c>
      <c r="D222" s="155" t="s">
        <v>99</v>
      </c>
      <c r="E222" s="61"/>
      <c r="F222" s="147"/>
      <c r="G222" s="148"/>
      <c r="H222" s="61"/>
    </row>
    <row r="223" spans="2:8" ht="14.45" customHeight="1" x14ac:dyDescent="0.25">
      <c r="B223" s="256"/>
      <c r="C223" s="95">
        <f>(F220-F224)</f>
        <v>-0.50000000000000011</v>
      </c>
      <c r="D223" s="96" t="s">
        <v>102</v>
      </c>
      <c r="E223" s="61"/>
      <c r="F223" s="260" t="s">
        <v>152</v>
      </c>
      <c r="G223" s="261"/>
      <c r="H223" s="61"/>
    </row>
    <row r="224" spans="2:8" ht="14.45" customHeight="1" x14ac:dyDescent="0.25">
      <c r="B224" s="255" t="s">
        <v>105</v>
      </c>
      <c r="C224" s="92" t="s">
        <v>71</v>
      </c>
      <c r="D224" s="61"/>
      <c r="E224" s="149" t="s">
        <v>102</v>
      </c>
      <c r="F224" s="264">
        <f>VLOOKUP('dati nascosti'!D184,'dati nascosti'!AJ67:AY73,15,FALSE)</f>
        <v>0.4</v>
      </c>
      <c r="G224" s="265"/>
      <c r="H224" s="146" t="s">
        <v>102</v>
      </c>
    </row>
    <row r="225" spans="2:8" ht="14.45" customHeight="1" x14ac:dyDescent="0.25">
      <c r="B225" s="256"/>
      <c r="C225" s="95">
        <f>IF(B215='dati nascosti'!AJ73,'CALCOLO DEL VENTO NTC18'!G220,IF(B215='dati nascosti'!AJ72,0,(G220-F224)))</f>
        <v>-0.8</v>
      </c>
      <c r="E225" s="93" t="s">
        <v>73</v>
      </c>
      <c r="F225" s="264"/>
      <c r="G225" s="265"/>
      <c r="H225" s="93" t="s">
        <v>215</v>
      </c>
    </row>
    <row r="226" spans="2:8" ht="14.45" customHeight="1" thickBot="1" x14ac:dyDescent="0.3">
      <c r="B226" s="255" t="s">
        <v>106</v>
      </c>
      <c r="C226" s="92" t="s">
        <v>71</v>
      </c>
      <c r="D226" s="81"/>
      <c r="E226" s="61"/>
      <c r="F226" s="262" t="s">
        <v>150</v>
      </c>
      <c r="G226" s="263"/>
      <c r="H226" s="61"/>
    </row>
    <row r="227" spans="2:8" ht="14.45" customHeight="1" x14ac:dyDescent="0.25">
      <c r="B227" s="256"/>
      <c r="C227" s="95">
        <f>IF('dati nascosti'!E188=1,0,(-0.4-F224))</f>
        <v>-0.8</v>
      </c>
      <c r="D227" s="81"/>
      <c r="E227" s="81"/>
      <c r="F227" s="275" t="str">
        <f>IF(B215='dati nascosti'!AJ70,"aperto","")</f>
        <v>aperto</v>
      </c>
      <c r="G227" s="275"/>
      <c r="H227" s="226" t="str">
        <f>IF(B215='dati nascosti'!AJ69,"Apertura sopravento","")</f>
        <v/>
      </c>
    </row>
    <row r="228" spans="2:8" ht="14.45" customHeight="1" x14ac:dyDescent="0.25">
      <c r="B228" s="118"/>
      <c r="C228" s="61"/>
      <c r="D228" s="81"/>
      <c r="E228" s="81"/>
      <c r="F228" s="222" t="s">
        <v>223</v>
      </c>
      <c r="G228" s="81"/>
      <c r="H228" s="81"/>
    </row>
    <row r="229" spans="2:8" ht="14.45" customHeight="1" x14ac:dyDescent="0.25">
      <c r="B229" s="118"/>
      <c r="C229" s="61"/>
      <c r="D229" s="81"/>
      <c r="E229" s="81"/>
      <c r="F229" s="81"/>
      <c r="G229" s="81"/>
      <c r="H229" s="81"/>
    </row>
    <row r="230" spans="2:8" ht="14.45" customHeight="1" x14ac:dyDescent="0.25">
      <c r="B230" s="255" t="s">
        <v>103</v>
      </c>
      <c r="C230" s="92" t="s">
        <v>71</v>
      </c>
      <c r="D230" s="81"/>
      <c r="E230" s="93" t="s">
        <v>72</v>
      </c>
      <c r="F230" s="197">
        <f>IF(B215='dati nascosti'!AJ73,-'CALCOLO DEL VENTO NTC18'!F220,IF(B215='dati nascosti'!AJ72,-F220,F220))</f>
        <v>-0.10000000000000009</v>
      </c>
      <c r="G230" s="199">
        <f>IF(B215='dati nascosti'!AJ73,-0.6,-0.4)</f>
        <v>-0.4</v>
      </c>
    </row>
    <row r="231" spans="2:8" ht="14.45" customHeight="1" x14ac:dyDescent="0.25">
      <c r="B231" s="256"/>
      <c r="C231" s="95">
        <f>IF('dati nascosti'!E188=1,0,0.8+F234)</f>
        <v>1.2000000000000002</v>
      </c>
      <c r="D231" s="96" t="s">
        <v>102</v>
      </c>
      <c r="E231" s="61"/>
      <c r="F231" s="144" t="str">
        <f>IF(F230&lt;=0,"↖","↘")</f>
        <v>↖</v>
      </c>
      <c r="G231" s="145" t="str">
        <f>IF(G230&lt;0,"↗","  ↙")</f>
        <v>↗</v>
      </c>
      <c r="H231" s="61"/>
    </row>
    <row r="232" spans="2:8" ht="14.45" customHeight="1" x14ac:dyDescent="0.25">
      <c r="B232" s="255" t="s">
        <v>104</v>
      </c>
      <c r="C232" s="92" t="s">
        <v>71</v>
      </c>
      <c r="D232" s="97" t="s">
        <v>99</v>
      </c>
      <c r="E232" s="61"/>
      <c r="F232" s="147"/>
      <c r="G232" s="148"/>
      <c r="H232" s="61"/>
    </row>
    <row r="233" spans="2:8" ht="14.45" customHeight="1" x14ac:dyDescent="0.25">
      <c r="B233" s="256"/>
      <c r="C233" s="95">
        <f>(F230+F234)</f>
        <v>0.29999999999999993</v>
      </c>
      <c r="D233" s="96" t="s">
        <v>102</v>
      </c>
      <c r="E233" s="61"/>
      <c r="F233" s="260" t="s">
        <v>151</v>
      </c>
      <c r="G233" s="261"/>
      <c r="H233" s="61"/>
    </row>
    <row r="234" spans="2:8" ht="14.45" customHeight="1" x14ac:dyDescent="0.25">
      <c r="B234" s="255" t="s">
        <v>105</v>
      </c>
      <c r="C234" s="92" t="s">
        <v>71</v>
      </c>
      <c r="D234" s="61"/>
      <c r="E234" s="149" t="s">
        <v>102</v>
      </c>
      <c r="F234" s="322">
        <f>ABS(VLOOKUP('dati nascosti'!D184,'dati nascosti'!AJ67:AY73,16,FALSE))</f>
        <v>0.4</v>
      </c>
      <c r="G234" s="323"/>
      <c r="H234" s="146" t="s">
        <v>102</v>
      </c>
    </row>
    <row r="235" spans="2:8" ht="14.45" customHeight="1" x14ac:dyDescent="0.25">
      <c r="B235" s="256"/>
      <c r="C235" s="95">
        <f>IF(B215='dati nascosti'!AJ73,'CALCOLO DEL VENTO NTC18'!G220,IF(B215='dati nascosti'!AJ72,0,G230+F234))</f>
        <v>0</v>
      </c>
      <c r="E235" s="93" t="s">
        <v>73</v>
      </c>
      <c r="F235" s="322"/>
      <c r="G235" s="323"/>
      <c r="H235" s="93" t="s">
        <v>215</v>
      </c>
    </row>
    <row r="236" spans="2:8" ht="14.45" customHeight="1" thickBot="1" x14ac:dyDescent="0.3">
      <c r="B236" s="255" t="s">
        <v>106</v>
      </c>
      <c r="C236" s="92" t="s">
        <v>71</v>
      </c>
      <c r="D236" s="81"/>
      <c r="E236" s="61"/>
      <c r="F236" s="262" t="s">
        <v>149</v>
      </c>
      <c r="G236" s="263"/>
      <c r="H236" s="61"/>
    </row>
    <row r="237" spans="2:8" ht="14.45" customHeight="1" x14ac:dyDescent="0.25">
      <c r="B237" s="256"/>
      <c r="C237" s="95">
        <f>IF('dati nascosti'!E188=1,0,-0.4+F234)</f>
        <v>0</v>
      </c>
      <c r="D237" s="81"/>
      <c r="E237" s="81"/>
      <c r="F237" s="275" t="str">
        <f>IF(B215='dati nascosti'!AJ70,"aperto","")</f>
        <v>aperto</v>
      </c>
      <c r="G237" s="275"/>
      <c r="H237" s="226" t="str">
        <f>IF(B215='dati nascosti'!AJ69,"Apertura sottovento","")</f>
        <v/>
      </c>
    </row>
    <row r="238" spans="2:8" ht="14.45" customHeight="1" x14ac:dyDescent="0.25">
      <c r="B238" s="100"/>
      <c r="C238" s="101"/>
      <c r="D238" s="81"/>
      <c r="E238" s="81"/>
      <c r="F238" s="222" t="s">
        <v>222</v>
      </c>
      <c r="G238" s="81"/>
      <c r="H238" s="81"/>
    </row>
    <row r="239" spans="2:8" ht="14.45" customHeight="1" x14ac:dyDescent="0.25">
      <c r="B239" s="100"/>
      <c r="C239" s="101"/>
      <c r="D239" s="81"/>
      <c r="E239" s="81"/>
      <c r="F239" s="222"/>
      <c r="G239" s="81"/>
      <c r="H239" s="81"/>
    </row>
    <row r="240" spans="2:8" ht="14.45" customHeight="1" x14ac:dyDescent="0.25">
      <c r="B240" s="223" t="s">
        <v>258</v>
      </c>
      <c r="C240" s="101"/>
      <c r="D240" s="81"/>
      <c r="E240" s="81"/>
      <c r="F240" s="81"/>
      <c r="G240" s="81"/>
      <c r="H240" s="81"/>
    </row>
    <row r="241" spans="2:8" ht="14.45" customHeight="1" x14ac:dyDescent="0.25">
      <c r="B241" s="223" t="s">
        <v>259</v>
      </c>
      <c r="C241" s="101"/>
      <c r="D241" s="81"/>
      <c r="E241" s="81"/>
      <c r="F241" s="81"/>
      <c r="G241" s="81"/>
      <c r="H241" s="81"/>
    </row>
    <row r="242" spans="2:8" ht="14.45" customHeight="1" x14ac:dyDescent="0.25">
      <c r="B242" s="223" t="s">
        <v>260</v>
      </c>
      <c r="C242" s="101"/>
      <c r="D242" s="81"/>
      <c r="E242" s="81"/>
      <c r="F242" s="81"/>
      <c r="G242" s="81"/>
      <c r="H242" s="81"/>
    </row>
    <row r="243" spans="2:8" ht="14.45" customHeight="1" x14ac:dyDescent="0.25">
      <c r="B243" s="223" t="s">
        <v>261</v>
      </c>
      <c r="C243" s="101"/>
      <c r="D243" s="81"/>
      <c r="E243" s="81"/>
      <c r="F243" s="81"/>
      <c r="G243" s="81"/>
      <c r="H243" s="81"/>
    </row>
    <row r="244" spans="2:8" ht="14.45" customHeight="1" x14ac:dyDescent="0.25">
      <c r="B244" s="223" t="s">
        <v>262</v>
      </c>
      <c r="C244" s="101"/>
      <c r="D244" s="81"/>
      <c r="E244" s="81"/>
      <c r="F244" s="81"/>
      <c r="G244" s="81"/>
      <c r="H244" s="81"/>
    </row>
    <row r="245" spans="2:8" ht="14.45" customHeight="1" x14ac:dyDescent="0.25">
      <c r="B245" s="223" t="s">
        <v>263</v>
      </c>
      <c r="C245" s="101"/>
      <c r="D245" s="81"/>
      <c r="E245" s="81"/>
    </row>
    <row r="246" spans="2:8" ht="14.45" customHeight="1" x14ac:dyDescent="0.25">
      <c r="B246" s="223" t="s">
        <v>264</v>
      </c>
      <c r="C246" s="101"/>
      <c r="D246" s="81"/>
      <c r="E246" s="81"/>
      <c r="F246" s="227" t="s">
        <v>243</v>
      </c>
      <c r="G246" s="228">
        <f>0.1*E95*F174</f>
        <v>91.560814426587697</v>
      </c>
      <c r="H246" s="223" t="s">
        <v>81</v>
      </c>
    </row>
    <row r="247" spans="2:8" ht="11.25" customHeight="1" x14ac:dyDescent="0.25">
      <c r="B247" s="61"/>
      <c r="C247" s="61"/>
      <c r="D247" s="61"/>
      <c r="E247" s="61"/>
      <c r="F247" s="61"/>
      <c r="G247" s="61"/>
      <c r="H247" s="61"/>
    </row>
    <row r="248" spans="2:8" ht="14.45" customHeight="1" x14ac:dyDescent="0.25">
      <c r="B248" s="176" t="s">
        <v>195</v>
      </c>
      <c r="C248" s="177"/>
      <c r="D248" s="177"/>
      <c r="E248" s="177"/>
      <c r="F248" s="177"/>
      <c r="G248" s="177"/>
      <c r="H248" s="177"/>
    </row>
    <row r="249" spans="2:8" ht="14.45" customHeight="1" x14ac:dyDescent="0.25">
      <c r="B249" s="61"/>
      <c r="C249" s="61"/>
      <c r="D249" s="61"/>
      <c r="E249" s="61"/>
      <c r="F249" s="61"/>
      <c r="G249" s="61"/>
      <c r="H249" s="61"/>
    </row>
    <row r="250" spans="2:8" ht="14.45" customHeight="1" x14ac:dyDescent="0.25">
      <c r="B250" s="211" t="s">
        <v>196</v>
      </c>
      <c r="C250" s="22"/>
      <c r="D250" s="61"/>
      <c r="E250" s="61"/>
      <c r="F250" s="61"/>
      <c r="G250" s="61"/>
      <c r="H250" s="61"/>
    </row>
    <row r="251" spans="2:8" ht="8.25" customHeight="1" x14ac:dyDescent="0.25">
      <c r="B251" s="102"/>
      <c r="C251" s="22"/>
      <c r="D251" s="61"/>
      <c r="E251" s="61"/>
      <c r="F251" s="61"/>
      <c r="G251" s="61"/>
      <c r="H251" s="61"/>
    </row>
    <row r="252" spans="2:8" ht="14.45" customHeight="1" x14ac:dyDescent="0.25">
      <c r="B252" s="212" t="s">
        <v>206</v>
      </c>
      <c r="C252" s="22"/>
      <c r="D252" s="61"/>
      <c r="E252" s="61"/>
      <c r="F252" s="61"/>
      <c r="G252" s="61"/>
      <c r="H252" s="61"/>
    </row>
    <row r="253" spans="2:8" ht="14.45" customHeight="1" x14ac:dyDescent="0.25">
      <c r="B253" s="278" t="s">
        <v>255</v>
      </c>
      <c r="C253" s="278"/>
      <c r="D253" s="278"/>
      <c r="E253" s="278"/>
      <c r="F253" s="61"/>
      <c r="G253" s="61"/>
      <c r="H253" s="61"/>
    </row>
    <row r="254" spans="2:8" ht="14.45" customHeight="1" x14ac:dyDescent="0.25">
      <c r="B254" s="65" t="s">
        <v>62</v>
      </c>
      <c r="C254" s="65"/>
      <c r="D254" s="65" t="s">
        <v>254</v>
      </c>
      <c r="E254" s="65"/>
      <c r="F254" s="65" t="s">
        <v>60</v>
      </c>
      <c r="G254" s="65"/>
    </row>
    <row r="255" spans="2:8" ht="14.45" customHeight="1" x14ac:dyDescent="0.25">
      <c r="B255" s="65" t="s">
        <v>61</v>
      </c>
      <c r="C255" s="65"/>
      <c r="D255" s="65"/>
      <c r="E255" s="65"/>
      <c r="F255" s="65"/>
      <c r="G255" s="65"/>
    </row>
    <row r="256" spans="2:8" ht="14.45" customHeight="1" x14ac:dyDescent="0.25">
      <c r="F256" s="61"/>
      <c r="G256" s="61"/>
      <c r="H256" s="61"/>
    </row>
    <row r="257" spans="2:8" ht="14.45" customHeight="1" x14ac:dyDescent="0.25">
      <c r="B257" s="81"/>
      <c r="C257" s="92" t="s">
        <v>100</v>
      </c>
      <c r="D257" s="23" t="s">
        <v>83</v>
      </c>
      <c r="E257" s="23" t="s">
        <v>89</v>
      </c>
      <c r="F257" s="90" t="s">
        <v>111</v>
      </c>
      <c r="G257" s="90" t="s">
        <v>112</v>
      </c>
      <c r="H257" s="115" t="s">
        <v>113</v>
      </c>
    </row>
    <row r="258" spans="2:8" ht="14.45" customHeight="1" x14ac:dyDescent="0.25">
      <c r="B258" s="117" t="s">
        <v>114</v>
      </c>
      <c r="C258" s="103">
        <f>E95/1000</f>
        <v>0.49071936851871295</v>
      </c>
      <c r="D258" s="74">
        <f>H99</f>
        <v>1</v>
      </c>
      <c r="E258" s="74">
        <f>F158</f>
        <v>1</v>
      </c>
      <c r="F258" s="104">
        <f>F173</f>
        <v>1.7075234013198439</v>
      </c>
      <c r="G258" s="95">
        <f>IF('CALCOLO DEL VENTO NTC18'!F218='CALCOLO DEL VENTO NTC18'!F228,'CALCOLO DEL VENTO NTC18'!C221,'CALCOLO DEL VENTO NTC18'!C231)</f>
        <v>0.4</v>
      </c>
      <c r="H258" s="203">
        <f>$C$258*$D$258*$E$258*G258*F258</f>
        <v>0.3351659220906395</v>
      </c>
    </row>
    <row r="259" spans="2:8" ht="14.45" customHeight="1" x14ac:dyDescent="0.25">
      <c r="B259" s="117" t="s">
        <v>115</v>
      </c>
      <c r="C259" s="103">
        <f>$C$258</f>
        <v>0.49071936851871295</v>
      </c>
      <c r="D259" s="74">
        <f>$D$258</f>
        <v>1</v>
      </c>
      <c r="E259" s="105">
        <f>$E$258</f>
        <v>1</v>
      </c>
      <c r="F259" s="104">
        <f>'dati nascosti'!Y106</f>
        <v>1.8658487987334482</v>
      </c>
      <c r="G259" s="74">
        <f>IF('CALCOLO DEL VENTO NTC18'!F218='CALCOLO DEL VENTO NTC18'!F228,'CALCOLO DEL VENTO NTC18'!C223,'CALCOLO DEL VENTO NTC18'!C233)</f>
        <v>-0.50000000000000011</v>
      </c>
      <c r="H259" s="203">
        <f>$C$259*$D$259*$E$259*G259*F259</f>
        <v>-0.4578040721329385</v>
      </c>
    </row>
    <row r="260" spans="2:8" ht="14.45" customHeight="1" x14ac:dyDescent="0.25">
      <c r="B260" s="117" t="s">
        <v>116</v>
      </c>
      <c r="C260" s="103">
        <f>$C$258</f>
        <v>0.49071936851871295</v>
      </c>
      <c r="D260" s="74">
        <f>$D$258</f>
        <v>1</v>
      </c>
      <c r="E260" s="105">
        <f>$E$258</f>
        <v>1</v>
      </c>
      <c r="F260" s="107">
        <f>F259</f>
        <v>1.8658487987334482</v>
      </c>
      <c r="G260" s="74">
        <f>IF('CALCOLO DEL VENTO NTC18'!F218='CALCOLO DEL VENTO NTC18'!F228,'CALCOLO DEL VENTO NTC18'!C225,'CALCOLO DEL VENTO NTC18'!C235)</f>
        <v>-0.8</v>
      </c>
      <c r="H260" s="203">
        <f>$C$260*$D$260*$E$260*G260*F260</f>
        <v>-0.73248651541270149</v>
      </c>
    </row>
    <row r="261" spans="2:8" ht="14.45" customHeight="1" x14ac:dyDescent="0.25">
      <c r="B261" s="117" t="s">
        <v>117</v>
      </c>
      <c r="C261" s="103">
        <f>$C$258</f>
        <v>0.49071936851871295</v>
      </c>
      <c r="D261" s="74">
        <f>$D$258</f>
        <v>1</v>
      </c>
      <c r="E261" s="105">
        <f>$E$258</f>
        <v>1</v>
      </c>
      <c r="F261" s="107">
        <f>F258</f>
        <v>1.7075234013198439</v>
      </c>
      <c r="G261" s="74">
        <f>IF('CALCOLO DEL VENTO NTC18'!F218='CALCOLO DEL VENTO NTC18'!F228,'CALCOLO DEL VENTO NTC18'!C227,'CALCOLO DEL VENTO NTC18'!C237)</f>
        <v>-0.8</v>
      </c>
      <c r="H261" s="203">
        <f>$C$261*$D$261*$E$261*G261*F261</f>
        <v>-0.670331844181279</v>
      </c>
    </row>
    <row r="262" spans="2:8" ht="14.45" customHeight="1" x14ac:dyDescent="0.25">
      <c r="B262" s="61"/>
      <c r="C262" s="61"/>
      <c r="D262" s="61"/>
      <c r="E262" s="81"/>
      <c r="F262" s="22"/>
      <c r="G262" s="61"/>
      <c r="H262" s="61"/>
    </row>
    <row r="263" spans="2:8" ht="14.45" customHeight="1" x14ac:dyDescent="0.25">
      <c r="B263" s="61"/>
      <c r="C263" s="257" t="s">
        <v>104</v>
      </c>
      <c r="D263" s="257"/>
      <c r="E263" s="61"/>
      <c r="F263" s="257" t="s">
        <v>105</v>
      </c>
      <c r="G263" s="257"/>
      <c r="H263" s="61"/>
    </row>
    <row r="264" spans="2:8" ht="14.45" customHeight="1" x14ac:dyDescent="0.25">
      <c r="B264" s="61"/>
      <c r="C264" s="210" t="str">
        <f>IF('dati nascosti'!E188=1,"±","")</f>
        <v/>
      </c>
      <c r="D264" s="108">
        <f>H259</f>
        <v>-0.4578040721329385</v>
      </c>
      <c r="E264" s="81"/>
      <c r="F264" s="108">
        <f>H260</f>
        <v>-0.73248651541270149</v>
      </c>
      <c r="G264" s="81"/>
      <c r="H264" s="61"/>
    </row>
    <row r="265" spans="2:8" ht="14.45" customHeight="1" x14ac:dyDescent="0.25">
      <c r="B265" s="96" t="s">
        <v>102</v>
      </c>
      <c r="C265" s="61"/>
      <c r="D265" s="61"/>
      <c r="E265" s="151" t="str">
        <f>IF('dati nascosti'!E188=1,"↖↘",IF(G259&lt;0,"↖","↘"))</f>
        <v>↖</v>
      </c>
      <c r="F265" s="151" t="str">
        <f>IF(G260&lt;0,"↗","↙")</f>
        <v>↗</v>
      </c>
      <c r="G265" s="81"/>
      <c r="H265" s="144"/>
    </row>
    <row r="266" spans="2:8" ht="14.45" customHeight="1" x14ac:dyDescent="0.25">
      <c r="B266" s="97" t="s">
        <v>99</v>
      </c>
      <c r="C266" s="98"/>
      <c r="D266" s="61"/>
      <c r="E266" s="147"/>
      <c r="F266" s="148"/>
      <c r="G266" s="81"/>
      <c r="H266" s="61"/>
    </row>
    <row r="267" spans="2:8" ht="14.45" customHeight="1" x14ac:dyDescent="0.25">
      <c r="B267" s="96" t="s">
        <v>102</v>
      </c>
      <c r="C267" s="22"/>
      <c r="D267" s="61"/>
      <c r="E267" s="260"/>
      <c r="F267" s="261"/>
      <c r="G267" s="81"/>
      <c r="H267" s="61"/>
    </row>
    <row r="268" spans="2:8" ht="14.45" customHeight="1" x14ac:dyDescent="0.25">
      <c r="B268" s="61"/>
      <c r="C268" s="22"/>
      <c r="D268" s="150" t="s">
        <v>102</v>
      </c>
      <c r="E268" s="152"/>
      <c r="F268" s="153"/>
      <c r="G268" s="151" t="str">
        <f>IF(G261&lt;0,"→","←")</f>
        <v>→</v>
      </c>
      <c r="H268" s="144"/>
    </row>
    <row r="269" spans="2:8" ht="14.45" customHeight="1" x14ac:dyDescent="0.25">
      <c r="C269" s="61"/>
      <c r="D269" s="108">
        <f>H258</f>
        <v>0.3351659220906395</v>
      </c>
      <c r="E269" s="152"/>
      <c r="F269" s="153"/>
      <c r="G269" s="108">
        <f>H261</f>
        <v>-0.670331844181279</v>
      </c>
      <c r="H269" s="61"/>
    </row>
    <row r="270" spans="2:8" ht="14.45" customHeight="1" thickBot="1" x14ac:dyDescent="0.3">
      <c r="C270" s="257" t="s">
        <v>103</v>
      </c>
      <c r="D270" s="258"/>
      <c r="E270" s="262"/>
      <c r="F270" s="263"/>
      <c r="G270" s="259" t="s">
        <v>106</v>
      </c>
      <c r="H270" s="257"/>
    </row>
    <row r="271" spans="2:8" ht="14.45" customHeight="1" x14ac:dyDescent="0.25">
      <c r="B271" s="61"/>
      <c r="C271" s="22"/>
      <c r="D271" s="81"/>
      <c r="E271" s="81"/>
      <c r="F271" s="81"/>
      <c r="G271" s="81"/>
      <c r="H271" s="61"/>
    </row>
    <row r="272" spans="2:8" ht="14.45" customHeight="1" x14ac:dyDescent="0.25">
      <c r="B272" s="61"/>
      <c r="C272" s="61"/>
      <c r="D272" s="61"/>
      <c r="E272" s="61"/>
      <c r="F272" s="61"/>
      <c r="G272" s="61"/>
      <c r="H272" s="61"/>
    </row>
    <row r="273" spans="2:8" ht="14.45" customHeight="1" x14ac:dyDescent="0.25">
      <c r="B273" s="211" t="s">
        <v>217</v>
      </c>
      <c r="C273" s="61"/>
      <c r="D273" s="61"/>
      <c r="E273" s="61"/>
      <c r="F273" s="61"/>
      <c r="G273" s="61"/>
      <c r="H273" s="61"/>
    </row>
    <row r="274" spans="2:8" ht="14.45" customHeight="1" x14ac:dyDescent="0.25">
      <c r="B274" s="61"/>
      <c r="C274" s="61"/>
      <c r="D274" s="61"/>
      <c r="E274" s="61"/>
      <c r="F274" s="61"/>
      <c r="G274" s="61"/>
      <c r="H274" s="61"/>
    </row>
    <row r="275" spans="2:8" ht="14.45" customHeight="1" x14ac:dyDescent="0.25">
      <c r="B275" s="61"/>
      <c r="C275" s="61"/>
      <c r="D275" s="61"/>
      <c r="E275" s="61"/>
      <c r="F275" s="61"/>
      <c r="G275" s="61"/>
      <c r="H275" s="61"/>
    </row>
    <row r="276" spans="2:8" ht="14.45" customHeight="1" x14ac:dyDescent="0.25">
      <c r="B276" s="61"/>
      <c r="C276" s="257" t="s">
        <v>104</v>
      </c>
      <c r="D276" s="257"/>
      <c r="E276" s="108">
        <f>'dati nascosti'!AK119</f>
        <v>-0.4170863210218882</v>
      </c>
      <c r="F276" s="257" t="s">
        <v>105</v>
      </c>
      <c r="G276" s="257"/>
      <c r="H276" s="61"/>
    </row>
    <row r="277" spans="2:8" ht="14.45" customHeight="1" x14ac:dyDescent="0.25">
      <c r="B277" s="61"/>
      <c r="C277" s="210" t="str">
        <f>IF('dati nascosti'!E188=1,"±","")</f>
        <v/>
      </c>
      <c r="D277" s="108">
        <f>'dati nascosti'!AE109</f>
        <v>-0.41708632102188814</v>
      </c>
      <c r="E277" s="217">
        <f>'dati nascosti'!AL119</f>
        <v>2.4999999999999996</v>
      </c>
      <c r="F277" s="108">
        <f>'dati nascosti'!AF109</f>
        <v>-0.66733811363502071</v>
      </c>
      <c r="G277" s="81"/>
      <c r="H277" s="61"/>
    </row>
    <row r="278" spans="2:8" ht="14.45" customHeight="1" x14ac:dyDescent="0.25">
      <c r="B278" s="96" t="s">
        <v>102</v>
      </c>
      <c r="C278" s="61"/>
      <c r="D278" s="108">
        <f>'dati nascosti'!AK118</f>
        <v>0</v>
      </c>
      <c r="E278" s="151" t="str">
        <f>IF(D68="si",IF('dati nascosti'!AK118*'dati nascosti'!AK119&lt;0,"↘↖",IF('dati nascosti'!E188=1,"↖↘",IF(D277&lt;0,"↖","↘"))),IF('dati nascosti'!E188=1,"↖↘",IF(D277&lt;0,"↖","↘")))</f>
        <v>↖</v>
      </c>
      <c r="F278" s="151" t="str">
        <f>IF(F277&lt;0,"↗","↙")</f>
        <v>↗</v>
      </c>
      <c r="G278" s="81"/>
      <c r="H278" s="144"/>
    </row>
    <row r="279" spans="2:8" ht="14.45" customHeight="1" x14ac:dyDescent="0.25">
      <c r="B279" s="97" t="s">
        <v>99</v>
      </c>
      <c r="C279" s="98"/>
      <c r="D279" s="216">
        <f>'dati nascosti'!AL118</f>
        <v>0</v>
      </c>
      <c r="E279" s="147"/>
      <c r="F279" s="148"/>
      <c r="G279" s="81"/>
    </row>
    <row r="280" spans="2:8" ht="14.45" customHeight="1" x14ac:dyDescent="0.25">
      <c r="B280" s="96" t="s">
        <v>102</v>
      </c>
      <c r="C280" s="22"/>
      <c r="D280" s="61"/>
      <c r="E280" s="260"/>
      <c r="F280" s="261"/>
      <c r="G280" s="81"/>
      <c r="H280" s="61"/>
    </row>
    <row r="281" spans="2:8" ht="14.45" customHeight="1" x14ac:dyDescent="0.25">
      <c r="B281" s="61"/>
      <c r="C281" s="22"/>
      <c r="D281" s="150" t="s">
        <v>102</v>
      </c>
      <c r="E281" s="152"/>
      <c r="F281" s="153"/>
      <c r="G281" s="151" t="str">
        <f>IF(G282&lt;0,"→","←")</f>
        <v>→</v>
      </c>
      <c r="H281" s="144"/>
    </row>
    <row r="282" spans="2:8" ht="14.45" customHeight="1" x14ac:dyDescent="0.25">
      <c r="C282" s="61"/>
      <c r="D282" s="108">
        <f>'dati nascosti'!AD109</f>
        <v>0.33516592209063939</v>
      </c>
      <c r="E282" s="152"/>
      <c r="F282" s="153"/>
      <c r="G282" s="108">
        <f>'dati nascosti'!AG109</f>
        <v>-0.67033184418127878</v>
      </c>
      <c r="H282" s="61"/>
    </row>
    <row r="283" spans="2:8" ht="14.45" customHeight="1" thickBot="1" x14ac:dyDescent="0.3">
      <c r="C283" s="257" t="s">
        <v>103</v>
      </c>
      <c r="D283" s="258"/>
      <c r="E283" s="262"/>
      <c r="F283" s="263"/>
      <c r="G283" s="259" t="s">
        <v>106</v>
      </c>
      <c r="H283" s="257"/>
    </row>
    <row r="284" spans="2:8" ht="14.45" customHeight="1" x14ac:dyDescent="0.25">
      <c r="B284" s="61" t="str">
        <f>IF('dati nascosti'!E188=1,"Il simbolo ± indica che bisogna considerare due combinazioni nel modello FEM","")</f>
        <v/>
      </c>
      <c r="C284" s="61"/>
      <c r="D284" s="61"/>
      <c r="E284" s="61"/>
      <c r="F284" s="61"/>
      <c r="G284" s="61"/>
      <c r="H284" s="61"/>
    </row>
    <row r="285" spans="2:8" ht="14.45" customHeight="1" x14ac:dyDescent="0.25">
      <c r="C285" s="61"/>
      <c r="D285" s="61"/>
      <c r="E285" s="61"/>
      <c r="F285" s="238" t="str">
        <f>IF(D68="si","copertura curva","")</f>
        <v/>
      </c>
      <c r="G285" s="61"/>
      <c r="H285" s="61"/>
    </row>
    <row r="286" spans="2:8" ht="14.45" customHeight="1" x14ac:dyDescent="0.25">
      <c r="B286" s="211" t="s">
        <v>216</v>
      </c>
      <c r="C286" s="61"/>
      <c r="D286" s="61"/>
      <c r="E286" s="61"/>
      <c r="F286" s="61"/>
      <c r="G286" s="61"/>
      <c r="H286" s="61"/>
    </row>
    <row r="287" spans="2:8" ht="14.45" customHeight="1" x14ac:dyDescent="0.25">
      <c r="B287" s="61"/>
      <c r="C287" s="61"/>
      <c r="D287" s="61"/>
      <c r="E287" s="61"/>
      <c r="F287" s="61"/>
      <c r="G287" s="61"/>
      <c r="H287" s="61"/>
    </row>
    <row r="288" spans="2:8" ht="14.45" customHeight="1" x14ac:dyDescent="0.25">
      <c r="B288" s="61"/>
      <c r="C288" s="61"/>
      <c r="D288" s="61"/>
      <c r="E288" s="61"/>
      <c r="F288" s="61"/>
      <c r="G288" s="61"/>
      <c r="H288" s="61"/>
    </row>
    <row r="289" spans="2:8" ht="14.45" customHeight="1" x14ac:dyDescent="0.25">
      <c r="B289" s="61"/>
      <c r="C289" s="61"/>
      <c r="D289" s="61"/>
      <c r="E289" s="61"/>
      <c r="F289" s="61"/>
      <c r="G289" s="61"/>
      <c r="H289" s="61"/>
    </row>
    <row r="290" spans="2:8" ht="14.45" customHeight="1" x14ac:dyDescent="0.25">
      <c r="B290" s="61"/>
      <c r="C290" s="61"/>
      <c r="D290" s="61"/>
      <c r="E290" s="61"/>
      <c r="F290" s="61"/>
      <c r="G290" s="61"/>
      <c r="H290" s="61"/>
    </row>
    <row r="291" spans="2:8" ht="14.45" customHeight="1" x14ac:dyDescent="0.25">
      <c r="B291" s="61"/>
      <c r="C291" s="61"/>
      <c r="D291" s="61"/>
      <c r="E291" s="61"/>
      <c r="F291" s="61"/>
      <c r="G291" s="61"/>
      <c r="H291" s="61"/>
    </row>
    <row r="292" spans="2:8" ht="14.45" customHeight="1" x14ac:dyDescent="0.25">
      <c r="B292" s="61"/>
      <c r="C292" s="61"/>
      <c r="D292" s="61"/>
      <c r="E292" s="61"/>
      <c r="F292" s="61"/>
      <c r="G292" s="61"/>
      <c r="H292" s="61"/>
    </row>
    <row r="293" spans="2:8" ht="14.45" customHeight="1" x14ac:dyDescent="0.25">
      <c r="B293" s="61"/>
      <c r="C293" s="61"/>
      <c r="D293" s="61"/>
      <c r="E293" s="61"/>
      <c r="F293" s="61"/>
      <c r="G293" s="61"/>
      <c r="H293" s="61"/>
    </row>
    <row r="294" spans="2:8" ht="14.45" customHeight="1" x14ac:dyDescent="0.25">
      <c r="B294" s="61"/>
      <c r="C294" s="61"/>
      <c r="D294" s="61"/>
      <c r="E294" s="61"/>
      <c r="F294" s="61"/>
      <c r="G294" s="61"/>
      <c r="H294" s="61"/>
    </row>
    <row r="295" spans="2:8" ht="14.45" customHeight="1" x14ac:dyDescent="0.25">
      <c r="B295" s="61"/>
      <c r="C295" s="61"/>
      <c r="D295" s="61"/>
      <c r="E295" s="61"/>
      <c r="F295" s="61"/>
      <c r="G295" s="61"/>
      <c r="H295" s="61"/>
    </row>
    <row r="296" spans="2:8" ht="14.45" customHeight="1" x14ac:dyDescent="0.25">
      <c r="B296" s="61"/>
      <c r="C296" s="61"/>
      <c r="D296" s="61"/>
      <c r="E296" s="61"/>
      <c r="F296" s="61"/>
      <c r="G296" s="61"/>
      <c r="H296" s="61"/>
    </row>
    <row r="297" spans="2:8" ht="14.45" customHeight="1" x14ac:dyDescent="0.25">
      <c r="B297" s="61"/>
      <c r="C297" s="61"/>
      <c r="D297" s="61"/>
      <c r="E297" s="61"/>
      <c r="F297" s="61"/>
      <c r="G297" s="61"/>
      <c r="H297" s="61"/>
    </row>
    <row r="298" spans="2:8" ht="14.45" customHeight="1" x14ac:dyDescent="0.25">
      <c r="B298" s="61"/>
      <c r="C298" s="61"/>
      <c r="D298" s="61"/>
      <c r="E298" s="61"/>
      <c r="F298" s="61"/>
      <c r="G298" s="61"/>
      <c r="H298" s="61"/>
    </row>
    <row r="299" spans="2:8" ht="14.45" customHeight="1" x14ac:dyDescent="0.25">
      <c r="B299" s="61"/>
      <c r="C299" s="61"/>
      <c r="D299" s="61"/>
      <c r="E299" s="61"/>
      <c r="F299" s="61"/>
      <c r="G299" s="61"/>
      <c r="H299" s="61"/>
    </row>
    <row r="300" spans="2:8" ht="14.45" customHeight="1" x14ac:dyDescent="0.25">
      <c r="B300" s="61"/>
      <c r="C300" s="61"/>
      <c r="D300" s="61"/>
      <c r="E300" s="61"/>
      <c r="F300" s="61"/>
      <c r="G300" s="61"/>
      <c r="H300" s="61"/>
    </row>
    <row r="301" spans="2:8" ht="14.45" customHeight="1" x14ac:dyDescent="0.25">
      <c r="B301" s="61"/>
      <c r="C301" s="61"/>
      <c r="D301" s="61"/>
      <c r="E301" s="61"/>
      <c r="F301" s="61"/>
      <c r="G301" s="61"/>
      <c r="H301" s="61"/>
    </row>
    <row r="302" spans="2:8" ht="14.45" customHeight="1" x14ac:dyDescent="0.25">
      <c r="B302" s="61"/>
      <c r="C302" s="61"/>
      <c r="D302" s="61"/>
      <c r="E302" s="61"/>
      <c r="F302" s="61"/>
      <c r="G302" s="61"/>
      <c r="H302" s="61"/>
    </row>
    <row r="303" spans="2:8" ht="14.45" customHeight="1" x14ac:dyDescent="0.25">
      <c r="B303" s="61"/>
      <c r="C303" s="61"/>
      <c r="D303" s="61"/>
      <c r="E303" s="61"/>
      <c r="F303" s="61"/>
      <c r="G303" s="61"/>
      <c r="H303" s="61"/>
    </row>
    <row r="304" spans="2:8" ht="14.45" customHeight="1" x14ac:dyDescent="0.25">
      <c r="B304" s="61"/>
      <c r="C304" s="61"/>
      <c r="D304" s="61"/>
      <c r="E304" s="61"/>
      <c r="F304" s="61"/>
      <c r="G304" s="61"/>
      <c r="H304" s="61"/>
    </row>
    <row r="305" spans="2:8" ht="14.45" customHeight="1" x14ac:dyDescent="0.25">
      <c r="B305" s="61"/>
      <c r="C305" s="61"/>
      <c r="D305" s="61"/>
      <c r="E305" s="61"/>
      <c r="F305" s="61"/>
      <c r="G305" s="61"/>
      <c r="H305" s="61"/>
    </row>
    <row r="306" spans="2:8" ht="14.45" customHeight="1" x14ac:dyDescent="0.25">
      <c r="B306" s="61"/>
      <c r="C306" s="61"/>
      <c r="D306" s="61"/>
      <c r="E306" s="61"/>
      <c r="F306" s="61"/>
      <c r="G306" s="61"/>
      <c r="H306" s="61"/>
    </row>
    <row r="307" spans="2:8" ht="14.45" customHeight="1" x14ac:dyDescent="0.25">
      <c r="B307" s="61"/>
      <c r="C307" s="61"/>
      <c r="D307" s="61"/>
      <c r="E307" s="61"/>
      <c r="F307" s="61"/>
      <c r="G307" s="61"/>
      <c r="H307" s="61"/>
    </row>
    <row r="308" spans="2:8" ht="14.45" customHeight="1" x14ac:dyDescent="0.25">
      <c r="B308" s="61"/>
      <c r="C308" s="61"/>
      <c r="D308" s="61"/>
      <c r="E308" s="61"/>
      <c r="F308" s="61"/>
      <c r="G308" s="61"/>
      <c r="H308" s="61"/>
    </row>
    <row r="309" spans="2:8" ht="14.45" customHeight="1" x14ac:dyDescent="0.25">
      <c r="B309" s="61"/>
      <c r="C309" s="61"/>
      <c r="D309" s="61"/>
      <c r="E309" s="61"/>
      <c r="F309" s="61"/>
      <c r="G309" s="61"/>
      <c r="H309" s="61"/>
    </row>
    <row r="310" spans="2:8" ht="14.45" customHeight="1" x14ac:dyDescent="0.25">
      <c r="B310" s="61"/>
      <c r="C310" s="61"/>
      <c r="D310" s="61"/>
      <c r="E310" s="61"/>
      <c r="F310" s="61"/>
      <c r="G310" s="61"/>
      <c r="H310" s="61"/>
    </row>
    <row r="311" spans="2:8" ht="14.45" customHeight="1" x14ac:dyDescent="0.25">
      <c r="B311" s="61"/>
      <c r="C311" s="61"/>
      <c r="D311" s="61"/>
      <c r="E311" s="61"/>
      <c r="F311" s="61"/>
      <c r="G311" s="61"/>
      <c r="H311" s="61"/>
    </row>
    <row r="312" spans="2:8" ht="14.45" customHeight="1" x14ac:dyDescent="0.25">
      <c r="B312" s="61"/>
      <c r="C312" s="61"/>
      <c r="D312" s="61"/>
      <c r="E312" s="61"/>
      <c r="F312" s="61"/>
      <c r="G312" s="61"/>
      <c r="H312" s="61"/>
    </row>
    <row r="313" spans="2:8" ht="14.45" customHeight="1" x14ac:dyDescent="0.25">
      <c r="B313" s="61"/>
      <c r="C313" s="61"/>
      <c r="D313" s="61"/>
      <c r="E313" s="61"/>
      <c r="F313" s="61"/>
      <c r="G313" s="61"/>
      <c r="H313" s="61"/>
    </row>
    <row r="314" spans="2:8" ht="14.45" customHeight="1" x14ac:dyDescent="0.25">
      <c r="B314" s="61"/>
      <c r="C314" s="61"/>
      <c r="D314" s="61"/>
      <c r="E314" s="61"/>
      <c r="F314" s="61"/>
      <c r="G314" s="61"/>
      <c r="H314" s="61"/>
    </row>
    <row r="315" spans="2:8" ht="14.45" customHeight="1" x14ac:dyDescent="0.25">
      <c r="B315" s="61"/>
      <c r="C315" s="61"/>
      <c r="D315" s="61"/>
      <c r="E315" s="61"/>
      <c r="F315" s="61"/>
      <c r="G315" s="61"/>
      <c r="H315" s="61"/>
    </row>
    <row r="316" spans="2:8" ht="14.45" customHeight="1" x14ac:dyDescent="0.25">
      <c r="B316" s="61"/>
      <c r="C316" s="61"/>
      <c r="D316" s="61"/>
      <c r="E316" s="61"/>
      <c r="F316" s="61"/>
      <c r="G316" s="61"/>
      <c r="H316" s="61"/>
    </row>
    <row r="317" spans="2:8" ht="14.45" customHeight="1" x14ac:dyDescent="0.25">
      <c r="B317" s="61"/>
      <c r="C317" s="61"/>
      <c r="D317" s="61"/>
      <c r="E317" s="61"/>
      <c r="F317" s="61"/>
      <c r="G317" s="61"/>
      <c r="H317" s="61"/>
    </row>
    <row r="318" spans="2:8" ht="14.45" customHeight="1" x14ac:dyDescent="0.25">
      <c r="B318" s="61"/>
      <c r="C318" s="61"/>
      <c r="D318" s="61"/>
      <c r="E318" s="61"/>
      <c r="F318" s="61"/>
      <c r="G318" s="61"/>
      <c r="H318" s="61"/>
    </row>
    <row r="319" spans="2:8" ht="14.45" customHeight="1" x14ac:dyDescent="0.25">
      <c r="B319" s="61"/>
      <c r="C319" s="61"/>
      <c r="D319" s="61"/>
      <c r="E319" s="61"/>
      <c r="F319" s="61"/>
      <c r="G319" s="61"/>
      <c r="H319" s="61"/>
    </row>
    <row r="320" spans="2:8" ht="14.45" customHeight="1" x14ac:dyDescent="0.25">
      <c r="B320" s="61"/>
      <c r="C320" s="61"/>
      <c r="D320" s="61"/>
      <c r="E320" s="61"/>
      <c r="F320" s="61"/>
      <c r="G320" s="61"/>
      <c r="H320" s="61"/>
    </row>
    <row r="321" spans="2:8" ht="14.45" customHeight="1" x14ac:dyDescent="0.25">
      <c r="B321" s="61"/>
      <c r="C321" s="61"/>
      <c r="D321" s="61"/>
      <c r="E321" s="61"/>
      <c r="F321" s="61"/>
      <c r="G321" s="61"/>
      <c r="H321" s="61"/>
    </row>
    <row r="322" spans="2:8" ht="14.45" customHeight="1" x14ac:dyDescent="0.25">
      <c r="B322" s="176" t="s">
        <v>257</v>
      </c>
      <c r="C322" s="177"/>
      <c r="D322" s="177"/>
      <c r="E322" s="177"/>
      <c r="F322" s="177"/>
      <c r="G322" s="177"/>
      <c r="H322" s="177"/>
    </row>
    <row r="323" spans="2:8" ht="14.45" customHeight="1" thickBot="1" x14ac:dyDescent="0.3">
      <c r="B323" s="61"/>
      <c r="C323" s="61"/>
      <c r="D323" s="61"/>
      <c r="E323" s="61"/>
      <c r="F323" s="61"/>
      <c r="G323" s="61"/>
      <c r="H323" s="61"/>
    </row>
    <row r="324" spans="2:8" ht="14.45" customHeight="1" thickTop="1" thickBot="1" x14ac:dyDescent="0.3">
      <c r="B324" s="247" t="s">
        <v>244</v>
      </c>
      <c r="C324" s="248"/>
      <c r="D324" s="244" t="s">
        <v>208</v>
      </c>
      <c r="E324" s="245"/>
      <c r="F324" s="245"/>
      <c r="G324" s="245"/>
      <c r="H324" s="246"/>
    </row>
    <row r="325" spans="2:8" ht="14.45" customHeight="1" thickTop="1" x14ac:dyDescent="0.25">
      <c r="B325" s="61"/>
      <c r="C325" s="61"/>
      <c r="D325" s="61"/>
      <c r="E325" s="61"/>
      <c r="F325" s="61"/>
      <c r="G325" s="61"/>
      <c r="H325" s="61"/>
    </row>
    <row r="326" spans="2:8" ht="14.45" customHeight="1" x14ac:dyDescent="0.25">
      <c r="B326" s="272" t="s">
        <v>245</v>
      </c>
      <c r="C326" s="272"/>
      <c r="D326" s="272"/>
      <c r="E326" s="168">
        <f>E95*F174*'dati nascosti'!C79</f>
        <v>18.312162885317537</v>
      </c>
      <c r="F326" s="169" t="s">
        <v>81</v>
      </c>
      <c r="G326" s="61"/>
    </row>
    <row r="327" spans="2:8" ht="14.45" customHeight="1" x14ac:dyDescent="0.25">
      <c r="B327" s="187" t="s">
        <v>246</v>
      </c>
      <c r="G327" s="61"/>
    </row>
    <row r="328" spans="2:8" ht="14.45" customHeight="1" x14ac:dyDescent="0.25">
      <c r="G328" s="61"/>
    </row>
    <row r="329" spans="2:8" ht="14.45" customHeight="1" x14ac:dyDescent="0.25"/>
    <row r="330" spans="2:8" ht="14.45" customHeight="1" x14ac:dyDescent="0.25">
      <c r="B330" s="61"/>
      <c r="C330" s="61"/>
      <c r="D330" s="61"/>
      <c r="E330" s="61"/>
      <c r="F330" s="213"/>
      <c r="G330" s="61"/>
    </row>
    <row r="331" spans="2:8" ht="14.45" customHeight="1" x14ac:dyDescent="0.25">
      <c r="B331" s="61"/>
      <c r="C331" s="61"/>
      <c r="D331" s="61"/>
      <c r="E331" s="61"/>
      <c r="F331" s="61"/>
      <c r="G331" s="61"/>
    </row>
    <row r="332" spans="2:8" ht="14.45" customHeight="1" x14ac:dyDescent="0.25">
      <c r="D332" s="61"/>
      <c r="E332" s="61"/>
      <c r="F332" s="61"/>
      <c r="G332" s="61"/>
    </row>
    <row r="333" spans="2:8" ht="14.45" customHeight="1" x14ac:dyDescent="0.25">
      <c r="D333" s="61"/>
      <c r="E333" s="61"/>
      <c r="F333" s="18"/>
      <c r="G333" s="18"/>
    </row>
    <row r="334" spans="2:8" ht="14.45" customHeight="1" x14ac:dyDescent="0.25">
      <c r="D334" s="61"/>
      <c r="E334" s="61"/>
      <c r="F334" s="18"/>
      <c r="G334" s="18"/>
    </row>
    <row r="335" spans="2:8" ht="14.45" customHeight="1" x14ac:dyDescent="0.25">
      <c r="D335" s="61"/>
      <c r="E335" s="61"/>
      <c r="F335" s="61"/>
      <c r="G335" s="61"/>
      <c r="H335" s="61"/>
    </row>
    <row r="336" spans="2:8" ht="14.45" customHeight="1" x14ac:dyDescent="0.25">
      <c r="B336" s="61"/>
      <c r="C336" s="61"/>
      <c r="D336" s="61"/>
      <c r="E336" s="61"/>
      <c r="F336" s="61"/>
      <c r="G336" s="61"/>
      <c r="H336" s="61"/>
    </row>
    <row r="337" spans="2:8" ht="14.45" customHeight="1" x14ac:dyDescent="0.25">
      <c r="B337" s="61"/>
      <c r="C337" s="61"/>
      <c r="D337" s="61"/>
      <c r="E337" s="61"/>
      <c r="F337" s="61"/>
      <c r="G337" s="61"/>
      <c r="H337" s="61"/>
    </row>
    <row r="338" spans="2:8" ht="14.45" customHeight="1" x14ac:dyDescent="0.25">
      <c r="B338" s="61"/>
      <c r="C338" s="61"/>
      <c r="D338" s="61"/>
      <c r="E338" s="61"/>
      <c r="F338" s="61"/>
      <c r="G338" s="61"/>
      <c r="H338" s="61"/>
    </row>
    <row r="339" spans="2:8" ht="14.45" customHeight="1" x14ac:dyDescent="0.25">
      <c r="B339" s="61"/>
      <c r="C339" s="61"/>
      <c r="D339" s="61"/>
      <c r="E339" s="61"/>
      <c r="F339" s="61"/>
      <c r="G339" s="61"/>
      <c r="H339" s="61"/>
    </row>
    <row r="340" spans="2:8" ht="14.45" customHeight="1" x14ac:dyDescent="0.25">
      <c r="B340" s="61"/>
      <c r="C340" s="61"/>
      <c r="D340" s="61"/>
      <c r="E340" s="61"/>
      <c r="F340" s="61"/>
      <c r="G340" s="61"/>
      <c r="H340" s="61"/>
    </row>
    <row r="341" spans="2:8" ht="14.45" customHeight="1" x14ac:dyDescent="0.25">
      <c r="B341" s="61"/>
      <c r="C341" s="61"/>
      <c r="D341" s="61"/>
      <c r="E341" s="61"/>
      <c r="F341" s="61"/>
      <c r="G341" s="61"/>
      <c r="H341" s="61"/>
    </row>
    <row r="342" spans="2:8" ht="14.45" customHeight="1" x14ac:dyDescent="0.25">
      <c r="B342" s="61"/>
      <c r="C342" s="61"/>
      <c r="D342" s="61"/>
      <c r="E342" s="61"/>
      <c r="F342" s="61"/>
      <c r="G342" s="61"/>
      <c r="H342" s="61"/>
    </row>
    <row r="343" spans="2:8" ht="14.45" customHeight="1" x14ac:dyDescent="0.25">
      <c r="B343" s="61"/>
      <c r="C343" s="61"/>
      <c r="D343" s="61"/>
      <c r="E343" s="61"/>
      <c r="F343" s="61"/>
      <c r="G343" s="61"/>
      <c r="H343" s="61"/>
    </row>
    <row r="344" spans="2:8" ht="14.45" customHeight="1" x14ac:dyDescent="0.25">
      <c r="B344" s="61"/>
      <c r="C344" s="61"/>
      <c r="D344" s="61"/>
      <c r="E344" s="61"/>
      <c r="F344" s="61"/>
      <c r="G344" s="61"/>
      <c r="H344" s="61"/>
    </row>
    <row r="345" spans="2:8" ht="14.45" customHeight="1" x14ac:dyDescent="0.25">
      <c r="B345" s="61"/>
      <c r="C345" s="61"/>
      <c r="D345" s="61"/>
      <c r="E345" s="61"/>
      <c r="F345" s="61"/>
      <c r="G345" s="61"/>
      <c r="H345" s="61"/>
    </row>
    <row r="346" spans="2:8" ht="14.45" customHeight="1" x14ac:dyDescent="0.25">
      <c r="B346" s="61"/>
      <c r="C346" s="61"/>
      <c r="D346" s="61"/>
      <c r="E346" s="61"/>
      <c r="F346" s="61"/>
      <c r="G346" s="61"/>
      <c r="H346" s="61"/>
    </row>
    <row r="347" spans="2:8" ht="14.45" customHeight="1" x14ac:dyDescent="0.25">
      <c r="B347" s="61"/>
      <c r="C347" s="61"/>
      <c r="D347" s="61"/>
      <c r="E347" s="61"/>
      <c r="F347" s="61"/>
      <c r="G347" s="61"/>
      <c r="H347" s="61"/>
    </row>
    <row r="348" spans="2:8" ht="14.45" customHeight="1" x14ac:dyDescent="0.25">
      <c r="B348" s="61"/>
      <c r="C348" s="61"/>
      <c r="D348" s="61"/>
      <c r="E348" s="61"/>
      <c r="F348" s="61"/>
      <c r="G348" s="61"/>
      <c r="H348" s="61"/>
    </row>
    <row r="349" spans="2:8" ht="14.45" customHeight="1" x14ac:dyDescent="0.25">
      <c r="B349" s="61"/>
      <c r="C349" s="61"/>
      <c r="D349" s="61"/>
      <c r="E349" s="61"/>
      <c r="F349" s="61"/>
      <c r="G349" s="61"/>
      <c r="H349" s="61"/>
    </row>
    <row r="350" spans="2:8" ht="14.45" customHeight="1" x14ac:dyDescent="0.25">
      <c r="B350" s="61"/>
      <c r="C350" s="61"/>
      <c r="D350" s="61"/>
      <c r="E350" s="61"/>
      <c r="F350" s="61"/>
      <c r="G350" s="61"/>
      <c r="H350" s="61"/>
    </row>
    <row r="351" spans="2:8" ht="14.45" customHeight="1" x14ac:dyDescent="0.25">
      <c r="B351" s="61"/>
      <c r="C351" s="61"/>
      <c r="D351" s="61"/>
      <c r="E351" s="61"/>
      <c r="F351" s="61"/>
      <c r="G351" s="61"/>
      <c r="H351" s="61"/>
    </row>
    <row r="352" spans="2:8" ht="14.45" customHeight="1" x14ac:dyDescent="0.25">
      <c r="B352" s="61"/>
      <c r="C352" s="61"/>
      <c r="D352" s="61"/>
      <c r="E352" s="61"/>
      <c r="F352" s="61"/>
      <c r="G352" s="61"/>
      <c r="H352" s="61"/>
    </row>
    <row r="353" spans="2:8" ht="14.45" customHeight="1" x14ac:dyDescent="0.25">
      <c r="B353" s="61"/>
      <c r="C353" s="61"/>
      <c r="D353" s="61"/>
      <c r="E353" s="61"/>
      <c r="F353" s="61"/>
      <c r="G353" s="61"/>
      <c r="H353" s="61"/>
    </row>
    <row r="354" spans="2:8" ht="14.45" customHeight="1" x14ac:dyDescent="0.25">
      <c r="B354" s="61"/>
      <c r="C354" s="61"/>
      <c r="D354" s="61"/>
      <c r="E354" s="61"/>
      <c r="F354" s="61"/>
      <c r="G354" s="61"/>
      <c r="H354" s="61"/>
    </row>
    <row r="355" spans="2:8" ht="14.45" customHeight="1" x14ac:dyDescent="0.25">
      <c r="B355" s="61"/>
      <c r="C355" s="61"/>
      <c r="D355" s="61"/>
      <c r="E355" s="61"/>
      <c r="F355" s="61"/>
      <c r="G355" s="61"/>
      <c r="H355" s="61"/>
    </row>
    <row r="356" spans="2:8" ht="14.45" customHeight="1" x14ac:dyDescent="0.25">
      <c r="B356" s="61"/>
      <c r="C356" s="61"/>
      <c r="D356" s="61"/>
      <c r="E356" s="61"/>
      <c r="F356" s="61"/>
      <c r="G356" s="61"/>
      <c r="H356" s="61"/>
    </row>
    <row r="357" spans="2:8" ht="14.45" customHeight="1" x14ac:dyDescent="0.25">
      <c r="B357" s="61"/>
      <c r="C357" s="61"/>
      <c r="D357" s="61"/>
      <c r="E357" s="61"/>
      <c r="F357" s="61"/>
      <c r="G357" s="61"/>
      <c r="H357" s="61"/>
    </row>
    <row r="358" spans="2:8" ht="14.45" customHeight="1" x14ac:dyDescent="0.25">
      <c r="B358" s="61"/>
      <c r="C358" s="61"/>
      <c r="D358" s="61"/>
      <c r="E358" s="61"/>
      <c r="F358" s="61"/>
      <c r="G358" s="61"/>
      <c r="H358" s="61"/>
    </row>
    <row r="359" spans="2:8" ht="14.45" customHeight="1" x14ac:dyDescent="0.25">
      <c r="B359" s="61"/>
      <c r="C359" s="61"/>
      <c r="D359" s="61"/>
      <c r="E359" s="61"/>
      <c r="F359" s="61"/>
      <c r="G359" s="61"/>
      <c r="H359" s="61"/>
    </row>
    <row r="360" spans="2:8" ht="14.45" customHeight="1" x14ac:dyDescent="0.25">
      <c r="B360" s="61"/>
      <c r="C360" s="61"/>
      <c r="D360" s="61"/>
      <c r="E360" s="61"/>
      <c r="F360" s="61"/>
      <c r="G360" s="61"/>
      <c r="H360" s="61"/>
    </row>
    <row r="361" spans="2:8" ht="14.45" customHeight="1" x14ac:dyDescent="0.25">
      <c r="B361" s="61"/>
      <c r="C361" s="61"/>
      <c r="D361" s="61"/>
      <c r="E361" s="61"/>
      <c r="F361" s="61"/>
      <c r="G361" s="61"/>
      <c r="H361" s="61"/>
    </row>
    <row r="362" spans="2:8" ht="14.45" customHeight="1" x14ac:dyDescent="0.25">
      <c r="B362" s="61"/>
      <c r="C362" s="61"/>
      <c r="D362" s="61"/>
      <c r="E362" s="61"/>
      <c r="F362" s="61"/>
      <c r="G362" s="61"/>
      <c r="H362" s="61"/>
    </row>
    <row r="363" spans="2:8" ht="14.45" customHeight="1" x14ac:dyDescent="0.25">
      <c r="B363" s="61"/>
      <c r="C363" s="61"/>
      <c r="D363" s="61"/>
      <c r="E363" s="61"/>
      <c r="F363" s="61"/>
      <c r="G363" s="61"/>
      <c r="H363" s="61"/>
    </row>
    <row r="364" spans="2:8" ht="14.45" customHeight="1" x14ac:dyDescent="0.25">
      <c r="B364" s="61"/>
      <c r="C364" s="61"/>
      <c r="D364" s="61"/>
      <c r="E364" s="61"/>
      <c r="F364" s="61"/>
      <c r="G364" s="61"/>
      <c r="H364" s="61"/>
    </row>
    <row r="365" spans="2:8" ht="14.45" customHeight="1" x14ac:dyDescent="0.25">
      <c r="B365" s="61"/>
      <c r="C365" s="61"/>
      <c r="D365" s="61"/>
      <c r="E365" s="61"/>
      <c r="F365" s="61"/>
      <c r="G365" s="61"/>
      <c r="H365" s="61"/>
    </row>
    <row r="366" spans="2:8" ht="14.45" customHeight="1" x14ac:dyDescent="0.25">
      <c r="B366" s="61"/>
      <c r="C366" s="61"/>
      <c r="D366" s="61"/>
      <c r="E366" s="61"/>
      <c r="F366" s="61"/>
      <c r="G366" s="61"/>
      <c r="H366" s="61"/>
    </row>
    <row r="367" spans="2:8" ht="14.45" customHeight="1" x14ac:dyDescent="0.25">
      <c r="B367" s="61"/>
      <c r="C367" s="61"/>
      <c r="D367" s="61"/>
      <c r="E367" s="61"/>
      <c r="F367" s="61"/>
      <c r="G367" s="61"/>
      <c r="H367" s="61"/>
    </row>
    <row r="368" spans="2:8" ht="14.45" customHeight="1" x14ac:dyDescent="0.25">
      <c r="B368" s="61"/>
      <c r="C368" s="61"/>
      <c r="D368" s="61"/>
      <c r="E368" s="61"/>
      <c r="F368" s="61"/>
      <c r="G368" s="61"/>
      <c r="H368" s="61"/>
    </row>
    <row r="369" spans="2:8" ht="14.45" customHeight="1" x14ac:dyDescent="0.25">
      <c r="B369" s="61"/>
      <c r="C369" s="61"/>
      <c r="D369" s="61"/>
      <c r="E369" s="61"/>
      <c r="F369" s="61"/>
      <c r="G369" s="61"/>
      <c r="H369" s="61"/>
    </row>
    <row r="370" spans="2:8" ht="14.45" customHeight="1" x14ac:dyDescent="0.25">
      <c r="B370" s="61"/>
      <c r="C370" s="61"/>
      <c r="D370" s="61"/>
      <c r="E370" s="61"/>
      <c r="F370" s="61"/>
      <c r="G370" s="61"/>
      <c r="H370" s="61"/>
    </row>
    <row r="371" spans="2:8" ht="14.45" customHeight="1" x14ac:dyDescent="0.25">
      <c r="B371" s="61"/>
      <c r="C371" s="61"/>
      <c r="D371" s="61"/>
      <c r="E371" s="61"/>
      <c r="F371" s="61"/>
      <c r="G371" s="61"/>
      <c r="H371" s="61"/>
    </row>
    <row r="372" spans="2:8" ht="14.45" customHeight="1" x14ac:dyDescent="0.25">
      <c r="B372" s="61"/>
      <c r="C372" s="61"/>
      <c r="D372" s="61"/>
      <c r="E372" s="61"/>
      <c r="F372" s="61"/>
      <c r="G372" s="61"/>
      <c r="H372" s="61"/>
    </row>
    <row r="373" spans="2:8" ht="14.45" customHeight="1" x14ac:dyDescent="0.25">
      <c r="B373" s="61"/>
      <c r="C373" s="61"/>
      <c r="D373" s="61"/>
      <c r="E373" s="61"/>
      <c r="F373" s="61"/>
      <c r="G373" s="61"/>
      <c r="H373" s="61"/>
    </row>
    <row r="374" spans="2:8" ht="14.45" customHeight="1" x14ac:dyDescent="0.25">
      <c r="B374" s="61"/>
      <c r="C374" s="61"/>
      <c r="D374" s="61"/>
      <c r="E374" s="61"/>
      <c r="F374" s="61"/>
      <c r="G374" s="61"/>
      <c r="H374" s="61"/>
    </row>
    <row r="375" spans="2:8" ht="14.45" customHeight="1" x14ac:dyDescent="0.25">
      <c r="B375" s="61"/>
      <c r="C375" s="61"/>
      <c r="D375" s="61"/>
      <c r="E375" s="61"/>
      <c r="F375" s="61"/>
      <c r="G375" s="61"/>
      <c r="H375" s="61"/>
    </row>
    <row r="376" spans="2:8" ht="14.45" customHeight="1" x14ac:dyDescent="0.25">
      <c r="B376" s="61"/>
      <c r="C376" s="61"/>
      <c r="D376" s="61"/>
      <c r="E376" s="61"/>
      <c r="F376" s="61"/>
      <c r="G376" s="61"/>
      <c r="H376" s="61"/>
    </row>
    <row r="377" spans="2:8" ht="14.45" customHeight="1" x14ac:dyDescent="0.25">
      <c r="B377" s="61"/>
      <c r="C377" s="61"/>
      <c r="D377" s="61"/>
      <c r="E377" s="61"/>
      <c r="F377" s="61"/>
      <c r="G377" s="61"/>
      <c r="H377" s="61"/>
    </row>
    <row r="378" spans="2:8" ht="14.45" customHeight="1" x14ac:dyDescent="0.25">
      <c r="B378" s="61"/>
      <c r="C378" s="61"/>
      <c r="D378" s="61"/>
      <c r="E378" s="61"/>
      <c r="F378" s="61"/>
      <c r="G378" s="61"/>
      <c r="H378" s="61"/>
    </row>
    <row r="379" spans="2:8" ht="14.45" customHeight="1" x14ac:dyDescent="0.25">
      <c r="B379" s="61"/>
      <c r="C379" s="61"/>
      <c r="D379" s="61"/>
      <c r="E379" s="61"/>
      <c r="F379" s="61"/>
      <c r="G379" s="61"/>
      <c r="H379" s="61"/>
    </row>
    <row r="380" spans="2:8" ht="14.45" customHeight="1" x14ac:dyDescent="0.25">
      <c r="B380" s="61"/>
      <c r="C380" s="61"/>
      <c r="D380" s="61"/>
      <c r="E380" s="61"/>
      <c r="F380" s="61"/>
      <c r="G380" s="61"/>
      <c r="H380" s="61"/>
    </row>
    <row r="381" spans="2:8" ht="14.45" customHeight="1" x14ac:dyDescent="0.25">
      <c r="B381" s="61"/>
      <c r="C381" s="61"/>
      <c r="D381" s="61"/>
      <c r="E381" s="61"/>
      <c r="F381" s="61"/>
      <c r="G381" s="61"/>
      <c r="H381" s="61"/>
    </row>
    <row r="382" spans="2:8" ht="14.45" customHeight="1" x14ac:dyDescent="0.25">
      <c r="B382" s="61"/>
      <c r="C382" s="61"/>
      <c r="D382" s="61"/>
      <c r="E382" s="61"/>
      <c r="F382" s="61"/>
      <c r="G382" s="61"/>
      <c r="H382" s="61"/>
    </row>
    <row r="383" spans="2:8" ht="14.45" customHeight="1" x14ac:dyDescent="0.25">
      <c r="B383" s="61"/>
      <c r="C383" s="61"/>
      <c r="D383" s="61"/>
      <c r="E383" s="61"/>
      <c r="F383" s="61"/>
      <c r="G383" s="61"/>
      <c r="H383" s="61"/>
    </row>
    <row r="384" spans="2:8" ht="14.45" customHeight="1" x14ac:dyDescent="0.25">
      <c r="B384" s="61"/>
      <c r="C384" s="61"/>
      <c r="D384" s="61"/>
      <c r="E384" s="61"/>
      <c r="F384" s="61"/>
      <c r="G384" s="61"/>
      <c r="H384" s="61"/>
    </row>
    <row r="385" spans="2:8" ht="14.45" customHeight="1" x14ac:dyDescent="0.25">
      <c r="B385" s="61"/>
      <c r="C385" s="61"/>
      <c r="D385" s="61"/>
      <c r="E385" s="61"/>
      <c r="F385" s="61"/>
      <c r="G385" s="61"/>
      <c r="H385" s="61"/>
    </row>
    <row r="386" spans="2:8" ht="14.45" customHeight="1" x14ac:dyDescent="0.25">
      <c r="B386" s="61"/>
      <c r="C386" s="61"/>
      <c r="D386" s="61"/>
      <c r="E386" s="61"/>
      <c r="F386" s="61"/>
      <c r="G386" s="61"/>
      <c r="H386" s="61"/>
    </row>
    <row r="387" spans="2:8" ht="14.45" customHeight="1" x14ac:dyDescent="0.25">
      <c r="B387" s="61"/>
      <c r="C387" s="61"/>
      <c r="D387" s="61"/>
      <c r="E387" s="61"/>
      <c r="F387" s="61"/>
      <c r="G387" s="61"/>
      <c r="H387" s="61"/>
    </row>
    <row r="388" spans="2:8" ht="14.45" customHeight="1" x14ac:dyDescent="0.25">
      <c r="B388" s="61"/>
      <c r="C388" s="61"/>
      <c r="D388" s="61"/>
      <c r="E388" s="61"/>
      <c r="F388" s="61"/>
      <c r="G388" s="61"/>
      <c r="H388" s="61"/>
    </row>
    <row r="389" spans="2:8" ht="14.45" customHeight="1" x14ac:dyDescent="0.25">
      <c r="B389" s="61"/>
      <c r="C389" s="61"/>
      <c r="D389" s="61"/>
      <c r="E389" s="61"/>
      <c r="F389" s="61"/>
      <c r="G389" s="61"/>
      <c r="H389" s="61"/>
    </row>
    <row r="390" spans="2:8" ht="14.45" customHeight="1" x14ac:dyDescent="0.25">
      <c r="B390" s="61"/>
      <c r="C390" s="61"/>
      <c r="D390" s="61"/>
      <c r="E390" s="61"/>
      <c r="F390" s="61"/>
      <c r="G390" s="61"/>
      <c r="H390" s="61"/>
    </row>
    <row r="391" spans="2:8" ht="14.45" customHeight="1" x14ac:dyDescent="0.25">
      <c r="B391" s="61"/>
      <c r="C391" s="61"/>
      <c r="D391" s="61"/>
      <c r="E391" s="61"/>
      <c r="F391" s="61"/>
      <c r="G391" s="61"/>
      <c r="H391" s="61"/>
    </row>
    <row r="392" spans="2:8" ht="14.45" customHeight="1" x14ac:dyDescent="0.25">
      <c r="B392" s="61"/>
      <c r="C392" s="61"/>
      <c r="D392" s="61"/>
      <c r="E392" s="61"/>
      <c r="F392" s="61"/>
      <c r="G392" s="61"/>
      <c r="H392" s="61"/>
    </row>
    <row r="393" spans="2:8" ht="14.45" customHeight="1" x14ac:dyDescent="0.25">
      <c r="B393" s="61"/>
      <c r="C393" s="61"/>
      <c r="D393" s="61"/>
      <c r="E393" s="61"/>
      <c r="F393" s="61"/>
      <c r="G393" s="61"/>
      <c r="H393" s="61"/>
    </row>
    <row r="394" spans="2:8" ht="14.45" customHeight="1" x14ac:dyDescent="0.25">
      <c r="B394" s="61"/>
      <c r="C394" s="61"/>
      <c r="D394" s="61"/>
      <c r="E394" s="61"/>
      <c r="F394" s="61"/>
      <c r="G394" s="61"/>
      <c r="H394" s="61"/>
    </row>
    <row r="395" spans="2:8" ht="14.45" customHeight="1" x14ac:dyDescent="0.25">
      <c r="B395" s="61"/>
      <c r="C395" s="61"/>
      <c r="D395" s="61"/>
      <c r="E395" s="61"/>
      <c r="F395" s="61"/>
      <c r="G395" s="61"/>
      <c r="H395" s="61"/>
    </row>
    <row r="396" spans="2:8" ht="14.45" customHeight="1" x14ac:dyDescent="0.25">
      <c r="B396" s="61"/>
      <c r="C396" s="61"/>
      <c r="D396" s="61"/>
      <c r="E396" s="61"/>
      <c r="F396" s="61"/>
      <c r="G396" s="61"/>
      <c r="H396" s="61"/>
    </row>
    <row r="397" spans="2:8" ht="14.45" customHeight="1" x14ac:dyDescent="0.25">
      <c r="B397" s="61"/>
      <c r="C397" s="61"/>
      <c r="D397" s="61"/>
      <c r="E397" s="61"/>
      <c r="F397" s="61"/>
      <c r="G397" s="61"/>
      <c r="H397" s="61"/>
    </row>
    <row r="398" spans="2:8" ht="14.45" customHeight="1" x14ac:dyDescent="0.25">
      <c r="B398" s="61"/>
      <c r="C398" s="61"/>
      <c r="D398" s="61"/>
      <c r="E398" s="61"/>
      <c r="F398" s="61"/>
      <c r="G398" s="61"/>
      <c r="H398" s="61"/>
    </row>
    <row r="399" spans="2:8" ht="14.45" customHeight="1" x14ac:dyDescent="0.25">
      <c r="B399" s="61"/>
      <c r="C399" s="61"/>
      <c r="D399" s="61"/>
      <c r="E399" s="61"/>
      <c r="F399" s="61"/>
      <c r="G399" s="61"/>
      <c r="H399" s="61"/>
    </row>
    <row r="400" spans="2:8" ht="14.45" customHeight="1" x14ac:dyDescent="0.25">
      <c r="B400" s="61"/>
      <c r="C400" s="61"/>
      <c r="D400" s="61"/>
      <c r="E400" s="61"/>
      <c r="F400" s="61"/>
      <c r="G400" s="61"/>
      <c r="H400" s="61"/>
    </row>
    <row r="401" ht="14.45" customHeight="1" x14ac:dyDescent="0.25"/>
    <row r="402" ht="14.45" customHeight="1" x14ac:dyDescent="0.25"/>
    <row r="403" ht="14.45" customHeight="1" x14ac:dyDescent="0.25"/>
    <row r="404" ht="14.45" customHeight="1" x14ac:dyDescent="0.25"/>
    <row r="405" ht="14.45" customHeight="1" x14ac:dyDescent="0.25"/>
    <row r="406" ht="14.45" customHeight="1" x14ac:dyDescent="0.25"/>
    <row r="407" ht="14.45" customHeight="1" x14ac:dyDescent="0.25"/>
    <row r="408" ht="14.45" customHeight="1" x14ac:dyDescent="0.25"/>
    <row r="409" ht="14.45" customHeight="1" x14ac:dyDescent="0.25"/>
    <row r="410" ht="14.45" customHeight="1" x14ac:dyDescent="0.25"/>
    <row r="411" ht="14.45" customHeight="1" x14ac:dyDescent="0.25"/>
    <row r="412" ht="14.45" customHeight="1" x14ac:dyDescent="0.25"/>
    <row r="413" ht="14.45" customHeight="1" x14ac:dyDescent="0.25"/>
    <row r="414" ht="14.45" customHeight="1" x14ac:dyDescent="0.25"/>
    <row r="415" ht="15" customHeight="1" x14ac:dyDescent="0.25"/>
  </sheetData>
  <sheetProtection algorithmName="SHA-512" hashValue="cx6ebkIusAwBuHS710RrsdhDkO2YjM6IHCfsvGAymGUWsqZXduAqF8OKxa+tbtmo/PL7iILHOC6V9pB4RSt5BQ==" saltValue="y006eIOto/bBQGoDK6eohw==" spinCount="100000" sheet="1" selectLockedCells="1"/>
  <protectedRanges>
    <protectedRange sqref="D150:G150" name="Intervallo3"/>
    <protectedRange sqref="E88 G72 F28:F30" name="Intervallo1"/>
    <protectedRange sqref="B5 B20 G72 H99 C153:C157 E88 F28:F32" name="Intervallo2"/>
  </protectedRanges>
  <customSheetViews>
    <customSheetView guid="{C56548B1-AD9F-45D5-A6C9-CFD9EB8CFADF}" scale="90" showGridLines="0" showRowCol="0">
      <selection activeCell="B5" sqref="B5:H6"/>
      <pageMargins left="0.39370078740157483" right="7.874015748031496E-2" top="0.27559055118110237" bottom="0.39370078740157483" header="0.31496062992125984" footer="0.31496062992125984"/>
      <pageSetup paperSize="9" fitToHeight="0" orientation="portrait" r:id="rId1"/>
    </customSheetView>
    <customSheetView guid="{948D5EE8-4948-4B88-9BE1-4533C7B89844}" scale="130" showGridLines="0" topLeftCell="A148">
      <selection activeCell="D150" sqref="D150:H150"/>
      <pageMargins left="0.39370078740157483" right="7.874015748031496E-2" top="0.27559055118110237" bottom="0.39370078740157483" header="0.31496062992125984" footer="0.31496062992125984"/>
      <pageSetup paperSize="9" fitToHeight="0" orientation="portrait" r:id="rId2"/>
    </customSheetView>
  </customSheetViews>
  <mergeCells count="72">
    <mergeCell ref="B2:H2"/>
    <mergeCell ref="B226:B227"/>
    <mergeCell ref="B30:D30"/>
    <mergeCell ref="B253:E253"/>
    <mergeCell ref="B93:E93"/>
    <mergeCell ref="B31:E31"/>
    <mergeCell ref="B135:C135"/>
    <mergeCell ref="D135:E135"/>
    <mergeCell ref="B193:H196"/>
    <mergeCell ref="B5:H6"/>
    <mergeCell ref="B83:E83"/>
    <mergeCell ref="F227:G227"/>
    <mergeCell ref="B166:E166"/>
    <mergeCell ref="B3:D3"/>
    <mergeCell ref="F236:G236"/>
    <mergeCell ref="F233:G233"/>
    <mergeCell ref="F234:G235"/>
    <mergeCell ref="B222:B223"/>
    <mergeCell ref="B161:H164"/>
    <mergeCell ref="B94:C94"/>
    <mergeCell ref="B160:D160"/>
    <mergeCell ref="B95:D95"/>
    <mergeCell ref="B150:C150"/>
    <mergeCell ref="B220:B221"/>
    <mergeCell ref="B101:H104"/>
    <mergeCell ref="B85:D85"/>
    <mergeCell ref="B22:H25"/>
    <mergeCell ref="B167:E167"/>
    <mergeCell ref="B230:B231"/>
    <mergeCell ref="B131:D131"/>
    <mergeCell ref="F135:G135"/>
    <mergeCell ref="B158:D158"/>
    <mergeCell ref="B218:E218"/>
    <mergeCell ref="B192:G192"/>
    <mergeCell ref="B29:E29"/>
    <mergeCell ref="B26:H27"/>
    <mergeCell ref="B81:E81"/>
    <mergeCell ref="B55:H66"/>
    <mergeCell ref="B152:F152"/>
    <mergeCell ref="B132:H134"/>
    <mergeCell ref="B20:H20"/>
    <mergeCell ref="B21:H21"/>
    <mergeCell ref="B326:D326"/>
    <mergeCell ref="B68:C68"/>
    <mergeCell ref="C276:D276"/>
    <mergeCell ref="F276:G276"/>
    <mergeCell ref="F237:G237"/>
    <mergeCell ref="F218:G218"/>
    <mergeCell ref="E280:F280"/>
    <mergeCell ref="C283:D283"/>
    <mergeCell ref="E283:F283"/>
    <mergeCell ref="G283:H283"/>
    <mergeCell ref="B82:E82"/>
    <mergeCell ref="B89:D89"/>
    <mergeCell ref="B87:E87"/>
    <mergeCell ref="D150:H150"/>
    <mergeCell ref="D324:H324"/>
    <mergeCell ref="B324:C324"/>
    <mergeCell ref="B215:G216"/>
    <mergeCell ref="B224:B225"/>
    <mergeCell ref="C270:D270"/>
    <mergeCell ref="C263:D263"/>
    <mergeCell ref="F263:G263"/>
    <mergeCell ref="G270:H270"/>
    <mergeCell ref="B236:B237"/>
    <mergeCell ref="E267:F267"/>
    <mergeCell ref="E270:F270"/>
    <mergeCell ref="F224:G225"/>
    <mergeCell ref="F223:G223"/>
    <mergeCell ref="F226:G226"/>
    <mergeCell ref="B232:B233"/>
    <mergeCell ref="B234:B235"/>
  </mergeCells>
  <conditionalFormatting sqref="D277">
    <cfRule type="expression" dxfId="20" priority="9">
      <formula>IF($D$68="si",TRUE,FALSE)</formula>
    </cfRule>
  </conditionalFormatting>
  <conditionalFormatting sqref="D278:D279 E276:E277">
    <cfRule type="expression" dxfId="19" priority="7">
      <formula>IF($D$68="no",TRUE,FALSE)</formula>
    </cfRule>
  </conditionalFormatting>
  <conditionalFormatting sqref="D73">
    <cfRule type="expression" dxfId="18" priority="44">
      <formula>IF(#REF!=$C$70,TRUE,FALSE)</formula>
    </cfRule>
  </conditionalFormatting>
  <conditionalFormatting sqref="B21:H21">
    <cfRule type="expression" dxfId="17" priority="1">
      <formula>IF($F$29&gt;=0,TRUE,FALSE)</formula>
    </cfRule>
    <cfRule type="expression" dxfId="16" priority="3">
      <formula>"se($F$29&gt;=0;vero;falso)"</formula>
    </cfRule>
  </conditionalFormatting>
  <conditionalFormatting sqref="B20:H20">
    <cfRule type="expression" dxfId="15" priority="2">
      <formula>IF($F$29&lt;0,TRUE,FALSE)</formula>
    </cfRule>
  </conditionalFormatting>
  <dataValidations count="10">
    <dataValidation type="list" allowBlank="1" showInputMessage="1" showErrorMessage="1" sqref="D150">
      <formula1>topo</formula1>
    </dataValidation>
    <dataValidation allowBlank="1" showErrorMessage="1" sqref="F28:F29 B28 B30"/>
    <dataValidation type="list" allowBlank="1" showInputMessage="1" showErrorMessage="1" sqref="F30">
      <formula1>TR</formula1>
    </dataValidation>
    <dataValidation type="list" allowBlank="1" showInputMessage="1" showErrorMessage="1" sqref="B20">
      <formula1>rugosità</formula1>
    </dataValidation>
    <dataValidation type="list" allowBlank="1" showInputMessage="1" showErrorMessage="1" sqref="B5">
      <formula1>regioni</formula1>
    </dataValidation>
    <dataValidation type="list" allowBlank="1" showInputMessage="1" showErrorMessage="1" sqref="D68">
      <formula1>sn</formula1>
    </dataValidation>
    <dataValidation type="list" allowBlank="1" showInputMessage="1" showErrorMessage="1" sqref="D324">
      <formula1>supe</formula1>
    </dataValidation>
    <dataValidation type="list" allowBlank="1" showInputMessage="1" showErrorMessage="1" sqref="B215:G217">
      <formula1>tip</formula1>
    </dataValidation>
    <dataValidation type="list" allowBlank="1" showInputMessage="1" showErrorMessage="1" sqref="F218:G218">
      <formula1>conf</formula1>
    </dataValidation>
    <dataValidation type="list" allowBlank="1" showInputMessage="1" showErrorMessage="1" sqref="D73">
      <formula1>grad</formula1>
    </dataValidation>
  </dataValidations>
  <hyperlinks>
    <hyperlink ref="F285" location="'Apprfondimenti coperture curve'!A1" display="copertura curva"/>
  </hyperlinks>
  <pageMargins left="0.39370078740157483" right="7.874015748031496E-2" top="0.27559055118110237" bottom="0.39370078740157483" header="0.31496062992125984" footer="0.31496062992125984"/>
  <pageSetup paperSize="9" fitToHeight="0" orientation="portrait" r:id="rId3"/>
  <ignoredErrors>
    <ignoredError sqref="F153:F154 B170:D170 F264 G269 B79 D79:E79" unlockedFormula="1"/>
  </ignoredErrors>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32" id="{E4322A83-E5DF-4FD1-A6E1-1DA05ED65A91}">
            <xm:f>IF($D$150='dati nascosti'!$B$35,TRUE,FALSE)</xm:f>
            <x14:dxf>
              <font>
                <color theme="0"/>
              </font>
              <border>
                <left/>
                <right/>
                <top/>
                <bottom/>
              </border>
            </x14:dxf>
          </x14:cfRule>
          <xm:sqref>B153:F157</xm:sqref>
        </x14:conditionalFormatting>
        <x14:conditionalFormatting xmlns:xm="http://schemas.microsoft.com/office/excel/2006/main">
          <x14:cfRule type="expression" priority="31" id="{610416AF-B11B-47EE-81A1-50DE5E474B79}">
            <xm:f>IF($D$150='dati nascosti'!$B$35,TRUE,FALSE)</xm:f>
            <x14:dxf>
              <font>
                <color theme="0"/>
              </font>
            </x14:dxf>
          </x14:cfRule>
          <xm:sqref>B152</xm:sqref>
        </x14:conditionalFormatting>
        <x14:conditionalFormatting xmlns:xm="http://schemas.microsoft.com/office/excel/2006/main">
          <x14:cfRule type="expression" priority="23" id="{1BDBF86D-04D0-4277-8C39-2721BFBFB7CA}">
            <xm:f>IF($B$215='dati nascosti'!$AJ$72,TRUE,FALSE)</xm:f>
            <x14:dxf>
              <font>
                <color theme="0"/>
              </font>
              <border>
                <left/>
                <right/>
                <top/>
                <bottom/>
                <vertical/>
                <horizontal/>
              </border>
            </x14:dxf>
          </x14:cfRule>
          <xm:sqref>E223:H226 G220:G222 E233:H236 G230:G232</xm:sqref>
        </x14:conditionalFormatting>
        <x14:conditionalFormatting xmlns:xm="http://schemas.microsoft.com/office/excel/2006/main">
          <x14:cfRule type="expression" priority="22" id="{2C701C67-2F90-47FF-8599-352B866C1088}">
            <xm:f>IF($B$215='dati nascosti'!$AJ$71,TRUE,FALSE)</xm:f>
            <x14:dxf>
              <font>
                <color theme="1"/>
              </font>
            </x14:dxf>
          </x14:cfRule>
          <xm:sqref>B240:B246 F246:H246</xm:sqref>
        </x14:conditionalFormatting>
        <x14:conditionalFormatting xmlns:xm="http://schemas.microsoft.com/office/excel/2006/main">
          <x14:cfRule type="expression" priority="21" id="{B1079EC5-4003-46BD-B515-5ED843891F33}">
            <xm:f>IF($B$215='dati nascosti'!$AJ$73,TRUE,FALSE)</xm:f>
            <x14:dxf>
              <font>
                <color theme="0"/>
              </font>
              <border>
                <left/>
                <right/>
                <top/>
                <bottom/>
                <vertical/>
                <horizontal/>
              </border>
            </x14:dxf>
          </x14:cfRule>
          <xm:sqref>E223:H226 E233:H236</xm:sqref>
        </x14:conditionalFormatting>
        <x14:conditionalFormatting xmlns:xm="http://schemas.microsoft.com/office/excel/2006/main">
          <x14:cfRule type="expression" priority="19" id="{DB85CD65-A36B-4573-97D3-099AB52D58B2}">
            <xm:f>IF($B$215='dati nascosti'!$AJ$73,TRUE,FALSE)</xm:f>
            <x14:dxf>
              <font>
                <color theme="0"/>
              </font>
              <border>
                <left/>
                <right/>
                <top/>
                <bottom/>
                <vertical/>
                <horizontal/>
              </border>
            </x14:dxf>
          </x14:cfRule>
          <x14:cfRule type="expression" priority="20" id="{58EDB91B-C7E0-41D5-ADB3-5A3880B0A600}">
            <xm:f>IF($B$215='dati nascosti'!$AJ$72,TRUE,FALSE)</xm:f>
            <x14:dxf>
              <font>
                <color theme="0"/>
              </font>
              <border>
                <left/>
                <right/>
                <top/>
                <bottom/>
                <vertical/>
                <horizontal/>
              </border>
            </x14:dxf>
          </x14:cfRule>
          <xm:sqref>C267:H270 C280:H283</xm:sqref>
        </x14:conditionalFormatting>
        <x14:conditionalFormatting xmlns:xm="http://schemas.microsoft.com/office/excel/2006/main">
          <x14:cfRule type="expression" priority="16" id="{5EDC1F01-C4FA-4B85-BE03-05E0B0C20D30}">
            <xm:f>IF($B$215='dati nascosti'!$AJ$72,TRUE,FALSE)</xm:f>
            <x14:dxf>
              <font>
                <color theme="0"/>
              </font>
            </x14:dxf>
          </x14:cfRule>
          <xm:sqref>F263:G265 F276:G278</xm:sqref>
        </x14:conditionalFormatting>
        <x14:conditionalFormatting xmlns:xm="http://schemas.microsoft.com/office/excel/2006/main">
          <x14:cfRule type="expression" priority="37" id="{08A381C9-2F61-4FB2-8352-E870742D77B2}">
            <xm:f>IF('dati nascosti'!$D$184='dati nascosti'!$AJ$69,TRUE,FALSE)</xm:f>
            <x14:dxf>
              <border>
                <left/>
                <bottom/>
                <vertical/>
                <horizontal/>
              </border>
            </x14:dxf>
          </x14:cfRule>
          <xm:sqref>F223:G226</xm:sqref>
        </x14:conditionalFormatting>
        <x14:conditionalFormatting xmlns:xm="http://schemas.microsoft.com/office/excel/2006/main">
          <x14:cfRule type="expression" priority="38" id="{CAD03367-F751-4DE7-BB4E-7780C297A905}">
            <xm:f>IF('dati nascosti'!$D$184='dati nascosti'!$AJ$69,TRUE,FALSE)</xm:f>
            <x14:dxf>
              <border>
                <right/>
                <bottom/>
                <vertical/>
                <horizontal/>
              </border>
            </x14:dxf>
          </x14:cfRule>
          <xm:sqref>F233:G236</xm:sqref>
        </x14:conditionalFormatting>
        <x14:conditionalFormatting xmlns:xm="http://schemas.microsoft.com/office/excel/2006/main">
          <x14:cfRule type="expression" priority="39" id="{E1AD2355-8D9B-4421-A26A-3316DDF20574}">
            <xm:f>IF('dati nascosti'!$D$184='dati nascosti'!$AJ$69,TRUE,FALSE)</xm:f>
            <x14:dxf>
              <border>
                <left style="thin">
                  <color auto="1"/>
                </left>
                <vertical/>
                <horizontal/>
              </border>
            </x14:dxf>
          </x14:cfRule>
          <xm:sqref>H233:H234</xm:sqref>
        </x14:conditionalFormatting>
        <x14:conditionalFormatting xmlns:xm="http://schemas.microsoft.com/office/excel/2006/main">
          <x14:cfRule type="expression" priority="40" id="{F3B8358C-14B5-41F1-B9D0-B86FE4CAC451}">
            <xm:f>IF('dati nascosti'!$D$184='dati nascosti'!$AJ$69,TRUE,FALSE)</xm:f>
            <x14:dxf>
              <border>
                <right style="thin">
                  <color auto="1"/>
                </right>
                <vertical/>
                <horizontal/>
              </border>
            </x14:dxf>
          </x14:cfRule>
          <xm:sqref>E223:E225</xm:sqref>
        </x14:conditionalFormatting>
        <x14:conditionalFormatting xmlns:xm="http://schemas.microsoft.com/office/excel/2006/main">
          <x14:cfRule type="expression" priority="43" id="{14A9B0E9-73D9-4ABD-B3F0-32BA73E48302}">
            <xm:f>IF('dati nascosti'!$AL$121=1,TRUE,FALSE)</xm:f>
            <x14:dxf>
              <font>
                <color theme="0"/>
              </font>
            </x14:dxf>
          </x14:cfRule>
          <xm:sqref>D277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showGridLines="0" showRowColHeaders="0" workbookViewId="0">
      <selection activeCell="F27" sqref="F27"/>
    </sheetView>
  </sheetViews>
  <sheetFormatPr defaultRowHeight="15" x14ac:dyDescent="0.25"/>
  <cols>
    <col min="1" max="1" width="4" customWidth="1"/>
  </cols>
  <sheetData>
    <row r="2" spans="2:2" ht="15.75" x14ac:dyDescent="0.25">
      <c r="B2" s="221" t="s">
        <v>241</v>
      </c>
    </row>
  </sheetData>
  <sheetProtection algorithmName="SHA-512" hashValue="kpDEaczlBhB5h1KA0iQ/DtE/PubpZaolmudK43xqZqtPbh49RDTxhOIf0OhQdxn/rduvK9WbicldETV2hESaNg==" saltValue="0Ns4TddnU2XEOZ1vyPNc6w==" spinCount="100000" sheet="1" objects="1" scenarios="1" selectLockedCells="1" selectUnlockedCells="1"/>
  <customSheetViews>
    <customSheetView guid="{C56548B1-AD9F-45D5-A6C9-CFD9EB8CFADF}" showGridLines="0" showRowCol="0">
      <selection activeCell="F27" sqref="F27"/>
      <pageMargins left="0.7" right="0.7" top="0.75" bottom="0.75" header="0.3" footer="0.3"/>
      <pageSetup paperSize="9" orientation="portrait" r:id="rId1"/>
    </customSheetView>
    <customSheetView guid="{948D5EE8-4948-4B88-9BE1-4533C7B89844}" showGridLines="0" showRowCol="0">
      <selection activeCell="F27" sqref="F27"/>
      <pageMargins left="0.7" right="0.7" top="0.75" bottom="0.75" header="0.3" footer="0.3"/>
      <pageSetup paperSize="9" orientation="portrait" r:id="rId2"/>
    </customSheetView>
  </customSheetView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B193"/>
  <sheetViews>
    <sheetView topLeftCell="J85" zoomScale="80" zoomScaleNormal="80" workbookViewId="0">
      <selection activeCell="Y109" sqref="Y109"/>
    </sheetView>
  </sheetViews>
  <sheetFormatPr defaultColWidth="9.140625" defaultRowHeight="15" x14ac:dyDescent="0.25"/>
  <cols>
    <col min="1" max="1" width="9.140625" style="1"/>
    <col min="2" max="2" width="10.85546875" style="1" customWidth="1"/>
    <col min="3" max="8" width="9.140625" style="1"/>
    <col min="9" max="9" width="10.85546875" style="1" customWidth="1"/>
    <col min="10" max="10" width="20.28515625" style="1" customWidth="1"/>
    <col min="11" max="11" width="18.140625" style="1" customWidth="1"/>
    <col min="12" max="12" width="21.28515625" style="1" customWidth="1"/>
    <col min="13" max="13" width="9.140625" style="1"/>
    <col min="14" max="14" width="9.140625" style="162"/>
    <col min="15" max="15" width="6.7109375" style="162" customWidth="1"/>
    <col min="16" max="18" width="9.140625" style="162"/>
    <col min="19" max="19" width="9.140625" style="202"/>
    <col min="20" max="20" width="22.85546875" style="162" bestFit="1" customWidth="1"/>
    <col min="21" max="21" width="12.140625" style="160" customWidth="1"/>
    <col min="22" max="22" width="16.42578125" style="1" customWidth="1"/>
    <col min="23" max="23" width="20.28515625" style="1" customWidth="1"/>
    <col min="24" max="24" width="11.28515625" style="1" customWidth="1"/>
    <col min="25" max="25" width="24.85546875" style="1" customWidth="1"/>
    <col min="26" max="26" width="15.42578125" style="1" customWidth="1"/>
    <col min="27" max="28" width="15.42578125" style="160" customWidth="1"/>
    <col min="29" max="31" width="15.42578125" style="1" customWidth="1"/>
    <col min="32" max="33" width="15.42578125" style="160" customWidth="1"/>
    <col min="34" max="36" width="9.140625" style="1"/>
    <col min="37" max="37" width="20.140625" style="1" customWidth="1"/>
    <col min="38" max="38" width="15.85546875" style="1" customWidth="1"/>
    <col min="39" max="39" width="9.140625" style="1"/>
    <col min="40" max="40" width="12" style="1" customWidth="1"/>
    <col min="41" max="51" width="9.140625" style="1"/>
    <col min="52" max="52" width="15" style="1" customWidth="1"/>
    <col min="53" max="16384" width="9.140625" style="1"/>
  </cols>
  <sheetData>
    <row r="2" spans="1:47" ht="49.5" customHeight="1" x14ac:dyDescent="0.25">
      <c r="Z2" s="189" t="s">
        <v>189</v>
      </c>
      <c r="AA2" s="189" t="s">
        <v>191</v>
      </c>
      <c r="AB2" s="189" t="s">
        <v>191</v>
      </c>
      <c r="AC2" s="189" t="s">
        <v>190</v>
      </c>
      <c r="AD2" s="192" t="s">
        <v>198</v>
      </c>
      <c r="AE2" s="192" t="s">
        <v>197</v>
      </c>
      <c r="AF2" s="192" t="s">
        <v>199</v>
      </c>
      <c r="AG2" s="192" t="s">
        <v>200</v>
      </c>
    </row>
    <row r="3" spans="1:47" ht="18.75" x14ac:dyDescent="0.25">
      <c r="B3" s="15"/>
      <c r="X3" s="16" t="s">
        <v>8</v>
      </c>
      <c r="Y3" s="1" t="s">
        <v>29</v>
      </c>
      <c r="Z3" s="17" t="s">
        <v>30</v>
      </c>
      <c r="AA3" s="17" t="s">
        <v>30</v>
      </c>
      <c r="AB3" s="17" t="s">
        <v>30</v>
      </c>
      <c r="AC3" s="17" t="s">
        <v>30</v>
      </c>
      <c r="AJ3" s="61"/>
      <c r="AM3" s="61"/>
      <c r="AN3" s="61"/>
      <c r="AO3"/>
      <c r="AP3"/>
    </row>
    <row r="4" spans="1:47" s="160" customFormat="1" ht="18.75" x14ac:dyDescent="0.25">
      <c r="N4" s="162"/>
      <c r="O4" s="162"/>
      <c r="P4" s="162"/>
      <c r="Q4" s="162"/>
      <c r="R4" s="162"/>
      <c r="S4" s="202"/>
      <c r="T4" s="162"/>
      <c r="W4" s="160">
        <v>0</v>
      </c>
      <c r="X4" s="218">
        <f>X5</f>
        <v>0</v>
      </c>
      <c r="Y4" s="191">
        <f t="shared" ref="Y4:AB4" si="0">Y5</f>
        <v>1.7075234013198439</v>
      </c>
      <c r="Z4" s="191">
        <v>0</v>
      </c>
      <c r="AA4" s="191">
        <f t="shared" si="0"/>
        <v>0</v>
      </c>
      <c r="AB4" s="191">
        <f t="shared" si="0"/>
        <v>0</v>
      </c>
      <c r="AC4" s="191">
        <v>0</v>
      </c>
      <c r="AD4" s="2">
        <f>(Z5-Z4)*(X5-X4)/2+(Z4)*(X5-X4)</f>
        <v>0</v>
      </c>
      <c r="AE4" s="2"/>
      <c r="AF4" s="2"/>
      <c r="AG4" s="2">
        <f>(AC5-AC4)*(X5-X4)/2+(AC4)*(X5-X4)</f>
        <v>0</v>
      </c>
      <c r="AJ4" s="61"/>
      <c r="AM4" s="61"/>
      <c r="AN4" s="61"/>
      <c r="AO4"/>
      <c r="AP4"/>
    </row>
    <row r="5" spans="1:47" x14ac:dyDescent="0.25">
      <c r="A5" s="1" t="s">
        <v>8</v>
      </c>
      <c r="B5" s="52">
        <f>'CALCOLO DEL VENTO NTC18'!G72</f>
        <v>4</v>
      </c>
      <c r="C5" s="1" t="s">
        <v>2</v>
      </c>
      <c r="D5" s="338" t="s">
        <v>11</v>
      </c>
      <c r="E5" s="338"/>
      <c r="F5" s="338"/>
      <c r="G5" s="338"/>
      <c r="J5" s="5"/>
      <c r="K5" s="5"/>
      <c r="L5" s="5"/>
      <c r="V5" s="5"/>
      <c r="W5" s="1">
        <v>0</v>
      </c>
      <c r="X5" s="2">
        <f>'dati nascosti'!$B$5/70*W5</f>
        <v>0</v>
      </c>
      <c r="Y5" s="3">
        <f>IF(X5&lt;'dati nascosti'!$B$13,'dati nascosti'!$B$11^2*'dati nascosti'!$B$10*LN('dati nascosti'!$B$13/'dati nascosti'!$B$12)*(7+'dati nascosti'!$B$10*LN('dati nascosti'!$B$13/'dati nascosti'!$B$12)),'dati nascosti'!$B$11^2*'dati nascosti'!$B$10*LN(X5/'dati nascosti'!$B$12)*(7+'dati nascosti'!$B$10*LN(X5/'dati nascosti'!$B$12)))</f>
        <v>1.7075234013198439</v>
      </c>
      <c r="Z5" s="2">
        <f>'dati nascosti'!$B$20*Y5*'dati nascosti'!$B$14*$B$10*'dati nascosti'!$B$15/1000</f>
        <v>0.33516592209063945</v>
      </c>
      <c r="AA5" s="2"/>
      <c r="AB5" s="2"/>
      <c r="AC5" s="2">
        <f>'dati nascosti'!$B$20*Y5*'dati nascosti'!$B$14*'dati nascosti'!$B$18/1000</f>
        <v>-0.67033184418127889</v>
      </c>
      <c r="AD5" s="2">
        <f t="shared" ref="AD5:AD68" si="1">(Z6-Z5)*(X6-X5)/2+(Z5)*(X6-X5)</f>
        <v>1.9152338405179395E-2</v>
      </c>
      <c r="AE5" s="2"/>
      <c r="AF5" s="2"/>
      <c r="AG5" s="2">
        <f>(AC6-AC5)*(X6-X5)/2+(AC5)*(X6-X5)</f>
        <v>-3.830467681035879E-2</v>
      </c>
      <c r="AJ5" s="61"/>
      <c r="AM5" s="61"/>
      <c r="AN5" s="61"/>
      <c r="AO5"/>
      <c r="AP5"/>
    </row>
    <row r="6" spans="1:47" ht="16.5" x14ac:dyDescent="0.25">
      <c r="A6" s="1" t="s">
        <v>10</v>
      </c>
      <c r="B6" s="52">
        <f>'CALCOLO DEL VENTO NTC18'!C79</f>
        <v>28</v>
      </c>
      <c r="C6" s="1" t="s">
        <v>9</v>
      </c>
      <c r="D6" s="338" t="s">
        <v>15</v>
      </c>
      <c r="E6" s="338"/>
      <c r="F6" s="338"/>
      <c r="G6" s="338"/>
      <c r="I6" s="2"/>
      <c r="J6" s="6"/>
      <c r="L6" s="5"/>
      <c r="V6" s="6"/>
      <c r="W6" s="1">
        <f t="shared" ref="W6:W37" si="2">W5+1</f>
        <v>1</v>
      </c>
      <c r="X6" s="2">
        <f>'dati nascosti'!$B$5/70*W6</f>
        <v>5.7142857142857141E-2</v>
      </c>
      <c r="Y6" s="3">
        <f>IF(X6&lt;'dati nascosti'!$B$13,'dati nascosti'!$B$11^2*'dati nascosti'!$B$10*LN('dati nascosti'!$B$13/'dati nascosti'!$B$12)*(7+'dati nascosti'!$B$10*LN('dati nascosti'!$B$13/'dati nascosti'!$B$12)),'dati nascosti'!$B$11^2*'dati nascosti'!$B$10*LN(X6/'dati nascosti'!$B$12)*(7+'dati nascosti'!$B$10*LN(X6/'dati nascosti'!$B$12)))</f>
        <v>1.7075234013198439</v>
      </c>
      <c r="Z6" s="2">
        <f>'dati nascosti'!$B$20*Y6*'dati nascosti'!$B$14*$B$10*'dati nascosti'!$B$15/1000</f>
        <v>0.33516592209063945</v>
      </c>
      <c r="AA6" s="2"/>
      <c r="AB6" s="2"/>
      <c r="AC6" s="2">
        <f>'dati nascosti'!$B$20*Y6*'dati nascosti'!$B$14*'dati nascosti'!$B$18/1000</f>
        <v>-0.67033184418127889</v>
      </c>
      <c r="AD6" s="2">
        <f t="shared" si="1"/>
        <v>1.9152338405179395E-2</v>
      </c>
      <c r="AE6" s="2"/>
      <c r="AF6" s="2"/>
      <c r="AG6" s="2">
        <f t="shared" ref="AG6:AG68" si="3">(AC7-AC6)*(X7-X6)/2+(AC6)*(X7-X6)</f>
        <v>-3.830467681035879E-2</v>
      </c>
      <c r="AJ6" s="61"/>
      <c r="AM6" s="61"/>
      <c r="AN6" s="61"/>
      <c r="AO6"/>
      <c r="AP6"/>
    </row>
    <row r="7" spans="1:47" ht="16.5" x14ac:dyDescent="0.25">
      <c r="A7" s="1" t="s">
        <v>7</v>
      </c>
      <c r="B7" s="52">
        <f>'CALCOLO DEL VENTO NTC18'!D79</f>
        <v>750</v>
      </c>
      <c r="C7" s="1" t="s">
        <v>2</v>
      </c>
      <c r="D7" s="338" t="s">
        <v>13</v>
      </c>
      <c r="E7" s="338"/>
      <c r="F7" s="338"/>
      <c r="G7" s="338"/>
      <c r="I7" s="2"/>
      <c r="J7" s="6"/>
      <c r="L7" s="5"/>
      <c r="M7" s="207" t="s">
        <v>221</v>
      </c>
      <c r="N7" s="207"/>
      <c r="O7" s="207"/>
      <c r="V7" s="6"/>
      <c r="W7" s="1">
        <f t="shared" si="2"/>
        <v>2</v>
      </c>
      <c r="X7" s="2">
        <f>'dati nascosti'!$B$5/70*W7</f>
        <v>0.11428571428571428</v>
      </c>
      <c r="Y7" s="3">
        <f>IF(X7&lt;'dati nascosti'!$B$13,'dati nascosti'!$B$11^2*'dati nascosti'!$B$10*LN('dati nascosti'!$B$13/'dati nascosti'!$B$12)*(7+'dati nascosti'!$B$10*LN('dati nascosti'!$B$13/'dati nascosti'!$B$12)),'dati nascosti'!$B$11^2*'dati nascosti'!$B$10*LN(X7/'dati nascosti'!$B$12)*(7+'dati nascosti'!$B$10*LN(X7/'dati nascosti'!$B$12)))</f>
        <v>1.7075234013198439</v>
      </c>
      <c r="Z7" s="2">
        <f>'dati nascosti'!$B$20*Y7*'dati nascosti'!$B$14*$B$10*'dati nascosti'!$B$15/1000</f>
        <v>0.33516592209063945</v>
      </c>
      <c r="AA7" s="2"/>
      <c r="AB7" s="2"/>
      <c r="AC7" s="2">
        <f>'dati nascosti'!$B$20*Y7*'dati nascosti'!$B$14*'dati nascosti'!$B$18/1000</f>
        <v>-0.67033184418127889</v>
      </c>
      <c r="AD7" s="2">
        <f t="shared" si="1"/>
        <v>1.9152338405179398E-2</v>
      </c>
      <c r="AE7" s="2"/>
      <c r="AF7" s="2"/>
      <c r="AG7" s="2">
        <f t="shared" si="3"/>
        <v>-3.8304676810358797E-2</v>
      </c>
      <c r="AJ7" s="61"/>
      <c r="AM7" s="61"/>
      <c r="AN7" s="61"/>
      <c r="AO7"/>
      <c r="AP7"/>
      <c r="AQ7" s="124"/>
      <c r="AR7"/>
      <c r="AS7"/>
    </row>
    <row r="8" spans="1:47" ht="17.25" thickBot="1" x14ac:dyDescent="0.3">
      <c r="A8" s="1" t="s">
        <v>6</v>
      </c>
      <c r="B8" s="52">
        <f>'CALCOLO DEL VENTO NTC18'!E79</f>
        <v>0.4</v>
      </c>
      <c r="C8" s="1" t="s">
        <v>5</v>
      </c>
      <c r="I8" s="2"/>
      <c r="J8" s="6"/>
      <c r="K8" s="5"/>
      <c r="L8" s="5"/>
      <c r="M8" s="61"/>
      <c r="N8" s="61"/>
      <c r="O8" s="61"/>
      <c r="V8" s="6"/>
      <c r="W8" s="1">
        <f t="shared" si="2"/>
        <v>3</v>
      </c>
      <c r="X8" s="2">
        <f>'dati nascosti'!$B$5/70*W8</f>
        <v>0.17142857142857143</v>
      </c>
      <c r="Y8" s="3">
        <f>IF(X8&lt;'dati nascosti'!$B$13,'dati nascosti'!$B$11^2*'dati nascosti'!$B$10*LN('dati nascosti'!$B$13/'dati nascosti'!$B$12)*(7+'dati nascosti'!$B$10*LN('dati nascosti'!$B$13/'dati nascosti'!$B$12)),'dati nascosti'!$B$11^2*'dati nascosti'!$B$10*LN(X8/'dati nascosti'!$B$12)*(7+'dati nascosti'!$B$10*LN(X8/'dati nascosti'!$B$12)))</f>
        <v>1.7075234013198439</v>
      </c>
      <c r="Z8" s="2">
        <f>'dati nascosti'!$B$20*Y8*'dati nascosti'!$B$14*$B$10*'dati nascosti'!$B$15/1000</f>
        <v>0.33516592209063945</v>
      </c>
      <c r="AA8" s="2"/>
      <c r="AB8" s="2"/>
      <c r="AC8" s="2">
        <f>'dati nascosti'!$B$20*Y8*'dati nascosti'!$B$14*'dati nascosti'!$B$18/1000</f>
        <v>-0.67033184418127889</v>
      </c>
      <c r="AD8" s="2">
        <f t="shared" si="1"/>
        <v>1.9152338405179395E-2</v>
      </c>
      <c r="AE8" s="2"/>
      <c r="AF8" s="2"/>
      <c r="AG8" s="2">
        <f t="shared" si="3"/>
        <v>-3.830467681035879E-2</v>
      </c>
      <c r="AJ8" s="61"/>
      <c r="AM8" s="61"/>
      <c r="AN8" s="61"/>
      <c r="AO8"/>
      <c r="AP8"/>
      <c r="AQ8" s="124"/>
      <c r="AR8"/>
      <c r="AS8"/>
    </row>
    <row r="9" spans="1:47" ht="18" thickTop="1" thickBot="1" x14ac:dyDescent="0.3">
      <c r="A9" s="1" t="s">
        <v>4</v>
      </c>
      <c r="B9" s="52" t="e">
        <f>'CALCOLO DEL VENTO NTC18'!#REF!</f>
        <v>#REF!</v>
      </c>
      <c r="C9" s="1" t="s">
        <v>2</v>
      </c>
      <c r="D9" s="338" t="s">
        <v>14</v>
      </c>
      <c r="E9" s="338"/>
      <c r="F9" s="338"/>
      <c r="G9" s="338"/>
      <c r="I9" s="2"/>
      <c r="J9" s="6"/>
      <c r="K9" s="38" t="s">
        <v>95</v>
      </c>
      <c r="L9" s="5"/>
      <c r="M9" s="205">
        <f>IF('dati nascosti'!M15='CALCOLO DEL VENTO NTC18'!C70,'CALCOLO DEL VENTO NTC18'!C70+0.0005,'CALCOLO DEL VENTO NTC18'!C70)</f>
        <v>6.5</v>
      </c>
      <c r="N9" s="61"/>
      <c r="O9" s="61"/>
      <c r="V9" s="6"/>
      <c r="W9" s="1">
        <f t="shared" si="2"/>
        <v>4</v>
      </c>
      <c r="X9" s="2">
        <f>'dati nascosti'!$B$5/70*W9</f>
        <v>0.22857142857142856</v>
      </c>
      <c r="Y9" s="3">
        <f>IF(X9&lt;'dati nascosti'!$B$13,'dati nascosti'!$B$11^2*'dati nascosti'!$B$10*LN('dati nascosti'!$B$13/'dati nascosti'!$B$12)*(7+'dati nascosti'!$B$10*LN('dati nascosti'!$B$13/'dati nascosti'!$B$12)),'dati nascosti'!$B$11^2*'dati nascosti'!$B$10*LN(X9/'dati nascosti'!$B$12)*(7+'dati nascosti'!$B$10*LN(X9/'dati nascosti'!$B$12)))</f>
        <v>1.7075234013198439</v>
      </c>
      <c r="Z9" s="2">
        <f>'dati nascosti'!$B$20*Y9*'dati nascosti'!$B$14*$B$10*'dati nascosti'!$B$15/1000</f>
        <v>0.33516592209063945</v>
      </c>
      <c r="AA9" s="2"/>
      <c r="AB9" s="2"/>
      <c r="AC9" s="2">
        <f>'dati nascosti'!$B$20*Y9*'dati nascosti'!$B$14*'dati nascosti'!$B$18/1000</f>
        <v>-0.67033184418127889</v>
      </c>
      <c r="AD9" s="2">
        <f t="shared" si="1"/>
        <v>1.9152338405179395E-2</v>
      </c>
      <c r="AE9" s="2"/>
      <c r="AF9" s="2"/>
      <c r="AG9" s="2">
        <f t="shared" si="3"/>
        <v>-3.830467681035879E-2</v>
      </c>
      <c r="AJ9" s="61"/>
      <c r="AM9" s="61"/>
      <c r="AN9" s="61"/>
      <c r="AO9"/>
      <c r="AP9"/>
      <c r="AQ9" s="124"/>
      <c r="AR9"/>
      <c r="AS9"/>
    </row>
    <row r="10" spans="1:47" ht="18" thickTop="1" thickBot="1" x14ac:dyDescent="0.3">
      <c r="A10" s="8" t="s">
        <v>20</v>
      </c>
      <c r="B10" s="54">
        <f>'CALCOLO DEL VENTO NTC18'!F158</f>
        <v>1</v>
      </c>
      <c r="C10" s="9"/>
      <c r="I10" s="2"/>
      <c r="J10" s="6"/>
      <c r="K10" s="38" t="s">
        <v>96</v>
      </c>
      <c r="L10" s="5"/>
      <c r="M10" s="198"/>
      <c r="N10" s="61"/>
      <c r="O10" s="61"/>
      <c r="V10" s="6"/>
      <c r="W10" s="1">
        <f t="shared" si="2"/>
        <v>5</v>
      </c>
      <c r="X10" s="2">
        <f>'dati nascosti'!$B$5/70*W10</f>
        <v>0.2857142857142857</v>
      </c>
      <c r="Y10" s="3">
        <f>IF(X10&lt;'dati nascosti'!$B$13,'dati nascosti'!$B$11^2*'dati nascosti'!$B$10*LN('dati nascosti'!$B$13/'dati nascosti'!$B$12)*(7+'dati nascosti'!$B$10*LN('dati nascosti'!$B$13/'dati nascosti'!$B$12)),'dati nascosti'!$B$11^2*'dati nascosti'!$B$10*LN(X10/'dati nascosti'!$B$12)*(7+'dati nascosti'!$B$10*LN(X10/'dati nascosti'!$B$12)))</f>
        <v>1.7075234013198439</v>
      </c>
      <c r="Z10" s="2">
        <f>'dati nascosti'!$B$20*Y10*'dati nascosti'!$B$14*$B$10*'dati nascosti'!$B$15/1000</f>
        <v>0.33516592209063945</v>
      </c>
      <c r="AA10" s="2"/>
      <c r="AB10" s="2"/>
      <c r="AC10" s="2">
        <f>'dati nascosti'!$B$20*Y10*'dati nascosti'!$B$14*'dati nascosti'!$B$18/1000</f>
        <v>-0.67033184418127889</v>
      </c>
      <c r="AD10" s="2">
        <f t="shared" si="1"/>
        <v>1.9152338405179402E-2</v>
      </c>
      <c r="AE10" s="2"/>
      <c r="AF10" s="2"/>
      <c r="AG10" s="2">
        <f t="shared" si="3"/>
        <v>-3.8304676810358804E-2</v>
      </c>
      <c r="AJ10" s="61"/>
      <c r="AM10" s="61"/>
      <c r="AN10" s="61"/>
      <c r="AO10"/>
      <c r="AP10"/>
      <c r="AQ10" s="124"/>
      <c r="AR10"/>
      <c r="AS10"/>
    </row>
    <row r="11" spans="1:47" ht="18" thickTop="1" thickBot="1" x14ac:dyDescent="0.3">
      <c r="A11" s="8" t="s">
        <v>21</v>
      </c>
      <c r="B11" s="54">
        <f>'CALCOLO DEL VENTO NTC18'!B170</f>
        <v>0.2</v>
      </c>
      <c r="C11" s="9"/>
      <c r="I11" s="2"/>
      <c r="J11" s="6"/>
      <c r="K11" s="5"/>
      <c r="L11" s="5"/>
      <c r="M11" s="206">
        <f>IF('CALCOLO DEL VENTO NTC18'!D68="si",'CALCOLO DEL VENTO NTC18'!D73/2,IF('dati nascosti'!M15='CALCOLO DEL VENTO NTC18'!C70,2,'CALCOLO DEL VENTO NTC18'!D73))</f>
        <v>30</v>
      </c>
      <c r="N11" s="61"/>
      <c r="V11" s="6"/>
      <c r="W11" s="1">
        <f t="shared" si="2"/>
        <v>6</v>
      </c>
      <c r="X11" s="2">
        <f>'dati nascosti'!$B$5/70*W11</f>
        <v>0.34285714285714286</v>
      </c>
      <c r="Y11" s="3">
        <f>IF(X11&lt;'dati nascosti'!$B$13,'dati nascosti'!$B$11^2*'dati nascosti'!$B$10*LN('dati nascosti'!$B$13/'dati nascosti'!$B$12)*(7+'dati nascosti'!$B$10*LN('dati nascosti'!$B$13/'dati nascosti'!$B$12)),'dati nascosti'!$B$11^2*'dati nascosti'!$B$10*LN(X11/'dati nascosti'!$B$12)*(7+'dati nascosti'!$B$10*LN(X11/'dati nascosti'!$B$12)))</f>
        <v>1.7075234013198439</v>
      </c>
      <c r="Z11" s="2">
        <f>'dati nascosti'!$B$20*Y11*'dati nascosti'!$B$14*$B$10*'dati nascosti'!$B$15/1000</f>
        <v>0.33516592209063945</v>
      </c>
      <c r="AA11" s="2"/>
      <c r="AB11" s="2"/>
      <c r="AC11" s="2">
        <f>'dati nascosti'!$B$20*Y11*'dati nascosti'!$B$14*'dati nascosti'!$B$18/1000</f>
        <v>-0.67033184418127889</v>
      </c>
      <c r="AD11" s="2">
        <f t="shared" si="1"/>
        <v>1.9152338405179384E-2</v>
      </c>
      <c r="AE11" s="2"/>
      <c r="AF11" s="2"/>
      <c r="AG11" s="2">
        <f t="shared" si="3"/>
        <v>-3.8304676810358769E-2</v>
      </c>
      <c r="AJ11"/>
      <c r="AM11" s="61"/>
      <c r="AN11" s="61"/>
      <c r="AO11"/>
      <c r="AP11"/>
      <c r="AQ11" s="164" t="s">
        <v>186</v>
      </c>
      <c r="AR11" s="25"/>
      <c r="AS11" s="25"/>
      <c r="AT11" s="9"/>
      <c r="AU11" s="83">
        <f>'dati nascosti'!M9</f>
        <v>6.5</v>
      </c>
    </row>
    <row r="12" spans="1:47" ht="17.25" thickTop="1" x14ac:dyDescent="0.25">
      <c r="A12" s="8" t="s">
        <v>22</v>
      </c>
      <c r="B12" s="54">
        <f>'CALCOLO DEL VENTO NTC18'!C170</f>
        <v>0.1</v>
      </c>
      <c r="C12" s="1" t="s">
        <v>2</v>
      </c>
      <c r="I12" s="2"/>
      <c r="J12" s="6"/>
      <c r="K12" s="5"/>
      <c r="L12" s="5"/>
      <c r="V12" s="6"/>
      <c r="W12" s="1">
        <f t="shared" si="2"/>
        <v>7</v>
      </c>
      <c r="X12" s="2">
        <f>'dati nascosti'!$B$5/70*W12</f>
        <v>0.39999999999999997</v>
      </c>
      <c r="Y12" s="3">
        <f>IF(X12&lt;'dati nascosti'!$B$13,'dati nascosti'!$B$11^2*'dati nascosti'!$B$10*LN('dati nascosti'!$B$13/'dati nascosti'!$B$12)*(7+'dati nascosti'!$B$10*LN('dati nascosti'!$B$13/'dati nascosti'!$B$12)),'dati nascosti'!$B$11^2*'dati nascosti'!$B$10*LN(X12/'dati nascosti'!$B$12)*(7+'dati nascosti'!$B$10*LN(X12/'dati nascosti'!$B$12)))</f>
        <v>1.7075234013198439</v>
      </c>
      <c r="Z12" s="2">
        <f>'dati nascosti'!$B$20*Y12*'dati nascosti'!$B$14*$B$10*'dati nascosti'!$B$15/1000</f>
        <v>0.33516592209063945</v>
      </c>
      <c r="AA12" s="2"/>
      <c r="AB12" s="2"/>
      <c r="AC12" s="2">
        <f>'dati nascosti'!$B$20*Y12*'dati nascosti'!$B$14*'dati nascosti'!$B$18/1000</f>
        <v>-0.67033184418127889</v>
      </c>
      <c r="AD12" s="2">
        <f t="shared" si="1"/>
        <v>1.9152338405179402E-2</v>
      </c>
      <c r="AE12" s="2"/>
      <c r="AF12" s="2"/>
      <c r="AG12" s="2">
        <f t="shared" si="3"/>
        <v>-3.8304676810358804E-2</v>
      </c>
      <c r="AJ12"/>
      <c r="AM12" s="61"/>
      <c r="AN12" s="61"/>
      <c r="AO12"/>
      <c r="AP12"/>
      <c r="AQ12" s="164" t="s">
        <v>163</v>
      </c>
      <c r="AR12" s="25"/>
      <c r="AS12" s="25"/>
      <c r="AT12" s="9"/>
      <c r="AU12" s="83">
        <f>'dati nascosti'!$M$15</f>
        <v>4</v>
      </c>
    </row>
    <row r="13" spans="1:47" ht="16.5" x14ac:dyDescent="0.25">
      <c r="A13" s="8" t="s">
        <v>23</v>
      </c>
      <c r="B13" s="54">
        <f>'CALCOLO DEL VENTO NTC18'!D170</f>
        <v>5</v>
      </c>
      <c r="C13" s="1" t="s">
        <v>2</v>
      </c>
      <c r="H13" s="8"/>
      <c r="I13" s="2"/>
      <c r="J13" s="6"/>
      <c r="K13" s="5"/>
      <c r="L13" s="5"/>
      <c r="V13" s="6"/>
      <c r="W13" s="1">
        <f t="shared" si="2"/>
        <v>8</v>
      </c>
      <c r="X13" s="2">
        <f>'dati nascosti'!$B$5/70*W13</f>
        <v>0.45714285714285713</v>
      </c>
      <c r="Y13" s="3">
        <f>IF(X13&lt;'dati nascosti'!$B$13,'dati nascosti'!$B$11^2*'dati nascosti'!$B$10*LN('dati nascosti'!$B$13/'dati nascosti'!$B$12)*(7+'dati nascosti'!$B$10*LN('dati nascosti'!$B$13/'dati nascosti'!$B$12)),'dati nascosti'!$B$11^2*'dati nascosti'!$B$10*LN(X13/'dati nascosti'!$B$12)*(7+'dati nascosti'!$B$10*LN(X13/'dati nascosti'!$B$12)))</f>
        <v>1.7075234013198439</v>
      </c>
      <c r="Z13" s="2">
        <f>'dati nascosti'!$B$20*Y13*'dati nascosti'!$B$14*$B$10*'dati nascosti'!$B$15/1000</f>
        <v>0.33516592209063945</v>
      </c>
      <c r="AA13" s="2"/>
      <c r="AB13" s="2"/>
      <c r="AC13" s="2">
        <f>'dati nascosti'!$B$20*Y13*'dati nascosti'!$B$14*'dati nascosti'!$B$18/1000</f>
        <v>-0.67033184418127889</v>
      </c>
      <c r="AD13" s="2">
        <f t="shared" si="1"/>
        <v>1.9152338405179384E-2</v>
      </c>
      <c r="AE13" s="2"/>
      <c r="AF13" s="2"/>
      <c r="AG13" s="2">
        <f t="shared" si="3"/>
        <v>-3.8304676810358769E-2</v>
      </c>
      <c r="AJ13" s="61"/>
      <c r="AM13" s="61"/>
      <c r="AN13" s="61"/>
      <c r="AO13"/>
      <c r="AP13"/>
      <c r="AQ13" s="164" t="s">
        <v>188</v>
      </c>
      <c r="AR13" s="25"/>
      <c r="AS13" s="25"/>
      <c r="AT13" s="9"/>
      <c r="AU13" s="165">
        <f>'dati nascosti'!M11</f>
        <v>30</v>
      </c>
    </row>
    <row r="14" spans="1:47" ht="16.5" x14ac:dyDescent="0.25">
      <c r="A14" s="8" t="s">
        <v>24</v>
      </c>
      <c r="B14" s="53">
        <f>'CALCOLO DEL VENTO NTC18'!H99</f>
        <v>1</v>
      </c>
      <c r="C14" s="9"/>
      <c r="V14" s="6"/>
      <c r="W14" s="1">
        <f t="shared" si="2"/>
        <v>9</v>
      </c>
      <c r="X14" s="2">
        <f>'dati nascosti'!$B$5/70*W14</f>
        <v>0.51428571428571423</v>
      </c>
      <c r="Y14" s="3">
        <f>IF(X14&lt;'dati nascosti'!$B$13,'dati nascosti'!$B$11^2*'dati nascosti'!$B$10*LN('dati nascosti'!$B$13/'dati nascosti'!$B$12)*(7+'dati nascosti'!$B$10*LN('dati nascosti'!$B$13/'dati nascosti'!$B$12)),'dati nascosti'!$B$11^2*'dati nascosti'!$B$10*LN(X14/'dati nascosti'!$B$12)*(7+'dati nascosti'!$B$10*LN(X14/'dati nascosti'!$B$12)))</f>
        <v>1.7075234013198439</v>
      </c>
      <c r="Z14" s="2">
        <f>'dati nascosti'!$B$20*Y14*'dati nascosti'!$B$14*$B$10*'dati nascosti'!$B$15/1000</f>
        <v>0.33516592209063945</v>
      </c>
      <c r="AA14" s="2"/>
      <c r="AB14" s="2"/>
      <c r="AC14" s="2">
        <f>'dati nascosti'!$B$20*Y14*'dati nascosti'!$B$14*'dati nascosti'!$B$18/1000</f>
        <v>-0.67033184418127889</v>
      </c>
      <c r="AD14" s="2">
        <f t="shared" si="1"/>
        <v>1.9152338405179402E-2</v>
      </c>
      <c r="AE14" s="2"/>
      <c r="AF14" s="2"/>
      <c r="AG14" s="2">
        <f t="shared" si="3"/>
        <v>-3.8304676810358804E-2</v>
      </c>
      <c r="AJ14" s="61"/>
      <c r="AK14" s="61"/>
      <c r="AL14" s="61"/>
      <c r="AM14" s="61"/>
      <c r="AN14" s="61"/>
      <c r="AO14"/>
      <c r="AP14"/>
      <c r="AQ14" s="124"/>
      <c r="AR14"/>
      <c r="AS14"/>
    </row>
    <row r="15" spans="1:47" ht="16.5" x14ac:dyDescent="0.25">
      <c r="A15" s="8" t="s">
        <v>25</v>
      </c>
      <c r="B15" s="54">
        <f>'CALCOLO DEL VENTO NTC18'!G258</f>
        <v>0.4</v>
      </c>
      <c r="C15" s="164" t="s">
        <v>189</v>
      </c>
      <c r="H15" s="8"/>
      <c r="I15" s="2"/>
      <c r="J15" s="6"/>
      <c r="K15" s="5"/>
      <c r="L15" s="5"/>
      <c r="M15" s="86">
        <f>'CALCOLO DEL VENTO NTC18'!G72</f>
        <v>4</v>
      </c>
      <c r="V15" s="6"/>
      <c r="W15" s="1">
        <f t="shared" si="2"/>
        <v>10</v>
      </c>
      <c r="X15" s="2">
        <f>'dati nascosti'!$B$5/70*W15</f>
        <v>0.5714285714285714</v>
      </c>
      <c r="Y15" s="3">
        <f>IF(X15&lt;'dati nascosti'!$B$13,'dati nascosti'!$B$11^2*'dati nascosti'!$B$10*LN('dati nascosti'!$B$13/'dati nascosti'!$B$12)*(7+'dati nascosti'!$B$10*LN('dati nascosti'!$B$13/'dati nascosti'!$B$12)),'dati nascosti'!$B$11^2*'dati nascosti'!$B$10*LN(X15/'dati nascosti'!$B$12)*(7+'dati nascosti'!$B$10*LN(X15/'dati nascosti'!$B$12)))</f>
        <v>1.7075234013198439</v>
      </c>
      <c r="Z15" s="2">
        <f>'dati nascosti'!$B$20*Y15*'dati nascosti'!$B$14*$B$10*'dati nascosti'!$B$15/1000</f>
        <v>0.33516592209063945</v>
      </c>
      <c r="AA15" s="2"/>
      <c r="AB15" s="2"/>
      <c r="AC15" s="2">
        <f>'dati nascosti'!$B$20*Y15*'dati nascosti'!$B$14*'dati nascosti'!$B$18/1000</f>
        <v>-0.67033184418127889</v>
      </c>
      <c r="AD15" s="2">
        <f t="shared" si="1"/>
        <v>1.9152338405179402E-2</v>
      </c>
      <c r="AE15" s="2"/>
      <c r="AF15" s="2"/>
      <c r="AG15" s="2">
        <f t="shared" si="3"/>
        <v>-3.8304676810358804E-2</v>
      </c>
      <c r="AJ15"/>
      <c r="AK15" s="61"/>
      <c r="AL15" s="37" t="str">
        <f>IF('CALCOLO DEL VENTO NTC18'!F29&lt;0,"D",VLOOKUP('CALCOLO DEL VENTO NTC18'!B20,'DATI NTC18'!B14:F17,2,FALSE))</f>
        <v>C</v>
      </c>
      <c r="AM15" s="61"/>
      <c r="AN15" s="61"/>
      <c r="AO15"/>
      <c r="AP15"/>
      <c r="AQ15" s="124"/>
      <c r="AR15"/>
      <c r="AS15"/>
    </row>
    <row r="16" spans="1:47" ht="16.5" x14ac:dyDescent="0.25">
      <c r="A16" s="8" t="s">
        <v>25</v>
      </c>
      <c r="B16" s="188">
        <f>'CALCOLO DEL VENTO NTC18'!G259</f>
        <v>-0.50000000000000011</v>
      </c>
      <c r="C16" s="163" t="s">
        <v>191</v>
      </c>
      <c r="D16" s="160"/>
      <c r="H16" s="8"/>
      <c r="I16" s="2"/>
      <c r="J16" s="6"/>
      <c r="K16" s="5"/>
      <c r="L16" s="5"/>
      <c r="V16" s="6"/>
      <c r="W16" s="1">
        <f t="shared" si="2"/>
        <v>11</v>
      </c>
      <c r="X16" s="2">
        <f>'dati nascosti'!$B$5/70*W16</f>
        <v>0.62857142857142856</v>
      </c>
      <c r="Y16" s="3">
        <f>IF(X16&lt;'dati nascosti'!$B$13,'dati nascosti'!$B$11^2*'dati nascosti'!$B$10*LN('dati nascosti'!$B$13/'dati nascosti'!$B$12)*(7+'dati nascosti'!$B$10*LN('dati nascosti'!$B$13/'dati nascosti'!$B$12)),'dati nascosti'!$B$11^2*'dati nascosti'!$B$10*LN(X16/'dati nascosti'!$B$12)*(7+'dati nascosti'!$B$10*LN(X16/'dati nascosti'!$B$12)))</f>
        <v>1.7075234013198439</v>
      </c>
      <c r="Z16" s="2">
        <f>'dati nascosti'!$B$20*Y16*'dati nascosti'!$B$14*$B$10*'dati nascosti'!$B$15/1000</f>
        <v>0.33516592209063945</v>
      </c>
      <c r="AA16" s="2"/>
      <c r="AB16" s="2"/>
      <c r="AC16" s="2">
        <f>'dati nascosti'!$B$20*Y16*'dati nascosti'!$B$14*'dati nascosti'!$B$18/1000</f>
        <v>-0.67033184418127889</v>
      </c>
      <c r="AD16" s="2">
        <f t="shared" si="1"/>
        <v>1.9152338405179402E-2</v>
      </c>
      <c r="AE16" s="2"/>
      <c r="AF16" s="2"/>
      <c r="AG16" s="2">
        <f t="shared" si="3"/>
        <v>-3.8304676810358804E-2</v>
      </c>
      <c r="AJ16" s="61"/>
      <c r="AK16" s="125">
        <f>VLOOKUP('CALCOLO DEL VENTO NTC18'!B5,'DATI NTC18'!B3:C11,2,FALSE)</f>
        <v>5</v>
      </c>
      <c r="AL16" s="125" t="str">
        <f>AL15</f>
        <v>C</v>
      </c>
      <c r="AM16"/>
      <c r="AN16"/>
      <c r="AO16"/>
      <c r="AP16"/>
      <c r="AQ16" s="124"/>
      <c r="AR16"/>
      <c r="AS16"/>
    </row>
    <row r="17" spans="1:52" ht="16.5" x14ac:dyDescent="0.25">
      <c r="A17" s="8" t="s">
        <v>25</v>
      </c>
      <c r="B17" s="188">
        <f>'CALCOLO DEL VENTO NTC18'!G260</f>
        <v>-0.8</v>
      </c>
      <c r="C17" s="163" t="s">
        <v>194</v>
      </c>
      <c r="D17" s="160"/>
      <c r="H17" s="7"/>
      <c r="I17" s="2"/>
      <c r="J17" s="6"/>
      <c r="K17" s="5"/>
      <c r="L17" s="5"/>
      <c r="V17" s="6"/>
      <c r="W17" s="1">
        <f t="shared" si="2"/>
        <v>12</v>
      </c>
      <c r="X17" s="2">
        <f>'dati nascosti'!$B$5/70*W17</f>
        <v>0.68571428571428572</v>
      </c>
      <c r="Y17" s="3">
        <f>IF(X17&lt;'dati nascosti'!$B$13,'dati nascosti'!$B$11^2*'dati nascosti'!$B$10*LN('dati nascosti'!$B$13/'dati nascosti'!$B$12)*(7+'dati nascosti'!$B$10*LN('dati nascosti'!$B$13/'dati nascosti'!$B$12)),'dati nascosti'!$B$11^2*'dati nascosti'!$B$10*LN(X17/'dati nascosti'!$B$12)*(7+'dati nascosti'!$B$10*LN(X17/'dati nascosti'!$B$12)))</f>
        <v>1.7075234013198439</v>
      </c>
      <c r="Z17" s="2">
        <f>'dati nascosti'!$B$20*Y17*'dati nascosti'!$B$14*$B$10*'dati nascosti'!$B$15/1000</f>
        <v>0.33516592209063945</v>
      </c>
      <c r="AA17" s="2"/>
      <c r="AB17" s="2"/>
      <c r="AC17" s="2">
        <f>'dati nascosti'!$B$20*Y17*'dati nascosti'!$B$14*'dati nascosti'!$B$18/1000</f>
        <v>-0.67033184418127889</v>
      </c>
      <c r="AD17" s="2">
        <f t="shared" si="1"/>
        <v>1.9152338405179402E-2</v>
      </c>
      <c r="AE17" s="2"/>
      <c r="AF17" s="2"/>
      <c r="AG17" s="2">
        <f t="shared" si="3"/>
        <v>-3.8304676810358804E-2</v>
      </c>
      <c r="AJ17"/>
      <c r="AK17" s="341" t="s">
        <v>124</v>
      </c>
      <c r="AL17" s="341"/>
      <c r="AM17" s="341"/>
      <c r="AN17" s="341"/>
      <c r="AO17" s="341"/>
      <c r="AP17" s="341"/>
      <c r="AQ17" s="124"/>
      <c r="AR17"/>
      <c r="AS17"/>
    </row>
    <row r="18" spans="1:52" ht="16.5" x14ac:dyDescent="0.25">
      <c r="A18" s="8" t="s">
        <v>25</v>
      </c>
      <c r="B18" s="188">
        <f>'CALCOLO DEL VENTO NTC18'!G261</f>
        <v>-0.8</v>
      </c>
      <c r="C18" s="163" t="s">
        <v>190</v>
      </c>
      <c r="H18" s="8"/>
      <c r="I18" s="2"/>
      <c r="J18" s="6"/>
      <c r="K18" s="5"/>
      <c r="L18" s="5"/>
      <c r="V18" s="6"/>
      <c r="W18" s="1">
        <f t="shared" si="2"/>
        <v>13</v>
      </c>
      <c r="X18" s="2">
        <f>'dati nascosti'!$B$5/70*W18</f>
        <v>0.74285714285714288</v>
      </c>
      <c r="Y18" s="3">
        <f>IF(X18&lt;'dati nascosti'!$B$13,'dati nascosti'!$B$11^2*'dati nascosti'!$B$10*LN('dati nascosti'!$B$13/'dati nascosti'!$B$12)*(7+'dati nascosti'!$B$10*LN('dati nascosti'!$B$13/'dati nascosti'!$B$12)),'dati nascosti'!$B$11^2*'dati nascosti'!$B$10*LN(X18/'dati nascosti'!$B$12)*(7+'dati nascosti'!$B$10*LN(X18/'dati nascosti'!$B$12)))</f>
        <v>1.7075234013198439</v>
      </c>
      <c r="Z18" s="2">
        <f>'dati nascosti'!$B$20*Y18*'dati nascosti'!$B$14*$B$10*'dati nascosti'!$B$15/1000</f>
        <v>0.33516592209063945</v>
      </c>
      <c r="AA18" s="2"/>
      <c r="AB18" s="2"/>
      <c r="AC18" s="2">
        <f>'dati nascosti'!$B$20*Y18*'dati nascosti'!$B$14*'dati nascosti'!$B$18/1000</f>
        <v>-0.67033184418127889</v>
      </c>
      <c r="AD18" s="2">
        <f t="shared" si="1"/>
        <v>1.9152338405179367E-2</v>
      </c>
      <c r="AE18" s="2"/>
      <c r="AF18" s="2"/>
      <c r="AG18" s="2">
        <f t="shared" si="3"/>
        <v>-3.8304676810358734E-2</v>
      </c>
      <c r="AJ18" s="61"/>
      <c r="AK18" s="126" t="s">
        <v>125</v>
      </c>
      <c r="AL18" s="342" t="s">
        <v>126</v>
      </c>
      <c r="AM18" s="343"/>
      <c r="AN18" s="341" t="s">
        <v>127</v>
      </c>
      <c r="AO18" s="341"/>
      <c r="AP18" s="341"/>
      <c r="AQ18" s="124"/>
      <c r="AR18"/>
      <c r="AS18"/>
      <c r="AY18" s="106" t="s">
        <v>122</v>
      </c>
      <c r="AZ18" s="106" t="s">
        <v>123</v>
      </c>
    </row>
    <row r="19" spans="1:52" ht="17.25" x14ac:dyDescent="0.25">
      <c r="A19" s="10" t="s">
        <v>17</v>
      </c>
      <c r="B19" s="13">
        <f>'CALCOLO DEL VENTO NTC18'!E89</f>
        <v>28.020545848179701</v>
      </c>
      <c r="C19" s="11" t="s">
        <v>9</v>
      </c>
      <c r="D19" s="347" t="s">
        <v>16</v>
      </c>
      <c r="E19" s="347"/>
      <c r="F19" s="347"/>
      <c r="G19" s="347"/>
      <c r="H19" s="8"/>
      <c r="I19" s="2"/>
      <c r="J19" s="6"/>
      <c r="K19" s="5"/>
      <c r="L19" s="5"/>
      <c r="V19" s="6"/>
      <c r="W19" s="1">
        <f t="shared" si="2"/>
        <v>14</v>
      </c>
      <c r="X19" s="2">
        <f>'dati nascosti'!$B$5/70*W19</f>
        <v>0.79999999999999993</v>
      </c>
      <c r="Y19" s="3">
        <f>IF(X19&lt;'dati nascosti'!$B$13,'dati nascosti'!$B$11^2*'dati nascosti'!$B$10*LN('dati nascosti'!$B$13/'dati nascosti'!$B$12)*(7+'dati nascosti'!$B$10*LN('dati nascosti'!$B$13/'dati nascosti'!$B$12)),'dati nascosti'!$B$11^2*'dati nascosti'!$B$10*LN(X19/'dati nascosti'!$B$12)*(7+'dati nascosti'!$B$10*LN(X19/'dati nascosti'!$B$12)))</f>
        <v>1.7075234013198439</v>
      </c>
      <c r="Z19" s="2">
        <f>'dati nascosti'!$B$20*Y19*'dati nascosti'!$B$14*$B$10*'dati nascosti'!$B$15/1000</f>
        <v>0.33516592209063945</v>
      </c>
      <c r="AA19" s="2"/>
      <c r="AB19" s="2"/>
      <c r="AC19" s="2">
        <f>'dati nascosti'!$B$20*Y19*'dati nascosti'!$B$14*'dati nascosti'!$B$18/1000</f>
        <v>-0.67033184418127889</v>
      </c>
      <c r="AD19" s="2">
        <f t="shared" si="1"/>
        <v>1.9152338405179402E-2</v>
      </c>
      <c r="AE19" s="2"/>
      <c r="AF19" s="2"/>
      <c r="AG19" s="2">
        <f t="shared" si="3"/>
        <v>-3.8304676810358804E-2</v>
      </c>
      <c r="AJ19" s="61"/>
      <c r="AK19" s="106">
        <v>2</v>
      </c>
      <c r="AL19" s="127">
        <v>10</v>
      </c>
      <c r="AM19" s="127">
        <v>30</v>
      </c>
      <c r="AN19" s="106">
        <v>500</v>
      </c>
      <c r="AO19" s="128">
        <v>750</v>
      </c>
      <c r="AP19" s="128">
        <v>10000</v>
      </c>
      <c r="AQ19" s="124"/>
      <c r="AR19"/>
      <c r="AS19"/>
      <c r="AY19" s="106">
        <v>1</v>
      </c>
      <c r="AZ19" s="106" t="str">
        <f>VLOOKUP(AL16,AJ20:AP23,IF('CALCOLO DEL VENTO NTC18'!F29&lt;0,2,IF('CALCOLO DEL VENTO NTC18'!F29&lt;=10,3,IF('CALCOLO DEL VENTO NTC18'!F29&lt;=30,4,IF('CALCOLO DEL VENTO NTC18'!F28&lt;500,5,IF('CALCOLO DEL VENTO NTC18'!F28&lt;750,6,7))))),FALSE)</f>
        <v>II</v>
      </c>
    </row>
    <row r="20" spans="1:52" ht="17.25" x14ac:dyDescent="0.25">
      <c r="A20" s="12" t="s">
        <v>18</v>
      </c>
      <c r="B20" s="14">
        <f>'CALCOLO DEL VENTO NTC18'!E95</f>
        <v>490.71936851871294</v>
      </c>
      <c r="C20" s="12" t="s">
        <v>19</v>
      </c>
      <c r="D20" s="347" t="s">
        <v>3</v>
      </c>
      <c r="E20" s="347"/>
      <c r="F20" s="347"/>
      <c r="G20" s="347"/>
      <c r="H20" s="8"/>
      <c r="I20" s="2"/>
      <c r="J20" s="6"/>
      <c r="K20" s="5"/>
      <c r="L20" s="5"/>
      <c r="M20" s="255" t="s">
        <v>103</v>
      </c>
      <c r="N20" s="92" t="s">
        <v>71</v>
      </c>
      <c r="P20" s="255" t="s">
        <v>103</v>
      </c>
      <c r="Q20" s="92" t="str">
        <f>'CALCOLO DEL VENTO NTC18'!C230</f>
        <v>cp</v>
      </c>
      <c r="V20" s="6"/>
      <c r="W20" s="1">
        <f t="shared" si="2"/>
        <v>15</v>
      </c>
      <c r="X20" s="2">
        <f>'dati nascosti'!$B$5/70*W20</f>
        <v>0.8571428571428571</v>
      </c>
      <c r="Y20" s="3">
        <f>IF(X20&lt;'dati nascosti'!$B$13,'dati nascosti'!$B$11^2*'dati nascosti'!$B$10*LN('dati nascosti'!$B$13/'dati nascosti'!$B$12)*(7+'dati nascosti'!$B$10*LN('dati nascosti'!$B$13/'dati nascosti'!$B$12)),'dati nascosti'!$B$11^2*'dati nascosti'!$B$10*LN(X20/'dati nascosti'!$B$12)*(7+'dati nascosti'!$B$10*LN(X20/'dati nascosti'!$B$12)))</f>
        <v>1.7075234013198439</v>
      </c>
      <c r="Z20" s="2">
        <f>'dati nascosti'!$B$20*Y20*'dati nascosti'!$B$14*$B$10*'dati nascosti'!$B$15/1000</f>
        <v>0.33516592209063945</v>
      </c>
      <c r="AA20" s="2"/>
      <c r="AB20" s="2"/>
      <c r="AC20" s="2">
        <f>'dati nascosti'!$B$20*Y20*'dati nascosti'!$B$14*'dati nascosti'!$B$18/1000</f>
        <v>-0.67033184418127889</v>
      </c>
      <c r="AD20" s="2">
        <f t="shared" si="1"/>
        <v>1.9152338405179402E-2</v>
      </c>
      <c r="AE20" s="2"/>
      <c r="AF20" s="2"/>
      <c r="AG20" s="2">
        <f t="shared" si="3"/>
        <v>-3.8304676810358804E-2</v>
      </c>
      <c r="AJ20" s="106" t="s">
        <v>46</v>
      </c>
      <c r="AK20" s="129" t="s">
        <v>128</v>
      </c>
      <c r="AL20" s="125" t="s">
        <v>58</v>
      </c>
      <c r="AM20" s="125" t="s">
        <v>58</v>
      </c>
      <c r="AN20" s="125" t="s">
        <v>59</v>
      </c>
      <c r="AO20" s="130" t="s">
        <v>59</v>
      </c>
      <c r="AP20" s="130" t="s">
        <v>59</v>
      </c>
      <c r="AQ20" s="124"/>
      <c r="AR20"/>
      <c r="AS20"/>
      <c r="AY20" s="106">
        <v>2</v>
      </c>
      <c r="AZ20" s="106" t="str">
        <f>VLOOKUP(AL16,AJ27:AP30,IF('CALCOLO DEL VENTO NTC18'!F29&lt;0,2,IF('CALCOLO DEL VENTO NTC18'!F29&lt;=10,3,IF('CALCOLO DEL VENTO NTC18'!F29&lt;=30,4,IF('CALCOLO DEL VENTO NTC18'!F28&lt;500,5,IF('CALCOLO DEL VENTO NTC18'!F28&lt;750,6,7))))),FALSE)</f>
        <v>II</v>
      </c>
    </row>
    <row r="21" spans="1:52" ht="17.25" x14ac:dyDescent="0.25">
      <c r="A21" s="12" t="s">
        <v>12</v>
      </c>
      <c r="B21" s="14">
        <f>'CALCOLO DEL VENTO NTC18'!F172</f>
        <v>1.7075234013198439</v>
      </c>
      <c r="C21" s="11"/>
      <c r="D21" s="347" t="s">
        <v>26</v>
      </c>
      <c r="E21" s="347"/>
      <c r="F21" s="347"/>
      <c r="G21" s="347"/>
      <c r="H21" s="8"/>
      <c r="I21" s="2"/>
      <c r="J21" s="6"/>
      <c r="K21" s="5"/>
      <c r="L21" s="5"/>
      <c r="M21" s="256"/>
      <c r="N21" s="95">
        <f>'CALCOLO DEL VENTO NTC18'!C221</f>
        <v>0.4</v>
      </c>
      <c r="P21" s="256"/>
      <c r="Q21" s="92">
        <f>'CALCOLO DEL VENTO NTC18'!C231</f>
        <v>1.2000000000000002</v>
      </c>
      <c r="V21" s="6"/>
      <c r="W21" s="1">
        <f t="shared" si="2"/>
        <v>16</v>
      </c>
      <c r="X21" s="2">
        <f>'dati nascosti'!$B$5/70*W21</f>
        <v>0.91428571428571426</v>
      </c>
      <c r="Y21" s="3">
        <f>IF(X21&lt;'dati nascosti'!$B$13,'dati nascosti'!$B$11^2*'dati nascosti'!$B$10*LN('dati nascosti'!$B$13/'dati nascosti'!$B$12)*(7+'dati nascosti'!$B$10*LN('dati nascosti'!$B$13/'dati nascosti'!$B$12)),'dati nascosti'!$B$11^2*'dati nascosti'!$B$10*LN(X21/'dati nascosti'!$B$12)*(7+'dati nascosti'!$B$10*LN(X21/'dati nascosti'!$B$12)))</f>
        <v>1.7075234013198439</v>
      </c>
      <c r="Z21" s="2">
        <f>'dati nascosti'!$B$20*Y21*'dati nascosti'!$B$14*$B$10*'dati nascosti'!$B$15/1000</f>
        <v>0.33516592209063945</v>
      </c>
      <c r="AA21" s="2"/>
      <c r="AB21" s="2"/>
      <c r="AC21" s="2">
        <f>'dati nascosti'!$B$20*Y21*'dati nascosti'!$B$14*'dati nascosti'!$B$18/1000</f>
        <v>-0.67033184418127889</v>
      </c>
      <c r="AD21" s="2">
        <f t="shared" si="1"/>
        <v>1.9152338405179402E-2</v>
      </c>
      <c r="AE21" s="2"/>
      <c r="AF21" s="2"/>
      <c r="AG21" s="2">
        <f t="shared" si="3"/>
        <v>-3.8304676810358804E-2</v>
      </c>
      <c r="AJ21" s="106" t="s">
        <v>47</v>
      </c>
      <c r="AK21" s="129" t="s">
        <v>128</v>
      </c>
      <c r="AL21" s="125" t="s">
        <v>57</v>
      </c>
      <c r="AM21" s="125" t="s">
        <v>57</v>
      </c>
      <c r="AN21" s="125" t="s">
        <v>58</v>
      </c>
      <c r="AO21" s="130" t="s">
        <v>58</v>
      </c>
      <c r="AP21" s="130" t="s">
        <v>58</v>
      </c>
      <c r="AQ21" s="124"/>
      <c r="AR21"/>
      <c r="AS21"/>
      <c r="AY21" s="106">
        <v>3</v>
      </c>
      <c r="AZ21" s="106" t="str">
        <f>VLOOKUP(AL16,AJ27:AP30,IF('CALCOLO DEL VENTO NTC18'!F29&lt;0,2,IF('CALCOLO DEL VENTO NTC18'!F29&lt;=10,3,IF('CALCOLO DEL VENTO NTC18'!F29&lt;=30,4,IF('CALCOLO DEL VENTO NTC18'!F28&lt;500,5,IF('CALCOLO DEL VENTO NTC18'!F28&lt;750,6,7))))),FALSE)</f>
        <v>II</v>
      </c>
    </row>
    <row r="22" spans="1:52" ht="17.25" x14ac:dyDescent="0.25">
      <c r="A22" s="12" t="s">
        <v>141</v>
      </c>
      <c r="B22" s="14">
        <f>'CALCOLO DEL VENTO NTC18'!F173</f>
        <v>1.7075234013198439</v>
      </c>
      <c r="C22" s="11"/>
      <c r="D22" s="347" t="s">
        <v>192</v>
      </c>
      <c r="E22" s="347"/>
      <c r="F22" s="347"/>
      <c r="G22" s="347"/>
      <c r="H22" s="8"/>
      <c r="I22" s="2"/>
      <c r="J22" s="6"/>
      <c r="K22" s="5"/>
      <c r="L22" s="5"/>
      <c r="M22" s="255" t="s">
        <v>104</v>
      </c>
      <c r="N22" s="95" t="str">
        <f>'CALCOLO DEL VENTO NTC18'!C222</f>
        <v>cp</v>
      </c>
      <c r="P22" s="255" t="s">
        <v>104</v>
      </c>
      <c r="Q22" s="92" t="str">
        <f>'CALCOLO DEL VENTO NTC18'!C232</f>
        <v>cp</v>
      </c>
      <c r="V22" s="6"/>
      <c r="W22" s="1">
        <f t="shared" si="2"/>
        <v>17</v>
      </c>
      <c r="X22" s="2">
        <f>'dati nascosti'!$B$5/70*W22</f>
        <v>0.97142857142857142</v>
      </c>
      <c r="Y22" s="3">
        <f>IF(X22&lt;'dati nascosti'!$B$13,'dati nascosti'!$B$11^2*'dati nascosti'!$B$10*LN('dati nascosti'!$B$13/'dati nascosti'!$B$12)*(7+'dati nascosti'!$B$10*LN('dati nascosti'!$B$13/'dati nascosti'!$B$12)),'dati nascosti'!$B$11^2*'dati nascosti'!$B$10*LN(X22/'dati nascosti'!$B$12)*(7+'dati nascosti'!$B$10*LN(X22/'dati nascosti'!$B$12)))</f>
        <v>1.7075234013198439</v>
      </c>
      <c r="Z22" s="2">
        <f>'dati nascosti'!$B$20*Y22*'dati nascosti'!$B$14*$B$10*'dati nascosti'!$B$15/1000</f>
        <v>0.33516592209063945</v>
      </c>
      <c r="AA22" s="2"/>
      <c r="AB22" s="2"/>
      <c r="AC22" s="2">
        <f>'dati nascosti'!$B$20*Y22*'dati nascosti'!$B$14*'dati nascosti'!$B$18/1000</f>
        <v>-0.67033184418127889</v>
      </c>
      <c r="AD22" s="2">
        <f t="shared" si="1"/>
        <v>1.9152338405179367E-2</v>
      </c>
      <c r="AE22" s="2"/>
      <c r="AF22" s="2"/>
      <c r="AG22" s="2">
        <f t="shared" si="3"/>
        <v>-3.8304676810358734E-2</v>
      </c>
      <c r="AJ22" s="106" t="s">
        <v>48</v>
      </c>
      <c r="AK22" s="129" t="s">
        <v>128</v>
      </c>
      <c r="AL22" s="125" t="s">
        <v>56</v>
      </c>
      <c r="AM22" s="125" t="s">
        <v>57</v>
      </c>
      <c r="AN22" s="125" t="s">
        <v>57</v>
      </c>
      <c r="AO22" s="130" t="s">
        <v>58</v>
      </c>
      <c r="AP22" s="130" t="s">
        <v>58</v>
      </c>
      <c r="AQ22" s="124"/>
      <c r="AR22"/>
      <c r="AS22"/>
      <c r="AY22" s="106">
        <v>4</v>
      </c>
      <c r="AZ22" s="106" t="str">
        <f>VLOOKUP(AL16,AJ27:AP30,IF('CALCOLO DEL VENTO NTC18'!F29&lt;0,2,IF('CALCOLO DEL VENTO NTC18'!F29&lt;=10,3,IF('CALCOLO DEL VENTO NTC18'!F29&lt;=30,4,IF('CALCOLO DEL VENTO NTC18'!F28&lt;500,5,IF('CALCOLO DEL VENTO NTC18'!F28&lt;750,6,7))))),FALSE)</f>
        <v>II</v>
      </c>
    </row>
    <row r="23" spans="1:52" ht="17.25" x14ac:dyDescent="0.25">
      <c r="A23" s="12" t="s">
        <v>142</v>
      </c>
      <c r="B23" s="2">
        <f>'CALCOLO DEL VENTO NTC18'!F174</f>
        <v>1.8658487987334482</v>
      </c>
      <c r="D23" s="347" t="s">
        <v>193</v>
      </c>
      <c r="E23" s="347"/>
      <c r="F23" s="347"/>
      <c r="G23" s="347"/>
      <c r="I23" s="2"/>
      <c r="J23" s="6"/>
      <c r="K23" s="5"/>
      <c r="L23" s="5"/>
      <c r="M23" s="256"/>
      <c r="N23" s="95">
        <f>'CALCOLO DEL VENTO NTC18'!C223</f>
        <v>-0.50000000000000011</v>
      </c>
      <c r="P23" s="256"/>
      <c r="Q23" s="92">
        <f>'CALCOLO DEL VENTO NTC18'!C233</f>
        <v>0.29999999999999993</v>
      </c>
      <c r="V23" s="6"/>
      <c r="W23" s="1">
        <f t="shared" si="2"/>
        <v>18</v>
      </c>
      <c r="X23" s="2">
        <f>'dati nascosti'!$B$5/70*W23</f>
        <v>1.0285714285714285</v>
      </c>
      <c r="Y23" s="3">
        <f>IF(X23&lt;'dati nascosti'!$B$13,'dati nascosti'!$B$11^2*'dati nascosti'!$B$10*LN('dati nascosti'!$B$13/'dati nascosti'!$B$12)*(7+'dati nascosti'!$B$10*LN('dati nascosti'!$B$13/'dati nascosti'!$B$12)),'dati nascosti'!$B$11^2*'dati nascosti'!$B$10*LN(X23/'dati nascosti'!$B$12)*(7+'dati nascosti'!$B$10*LN(X23/'dati nascosti'!$B$12)))</f>
        <v>1.7075234013198439</v>
      </c>
      <c r="Z23" s="2">
        <f>'dati nascosti'!$B$20*Y23*'dati nascosti'!$B$14*$B$10*'dati nascosti'!$B$15/1000</f>
        <v>0.33516592209063945</v>
      </c>
      <c r="AA23" s="2"/>
      <c r="AB23" s="2"/>
      <c r="AC23" s="2">
        <f>'dati nascosti'!$B$20*Y23*'dati nascosti'!$B$14*'dati nascosti'!$B$18/1000</f>
        <v>-0.67033184418127889</v>
      </c>
      <c r="AD23" s="2">
        <f t="shared" si="1"/>
        <v>1.9152338405179402E-2</v>
      </c>
      <c r="AE23" s="2"/>
      <c r="AF23" s="2"/>
      <c r="AG23" s="2">
        <f t="shared" si="3"/>
        <v>-3.8304676810358804E-2</v>
      </c>
      <c r="AJ23" s="106" t="s">
        <v>50</v>
      </c>
      <c r="AK23" s="129" t="s">
        <v>55</v>
      </c>
      <c r="AL23" s="125" t="s">
        <v>56</v>
      </c>
      <c r="AM23" s="125" t="s">
        <v>56</v>
      </c>
      <c r="AN23" s="125" t="s">
        <v>56</v>
      </c>
      <c r="AO23" s="130" t="s">
        <v>57</v>
      </c>
      <c r="AP23" s="130" t="s">
        <v>58</v>
      </c>
      <c r="AQ23" s="124"/>
      <c r="AR23"/>
      <c r="AS23"/>
      <c r="AY23" s="106">
        <v>5</v>
      </c>
      <c r="AZ23" s="106" t="str">
        <f>VLOOKUP(AL16,AJ34:AP37,IF('CALCOLO DEL VENTO NTC18'!F29&lt;0,2,IF('CALCOLO DEL VENTO NTC18'!F29&lt;=10,3,IF('CALCOLO DEL VENTO NTC18'!F29&lt;=30,4,IF('CALCOLO DEL VENTO NTC18'!F28&lt;500,5,IF('CALCOLO DEL VENTO NTC18'!F28&lt;750,6,7))))),FALSE)</f>
        <v>III</v>
      </c>
    </row>
    <row r="24" spans="1:52" x14ac:dyDescent="0.25">
      <c r="H24" s="7"/>
      <c r="I24" s="2"/>
      <c r="J24" s="6"/>
      <c r="K24" s="5"/>
      <c r="L24" s="5"/>
      <c r="M24" s="255" t="s">
        <v>105</v>
      </c>
      <c r="N24" s="95" t="str">
        <f>'CALCOLO DEL VENTO NTC18'!C224</f>
        <v>cp</v>
      </c>
      <c r="P24" s="255" t="s">
        <v>105</v>
      </c>
      <c r="Q24" s="92" t="str">
        <f>'CALCOLO DEL VENTO NTC18'!C234</f>
        <v>cp</v>
      </c>
      <c r="V24" s="6"/>
      <c r="W24" s="1">
        <f t="shared" si="2"/>
        <v>19</v>
      </c>
      <c r="X24" s="2">
        <f>'dati nascosti'!$B$5/70*W24</f>
        <v>1.0857142857142856</v>
      </c>
      <c r="Y24" s="3">
        <f>IF(X24&lt;'dati nascosti'!$B$13,'dati nascosti'!$B$11^2*'dati nascosti'!$B$10*LN('dati nascosti'!$B$13/'dati nascosti'!$B$12)*(7+'dati nascosti'!$B$10*LN('dati nascosti'!$B$13/'dati nascosti'!$B$12)),'dati nascosti'!$B$11^2*'dati nascosti'!$B$10*LN(X24/'dati nascosti'!$B$12)*(7+'dati nascosti'!$B$10*LN(X24/'dati nascosti'!$B$12)))</f>
        <v>1.7075234013198439</v>
      </c>
      <c r="Z24" s="2">
        <f>'dati nascosti'!$B$20*Y24*'dati nascosti'!$B$14*$B$10*'dati nascosti'!$B$15/1000</f>
        <v>0.33516592209063945</v>
      </c>
      <c r="AA24" s="2"/>
      <c r="AB24" s="2"/>
      <c r="AC24" s="2">
        <f>'dati nascosti'!$B$20*Y24*'dati nascosti'!$B$14*'dati nascosti'!$B$18/1000</f>
        <v>-0.67033184418127889</v>
      </c>
      <c r="AD24" s="2">
        <f t="shared" si="1"/>
        <v>1.9152338405179402E-2</v>
      </c>
      <c r="AE24" s="2"/>
      <c r="AF24" s="2"/>
      <c r="AG24" s="2">
        <f t="shared" si="3"/>
        <v>-3.8304676810358804E-2</v>
      </c>
      <c r="AJ24"/>
      <c r="AK24" s="341" t="s">
        <v>129</v>
      </c>
      <c r="AL24" s="341"/>
      <c r="AM24" s="341"/>
      <c r="AN24" s="341"/>
      <c r="AO24" s="341"/>
      <c r="AP24" s="341"/>
      <c r="AQ24" s="124"/>
      <c r="AR24"/>
      <c r="AS24"/>
      <c r="AY24" s="106">
        <v>6</v>
      </c>
      <c r="AZ24" s="106" t="str">
        <f>VLOOKUP(AL16,AJ41:AP44,IF('CALCOLO DEL VENTO NTC18'!F29&lt;0,2,IF('CALCOLO DEL VENTO NTC18'!F29&lt;=10,3,IF('CALCOLO DEL VENTO NTC18'!F29&lt;=30,4,IF('CALCOLO DEL VENTO NTC18'!F28&lt;500,5,6)))),FALSE)</f>
        <v>II</v>
      </c>
    </row>
    <row r="25" spans="1:52" x14ac:dyDescent="0.25">
      <c r="A25" s="9"/>
      <c r="B25" s="9"/>
      <c r="C25" s="9"/>
      <c r="D25" s="9"/>
      <c r="I25" s="2"/>
      <c r="J25" s="6"/>
      <c r="K25" s="5"/>
      <c r="L25" s="5"/>
      <c r="M25" s="256"/>
      <c r="N25" s="95">
        <f>'CALCOLO DEL VENTO NTC18'!C225</f>
        <v>-0.8</v>
      </c>
      <c r="P25" s="256"/>
      <c r="Q25" s="92">
        <f>'CALCOLO DEL VENTO NTC18'!C235</f>
        <v>0</v>
      </c>
      <c r="V25" s="6"/>
      <c r="W25" s="1">
        <f t="shared" si="2"/>
        <v>20</v>
      </c>
      <c r="X25" s="2">
        <f>'dati nascosti'!$B$5/70*W25</f>
        <v>1.1428571428571428</v>
      </c>
      <c r="Y25" s="3">
        <f>IF(X25&lt;'dati nascosti'!$B$13,'dati nascosti'!$B$11^2*'dati nascosti'!$B$10*LN('dati nascosti'!$B$13/'dati nascosti'!$B$12)*(7+'dati nascosti'!$B$10*LN('dati nascosti'!$B$13/'dati nascosti'!$B$12)),'dati nascosti'!$B$11^2*'dati nascosti'!$B$10*LN(X25/'dati nascosti'!$B$12)*(7+'dati nascosti'!$B$10*LN(X25/'dati nascosti'!$B$12)))</f>
        <v>1.7075234013198439</v>
      </c>
      <c r="Z25" s="2">
        <f>'dati nascosti'!$B$20*Y25*'dati nascosti'!$B$14*$B$10*'dati nascosti'!$B$15/1000</f>
        <v>0.33516592209063945</v>
      </c>
      <c r="AA25" s="2"/>
      <c r="AB25" s="2"/>
      <c r="AC25" s="2">
        <f>'dati nascosti'!$B$20*Y25*'dati nascosti'!$B$14*'dati nascosti'!$B$18/1000</f>
        <v>-0.67033184418127889</v>
      </c>
      <c r="AD25" s="2">
        <f t="shared" si="1"/>
        <v>1.9152338405179402E-2</v>
      </c>
      <c r="AE25" s="2"/>
      <c r="AF25" s="2"/>
      <c r="AG25" s="2">
        <f t="shared" si="3"/>
        <v>-3.8304676810358804E-2</v>
      </c>
      <c r="AJ25" s="61"/>
      <c r="AK25" s="126" t="s">
        <v>125</v>
      </c>
      <c r="AL25" s="344" t="s">
        <v>126</v>
      </c>
      <c r="AM25" s="345"/>
      <c r="AN25" s="341" t="s">
        <v>127</v>
      </c>
      <c r="AO25" s="341"/>
      <c r="AP25" s="341"/>
      <c r="AQ25" s="124"/>
      <c r="AR25"/>
      <c r="AS25"/>
      <c r="AY25" s="106">
        <v>7</v>
      </c>
      <c r="AZ25" s="106" t="str">
        <f>VLOOKUP(AL16,AJ48:AP51,IF('CALCOLO DEL VENTO NTC18'!F29&lt;0,IF('CALCOLO DEL VENTO NTC18'!F29&gt;=-0.5,3,2),4),FALSE)</f>
        <v>III</v>
      </c>
    </row>
    <row r="26" spans="1:52" ht="16.5" x14ac:dyDescent="0.25">
      <c r="A26" s="12" t="s">
        <v>1</v>
      </c>
      <c r="B26" s="14">
        <f>B20*B21*B14*B15/1000</f>
        <v>0.33516592209063945</v>
      </c>
      <c r="C26" s="12" t="s">
        <v>0</v>
      </c>
      <c r="D26" s="347" t="s">
        <v>27</v>
      </c>
      <c r="E26" s="347"/>
      <c r="F26" s="347"/>
      <c r="G26" s="347"/>
      <c r="I26" s="2"/>
      <c r="J26" s="6"/>
      <c r="K26" s="5"/>
      <c r="L26" s="5"/>
      <c r="M26" s="255" t="s">
        <v>106</v>
      </c>
      <c r="N26" s="95" t="str">
        <f>'CALCOLO DEL VENTO NTC18'!C226</f>
        <v>cp</v>
      </c>
      <c r="P26" s="255" t="s">
        <v>106</v>
      </c>
      <c r="Q26" s="92" t="str">
        <f>'CALCOLO DEL VENTO NTC18'!C236</f>
        <v>cp</v>
      </c>
      <c r="V26" s="6"/>
      <c r="W26" s="1">
        <f t="shared" si="2"/>
        <v>21</v>
      </c>
      <c r="X26" s="2">
        <f>'dati nascosti'!$B$5/70*W26</f>
        <v>1.2</v>
      </c>
      <c r="Y26" s="3">
        <f>IF(X26&lt;'dati nascosti'!$B$13,'dati nascosti'!$B$11^2*'dati nascosti'!$B$10*LN('dati nascosti'!$B$13/'dati nascosti'!$B$12)*(7+'dati nascosti'!$B$10*LN('dati nascosti'!$B$13/'dati nascosti'!$B$12)),'dati nascosti'!$B$11^2*'dati nascosti'!$B$10*LN(X26/'dati nascosti'!$B$12)*(7+'dati nascosti'!$B$10*LN(X26/'dati nascosti'!$B$12)))</f>
        <v>1.7075234013198439</v>
      </c>
      <c r="Z26" s="2">
        <f>'dati nascosti'!$B$20*Y26*'dati nascosti'!$B$14*$B$10*'dati nascosti'!$B$15/1000</f>
        <v>0.33516592209063945</v>
      </c>
      <c r="AA26" s="2"/>
      <c r="AB26" s="2"/>
      <c r="AC26" s="2">
        <f>'dati nascosti'!$B$20*Y26*'dati nascosti'!$B$14*'dati nascosti'!$B$18/1000</f>
        <v>-0.67033184418127889</v>
      </c>
      <c r="AD26" s="2">
        <f t="shared" si="1"/>
        <v>1.9152338405179402E-2</v>
      </c>
      <c r="AE26" s="2"/>
      <c r="AF26" s="2"/>
      <c r="AG26" s="2">
        <f t="shared" si="3"/>
        <v>-3.8304676810358804E-2</v>
      </c>
      <c r="AJ26" s="61"/>
      <c r="AK26" s="106">
        <v>2</v>
      </c>
      <c r="AL26" s="127">
        <v>10</v>
      </c>
      <c r="AM26" s="127">
        <v>30</v>
      </c>
      <c r="AN26" s="106">
        <v>500</v>
      </c>
      <c r="AO26" s="128">
        <v>750</v>
      </c>
      <c r="AP26" s="128">
        <v>10000</v>
      </c>
      <c r="AQ26" s="124"/>
      <c r="AR26"/>
      <c r="AS26"/>
      <c r="AY26" s="106">
        <v>8</v>
      </c>
      <c r="AZ26" s="106" t="str">
        <f>VLOOKUP(AL16,AJ55:AP58,IF('CALCOLO DEL VENTO NTC18'!F29&lt;0,IF('CALCOLO DEL VENTO NTC18'!F29&gt;=-0.5,3,2),4),FALSE)</f>
        <v>III</v>
      </c>
    </row>
    <row r="27" spans="1:52" ht="16.5" x14ac:dyDescent="0.25">
      <c r="A27" s="12" t="s">
        <v>1</v>
      </c>
      <c r="B27" s="14">
        <f>'dati nascosti'!Z75</f>
        <v>0.33516592209063945</v>
      </c>
      <c r="C27" s="12" t="s">
        <v>0</v>
      </c>
      <c r="D27" s="347" t="s">
        <v>28</v>
      </c>
      <c r="E27" s="347"/>
      <c r="F27" s="347"/>
      <c r="G27" s="347"/>
      <c r="I27" s="2"/>
      <c r="J27" s="6"/>
      <c r="K27" s="5"/>
      <c r="L27" s="5"/>
      <c r="M27" s="256"/>
      <c r="N27" s="95">
        <f>'CALCOLO DEL VENTO NTC18'!C227</f>
        <v>-0.8</v>
      </c>
      <c r="P27" s="256"/>
      <c r="Q27" s="92">
        <f>'CALCOLO DEL VENTO NTC18'!C237</f>
        <v>0</v>
      </c>
      <c r="V27" s="6"/>
      <c r="W27" s="1">
        <f t="shared" si="2"/>
        <v>22</v>
      </c>
      <c r="X27" s="2">
        <f>'dati nascosti'!$B$5/70*W27</f>
        <v>1.2571428571428571</v>
      </c>
      <c r="Y27" s="3">
        <f>IF(X27&lt;'dati nascosti'!$B$13,'dati nascosti'!$B$11^2*'dati nascosti'!$B$10*LN('dati nascosti'!$B$13/'dati nascosti'!$B$12)*(7+'dati nascosti'!$B$10*LN('dati nascosti'!$B$13/'dati nascosti'!$B$12)),'dati nascosti'!$B$11^2*'dati nascosti'!$B$10*LN(X27/'dati nascosti'!$B$12)*(7+'dati nascosti'!$B$10*LN(X27/'dati nascosti'!$B$12)))</f>
        <v>1.7075234013198439</v>
      </c>
      <c r="Z27" s="2">
        <f>'dati nascosti'!$B$20*Y27*'dati nascosti'!$B$14*$B$10*'dati nascosti'!$B$15/1000</f>
        <v>0.33516592209063945</v>
      </c>
      <c r="AA27" s="2"/>
      <c r="AB27" s="2"/>
      <c r="AC27" s="2">
        <f>'dati nascosti'!$B$20*Y27*'dati nascosti'!$B$14*'dati nascosti'!$B$18/1000</f>
        <v>-0.67033184418127889</v>
      </c>
      <c r="AD27" s="2">
        <f t="shared" si="1"/>
        <v>1.9152338405179402E-2</v>
      </c>
      <c r="AE27" s="2"/>
      <c r="AF27" s="2"/>
      <c r="AG27" s="2">
        <f t="shared" si="3"/>
        <v>-3.8304676810358804E-2</v>
      </c>
      <c r="AJ27" s="106" t="s">
        <v>46</v>
      </c>
      <c r="AK27" s="129" t="s">
        <v>128</v>
      </c>
      <c r="AL27" s="125" t="s">
        <v>58</v>
      </c>
      <c r="AM27" s="125" t="s">
        <v>58</v>
      </c>
      <c r="AN27" s="125" t="s">
        <v>59</v>
      </c>
      <c r="AO27" s="130" t="s">
        <v>59</v>
      </c>
      <c r="AP27" s="130" t="s">
        <v>59</v>
      </c>
      <c r="AQ27" s="124"/>
      <c r="AR27"/>
      <c r="AS27"/>
      <c r="AY27" s="106">
        <v>9</v>
      </c>
      <c r="AZ27" s="106" t="str">
        <f>VLOOKUP(AL16,AJ62:AP65,IF('CALCOLO DEL VENTO NTC18'!F29&lt;0,2,3),FALSE)</f>
        <v>I</v>
      </c>
    </row>
    <row r="28" spans="1:52" ht="15.75" x14ac:dyDescent="0.25">
      <c r="A28" s="19" t="s">
        <v>34</v>
      </c>
      <c r="B28" s="281" t="s">
        <v>44</v>
      </c>
      <c r="C28" s="281"/>
      <c r="D28" s="19" t="s">
        <v>64</v>
      </c>
      <c r="H28" s="110" t="s">
        <v>173</v>
      </c>
      <c r="I28" s="2"/>
      <c r="J28" s="6"/>
      <c r="K28" s="5"/>
      <c r="L28" s="5"/>
      <c r="M28" s="118"/>
      <c r="N28" s="61"/>
      <c r="V28" s="6"/>
      <c r="W28" s="1">
        <f t="shared" si="2"/>
        <v>23</v>
      </c>
      <c r="X28" s="2">
        <f>'dati nascosti'!$B$5/70*W28</f>
        <v>1.3142857142857143</v>
      </c>
      <c r="Y28" s="3">
        <f>IF(X28&lt;'dati nascosti'!$B$13,'dati nascosti'!$B$11^2*'dati nascosti'!$B$10*LN('dati nascosti'!$B$13/'dati nascosti'!$B$12)*(7+'dati nascosti'!$B$10*LN('dati nascosti'!$B$13/'dati nascosti'!$B$12)),'dati nascosti'!$B$11^2*'dati nascosti'!$B$10*LN(X28/'dati nascosti'!$B$12)*(7+'dati nascosti'!$B$10*LN(X28/'dati nascosti'!$B$12)))</f>
        <v>1.7075234013198439</v>
      </c>
      <c r="Z28" s="2">
        <f>'dati nascosti'!$B$20*Y28*'dati nascosti'!$B$14*$B$10*'dati nascosti'!$B$15/1000</f>
        <v>0.33516592209063945</v>
      </c>
      <c r="AA28" s="2"/>
      <c r="AB28" s="2"/>
      <c r="AC28" s="2">
        <f>'dati nascosti'!$B$20*Y28*'dati nascosti'!$B$14*'dati nascosti'!$B$18/1000</f>
        <v>-0.67033184418127889</v>
      </c>
      <c r="AD28" s="2">
        <f t="shared" si="1"/>
        <v>1.9152338405179402E-2</v>
      </c>
      <c r="AE28" s="2"/>
      <c r="AF28" s="2"/>
      <c r="AG28" s="2">
        <f t="shared" si="3"/>
        <v>-3.8304676810358804E-2</v>
      </c>
      <c r="AJ28" s="106" t="s">
        <v>47</v>
      </c>
      <c r="AK28" s="129" t="s">
        <v>128</v>
      </c>
      <c r="AL28" s="125" t="s">
        <v>57</v>
      </c>
      <c r="AM28" s="125" t="s">
        <v>57</v>
      </c>
      <c r="AN28" s="125" t="s">
        <v>58</v>
      </c>
      <c r="AO28" s="130" t="s">
        <v>58</v>
      </c>
      <c r="AP28" s="130" t="s">
        <v>58</v>
      </c>
      <c r="AQ28" s="124"/>
      <c r="AR28"/>
      <c r="AS28"/>
    </row>
    <row r="29" spans="1:52" x14ac:dyDescent="0.25">
      <c r="A29" s="19">
        <f>'CALCOLO DEL VENTO NTC18'!B79</f>
        <v>5</v>
      </c>
      <c r="B29" s="281" t="str">
        <f>IF('CALCOLO DEL VENTO NTC18'!B20='DATI NTC18'!B14,'DATI NTC18'!C14,IF('CALCOLO DEL VENTO NTC18'!B20='DATI NTC18'!B15,'DATI NTC18'!C15,IF('CALCOLO DEL VENTO NTC18'!B20='DATI NTC18'!B16,'DATI NTC18'!C16,IF('CALCOLO DEL VENTO NTC18'!B20='DATI NTC18'!B17,'DATI NTC18'!C17,""))))</f>
        <v>C</v>
      </c>
      <c r="C29" s="281"/>
      <c r="D29" s="19">
        <f>'CALCOLO DEL VENTO NTC18'!F28</f>
        <v>100</v>
      </c>
      <c r="I29" s="2"/>
      <c r="J29" s="6"/>
      <c r="K29" s="5"/>
      <c r="L29" s="5"/>
      <c r="M29" s="118"/>
      <c r="N29" s="61"/>
      <c r="V29" s="6"/>
      <c r="W29" s="1">
        <f t="shared" si="2"/>
        <v>24</v>
      </c>
      <c r="X29" s="2">
        <f>'dati nascosti'!$B$5/70*W29</f>
        <v>1.3714285714285714</v>
      </c>
      <c r="Y29" s="3">
        <f>IF(X29&lt;'dati nascosti'!$B$13,'dati nascosti'!$B$11^2*'dati nascosti'!$B$10*LN('dati nascosti'!$B$13/'dati nascosti'!$B$12)*(7+'dati nascosti'!$B$10*LN('dati nascosti'!$B$13/'dati nascosti'!$B$12)),'dati nascosti'!$B$11^2*'dati nascosti'!$B$10*LN(X29/'dati nascosti'!$B$12)*(7+'dati nascosti'!$B$10*LN(X29/'dati nascosti'!$B$12)))</f>
        <v>1.7075234013198439</v>
      </c>
      <c r="Z29" s="2">
        <f>'dati nascosti'!$B$20*Y29*'dati nascosti'!$B$14*$B$10*'dati nascosti'!$B$15/1000</f>
        <v>0.33516592209063945</v>
      </c>
      <c r="AA29" s="2"/>
      <c r="AB29" s="2"/>
      <c r="AC29" s="2">
        <f>'dati nascosti'!$B$20*Y29*'dati nascosti'!$B$14*'dati nascosti'!$B$18/1000</f>
        <v>-0.67033184418127889</v>
      </c>
      <c r="AD29" s="2">
        <f t="shared" si="1"/>
        <v>1.9152338405179402E-2</v>
      </c>
      <c r="AE29" s="2"/>
      <c r="AF29" s="2"/>
      <c r="AG29" s="2">
        <f t="shared" si="3"/>
        <v>-3.8304676810358804E-2</v>
      </c>
      <c r="AJ29" s="106" t="s">
        <v>48</v>
      </c>
      <c r="AK29" s="129" t="s">
        <v>128</v>
      </c>
      <c r="AL29" s="125" t="s">
        <v>56</v>
      </c>
      <c r="AM29" s="125" t="s">
        <v>57</v>
      </c>
      <c r="AN29" s="125" t="s">
        <v>57</v>
      </c>
      <c r="AO29" s="130" t="s">
        <v>58</v>
      </c>
      <c r="AP29" s="130" t="s">
        <v>58</v>
      </c>
      <c r="AQ29" s="124"/>
      <c r="AR29"/>
      <c r="AS29"/>
    </row>
    <row r="30" spans="1:52" x14ac:dyDescent="0.25">
      <c r="I30" s="2"/>
      <c r="J30" s="6"/>
      <c r="K30" s="5"/>
      <c r="L30" s="5"/>
      <c r="V30" s="6"/>
      <c r="W30" s="1">
        <f t="shared" si="2"/>
        <v>25</v>
      </c>
      <c r="X30" s="2">
        <f>'dati nascosti'!$B$5/70*W30</f>
        <v>1.4285714285714286</v>
      </c>
      <c r="Y30" s="3">
        <f>IF(X30&lt;'dati nascosti'!$B$13,'dati nascosti'!$B$11^2*'dati nascosti'!$B$10*LN('dati nascosti'!$B$13/'dati nascosti'!$B$12)*(7+'dati nascosti'!$B$10*LN('dati nascosti'!$B$13/'dati nascosti'!$B$12)),'dati nascosti'!$B$11^2*'dati nascosti'!$B$10*LN(X30/'dati nascosti'!$B$12)*(7+'dati nascosti'!$B$10*LN(X30/'dati nascosti'!$B$12)))</f>
        <v>1.7075234013198439</v>
      </c>
      <c r="Z30" s="2">
        <f>'dati nascosti'!$B$20*Y30*'dati nascosti'!$B$14*$B$10*'dati nascosti'!$B$15/1000</f>
        <v>0.33516592209063945</v>
      </c>
      <c r="AA30" s="2"/>
      <c r="AB30" s="2"/>
      <c r="AC30" s="2">
        <f>'dati nascosti'!$B$20*Y30*'dati nascosti'!$B$14*'dati nascosti'!$B$18/1000</f>
        <v>-0.67033184418127889</v>
      </c>
      <c r="AD30" s="2">
        <f t="shared" si="1"/>
        <v>1.9152338405179402E-2</v>
      </c>
      <c r="AE30" s="2"/>
      <c r="AF30" s="2"/>
      <c r="AG30" s="2">
        <f t="shared" si="3"/>
        <v>-3.8304676810358804E-2</v>
      </c>
      <c r="AJ30" s="106" t="s">
        <v>50</v>
      </c>
      <c r="AK30" s="129" t="s">
        <v>55</v>
      </c>
      <c r="AL30" s="125" t="s">
        <v>56</v>
      </c>
      <c r="AM30" s="125" t="s">
        <v>56</v>
      </c>
      <c r="AN30" s="125" t="s">
        <v>56</v>
      </c>
      <c r="AO30" s="130" t="s">
        <v>57</v>
      </c>
      <c r="AP30" s="130" t="s">
        <v>57</v>
      </c>
      <c r="AQ30" s="124"/>
      <c r="AR30"/>
      <c r="AS30"/>
    </row>
    <row r="31" spans="1:52" x14ac:dyDescent="0.25">
      <c r="I31" s="2"/>
      <c r="J31" s="6"/>
      <c r="K31" s="5"/>
      <c r="L31" s="5"/>
      <c r="V31" s="6"/>
      <c r="W31" s="1">
        <f t="shared" si="2"/>
        <v>26</v>
      </c>
      <c r="X31" s="2">
        <f>'dati nascosti'!$B$5/70*W31</f>
        <v>1.4857142857142858</v>
      </c>
      <c r="Y31" s="3">
        <f>IF(X31&lt;'dati nascosti'!$B$13,'dati nascosti'!$B$11^2*'dati nascosti'!$B$10*LN('dati nascosti'!$B$13/'dati nascosti'!$B$12)*(7+'dati nascosti'!$B$10*LN('dati nascosti'!$B$13/'dati nascosti'!$B$12)),'dati nascosti'!$B$11^2*'dati nascosti'!$B$10*LN(X31/'dati nascosti'!$B$12)*(7+'dati nascosti'!$B$10*LN(X31/'dati nascosti'!$B$12)))</f>
        <v>1.7075234013198439</v>
      </c>
      <c r="Z31" s="2">
        <f>'dati nascosti'!$B$20*Y31*'dati nascosti'!$B$14*$B$10*'dati nascosti'!$B$15/1000</f>
        <v>0.33516592209063945</v>
      </c>
      <c r="AA31" s="2"/>
      <c r="AB31" s="2"/>
      <c r="AC31" s="2">
        <f>'dati nascosti'!$B$20*Y31*'dati nascosti'!$B$14*'dati nascosti'!$B$18/1000</f>
        <v>-0.67033184418127889</v>
      </c>
      <c r="AD31" s="2">
        <f t="shared" si="1"/>
        <v>1.9152338405179329E-2</v>
      </c>
      <c r="AE31" s="2"/>
      <c r="AF31" s="2"/>
      <c r="AG31" s="2">
        <f t="shared" si="3"/>
        <v>-3.8304676810358658E-2</v>
      </c>
      <c r="AJ31"/>
      <c r="AK31" s="341" t="s">
        <v>130</v>
      </c>
      <c r="AL31" s="341"/>
      <c r="AM31" s="341"/>
      <c r="AN31" s="341"/>
      <c r="AO31" s="341"/>
      <c r="AP31" s="341"/>
      <c r="AQ31" s="124"/>
      <c r="AR31"/>
      <c r="AS31"/>
    </row>
    <row r="32" spans="1:52" x14ac:dyDescent="0.25">
      <c r="I32" s="2"/>
      <c r="J32" s="6"/>
      <c r="K32" s="5"/>
      <c r="L32" s="5"/>
      <c r="V32" s="6"/>
      <c r="W32" s="1">
        <f t="shared" si="2"/>
        <v>27</v>
      </c>
      <c r="X32" s="2">
        <f>'dati nascosti'!$B$5/70*W32</f>
        <v>1.5428571428571427</v>
      </c>
      <c r="Y32" s="3">
        <f>IF(X32&lt;'dati nascosti'!$B$13,'dati nascosti'!$B$11^2*'dati nascosti'!$B$10*LN('dati nascosti'!$B$13/'dati nascosti'!$B$12)*(7+'dati nascosti'!$B$10*LN('dati nascosti'!$B$13/'dati nascosti'!$B$12)),'dati nascosti'!$B$11^2*'dati nascosti'!$B$10*LN(X32/'dati nascosti'!$B$12)*(7+'dati nascosti'!$B$10*LN(X32/'dati nascosti'!$B$12)))</f>
        <v>1.7075234013198439</v>
      </c>
      <c r="Z32" s="2">
        <f>'dati nascosti'!$B$20*Y32*'dati nascosti'!$B$14*$B$10*'dati nascosti'!$B$15/1000</f>
        <v>0.33516592209063945</v>
      </c>
      <c r="AA32" s="2"/>
      <c r="AB32" s="2"/>
      <c r="AC32" s="2">
        <f>'dati nascosti'!$B$20*Y32*'dati nascosti'!$B$14*'dati nascosti'!$B$18/1000</f>
        <v>-0.67033184418127889</v>
      </c>
      <c r="AD32" s="2">
        <f t="shared" si="1"/>
        <v>1.9152338405179402E-2</v>
      </c>
      <c r="AE32" s="2"/>
      <c r="AF32" s="2"/>
      <c r="AG32" s="2">
        <f t="shared" si="3"/>
        <v>-3.8304676810358804E-2</v>
      </c>
      <c r="AJ32" s="61"/>
      <c r="AK32" s="126" t="s">
        <v>125</v>
      </c>
      <c r="AL32" s="342" t="s">
        <v>126</v>
      </c>
      <c r="AM32" s="343"/>
      <c r="AN32" s="341" t="s">
        <v>127</v>
      </c>
      <c r="AO32" s="341"/>
      <c r="AP32" s="341"/>
      <c r="AQ32" s="124"/>
      <c r="AR32"/>
      <c r="AS32"/>
    </row>
    <row r="33" spans="1:45" x14ac:dyDescent="0.25">
      <c r="I33" s="2"/>
      <c r="J33" s="6"/>
      <c r="K33" s="5"/>
      <c r="L33" s="5"/>
      <c r="V33" s="6"/>
      <c r="W33" s="1">
        <f t="shared" si="2"/>
        <v>28</v>
      </c>
      <c r="X33" s="2">
        <f>'dati nascosti'!$B$5/70*W33</f>
        <v>1.5999999999999999</v>
      </c>
      <c r="Y33" s="3">
        <f>IF(X33&lt;'dati nascosti'!$B$13,'dati nascosti'!$B$11^2*'dati nascosti'!$B$10*LN('dati nascosti'!$B$13/'dati nascosti'!$B$12)*(7+'dati nascosti'!$B$10*LN('dati nascosti'!$B$13/'dati nascosti'!$B$12)),'dati nascosti'!$B$11^2*'dati nascosti'!$B$10*LN(X33/'dati nascosti'!$B$12)*(7+'dati nascosti'!$B$10*LN(X33/'dati nascosti'!$B$12)))</f>
        <v>1.7075234013198439</v>
      </c>
      <c r="Z33" s="2">
        <f>'dati nascosti'!$B$20*Y33*'dati nascosti'!$B$14*$B$10*'dati nascosti'!$B$15/1000</f>
        <v>0.33516592209063945</v>
      </c>
      <c r="AA33" s="2"/>
      <c r="AB33" s="2"/>
      <c r="AC33" s="2">
        <f>'dati nascosti'!$B$20*Y33*'dati nascosti'!$B$14*'dati nascosti'!$B$18/1000</f>
        <v>-0.67033184418127889</v>
      </c>
      <c r="AD33" s="2">
        <f t="shared" si="1"/>
        <v>1.9152338405179402E-2</v>
      </c>
      <c r="AE33" s="2"/>
      <c r="AF33" s="2"/>
      <c r="AG33" s="2">
        <f t="shared" si="3"/>
        <v>-3.8304676810358804E-2</v>
      </c>
      <c r="AJ33" s="61"/>
      <c r="AK33" s="106">
        <v>2</v>
      </c>
      <c r="AL33" s="127">
        <v>10</v>
      </c>
      <c r="AM33" s="127">
        <v>30</v>
      </c>
      <c r="AN33" s="106">
        <v>500</v>
      </c>
      <c r="AO33" s="128">
        <v>750</v>
      </c>
      <c r="AP33" s="128">
        <v>10000</v>
      </c>
      <c r="AQ33" s="124"/>
      <c r="AR33"/>
      <c r="AS33"/>
    </row>
    <row r="34" spans="1:45" x14ac:dyDescent="0.25">
      <c r="A34" t="s">
        <v>92</v>
      </c>
      <c r="B34"/>
      <c r="C34"/>
      <c r="D34"/>
      <c r="E34"/>
      <c r="F34"/>
      <c r="I34" s="2"/>
      <c r="J34" s="6"/>
      <c r="K34" s="5"/>
      <c r="L34" s="5"/>
      <c r="V34" s="6"/>
      <c r="W34" s="1">
        <f t="shared" si="2"/>
        <v>29</v>
      </c>
      <c r="X34" s="2">
        <f>'dati nascosti'!$B$5/70*W34</f>
        <v>1.657142857142857</v>
      </c>
      <c r="Y34" s="3">
        <f>IF(X34&lt;'dati nascosti'!$B$13,'dati nascosti'!$B$11^2*'dati nascosti'!$B$10*LN('dati nascosti'!$B$13/'dati nascosti'!$B$12)*(7+'dati nascosti'!$B$10*LN('dati nascosti'!$B$13/'dati nascosti'!$B$12)),'dati nascosti'!$B$11^2*'dati nascosti'!$B$10*LN(X34/'dati nascosti'!$B$12)*(7+'dati nascosti'!$B$10*LN(X34/'dati nascosti'!$B$12)))</f>
        <v>1.7075234013198439</v>
      </c>
      <c r="Z34" s="2">
        <f>'dati nascosti'!$B$20*Y34*'dati nascosti'!$B$14*$B$10*'dati nascosti'!$B$15/1000</f>
        <v>0.33516592209063945</v>
      </c>
      <c r="AA34" s="2"/>
      <c r="AB34" s="2"/>
      <c r="AC34" s="2">
        <f>'dati nascosti'!$B$20*Y34*'dati nascosti'!$B$14*'dati nascosti'!$B$18/1000</f>
        <v>-0.67033184418127889</v>
      </c>
      <c r="AD34" s="2">
        <f t="shared" si="1"/>
        <v>1.9152338405179402E-2</v>
      </c>
      <c r="AE34" s="2"/>
      <c r="AF34" s="2"/>
      <c r="AG34" s="2">
        <f t="shared" si="3"/>
        <v>-3.8304676810358804E-2</v>
      </c>
      <c r="AJ34" s="106" t="s">
        <v>46</v>
      </c>
      <c r="AK34" s="129" t="s">
        <v>128</v>
      </c>
      <c r="AL34" s="125" t="s">
        <v>58</v>
      </c>
      <c r="AM34" s="125" t="s">
        <v>58</v>
      </c>
      <c r="AN34" s="125" t="s">
        <v>59</v>
      </c>
      <c r="AO34" s="130" t="s">
        <v>59</v>
      </c>
      <c r="AP34" s="130" t="s">
        <v>59</v>
      </c>
      <c r="AQ34" s="124"/>
      <c r="AR34"/>
      <c r="AS34"/>
    </row>
    <row r="35" spans="1:45" x14ac:dyDescent="0.25">
      <c r="A35" s="26"/>
      <c r="B35" s="27" t="s">
        <v>174</v>
      </c>
      <c r="C35" s="61">
        <v>1</v>
      </c>
      <c r="D35" s="27"/>
      <c r="E35" s="27"/>
      <c r="F35" s="28"/>
      <c r="I35" s="2"/>
      <c r="J35" s="6"/>
      <c r="K35" s="5"/>
      <c r="L35" s="5"/>
      <c r="V35" s="6"/>
      <c r="W35" s="1">
        <f t="shared" si="2"/>
        <v>30</v>
      </c>
      <c r="X35" s="2">
        <f>'dati nascosti'!$B$5/70*W35</f>
        <v>1.7142857142857142</v>
      </c>
      <c r="Y35" s="3">
        <f>IF(X35&lt;'dati nascosti'!$B$13,'dati nascosti'!$B$11^2*'dati nascosti'!$B$10*LN('dati nascosti'!$B$13/'dati nascosti'!$B$12)*(7+'dati nascosti'!$B$10*LN('dati nascosti'!$B$13/'dati nascosti'!$B$12)),'dati nascosti'!$B$11^2*'dati nascosti'!$B$10*LN(X35/'dati nascosti'!$B$12)*(7+'dati nascosti'!$B$10*LN(X35/'dati nascosti'!$B$12)))</f>
        <v>1.7075234013198439</v>
      </c>
      <c r="Z35" s="2">
        <f>'dati nascosti'!$B$20*Y35*'dati nascosti'!$B$14*$B$10*'dati nascosti'!$B$15/1000</f>
        <v>0.33516592209063945</v>
      </c>
      <c r="AA35" s="2"/>
      <c r="AB35" s="2"/>
      <c r="AC35" s="2">
        <f>'dati nascosti'!$B$20*Y35*'dati nascosti'!$B$14*'dati nascosti'!$B$18/1000</f>
        <v>-0.67033184418127889</v>
      </c>
      <c r="AD35" s="2">
        <f t="shared" si="1"/>
        <v>1.9152338405179402E-2</v>
      </c>
      <c r="AE35" s="2"/>
      <c r="AF35" s="2"/>
      <c r="AG35" s="2">
        <f t="shared" si="3"/>
        <v>-3.8304676810358804E-2</v>
      </c>
      <c r="AJ35" s="106" t="s">
        <v>47</v>
      </c>
      <c r="AK35" s="129" t="s">
        <v>128</v>
      </c>
      <c r="AL35" s="125" t="s">
        <v>57</v>
      </c>
      <c r="AM35" s="125" t="s">
        <v>57</v>
      </c>
      <c r="AN35" s="125" t="s">
        <v>58</v>
      </c>
      <c r="AO35" s="130" t="s">
        <v>58</v>
      </c>
      <c r="AP35" s="130" t="s">
        <v>58</v>
      </c>
      <c r="AQ35" s="124"/>
      <c r="AR35"/>
      <c r="AS35"/>
    </row>
    <row r="36" spans="1:45" x14ac:dyDescent="0.25">
      <c r="A36" s="29">
        <v>1</v>
      </c>
      <c r="B36" s="25" t="s">
        <v>177</v>
      </c>
      <c r="C36" s="61">
        <f>1+'CALCOLO DEL VENTO NTC18'!F153*'CALCOLO DEL VENTO NTC18'!F154</f>
        <v>1.5</v>
      </c>
      <c r="D36" s="25"/>
      <c r="E36" s="25"/>
      <c r="F36" s="30"/>
      <c r="I36" s="2"/>
      <c r="J36" s="6"/>
      <c r="K36" s="5"/>
      <c r="L36" s="5"/>
      <c r="V36" s="6"/>
      <c r="W36" s="1">
        <f t="shared" si="2"/>
        <v>31</v>
      </c>
      <c r="X36" s="2">
        <f>'dati nascosti'!$B$5/70*W36</f>
        <v>1.7714285714285714</v>
      </c>
      <c r="Y36" s="3">
        <f>IF(X36&lt;'dati nascosti'!$B$13,'dati nascosti'!$B$11^2*'dati nascosti'!$B$10*LN('dati nascosti'!$B$13/'dati nascosti'!$B$12)*(7+'dati nascosti'!$B$10*LN('dati nascosti'!$B$13/'dati nascosti'!$B$12)),'dati nascosti'!$B$11^2*'dati nascosti'!$B$10*LN(X36/'dati nascosti'!$B$12)*(7+'dati nascosti'!$B$10*LN(X36/'dati nascosti'!$B$12)))</f>
        <v>1.7075234013198439</v>
      </c>
      <c r="Z36" s="2">
        <f>'dati nascosti'!$B$20*Y36*'dati nascosti'!$B$14*$B$10*'dati nascosti'!$B$15/1000</f>
        <v>0.33516592209063945</v>
      </c>
      <c r="AA36" s="2"/>
      <c r="AB36" s="2"/>
      <c r="AC36" s="2">
        <f>'dati nascosti'!$B$20*Y36*'dati nascosti'!$B$14*'dati nascosti'!$B$18/1000</f>
        <v>-0.67033184418127889</v>
      </c>
      <c r="AD36" s="2">
        <f t="shared" si="1"/>
        <v>1.9152338405179402E-2</v>
      </c>
      <c r="AE36" s="2"/>
      <c r="AF36" s="2"/>
      <c r="AG36" s="2">
        <f t="shared" si="3"/>
        <v>-3.8304676810358804E-2</v>
      </c>
      <c r="AJ36" s="106" t="s">
        <v>48</v>
      </c>
      <c r="AK36" s="129" t="s">
        <v>128</v>
      </c>
      <c r="AL36" s="125" t="s">
        <v>57</v>
      </c>
      <c r="AM36" s="125" t="s">
        <v>57</v>
      </c>
      <c r="AN36" s="125" t="s">
        <v>57</v>
      </c>
      <c r="AO36" s="130" t="s">
        <v>58</v>
      </c>
      <c r="AP36" s="130" t="s">
        <v>58</v>
      </c>
      <c r="AQ36" s="124"/>
      <c r="AR36"/>
      <c r="AS36"/>
    </row>
    <row r="37" spans="1:45" x14ac:dyDescent="0.25">
      <c r="A37" s="29">
        <v>2</v>
      </c>
      <c r="B37" s="25" t="s">
        <v>175</v>
      </c>
      <c r="C37" s="61">
        <f>IF((1+'CALCOLO DEL VENTO NTC18'!F153*'CALCOLO DEL VENTO NTC18'!F154*(1-0.1*'CALCOLO DEL VENTO NTC18'!C156/'CALCOLO DEL VENTO NTC18'!C155))&gt;=1,(1+'CALCOLO DEL VENTO NTC18'!F153*'CALCOLO DEL VENTO NTC18'!F154*(1-0.1*'CALCOLO DEL VENTO NTC18'!C156/'CALCOLO DEL VENTO NTC18'!C155)),1)</f>
        <v>1.45</v>
      </c>
      <c r="D37" s="25"/>
      <c r="E37" s="25"/>
      <c r="F37" s="30"/>
      <c r="I37" s="2"/>
      <c r="J37" s="6"/>
      <c r="K37" s="5"/>
      <c r="L37" s="5"/>
      <c r="V37" s="6"/>
      <c r="W37" s="1">
        <f t="shared" si="2"/>
        <v>32</v>
      </c>
      <c r="X37" s="2">
        <f>'dati nascosti'!$B$5/70*W37</f>
        <v>1.8285714285714285</v>
      </c>
      <c r="Y37" s="3">
        <f>IF(X37&lt;'dati nascosti'!$B$13,'dati nascosti'!$B$11^2*'dati nascosti'!$B$10*LN('dati nascosti'!$B$13/'dati nascosti'!$B$12)*(7+'dati nascosti'!$B$10*LN('dati nascosti'!$B$13/'dati nascosti'!$B$12)),'dati nascosti'!$B$11^2*'dati nascosti'!$B$10*LN(X37/'dati nascosti'!$B$12)*(7+'dati nascosti'!$B$10*LN(X37/'dati nascosti'!$B$12)))</f>
        <v>1.7075234013198439</v>
      </c>
      <c r="Z37" s="2">
        <f>'dati nascosti'!$B$20*Y37*'dati nascosti'!$B$14*$B$10*'dati nascosti'!$B$15/1000</f>
        <v>0.33516592209063945</v>
      </c>
      <c r="AA37" s="2"/>
      <c r="AB37" s="2"/>
      <c r="AC37" s="2">
        <f>'dati nascosti'!$B$20*Y37*'dati nascosti'!$B$14*'dati nascosti'!$B$18/1000</f>
        <v>-0.67033184418127889</v>
      </c>
      <c r="AD37" s="2">
        <f t="shared" si="1"/>
        <v>1.9152338405179402E-2</v>
      </c>
      <c r="AE37" s="2"/>
      <c r="AF37" s="2"/>
      <c r="AG37" s="2">
        <f t="shared" si="3"/>
        <v>-3.8304676810358804E-2</v>
      </c>
      <c r="AJ37" s="106" t="s">
        <v>50</v>
      </c>
      <c r="AK37" s="129" t="s">
        <v>55</v>
      </c>
      <c r="AL37" s="125" t="s">
        <v>56</v>
      </c>
      <c r="AM37" s="125" t="s">
        <v>56</v>
      </c>
      <c r="AN37" s="125" t="s">
        <v>56</v>
      </c>
      <c r="AO37" s="130" t="s">
        <v>57</v>
      </c>
      <c r="AP37" s="130" t="s">
        <v>57</v>
      </c>
      <c r="AQ37" s="124"/>
      <c r="AR37"/>
      <c r="AS37"/>
    </row>
    <row r="38" spans="1:45" x14ac:dyDescent="0.25">
      <c r="A38" s="29">
        <v>3</v>
      </c>
      <c r="B38" s="25" t="s">
        <v>176</v>
      </c>
      <c r="C38" s="61">
        <f>1+'CALCOLO DEL VENTO NTC18'!F153*'CALCOLO DEL VENTO NTC18'!F154*'CALCOLO DEL VENTO NTC18'!C155/'CALCOLO DEL VENTO NTC18'!C153</f>
        <v>1.02</v>
      </c>
      <c r="D38" s="25"/>
      <c r="E38" s="25"/>
      <c r="F38" s="30"/>
      <c r="I38" s="2"/>
      <c r="J38" s="6"/>
      <c r="K38" s="6"/>
      <c r="L38" s="6"/>
      <c r="V38" s="6"/>
      <c r="W38" s="1">
        <f t="shared" ref="W38:W69" si="4">W37+1</f>
        <v>33</v>
      </c>
      <c r="X38" s="2">
        <f>'dati nascosti'!$B$5/70*W38</f>
        <v>1.8857142857142857</v>
      </c>
      <c r="Y38" s="3">
        <f>IF(X38&lt;'dati nascosti'!$B$13,'dati nascosti'!$B$11^2*'dati nascosti'!$B$10*LN('dati nascosti'!$B$13/'dati nascosti'!$B$12)*(7+'dati nascosti'!$B$10*LN('dati nascosti'!$B$13/'dati nascosti'!$B$12)),'dati nascosti'!$B$11^2*'dati nascosti'!$B$10*LN(X38/'dati nascosti'!$B$12)*(7+'dati nascosti'!$B$10*LN(X38/'dati nascosti'!$B$12)))</f>
        <v>1.7075234013198439</v>
      </c>
      <c r="Z38" s="2">
        <f>'dati nascosti'!$B$20*Y38*'dati nascosti'!$B$14*$B$10*'dati nascosti'!$B$15/1000</f>
        <v>0.33516592209063945</v>
      </c>
      <c r="AA38" s="2"/>
      <c r="AB38" s="2"/>
      <c r="AC38" s="2">
        <f>'dati nascosti'!$B$20*Y38*'dati nascosti'!$B$14*'dati nascosti'!$B$18/1000</f>
        <v>-0.67033184418127889</v>
      </c>
      <c r="AD38" s="2">
        <f t="shared" si="1"/>
        <v>1.9152338405179402E-2</v>
      </c>
      <c r="AE38" s="2"/>
      <c r="AF38" s="2"/>
      <c r="AG38" s="2">
        <f t="shared" si="3"/>
        <v>-3.8304676810358804E-2</v>
      </c>
      <c r="AJ38" s="61"/>
      <c r="AK38" s="341" t="s">
        <v>131</v>
      </c>
      <c r="AL38" s="341"/>
      <c r="AM38" s="341"/>
      <c r="AN38" s="341"/>
      <c r="AO38" s="341"/>
      <c r="AP38" s="341"/>
      <c r="AQ38" s="124"/>
      <c r="AR38"/>
      <c r="AS38"/>
    </row>
    <row r="39" spans="1:45" x14ac:dyDescent="0.25">
      <c r="A39" s="29"/>
      <c r="B39" s="25"/>
      <c r="C39" s="25"/>
      <c r="D39" s="25"/>
      <c r="E39" s="25"/>
      <c r="F39" s="30"/>
      <c r="I39" s="2"/>
      <c r="J39" s="6"/>
      <c r="K39" s="5"/>
      <c r="L39" s="5"/>
      <c r="V39" s="6"/>
      <c r="W39" s="1">
        <f t="shared" si="4"/>
        <v>34</v>
      </c>
      <c r="X39" s="2">
        <f>'dati nascosti'!$B$5/70*W39</f>
        <v>1.9428571428571428</v>
      </c>
      <c r="Y39" s="3">
        <f>IF(X39&lt;'dati nascosti'!$B$13,'dati nascosti'!$B$11^2*'dati nascosti'!$B$10*LN('dati nascosti'!$B$13/'dati nascosti'!$B$12)*(7+'dati nascosti'!$B$10*LN('dati nascosti'!$B$13/'dati nascosti'!$B$12)),'dati nascosti'!$B$11^2*'dati nascosti'!$B$10*LN(X39/'dati nascosti'!$B$12)*(7+'dati nascosti'!$B$10*LN(X39/'dati nascosti'!$B$12)))</f>
        <v>1.7075234013198439</v>
      </c>
      <c r="Z39" s="2">
        <f>'dati nascosti'!$B$20*Y39*'dati nascosti'!$B$14*$B$10*'dati nascosti'!$B$15/1000</f>
        <v>0.33516592209063945</v>
      </c>
      <c r="AA39" s="2"/>
      <c r="AB39" s="2"/>
      <c r="AC39" s="2">
        <f>'dati nascosti'!$B$20*Y39*'dati nascosti'!$B$14*'dati nascosti'!$B$18/1000</f>
        <v>-0.67033184418127889</v>
      </c>
      <c r="AD39" s="2">
        <f t="shared" si="1"/>
        <v>1.9152338405179402E-2</v>
      </c>
      <c r="AE39" s="2"/>
      <c r="AF39" s="2"/>
      <c r="AG39" s="2">
        <f t="shared" si="3"/>
        <v>-3.8304676810358804E-2</v>
      </c>
      <c r="AJ39" s="61"/>
      <c r="AK39" s="126" t="s">
        <v>125</v>
      </c>
      <c r="AL39" s="342" t="s">
        <v>126</v>
      </c>
      <c r="AM39" s="343"/>
      <c r="AN39" s="341" t="s">
        <v>127</v>
      </c>
      <c r="AO39" s="341"/>
      <c r="AP39" s="341"/>
      <c r="AQ39" s="124"/>
      <c r="AR39"/>
      <c r="AS39"/>
    </row>
    <row r="40" spans="1:45" x14ac:dyDescent="0.25">
      <c r="A40" s="29"/>
      <c r="B40" s="25"/>
      <c r="C40" s="31" t="s">
        <v>90</v>
      </c>
      <c r="D40" s="31" t="s">
        <v>91</v>
      </c>
      <c r="E40" s="25"/>
      <c r="F40" s="30"/>
      <c r="I40" s="2"/>
      <c r="J40" s="6"/>
      <c r="K40" s="5"/>
      <c r="L40" s="5"/>
      <c r="V40" s="6"/>
      <c r="W40" s="1">
        <f t="shared" si="4"/>
        <v>35</v>
      </c>
      <c r="X40" s="2">
        <f>'dati nascosti'!$B$5/70*W40</f>
        <v>2</v>
      </c>
      <c r="Y40" s="3">
        <f>IF(X40&lt;'dati nascosti'!$B$13,'dati nascosti'!$B$11^2*'dati nascosti'!$B$10*LN('dati nascosti'!$B$13/'dati nascosti'!$B$12)*(7+'dati nascosti'!$B$10*LN('dati nascosti'!$B$13/'dati nascosti'!$B$12)),'dati nascosti'!$B$11^2*'dati nascosti'!$B$10*LN(X40/'dati nascosti'!$B$12)*(7+'dati nascosti'!$B$10*LN(X40/'dati nascosti'!$B$12)))</f>
        <v>1.7075234013198439</v>
      </c>
      <c r="Z40" s="2">
        <f>'dati nascosti'!$B$20*Y40*'dati nascosti'!$B$14*$B$10*'dati nascosti'!$B$15/1000</f>
        <v>0.33516592209063945</v>
      </c>
      <c r="AA40" s="2"/>
      <c r="AB40" s="2"/>
      <c r="AC40" s="2">
        <f>'dati nascosti'!$B$20*Y40*'dati nascosti'!$B$14*'dati nascosti'!$B$18/1000</f>
        <v>-0.67033184418127889</v>
      </c>
      <c r="AD40" s="2">
        <f t="shared" si="1"/>
        <v>1.9152338405179329E-2</v>
      </c>
      <c r="AE40" s="2"/>
      <c r="AF40" s="2"/>
      <c r="AG40" s="2">
        <f t="shared" si="3"/>
        <v>-3.8304676810358658E-2</v>
      </c>
      <c r="AJ40"/>
      <c r="AK40" s="106">
        <v>2</v>
      </c>
      <c r="AL40" s="127">
        <v>10</v>
      </c>
      <c r="AM40" s="127">
        <v>30</v>
      </c>
      <c r="AN40" s="106">
        <v>500</v>
      </c>
      <c r="AO40" s="128">
        <v>10000</v>
      </c>
      <c r="AP40" s="128"/>
      <c r="AQ40" s="124"/>
      <c r="AR40"/>
      <c r="AS40"/>
    </row>
    <row r="41" spans="1:45" x14ac:dyDescent="0.25">
      <c r="A41" s="29"/>
      <c r="B41" s="25"/>
      <c r="C41" s="31">
        <f>'CALCOLO DEL VENTO NTC18'!G72/'CALCOLO DEL VENTO NTC18'!C153</f>
        <v>1.6E-2</v>
      </c>
      <c r="D41" s="31">
        <f>'CALCOLO DEL VENTO NTC18'!C153/'CALCOLO DEL VENTO NTC18'!C154</f>
        <v>8.3333333333333339</v>
      </c>
      <c r="E41" s="25"/>
      <c r="F41" s="30"/>
      <c r="I41" s="2"/>
      <c r="J41" s="6"/>
      <c r="K41" s="5"/>
      <c r="L41" s="5"/>
      <c r="V41" s="6"/>
      <c r="W41" s="1">
        <f t="shared" si="4"/>
        <v>36</v>
      </c>
      <c r="X41" s="2">
        <f>'dati nascosti'!$B$5/70*W41</f>
        <v>2.0571428571428569</v>
      </c>
      <c r="Y41" s="3">
        <f>IF(X41&lt;'dati nascosti'!$B$13,'dati nascosti'!$B$11^2*'dati nascosti'!$B$10*LN('dati nascosti'!$B$13/'dati nascosti'!$B$12)*(7+'dati nascosti'!$B$10*LN('dati nascosti'!$B$13/'dati nascosti'!$B$12)),'dati nascosti'!$B$11^2*'dati nascosti'!$B$10*LN(X41/'dati nascosti'!$B$12)*(7+'dati nascosti'!$B$10*LN(X41/'dati nascosti'!$B$12)))</f>
        <v>1.7075234013198439</v>
      </c>
      <c r="Z41" s="2">
        <f>'dati nascosti'!$B$20*Y41*'dati nascosti'!$B$14*$B$10*'dati nascosti'!$B$15/1000</f>
        <v>0.33516592209063945</v>
      </c>
      <c r="AA41" s="2"/>
      <c r="AB41" s="2"/>
      <c r="AC41" s="2">
        <f>'dati nascosti'!$B$20*Y41*'dati nascosti'!$B$14*'dati nascosti'!$B$18/1000</f>
        <v>-0.67033184418127889</v>
      </c>
      <c r="AD41" s="2">
        <f t="shared" si="1"/>
        <v>1.9152338405179478E-2</v>
      </c>
      <c r="AE41" s="2"/>
      <c r="AF41" s="2"/>
      <c r="AG41" s="2">
        <f t="shared" si="3"/>
        <v>-3.8304676810358956E-2</v>
      </c>
      <c r="AJ41" s="106" t="s">
        <v>46</v>
      </c>
      <c r="AK41" s="129" t="s">
        <v>128</v>
      </c>
      <c r="AL41" s="125" t="s">
        <v>57</v>
      </c>
      <c r="AM41" s="125" t="s">
        <v>58</v>
      </c>
      <c r="AN41" s="125" t="s">
        <v>59</v>
      </c>
      <c r="AO41" s="130" t="s">
        <v>59</v>
      </c>
      <c r="AP41"/>
      <c r="AQ41" s="124"/>
      <c r="AR41"/>
      <c r="AS41"/>
    </row>
    <row r="42" spans="1:45" x14ac:dyDescent="0.25">
      <c r="A42" s="29"/>
      <c r="B42" s="25"/>
      <c r="C42" s="25"/>
      <c r="D42" s="25"/>
      <c r="E42" s="25"/>
      <c r="F42" s="30"/>
      <c r="I42" s="2"/>
      <c r="J42" s="6"/>
      <c r="K42" s="5"/>
      <c r="L42" s="5"/>
      <c r="V42" s="6"/>
      <c r="W42" s="1">
        <f t="shared" si="4"/>
        <v>37</v>
      </c>
      <c r="X42" s="2">
        <f>'dati nascosti'!$B$5/70*W42</f>
        <v>2.1142857142857143</v>
      </c>
      <c r="Y42" s="3">
        <f>IF(X42&lt;'dati nascosti'!$B$13,'dati nascosti'!$B$11^2*'dati nascosti'!$B$10*LN('dati nascosti'!$B$13/'dati nascosti'!$B$12)*(7+'dati nascosti'!$B$10*LN('dati nascosti'!$B$13/'dati nascosti'!$B$12)),'dati nascosti'!$B$11^2*'dati nascosti'!$B$10*LN(X42/'dati nascosti'!$B$12)*(7+'dati nascosti'!$B$10*LN(X42/'dati nascosti'!$B$12)))</f>
        <v>1.7075234013198439</v>
      </c>
      <c r="Z42" s="2">
        <f>'dati nascosti'!$B$20*Y42*'dati nascosti'!$B$14*$B$10*'dati nascosti'!$B$15/1000</f>
        <v>0.33516592209063945</v>
      </c>
      <c r="AA42" s="2"/>
      <c r="AB42" s="2"/>
      <c r="AC42" s="2">
        <f>'dati nascosti'!$B$20*Y42*'dati nascosti'!$B$14*'dati nascosti'!$B$18/1000</f>
        <v>-0.67033184418127889</v>
      </c>
      <c r="AD42" s="2">
        <f t="shared" si="1"/>
        <v>1.9152338405179329E-2</v>
      </c>
      <c r="AE42" s="2"/>
      <c r="AF42" s="2"/>
      <c r="AG42" s="2">
        <f t="shared" si="3"/>
        <v>-3.8304676810358658E-2</v>
      </c>
      <c r="AJ42" s="106" t="s">
        <v>47</v>
      </c>
      <c r="AK42" s="129" t="s">
        <v>128</v>
      </c>
      <c r="AL42" s="125" t="s">
        <v>56</v>
      </c>
      <c r="AM42" s="125" t="s">
        <v>57</v>
      </c>
      <c r="AN42" s="125" t="s">
        <v>58</v>
      </c>
      <c r="AO42" s="130" t="s">
        <v>58</v>
      </c>
      <c r="AP42"/>
      <c r="AQ42" s="124"/>
      <c r="AR42"/>
      <c r="AS42"/>
    </row>
    <row r="43" spans="1:45" x14ac:dyDescent="0.25">
      <c r="A43" s="29"/>
      <c r="B43" s="25"/>
      <c r="C43" s="31">
        <v>1</v>
      </c>
      <c r="D43" s="31">
        <v>2</v>
      </c>
      <c r="E43" s="31">
        <v>3</v>
      </c>
      <c r="F43" s="30"/>
      <c r="I43" s="2"/>
      <c r="J43" s="6"/>
      <c r="K43" s="5"/>
      <c r="L43" s="5"/>
      <c r="V43" s="6"/>
      <c r="W43" s="1">
        <f t="shared" si="4"/>
        <v>38</v>
      </c>
      <c r="X43" s="2">
        <f>'dati nascosti'!$B$5/70*W43</f>
        <v>2.1714285714285713</v>
      </c>
      <c r="Y43" s="3">
        <f>IF(X43&lt;'dati nascosti'!$B$13,'dati nascosti'!$B$11^2*'dati nascosti'!$B$10*LN('dati nascosti'!$B$13/'dati nascosti'!$B$12)*(7+'dati nascosti'!$B$10*LN('dati nascosti'!$B$13/'dati nascosti'!$B$12)),'dati nascosti'!$B$11^2*'dati nascosti'!$B$10*LN(X43/'dati nascosti'!$B$12)*(7+'dati nascosti'!$B$10*LN(X43/'dati nascosti'!$B$12)))</f>
        <v>1.7075234013198439</v>
      </c>
      <c r="Z43" s="2">
        <f>'dati nascosti'!$B$20*Y43*'dati nascosti'!$B$14*$B$10*'dati nascosti'!$B$15/1000</f>
        <v>0.33516592209063945</v>
      </c>
      <c r="AA43" s="2"/>
      <c r="AB43" s="2"/>
      <c r="AC43" s="2">
        <f>'dati nascosti'!$B$20*Y43*'dati nascosti'!$B$14*'dati nascosti'!$B$18/1000</f>
        <v>-0.67033184418127889</v>
      </c>
      <c r="AD43" s="2">
        <f t="shared" si="1"/>
        <v>1.9152338405179478E-2</v>
      </c>
      <c r="AE43" s="2"/>
      <c r="AF43" s="2"/>
      <c r="AG43" s="2">
        <f t="shared" si="3"/>
        <v>-3.8304676810358956E-2</v>
      </c>
      <c r="AJ43" s="106" t="s">
        <v>48</v>
      </c>
      <c r="AK43" s="129" t="s">
        <v>128</v>
      </c>
      <c r="AL43" s="125" t="s">
        <v>56</v>
      </c>
      <c r="AM43" s="125" t="s">
        <v>57</v>
      </c>
      <c r="AN43" s="125" t="s">
        <v>57</v>
      </c>
      <c r="AO43" s="130" t="s">
        <v>58</v>
      </c>
      <c r="AP43"/>
      <c r="AQ43" s="124"/>
      <c r="AR43"/>
      <c r="AS43"/>
    </row>
    <row r="44" spans="1:45" x14ac:dyDescent="0.25">
      <c r="A44" s="32"/>
      <c r="B44" s="33"/>
      <c r="C44" s="34">
        <f>1+'CALCOLO DEL VENTO NTC18'!F153*'CALCOLO DEL VENTO NTC18'!F154</f>
        <v>1.5</v>
      </c>
      <c r="D44" s="34">
        <f>IF((1+'CALCOLO DEL VENTO NTC18'!F153*'CALCOLO DEL VENTO NTC18'!F154*(1-0.1*'CALCOLO DEL VENTO NTC18'!C156/'CALCOLO DEL VENTO NTC18'!C153))&gt;=1,(1+'CALCOLO DEL VENTO NTC18'!F153*'CALCOLO DEL VENTO NTC18'!F154*(1-0.1*'CALCOLO DEL VENTO NTC18'!C156/'CALCOLO DEL VENTO NTC18'!C153)),1)</f>
        <v>1.498</v>
      </c>
      <c r="E44" s="34">
        <f>1+'CALCOLO DEL VENTO NTC18'!F153*'CALCOLO DEL VENTO NTC18'!F154*'CALCOLO DEL VENTO NTC18'!C155/'CALCOLO DEL VENTO NTC18'!C153</f>
        <v>1.02</v>
      </c>
      <c r="F44" s="35"/>
      <c r="I44" s="2"/>
      <c r="J44" s="6"/>
      <c r="K44" s="5"/>
      <c r="L44" s="5"/>
      <c r="V44" s="6"/>
      <c r="W44" s="1">
        <f t="shared" si="4"/>
        <v>39</v>
      </c>
      <c r="X44" s="2">
        <f>'dati nascosti'!$B$5/70*W44</f>
        <v>2.2285714285714286</v>
      </c>
      <c r="Y44" s="3">
        <f>IF(X44&lt;'dati nascosti'!$B$13,'dati nascosti'!$B$11^2*'dati nascosti'!$B$10*LN('dati nascosti'!$B$13/'dati nascosti'!$B$12)*(7+'dati nascosti'!$B$10*LN('dati nascosti'!$B$13/'dati nascosti'!$B$12)),'dati nascosti'!$B$11^2*'dati nascosti'!$B$10*LN(X44/'dati nascosti'!$B$12)*(7+'dati nascosti'!$B$10*LN(X44/'dati nascosti'!$B$12)))</f>
        <v>1.7075234013198439</v>
      </c>
      <c r="Z44" s="2">
        <f>'dati nascosti'!$B$20*Y44*'dati nascosti'!$B$14*$B$10*'dati nascosti'!$B$15/1000</f>
        <v>0.33516592209063945</v>
      </c>
      <c r="AA44" s="2"/>
      <c r="AB44" s="2"/>
      <c r="AC44" s="2">
        <f>'dati nascosti'!$B$20*Y44*'dati nascosti'!$B$14*'dati nascosti'!$B$18/1000</f>
        <v>-0.67033184418127889</v>
      </c>
      <c r="AD44" s="2">
        <f t="shared" si="1"/>
        <v>1.9152338405179329E-2</v>
      </c>
      <c r="AE44" s="2"/>
      <c r="AF44" s="2"/>
      <c r="AG44" s="2">
        <f t="shared" si="3"/>
        <v>-3.8304676810358658E-2</v>
      </c>
      <c r="AJ44" s="106" t="s">
        <v>50</v>
      </c>
      <c r="AK44" s="129" t="s">
        <v>55</v>
      </c>
      <c r="AL44" s="125" t="s">
        <v>55</v>
      </c>
      <c r="AM44" s="125" t="s">
        <v>56</v>
      </c>
      <c r="AN44" s="125" t="s">
        <v>56</v>
      </c>
      <c r="AO44" s="130" t="s">
        <v>57</v>
      </c>
      <c r="AP44"/>
      <c r="AQ44" s="124"/>
      <c r="AR44"/>
      <c r="AS44"/>
    </row>
    <row r="45" spans="1:45" x14ac:dyDescent="0.25">
      <c r="I45" s="2"/>
      <c r="J45" s="6"/>
      <c r="K45" s="5"/>
      <c r="L45" s="5"/>
      <c r="V45" s="6"/>
      <c r="W45" s="1">
        <f t="shared" si="4"/>
        <v>40</v>
      </c>
      <c r="X45" s="2">
        <f>'dati nascosti'!$B$5/70*W45</f>
        <v>2.2857142857142856</v>
      </c>
      <c r="Y45" s="3">
        <f>IF(X45&lt;'dati nascosti'!$B$13,'dati nascosti'!$B$11^2*'dati nascosti'!$B$10*LN('dati nascosti'!$B$13/'dati nascosti'!$B$12)*(7+'dati nascosti'!$B$10*LN('dati nascosti'!$B$13/'dati nascosti'!$B$12)),'dati nascosti'!$B$11^2*'dati nascosti'!$B$10*LN(X45/'dati nascosti'!$B$12)*(7+'dati nascosti'!$B$10*LN(X45/'dati nascosti'!$B$12)))</f>
        <v>1.7075234013198439</v>
      </c>
      <c r="Z45" s="2">
        <f>'dati nascosti'!$B$20*Y45*'dati nascosti'!$B$14*$B$10*'dati nascosti'!$B$15/1000</f>
        <v>0.33516592209063945</v>
      </c>
      <c r="AA45" s="2"/>
      <c r="AB45" s="2"/>
      <c r="AC45" s="2">
        <f>'dati nascosti'!$B$20*Y45*'dati nascosti'!$B$14*'dati nascosti'!$B$18/1000</f>
        <v>-0.67033184418127889</v>
      </c>
      <c r="AD45" s="2">
        <f t="shared" si="1"/>
        <v>1.9152338405179478E-2</v>
      </c>
      <c r="AE45" s="2"/>
      <c r="AF45" s="2"/>
      <c r="AG45" s="2">
        <f t="shared" si="3"/>
        <v>-3.8304676810358956E-2</v>
      </c>
      <c r="AJ45" s="61"/>
      <c r="AK45" s="341" t="s">
        <v>132</v>
      </c>
      <c r="AL45" s="341"/>
      <c r="AM45" s="341"/>
      <c r="AN45" s="341"/>
      <c r="AO45" s="341"/>
      <c r="AP45" s="341"/>
      <c r="AQ45" s="124"/>
      <c r="AR45"/>
      <c r="AS45"/>
    </row>
    <row r="46" spans="1:45" x14ac:dyDescent="0.25">
      <c r="I46" s="2"/>
      <c r="J46" s="6"/>
      <c r="K46" s="5"/>
      <c r="L46" s="5"/>
      <c r="V46" s="6"/>
      <c r="W46" s="1">
        <f t="shared" si="4"/>
        <v>41</v>
      </c>
      <c r="X46" s="2">
        <f>'dati nascosti'!$B$5/70*W46</f>
        <v>2.342857142857143</v>
      </c>
      <c r="Y46" s="3">
        <f>IF(X46&lt;'dati nascosti'!$B$13,'dati nascosti'!$B$11^2*'dati nascosti'!$B$10*LN('dati nascosti'!$B$13/'dati nascosti'!$B$12)*(7+'dati nascosti'!$B$10*LN('dati nascosti'!$B$13/'dati nascosti'!$B$12)),'dati nascosti'!$B$11^2*'dati nascosti'!$B$10*LN(X46/'dati nascosti'!$B$12)*(7+'dati nascosti'!$B$10*LN(X46/'dati nascosti'!$B$12)))</f>
        <v>1.7075234013198439</v>
      </c>
      <c r="Z46" s="2">
        <f>'dati nascosti'!$B$20*Y46*'dati nascosti'!$B$14*$B$10*'dati nascosti'!$B$15/1000</f>
        <v>0.33516592209063945</v>
      </c>
      <c r="AA46" s="2"/>
      <c r="AB46" s="2"/>
      <c r="AC46" s="2">
        <f>'dati nascosti'!$B$20*Y46*'dati nascosti'!$B$14*'dati nascosti'!$B$18/1000</f>
        <v>-0.67033184418127889</v>
      </c>
      <c r="AD46" s="2">
        <f t="shared" si="1"/>
        <v>1.9152338405179329E-2</v>
      </c>
      <c r="AE46" s="2"/>
      <c r="AF46" s="2"/>
      <c r="AG46" s="2">
        <f t="shared" si="3"/>
        <v>-3.8304676810358658E-2</v>
      </c>
      <c r="AJ46" s="61"/>
      <c r="AK46" s="339" t="s">
        <v>125</v>
      </c>
      <c r="AL46" s="340"/>
      <c r="AM46" s="131" t="s">
        <v>127</v>
      </c>
      <c r="AN46" s="132"/>
      <c r="AO46" s="109"/>
      <c r="AP46" s="25"/>
      <c r="AQ46" s="124"/>
      <c r="AR46"/>
      <c r="AS46"/>
    </row>
    <row r="47" spans="1:45" x14ac:dyDescent="0.25">
      <c r="B47" s="48" t="s">
        <v>101</v>
      </c>
      <c r="C47" s="41"/>
      <c r="D47" s="41"/>
      <c r="E47" s="41"/>
      <c r="F47" s="41"/>
      <c r="G47" s="41"/>
      <c r="I47" s="2"/>
      <c r="J47" s="6"/>
      <c r="K47" s="5"/>
      <c r="L47" s="5"/>
      <c r="V47" s="6"/>
      <c r="W47" s="1">
        <f t="shared" si="4"/>
        <v>42</v>
      </c>
      <c r="X47" s="2">
        <f>'dati nascosti'!$B$5/70*W47</f>
        <v>2.4</v>
      </c>
      <c r="Y47" s="3">
        <f>IF(X47&lt;'dati nascosti'!$B$13,'dati nascosti'!$B$11^2*'dati nascosti'!$B$10*LN('dati nascosti'!$B$13/'dati nascosti'!$B$12)*(7+'dati nascosti'!$B$10*LN('dati nascosti'!$B$13/'dati nascosti'!$B$12)),'dati nascosti'!$B$11^2*'dati nascosti'!$B$10*LN(X47/'dati nascosti'!$B$12)*(7+'dati nascosti'!$B$10*LN(X47/'dati nascosti'!$B$12)))</f>
        <v>1.7075234013198439</v>
      </c>
      <c r="Z47" s="2">
        <f>'dati nascosti'!$B$20*Y47*'dati nascosti'!$B$14*$B$10*'dati nascosti'!$B$15/1000</f>
        <v>0.33516592209063945</v>
      </c>
      <c r="AA47" s="2"/>
      <c r="AB47" s="2"/>
      <c r="AC47" s="2">
        <f>'dati nascosti'!$B$20*Y47*'dati nascosti'!$B$14*'dati nascosti'!$B$18/1000</f>
        <v>-0.67033184418127889</v>
      </c>
      <c r="AD47" s="2">
        <f t="shared" si="1"/>
        <v>1.9152338405179329E-2</v>
      </c>
      <c r="AE47" s="2"/>
      <c r="AF47" s="2"/>
      <c r="AG47" s="2">
        <f t="shared" si="3"/>
        <v>-3.8304676810358658E-2</v>
      </c>
      <c r="AJ47" s="61"/>
      <c r="AK47" s="106">
        <v>2</v>
      </c>
      <c r="AL47" s="127">
        <v>0.5</v>
      </c>
      <c r="AM47" s="106">
        <v>10000</v>
      </c>
      <c r="AN47" s="133"/>
      <c r="AO47" s="25"/>
      <c r="AP47" s="31"/>
      <c r="AQ47" s="124"/>
      <c r="AR47"/>
      <c r="AS47"/>
    </row>
    <row r="48" spans="1:45" x14ac:dyDescent="0.25">
      <c r="B48" s="41"/>
      <c r="C48" s="41"/>
      <c r="D48" s="41"/>
      <c r="E48" s="41"/>
      <c r="F48" s="41"/>
      <c r="G48" s="41"/>
      <c r="I48" s="2"/>
      <c r="J48" s="6"/>
      <c r="K48" s="5"/>
      <c r="L48" s="5"/>
      <c r="V48" s="6"/>
      <c r="W48" s="1">
        <f t="shared" si="4"/>
        <v>43</v>
      </c>
      <c r="X48" s="2">
        <f>'dati nascosti'!$B$5/70*W48</f>
        <v>2.4571428571428569</v>
      </c>
      <c r="Y48" s="3">
        <f>IF(X48&lt;'dati nascosti'!$B$13,'dati nascosti'!$B$11^2*'dati nascosti'!$B$10*LN('dati nascosti'!$B$13/'dati nascosti'!$B$12)*(7+'dati nascosti'!$B$10*LN('dati nascosti'!$B$13/'dati nascosti'!$B$12)),'dati nascosti'!$B$11^2*'dati nascosti'!$B$10*LN(X48/'dati nascosti'!$B$12)*(7+'dati nascosti'!$B$10*LN(X48/'dati nascosti'!$B$12)))</f>
        <v>1.7075234013198439</v>
      </c>
      <c r="Z48" s="2">
        <f>'dati nascosti'!$B$20*Y48*'dati nascosti'!$B$14*$B$10*'dati nascosti'!$B$15/1000</f>
        <v>0.33516592209063945</v>
      </c>
      <c r="AA48" s="2"/>
      <c r="AB48" s="2"/>
      <c r="AC48" s="2">
        <f>'dati nascosti'!$B$20*Y48*'dati nascosti'!$B$14*'dati nascosti'!$B$18/1000</f>
        <v>-0.67033184418127889</v>
      </c>
      <c r="AD48" s="2">
        <f t="shared" si="1"/>
        <v>1.9152338405179478E-2</v>
      </c>
      <c r="AE48" s="2"/>
      <c r="AF48" s="2"/>
      <c r="AG48" s="2">
        <f t="shared" si="3"/>
        <v>-3.8304676810358956E-2</v>
      </c>
      <c r="AJ48" s="106" t="s">
        <v>46</v>
      </c>
      <c r="AK48" s="129" t="s">
        <v>128</v>
      </c>
      <c r="AL48" s="129" t="s">
        <v>128</v>
      </c>
      <c r="AM48" s="125" t="s">
        <v>58</v>
      </c>
      <c r="AN48" s="61"/>
      <c r="AO48"/>
      <c r="AP48"/>
      <c r="AQ48" s="124"/>
      <c r="AR48"/>
      <c r="AS48"/>
    </row>
    <row r="49" spans="2:53" ht="17.25" x14ac:dyDescent="0.25">
      <c r="B49" s="346" t="s">
        <v>27</v>
      </c>
      <c r="C49" s="346"/>
      <c r="D49" s="346"/>
      <c r="E49" s="46" t="s">
        <v>76</v>
      </c>
      <c r="F49" s="47">
        <f>'CALCOLO DEL VENTO NTC18'!E95*'CALCOLO DEL VENTO NTC18'!F172*'CALCOLO DEL VENTO NTC18'!F158*1/1000</f>
        <v>0.83791480522659867</v>
      </c>
      <c r="G49" s="46" t="s">
        <v>0</v>
      </c>
      <c r="I49" s="2"/>
      <c r="J49" s="6"/>
      <c r="K49" s="5"/>
      <c r="L49" s="5"/>
      <c r="V49" s="6"/>
      <c r="W49" s="1">
        <f t="shared" si="4"/>
        <v>44</v>
      </c>
      <c r="X49" s="2">
        <f>'dati nascosti'!$B$5/70*W49</f>
        <v>2.5142857142857142</v>
      </c>
      <c r="Y49" s="3">
        <f>IF(X49&lt;'dati nascosti'!$B$13,'dati nascosti'!$B$11^2*'dati nascosti'!$B$10*LN('dati nascosti'!$B$13/'dati nascosti'!$B$12)*(7+'dati nascosti'!$B$10*LN('dati nascosti'!$B$13/'dati nascosti'!$B$12)),'dati nascosti'!$B$11^2*'dati nascosti'!$B$10*LN(X49/'dati nascosti'!$B$12)*(7+'dati nascosti'!$B$10*LN(X49/'dati nascosti'!$B$12)))</f>
        <v>1.7075234013198439</v>
      </c>
      <c r="Z49" s="2">
        <f>'dati nascosti'!$B$20*Y49*'dati nascosti'!$B$14*$B$10*'dati nascosti'!$B$15/1000</f>
        <v>0.33516592209063945</v>
      </c>
      <c r="AA49" s="2"/>
      <c r="AB49" s="2"/>
      <c r="AC49" s="2">
        <f>'dati nascosti'!$B$20*Y49*'dati nascosti'!$B$14*'dati nascosti'!$B$18/1000</f>
        <v>-0.67033184418127889</v>
      </c>
      <c r="AD49" s="2">
        <f t="shared" si="1"/>
        <v>1.9152338405179329E-2</v>
      </c>
      <c r="AE49" s="2"/>
      <c r="AF49" s="2"/>
      <c r="AG49" s="2">
        <f t="shared" si="3"/>
        <v>-3.8304676810358658E-2</v>
      </c>
      <c r="AJ49" s="106" t="s">
        <v>47</v>
      </c>
      <c r="AK49" s="129" t="s">
        <v>128</v>
      </c>
      <c r="AL49" s="129" t="s">
        <v>128</v>
      </c>
      <c r="AM49" s="125" t="s">
        <v>58</v>
      </c>
      <c r="AN49" s="61"/>
      <c r="AO49"/>
      <c r="AP49"/>
      <c r="AQ49" s="124"/>
      <c r="AR49"/>
      <c r="AS49"/>
    </row>
    <row r="50" spans="2:53" ht="17.25" x14ac:dyDescent="0.25">
      <c r="B50" s="346" t="s">
        <v>28</v>
      </c>
      <c r="C50" s="346"/>
      <c r="D50" s="346"/>
      <c r="E50" s="46" t="s">
        <v>77</v>
      </c>
      <c r="F50" s="47">
        <f>'CALCOLO DEL VENTO NTC18'!E95*'CALCOLO DEL VENTO NTC18'!F173*'CALCOLO DEL VENTO NTC18'!F158*1/1000</f>
        <v>0.83791480522659867</v>
      </c>
      <c r="G50" s="46" t="s">
        <v>0</v>
      </c>
      <c r="I50" s="2"/>
      <c r="J50" s="6"/>
      <c r="K50" s="5"/>
      <c r="L50" s="5"/>
      <c r="V50" s="6"/>
      <c r="W50" s="1">
        <f t="shared" si="4"/>
        <v>45</v>
      </c>
      <c r="X50" s="2">
        <f>'dati nascosti'!$B$5/70*W50</f>
        <v>2.5714285714285712</v>
      </c>
      <c r="Y50" s="3">
        <f>IF(X50&lt;'dati nascosti'!$B$13,'dati nascosti'!$B$11^2*'dati nascosti'!$B$10*LN('dati nascosti'!$B$13/'dati nascosti'!$B$12)*(7+'dati nascosti'!$B$10*LN('dati nascosti'!$B$13/'dati nascosti'!$B$12)),'dati nascosti'!$B$11^2*'dati nascosti'!$B$10*LN(X50/'dati nascosti'!$B$12)*(7+'dati nascosti'!$B$10*LN(X50/'dati nascosti'!$B$12)))</f>
        <v>1.7075234013198439</v>
      </c>
      <c r="Z50" s="2">
        <f>'dati nascosti'!$B$20*Y50*'dati nascosti'!$B$14*$B$10*'dati nascosti'!$B$15/1000</f>
        <v>0.33516592209063945</v>
      </c>
      <c r="AA50" s="2"/>
      <c r="AB50" s="2"/>
      <c r="AC50" s="2">
        <f>'dati nascosti'!$B$20*Y50*'dati nascosti'!$B$14*'dati nascosti'!$B$18/1000</f>
        <v>-0.67033184418127889</v>
      </c>
      <c r="AD50" s="2">
        <f t="shared" si="1"/>
        <v>1.9152338405179478E-2</v>
      </c>
      <c r="AE50" s="2"/>
      <c r="AF50" s="2"/>
      <c r="AG50" s="2">
        <f t="shared" si="3"/>
        <v>-3.8304676810358956E-2</v>
      </c>
      <c r="AJ50" s="106" t="s">
        <v>48</v>
      </c>
      <c r="AK50" s="129" t="s">
        <v>128</v>
      </c>
      <c r="AL50" s="129" t="s">
        <v>128</v>
      </c>
      <c r="AM50" s="125" t="s">
        <v>57</v>
      </c>
      <c r="AN50" s="61"/>
      <c r="AO50"/>
      <c r="AP50"/>
      <c r="AQ50" s="124"/>
      <c r="AR50"/>
      <c r="AS50"/>
    </row>
    <row r="51" spans="2:53" x14ac:dyDescent="0.25">
      <c r="I51" s="2"/>
      <c r="J51" s="6"/>
      <c r="K51" s="5"/>
      <c r="L51" s="5"/>
      <c r="V51" s="6"/>
      <c r="W51" s="1">
        <f t="shared" si="4"/>
        <v>46</v>
      </c>
      <c r="X51" s="2">
        <f>'dati nascosti'!$B$5/70*W51</f>
        <v>2.6285714285714286</v>
      </c>
      <c r="Y51" s="3">
        <f>IF(X51&lt;'dati nascosti'!$B$13,'dati nascosti'!$B$11^2*'dati nascosti'!$B$10*LN('dati nascosti'!$B$13/'dati nascosti'!$B$12)*(7+'dati nascosti'!$B$10*LN('dati nascosti'!$B$13/'dati nascosti'!$B$12)),'dati nascosti'!$B$11^2*'dati nascosti'!$B$10*LN(X51/'dati nascosti'!$B$12)*(7+'dati nascosti'!$B$10*LN(X51/'dati nascosti'!$B$12)))</f>
        <v>1.7075234013198439</v>
      </c>
      <c r="Z51" s="2">
        <f>'dati nascosti'!$B$20*Y51*'dati nascosti'!$B$14*$B$10*'dati nascosti'!$B$15/1000</f>
        <v>0.33516592209063945</v>
      </c>
      <c r="AA51" s="2"/>
      <c r="AB51" s="2"/>
      <c r="AC51" s="2">
        <f>'dati nascosti'!$B$20*Y51*'dati nascosti'!$B$14*'dati nascosti'!$B$18/1000</f>
        <v>-0.67033184418127889</v>
      </c>
      <c r="AD51" s="2">
        <f t="shared" si="1"/>
        <v>1.9152338405179329E-2</v>
      </c>
      <c r="AE51" s="2"/>
      <c r="AF51" s="2"/>
      <c r="AG51" s="2">
        <f t="shared" si="3"/>
        <v>-3.8304676810358658E-2</v>
      </c>
      <c r="AJ51" s="106" t="s">
        <v>50</v>
      </c>
      <c r="AK51" s="129" t="s">
        <v>55</v>
      </c>
      <c r="AL51" s="129" t="s">
        <v>56</v>
      </c>
      <c r="AM51" s="125" t="s">
        <v>57</v>
      </c>
      <c r="AN51" s="61"/>
      <c r="AO51"/>
      <c r="AP51"/>
      <c r="AQ51" s="124"/>
      <c r="AR51"/>
      <c r="AS51"/>
    </row>
    <row r="52" spans="2:53" x14ac:dyDescent="0.25">
      <c r="I52" s="2"/>
      <c r="J52" s="6"/>
      <c r="K52" s="5"/>
      <c r="L52" s="5"/>
      <c r="V52" s="6"/>
      <c r="W52" s="1">
        <f t="shared" si="4"/>
        <v>47</v>
      </c>
      <c r="X52" s="2">
        <f>'dati nascosti'!$B$5/70*W52</f>
        <v>2.6857142857142855</v>
      </c>
      <c r="Y52" s="3">
        <f>IF(X52&lt;'dati nascosti'!$B$13,'dati nascosti'!$B$11^2*'dati nascosti'!$B$10*LN('dati nascosti'!$B$13/'dati nascosti'!$B$12)*(7+'dati nascosti'!$B$10*LN('dati nascosti'!$B$13/'dati nascosti'!$B$12)),'dati nascosti'!$B$11^2*'dati nascosti'!$B$10*LN(X52/'dati nascosti'!$B$12)*(7+'dati nascosti'!$B$10*LN(X52/'dati nascosti'!$B$12)))</f>
        <v>1.7075234013198439</v>
      </c>
      <c r="Z52" s="2">
        <f>'dati nascosti'!$B$20*Y52*'dati nascosti'!$B$14*$B$10*'dati nascosti'!$B$15/1000</f>
        <v>0.33516592209063945</v>
      </c>
      <c r="AA52" s="2"/>
      <c r="AB52" s="2"/>
      <c r="AC52" s="2">
        <f>'dati nascosti'!$B$20*Y52*'dati nascosti'!$B$14*'dati nascosti'!$B$18/1000</f>
        <v>-0.67033184418127889</v>
      </c>
      <c r="AD52" s="2">
        <f t="shared" si="1"/>
        <v>1.9152338405179478E-2</v>
      </c>
      <c r="AE52" s="2"/>
      <c r="AF52" s="2"/>
      <c r="AG52" s="2">
        <f t="shared" si="3"/>
        <v>-3.8304676810358956E-2</v>
      </c>
      <c r="AJ52" s="61"/>
      <c r="AK52" s="341" t="s">
        <v>133</v>
      </c>
      <c r="AL52" s="341"/>
      <c r="AM52" s="341"/>
      <c r="AN52" s="341"/>
      <c r="AO52" s="341"/>
      <c r="AP52" s="341"/>
      <c r="AQ52" s="124"/>
      <c r="AR52"/>
      <c r="AS52"/>
    </row>
    <row r="53" spans="2:53" x14ac:dyDescent="0.25">
      <c r="B53" s="77">
        <f>'CALCOLO DEL VENTO NTC18'!G72</f>
        <v>4</v>
      </c>
      <c r="C53" s="116"/>
      <c r="F53" s="224" t="s">
        <v>112</v>
      </c>
      <c r="I53" s="2"/>
      <c r="J53" s="6"/>
      <c r="K53" s="5"/>
      <c r="L53" s="5"/>
      <c r="V53" s="6"/>
      <c r="W53" s="1">
        <f t="shared" si="4"/>
        <v>48</v>
      </c>
      <c r="X53" s="2">
        <f>'dati nascosti'!$B$5/70*W53</f>
        <v>2.7428571428571429</v>
      </c>
      <c r="Y53" s="3">
        <f>IF(X53&lt;'dati nascosti'!$B$13,'dati nascosti'!$B$11^2*'dati nascosti'!$B$10*LN('dati nascosti'!$B$13/'dati nascosti'!$B$12)*(7+'dati nascosti'!$B$10*LN('dati nascosti'!$B$13/'dati nascosti'!$B$12)),'dati nascosti'!$B$11^2*'dati nascosti'!$B$10*LN(X53/'dati nascosti'!$B$12)*(7+'dati nascosti'!$B$10*LN(X53/'dati nascosti'!$B$12)))</f>
        <v>1.7075234013198439</v>
      </c>
      <c r="Z53" s="2">
        <f>'dati nascosti'!$B$20*Y53*'dati nascosti'!$B$14*$B$10*'dati nascosti'!$B$15/1000</f>
        <v>0.33516592209063945</v>
      </c>
      <c r="AA53" s="2"/>
      <c r="AB53" s="2"/>
      <c r="AC53" s="2">
        <f>'dati nascosti'!$B$20*Y53*'dati nascosti'!$B$14*'dati nascosti'!$B$18/1000</f>
        <v>-0.67033184418127889</v>
      </c>
      <c r="AD53" s="2">
        <f t="shared" si="1"/>
        <v>1.9152338405179329E-2</v>
      </c>
      <c r="AE53" s="2"/>
      <c r="AF53" s="2"/>
      <c r="AG53" s="2">
        <f t="shared" si="3"/>
        <v>-3.8304676810358658E-2</v>
      </c>
      <c r="AJ53" s="61"/>
      <c r="AK53" s="339" t="s">
        <v>125</v>
      </c>
      <c r="AL53" s="340"/>
      <c r="AM53" s="134" t="s">
        <v>127</v>
      </c>
      <c r="AN53" s="135"/>
      <c r="AO53" s="109"/>
      <c r="AP53" s="25"/>
      <c r="AQ53" s="124"/>
      <c r="AR53"/>
      <c r="AS53"/>
    </row>
    <row r="54" spans="2:53" x14ac:dyDescent="0.25">
      <c r="B54" s="77">
        <f>'dati nascosti'!M9</f>
        <v>6.5</v>
      </c>
      <c r="C54" s="116"/>
      <c r="F54" s="225"/>
      <c r="I54" s="2"/>
      <c r="J54" s="6"/>
      <c r="K54" s="5"/>
      <c r="L54" s="5"/>
      <c r="V54" s="6"/>
      <c r="W54" s="1">
        <f t="shared" si="4"/>
        <v>49</v>
      </c>
      <c r="X54" s="2">
        <f>'dati nascosti'!$B$5/70*W54</f>
        <v>2.8</v>
      </c>
      <c r="Y54" s="3">
        <f>IF(X54&lt;'dati nascosti'!$B$13,'dati nascosti'!$B$11^2*'dati nascosti'!$B$10*LN('dati nascosti'!$B$13/'dati nascosti'!$B$12)*(7+'dati nascosti'!$B$10*LN('dati nascosti'!$B$13/'dati nascosti'!$B$12)),'dati nascosti'!$B$11^2*'dati nascosti'!$B$10*LN(X54/'dati nascosti'!$B$12)*(7+'dati nascosti'!$B$10*LN(X54/'dati nascosti'!$B$12)))</f>
        <v>1.7075234013198439</v>
      </c>
      <c r="Z54" s="2">
        <f>'dati nascosti'!$B$20*Y54*'dati nascosti'!$B$14*$B$10*'dati nascosti'!$B$15/1000</f>
        <v>0.33516592209063945</v>
      </c>
      <c r="AA54" s="2"/>
      <c r="AB54" s="2"/>
      <c r="AC54" s="2">
        <f>'dati nascosti'!$B$20*Y54*'dati nascosti'!$B$14*'dati nascosti'!$B$18/1000</f>
        <v>-0.67033184418127889</v>
      </c>
      <c r="AD54" s="2">
        <f t="shared" si="1"/>
        <v>1.9152338405179478E-2</v>
      </c>
      <c r="AE54" s="2"/>
      <c r="AF54" s="2"/>
      <c r="AG54" s="2">
        <f t="shared" si="3"/>
        <v>-3.8304676810358956E-2</v>
      </c>
      <c r="AJ54" s="61"/>
      <c r="AK54" s="106">
        <v>2</v>
      </c>
      <c r="AL54" s="127">
        <v>0.5</v>
      </c>
      <c r="AM54" s="106">
        <v>10000</v>
      </c>
      <c r="AN54" s="133"/>
      <c r="AO54" s="25"/>
      <c r="AP54" s="31"/>
      <c r="AQ54" s="124"/>
      <c r="AR54"/>
      <c r="AS54"/>
    </row>
    <row r="55" spans="2:53" x14ac:dyDescent="0.25">
      <c r="B55" s="77">
        <f>'dati nascosti'!M9</f>
        <v>6.5</v>
      </c>
      <c r="C55" s="116"/>
      <c r="F55" s="225">
        <f>IF('CALCOLO DEL VENTO NTC18'!$B$215='dati nascosti'!$AJ$69,IF('CALCOLO DEL VENTO NTC18'!F218='CALCOLO DEL VENTO NTC18'!F228,'CALCOLO DEL VENTO NTC18'!C223,'CALCOLO DEL VENTO NTC18'!C233),MAXA(ABS('CALCOLO DEL VENTO NTC18'!C223),ABS('CALCOLO DEL VENTO NTC18'!C233))*IF(MAXA(ABS('CALCOLO DEL VENTO NTC18'!C223),ABS('CALCOLO DEL VENTO NTC18'!C233))=ABS('CALCOLO DEL VENTO NTC18'!C223),SIGN('CALCOLO DEL VENTO NTC18'!C223),SIGN('CALCOLO DEL VENTO NTC18'!C233)))</f>
        <v>-0.50000000000000011</v>
      </c>
      <c r="I55" s="2"/>
      <c r="J55" s="6"/>
      <c r="K55" s="5"/>
      <c r="L55" s="36"/>
      <c r="V55" s="6"/>
      <c r="W55" s="1">
        <f t="shared" si="4"/>
        <v>50</v>
      </c>
      <c r="X55" s="2">
        <f>'dati nascosti'!$B$5/70*W55</f>
        <v>2.8571428571428572</v>
      </c>
      <c r="Y55" s="3">
        <f>IF(X55&lt;'dati nascosti'!$B$13,'dati nascosti'!$B$11^2*'dati nascosti'!$B$10*LN('dati nascosti'!$B$13/'dati nascosti'!$B$12)*(7+'dati nascosti'!$B$10*LN('dati nascosti'!$B$13/'dati nascosti'!$B$12)),'dati nascosti'!$B$11^2*'dati nascosti'!$B$10*LN(X55/'dati nascosti'!$B$12)*(7+'dati nascosti'!$B$10*LN(X55/'dati nascosti'!$B$12)))</f>
        <v>1.7075234013198439</v>
      </c>
      <c r="Z55" s="2">
        <f>'dati nascosti'!$B$20*Y55*'dati nascosti'!$B$14*$B$10*'dati nascosti'!$B$15/1000</f>
        <v>0.33516592209063945</v>
      </c>
      <c r="AA55" s="2"/>
      <c r="AB55" s="2"/>
      <c r="AC55" s="2">
        <f>'dati nascosti'!$B$20*Y55*'dati nascosti'!$B$14*'dati nascosti'!$B$18/1000</f>
        <v>-0.67033184418127889</v>
      </c>
      <c r="AD55" s="2">
        <f t="shared" si="1"/>
        <v>1.9152338405179329E-2</v>
      </c>
      <c r="AE55" s="2"/>
      <c r="AF55" s="2"/>
      <c r="AG55" s="2">
        <f t="shared" si="3"/>
        <v>-3.8304676810358658E-2</v>
      </c>
      <c r="AJ55" s="106" t="s">
        <v>46</v>
      </c>
      <c r="AK55" s="129" t="s">
        <v>128</v>
      </c>
      <c r="AL55" s="129" t="s">
        <v>128</v>
      </c>
      <c r="AM55" s="125" t="s">
        <v>58</v>
      </c>
      <c r="AN55" s="61"/>
      <c r="AO55"/>
      <c r="AP55"/>
      <c r="AQ55" s="124"/>
      <c r="AR55"/>
      <c r="AS55"/>
    </row>
    <row r="56" spans="2:53" x14ac:dyDescent="0.25">
      <c r="B56" s="77">
        <f>'CALCOLO DEL VENTO NTC18'!G72</f>
        <v>4</v>
      </c>
      <c r="C56" s="116"/>
      <c r="F56" s="225">
        <f>IF('CALCOLO DEL VENTO NTC18'!$B$215='dati nascosti'!$AJ$69,IF('CALCOLO DEL VENTO NTC18'!F218='CALCOLO DEL VENTO NTC18'!F228,'CALCOLO DEL VENTO NTC18'!C225,'CALCOLO DEL VENTO NTC18'!C235),MAXA(ABS('CALCOLO DEL VENTO NTC18'!C225),ABS('CALCOLO DEL VENTO NTC18'!C235))*IF(MAXA(ABS('CALCOLO DEL VENTO NTC18'!C225),ABS('CALCOLO DEL VENTO NTC18'!C235))=ABS('CALCOLO DEL VENTO NTC18'!C225),SIGN('CALCOLO DEL VENTO NTC18'!C225),SIGN('CALCOLO DEL VENTO NTC18'!C235)))</f>
        <v>-0.8</v>
      </c>
      <c r="I56" s="2"/>
      <c r="J56" s="6"/>
      <c r="K56" s="5"/>
      <c r="L56" s="36"/>
      <c r="V56" s="6"/>
      <c r="W56" s="1">
        <f t="shared" si="4"/>
        <v>51</v>
      </c>
      <c r="X56" s="2">
        <f>'dati nascosti'!$B$5/70*W56</f>
        <v>2.9142857142857141</v>
      </c>
      <c r="Y56" s="3">
        <f>IF(X56&lt;'dati nascosti'!$B$13,'dati nascosti'!$B$11^2*'dati nascosti'!$B$10*LN('dati nascosti'!$B$13/'dati nascosti'!$B$12)*(7+'dati nascosti'!$B$10*LN('dati nascosti'!$B$13/'dati nascosti'!$B$12)),'dati nascosti'!$B$11^2*'dati nascosti'!$B$10*LN(X56/'dati nascosti'!$B$12)*(7+'dati nascosti'!$B$10*LN(X56/'dati nascosti'!$B$12)))</f>
        <v>1.7075234013198439</v>
      </c>
      <c r="Z56" s="2">
        <f>'dati nascosti'!$B$20*Y56*'dati nascosti'!$B$14*$B$10*'dati nascosti'!$B$15/1000</f>
        <v>0.33516592209063945</v>
      </c>
      <c r="AA56" s="2"/>
      <c r="AB56" s="2"/>
      <c r="AC56" s="2">
        <f>'dati nascosti'!$B$20*Y56*'dati nascosti'!$B$14*'dati nascosti'!$B$18/1000</f>
        <v>-0.67033184418127889</v>
      </c>
      <c r="AD56" s="2">
        <f t="shared" si="1"/>
        <v>1.9152338405179478E-2</v>
      </c>
      <c r="AE56" s="2"/>
      <c r="AF56" s="2"/>
      <c r="AG56" s="2">
        <f t="shared" si="3"/>
        <v>-3.8304676810358956E-2</v>
      </c>
      <c r="AJ56" s="106" t="s">
        <v>47</v>
      </c>
      <c r="AK56" s="129" t="s">
        <v>128</v>
      </c>
      <c r="AL56" s="129" t="s">
        <v>128</v>
      </c>
      <c r="AM56" s="125" t="s">
        <v>58</v>
      </c>
      <c r="AN56" s="61"/>
      <c r="AO56"/>
      <c r="AP56"/>
      <c r="AQ56" s="124"/>
      <c r="AR56"/>
      <c r="AS56"/>
      <c r="BA56" s="1">
        <f>4.5/9</f>
        <v>0.5</v>
      </c>
    </row>
    <row r="57" spans="2:53" x14ac:dyDescent="0.25">
      <c r="F57" s="225">
        <f>IF('CALCOLO DEL VENTO NTC18'!$B$215='dati nascosti'!$AJ$69,IF('CALCOLO DEL VENTO NTC18'!F218='CALCOLO DEL VENTO NTC18'!F228,'CALCOLO DEL VENTO NTC18'!C227,'CALCOLO DEL VENTO NTC18'!C237),MAXA(ABS('CALCOLO DEL VENTO NTC18'!C227),ABS('CALCOLO DEL VENTO NTC18'!C237))*IF(MAXA(ABS('CALCOLO DEL VENTO NTC18'!C227),ABS('CALCOLO DEL VENTO NTC18'!C237))=ABS('CALCOLO DEL VENTO NTC18'!C227),SIGN('CALCOLO DEL VENTO NTC18'!C227),SIGN('CALCOLO DEL VENTO NTC18'!C237)))</f>
        <v>-0.8</v>
      </c>
      <c r="I57" s="2"/>
      <c r="J57" s="6"/>
      <c r="K57" s="5"/>
      <c r="L57" s="36"/>
      <c r="V57" s="6"/>
      <c r="W57" s="1">
        <f t="shared" si="4"/>
        <v>52</v>
      </c>
      <c r="X57" s="2">
        <f>'dati nascosti'!$B$5/70*W57</f>
        <v>2.9714285714285715</v>
      </c>
      <c r="Y57" s="3">
        <f>IF(X57&lt;'dati nascosti'!$B$13,'dati nascosti'!$B$11^2*'dati nascosti'!$B$10*LN('dati nascosti'!$B$13/'dati nascosti'!$B$12)*(7+'dati nascosti'!$B$10*LN('dati nascosti'!$B$13/'dati nascosti'!$B$12)),'dati nascosti'!$B$11^2*'dati nascosti'!$B$10*LN(X57/'dati nascosti'!$B$12)*(7+'dati nascosti'!$B$10*LN(X57/'dati nascosti'!$B$12)))</f>
        <v>1.7075234013198439</v>
      </c>
      <c r="Z57" s="2">
        <f>'dati nascosti'!$B$20*Y57*'dati nascosti'!$B$14*$B$10*'dati nascosti'!$B$15/1000</f>
        <v>0.33516592209063945</v>
      </c>
      <c r="AA57" s="2"/>
      <c r="AB57" s="2"/>
      <c r="AC57" s="2">
        <f>'dati nascosti'!$B$20*Y57*'dati nascosti'!$B$14*'dati nascosti'!$B$18/1000</f>
        <v>-0.67033184418127889</v>
      </c>
      <c r="AD57" s="2">
        <f t="shared" si="1"/>
        <v>1.9152338405179329E-2</v>
      </c>
      <c r="AE57" s="2"/>
      <c r="AF57" s="2"/>
      <c r="AG57" s="2">
        <f t="shared" si="3"/>
        <v>-3.8304676810358658E-2</v>
      </c>
      <c r="AJ57" s="106" t="s">
        <v>48</v>
      </c>
      <c r="AK57" s="129" t="s">
        <v>128</v>
      </c>
      <c r="AL57" s="129" t="s">
        <v>128</v>
      </c>
      <c r="AM57" s="125" t="s">
        <v>57</v>
      </c>
      <c r="AN57" s="61"/>
      <c r="AO57"/>
      <c r="AP57"/>
      <c r="AQ57" s="124"/>
      <c r="AR57"/>
      <c r="AS57"/>
    </row>
    <row r="58" spans="2:53" x14ac:dyDescent="0.25">
      <c r="I58" s="2"/>
      <c r="J58" s="6"/>
      <c r="K58" s="5"/>
      <c r="L58" s="36"/>
      <c r="V58" s="6"/>
      <c r="W58" s="1">
        <f t="shared" si="4"/>
        <v>53</v>
      </c>
      <c r="X58" s="2">
        <f>'dati nascosti'!$B$5/70*W58</f>
        <v>3.0285714285714285</v>
      </c>
      <c r="Y58" s="3">
        <f>IF(X58&lt;'dati nascosti'!$B$13,'dati nascosti'!$B$11^2*'dati nascosti'!$B$10*LN('dati nascosti'!$B$13/'dati nascosti'!$B$12)*(7+'dati nascosti'!$B$10*LN('dati nascosti'!$B$13/'dati nascosti'!$B$12)),'dati nascosti'!$B$11^2*'dati nascosti'!$B$10*LN(X58/'dati nascosti'!$B$12)*(7+'dati nascosti'!$B$10*LN(X58/'dati nascosti'!$B$12)))</f>
        <v>1.7075234013198439</v>
      </c>
      <c r="Z58" s="2">
        <f>'dati nascosti'!$B$20*Y58*'dati nascosti'!$B$14*$B$10*'dati nascosti'!$B$15/1000</f>
        <v>0.33516592209063945</v>
      </c>
      <c r="AA58" s="2"/>
      <c r="AB58" s="2"/>
      <c r="AC58" s="2">
        <f>'dati nascosti'!$B$20*Y58*'dati nascosti'!$B$14*'dati nascosti'!$B$18/1000</f>
        <v>-0.67033184418127889</v>
      </c>
      <c r="AD58" s="2">
        <f t="shared" si="1"/>
        <v>1.9152338405179329E-2</v>
      </c>
      <c r="AE58" s="2"/>
      <c r="AF58" s="2"/>
      <c r="AG58" s="2">
        <f t="shared" si="3"/>
        <v>-3.8304676810358658E-2</v>
      </c>
      <c r="AJ58" s="106" t="s">
        <v>50</v>
      </c>
      <c r="AK58" s="129" t="s">
        <v>55</v>
      </c>
      <c r="AL58" s="129" t="s">
        <v>56</v>
      </c>
      <c r="AM58" s="125" t="s">
        <v>56</v>
      </c>
      <c r="AN58" s="61"/>
      <c r="AO58"/>
      <c r="AP58"/>
      <c r="AQ58" s="124"/>
      <c r="AR58"/>
      <c r="AS58"/>
    </row>
    <row r="59" spans="2:53" x14ac:dyDescent="0.25">
      <c r="I59" s="2"/>
      <c r="J59" s="6"/>
      <c r="K59" s="5"/>
      <c r="L59" s="36"/>
      <c r="U59" s="202"/>
      <c r="V59" s="219"/>
      <c r="W59" s="1">
        <f t="shared" si="4"/>
        <v>54</v>
      </c>
      <c r="X59" s="2">
        <f>'dati nascosti'!$B$5/70*W59</f>
        <v>3.0857142857142854</v>
      </c>
      <c r="Y59" s="3">
        <f>IF(X59&lt;'dati nascosti'!$B$13,'dati nascosti'!$B$11^2*'dati nascosti'!$B$10*LN('dati nascosti'!$B$13/'dati nascosti'!$B$12)*(7+'dati nascosti'!$B$10*LN('dati nascosti'!$B$13/'dati nascosti'!$B$12)),'dati nascosti'!$B$11^2*'dati nascosti'!$B$10*LN(X59/'dati nascosti'!$B$12)*(7+'dati nascosti'!$B$10*LN(X59/'dati nascosti'!$B$12)))</f>
        <v>1.7075234013198439</v>
      </c>
      <c r="Z59" s="2">
        <f>'dati nascosti'!$B$20*Y59*'dati nascosti'!$B$14*$B$10*'dati nascosti'!$B$15/1000</f>
        <v>0.33516592209063945</v>
      </c>
      <c r="AA59" s="2"/>
      <c r="AB59" s="2"/>
      <c r="AC59" s="2">
        <f>'dati nascosti'!$B$20*Y59*'dati nascosti'!$B$14*'dati nascosti'!$B$18/1000</f>
        <v>-0.67033184418127889</v>
      </c>
      <c r="AD59" s="2">
        <f t="shared" si="1"/>
        <v>1.9152338405179478E-2</v>
      </c>
      <c r="AE59" s="2"/>
      <c r="AF59" s="2"/>
      <c r="AG59" s="2">
        <f t="shared" si="3"/>
        <v>-3.8304676810358956E-2</v>
      </c>
      <c r="AJ59" s="61"/>
      <c r="AK59" s="341" t="s">
        <v>134</v>
      </c>
      <c r="AL59" s="341"/>
      <c r="AM59" s="341"/>
      <c r="AN59" s="341"/>
      <c r="AO59" s="341"/>
      <c r="AP59" s="341"/>
      <c r="AQ59" s="124"/>
      <c r="AR59"/>
      <c r="AS59"/>
    </row>
    <row r="60" spans="2:53" x14ac:dyDescent="0.25">
      <c r="I60" s="2"/>
      <c r="J60" s="6"/>
      <c r="K60" s="5"/>
      <c r="L60" s="36"/>
      <c r="U60" s="37" t="s">
        <v>232</v>
      </c>
      <c r="V60" s="193">
        <f>(M9-'dati nascosti'!M15)/TAN(RADIANS('dati nascosti'!M11))</f>
        <v>4.3301270189221936</v>
      </c>
      <c r="W60" s="1">
        <f t="shared" si="4"/>
        <v>55</v>
      </c>
      <c r="X60" s="2">
        <f>'dati nascosti'!$B$5/70*W60</f>
        <v>3.1428571428571428</v>
      </c>
      <c r="Y60" s="3">
        <f>IF(X60&lt;'dati nascosti'!$B$13,'dati nascosti'!$B$11^2*'dati nascosti'!$B$10*LN('dati nascosti'!$B$13/'dati nascosti'!$B$12)*(7+'dati nascosti'!$B$10*LN('dati nascosti'!$B$13/'dati nascosti'!$B$12)),'dati nascosti'!$B$11^2*'dati nascosti'!$B$10*LN(X60/'dati nascosti'!$B$12)*(7+'dati nascosti'!$B$10*LN(X60/'dati nascosti'!$B$12)))</f>
        <v>1.7075234013198439</v>
      </c>
      <c r="Z60" s="2">
        <f>'dati nascosti'!$B$20*Y60*'dati nascosti'!$B$14*$B$10*'dati nascosti'!$B$15/1000</f>
        <v>0.33516592209063945</v>
      </c>
      <c r="AA60" s="2"/>
      <c r="AB60" s="2"/>
      <c r="AC60" s="2">
        <f>'dati nascosti'!$B$20*Y60*'dati nascosti'!$B$14*'dati nascosti'!$B$18/1000</f>
        <v>-0.67033184418127889</v>
      </c>
      <c r="AD60" s="2">
        <f t="shared" si="1"/>
        <v>1.9152338405179329E-2</v>
      </c>
      <c r="AE60" s="2"/>
      <c r="AF60" s="2"/>
      <c r="AG60" s="2">
        <f t="shared" si="3"/>
        <v>-3.8304676810358658E-2</v>
      </c>
      <c r="AJ60" s="61"/>
      <c r="AK60" s="339"/>
      <c r="AL60" s="340"/>
      <c r="AM60" s="132"/>
      <c r="AN60" s="109"/>
      <c r="AO60" s="109"/>
      <c r="AP60" s="25"/>
      <c r="AQ60" s="124"/>
      <c r="AR60"/>
      <c r="AS60"/>
    </row>
    <row r="61" spans="2:53" x14ac:dyDescent="0.25">
      <c r="I61" s="2"/>
      <c r="J61" s="6"/>
      <c r="K61" s="5"/>
      <c r="L61" s="36"/>
      <c r="U61" s="160" t="s">
        <v>233</v>
      </c>
      <c r="V61" s="1">
        <f>(M9-'dati nascosti'!M15)</f>
        <v>2.5</v>
      </c>
      <c r="W61" s="1">
        <f t="shared" si="4"/>
        <v>56</v>
      </c>
      <c r="X61" s="2">
        <f>'dati nascosti'!$B$5/70*W61</f>
        <v>3.1999999999999997</v>
      </c>
      <c r="Y61" s="3">
        <f>IF(X61&lt;'dati nascosti'!$B$13,'dati nascosti'!$B$11^2*'dati nascosti'!$B$10*LN('dati nascosti'!$B$13/'dati nascosti'!$B$12)*(7+'dati nascosti'!$B$10*LN('dati nascosti'!$B$13/'dati nascosti'!$B$12)),'dati nascosti'!$B$11^2*'dati nascosti'!$B$10*LN(X61/'dati nascosti'!$B$12)*(7+'dati nascosti'!$B$10*LN(X61/'dati nascosti'!$B$12)))</f>
        <v>1.7075234013198439</v>
      </c>
      <c r="Z61" s="2">
        <f>'dati nascosti'!$B$20*Y61*'dati nascosti'!$B$14*$B$10*'dati nascosti'!$B$15/1000</f>
        <v>0.33516592209063945</v>
      </c>
      <c r="AA61" s="2"/>
      <c r="AB61" s="2"/>
      <c r="AC61" s="2">
        <f>'dati nascosti'!$B$20*Y61*'dati nascosti'!$B$14*'dati nascosti'!$B$18/1000</f>
        <v>-0.67033184418127889</v>
      </c>
      <c r="AD61" s="2">
        <f t="shared" si="1"/>
        <v>1.9152338405179478E-2</v>
      </c>
      <c r="AE61" s="2"/>
      <c r="AF61" s="2"/>
      <c r="AG61" s="2">
        <f t="shared" si="3"/>
        <v>-3.8304676810358956E-2</v>
      </c>
      <c r="AJ61" s="61"/>
      <c r="AK61" s="106" t="s">
        <v>135</v>
      </c>
      <c r="AL61" s="127" t="s">
        <v>136</v>
      </c>
      <c r="AM61" s="136"/>
      <c r="AN61" s="31"/>
      <c r="AO61" s="25"/>
      <c r="AP61" s="31"/>
      <c r="AQ61" s="124"/>
      <c r="AR61"/>
      <c r="AS61"/>
    </row>
    <row r="62" spans="2:53" x14ac:dyDescent="0.25">
      <c r="I62" s="2"/>
      <c r="J62" s="6"/>
      <c r="K62" s="5"/>
      <c r="L62" s="37">
        <f t="shared" ref="L62:L80" si="5">L63-1</f>
        <v>-20</v>
      </c>
      <c r="U62" s="202" t="s">
        <v>231</v>
      </c>
      <c r="V62" s="219">
        <f>V60/(TAN(RADIANS(2*M11)))</f>
        <v>2.5000000000000009</v>
      </c>
      <c r="W62" s="1">
        <f t="shared" si="4"/>
        <v>57</v>
      </c>
      <c r="X62" s="2">
        <f>'dati nascosti'!$B$5/70*W62</f>
        <v>3.2571428571428571</v>
      </c>
      <c r="Y62" s="3">
        <f>IF(X62&lt;'dati nascosti'!$B$13,'dati nascosti'!$B$11^2*'dati nascosti'!$B$10*LN('dati nascosti'!$B$13/'dati nascosti'!$B$12)*(7+'dati nascosti'!$B$10*LN('dati nascosti'!$B$13/'dati nascosti'!$B$12)),'dati nascosti'!$B$11^2*'dati nascosti'!$B$10*LN(X62/'dati nascosti'!$B$12)*(7+'dati nascosti'!$B$10*LN(X62/'dati nascosti'!$B$12)))</f>
        <v>1.7075234013198439</v>
      </c>
      <c r="Z62" s="2">
        <f>'dati nascosti'!$B$20*Y62*'dati nascosti'!$B$14*$B$10*'dati nascosti'!$B$15/1000</f>
        <v>0.33516592209063945</v>
      </c>
      <c r="AA62" s="2"/>
      <c r="AB62" s="2"/>
      <c r="AC62" s="2">
        <f>'dati nascosti'!$B$20*Y62*'dati nascosti'!$B$14*'dati nascosti'!$B$18/1000</f>
        <v>-0.67033184418127889</v>
      </c>
      <c r="AD62" s="2">
        <f t="shared" si="1"/>
        <v>1.9152338405179329E-2</v>
      </c>
      <c r="AE62" s="2"/>
      <c r="AF62" s="2"/>
      <c r="AG62" s="2">
        <f t="shared" si="3"/>
        <v>-3.8304676810358658E-2</v>
      </c>
      <c r="AJ62" s="106" t="s">
        <v>46</v>
      </c>
      <c r="AK62" s="129" t="s">
        <v>128</v>
      </c>
      <c r="AL62" s="125" t="s">
        <v>55</v>
      </c>
      <c r="AM62" s="137"/>
      <c r="AN62" s="62"/>
      <c r="AO62" s="25"/>
      <c r="AP62"/>
      <c r="AQ62" s="124"/>
      <c r="AR62"/>
      <c r="AS62"/>
    </row>
    <row r="63" spans="2:53" x14ac:dyDescent="0.25">
      <c r="I63" s="2"/>
      <c r="J63" s="6"/>
      <c r="K63" s="5"/>
      <c r="L63" s="37">
        <f t="shared" si="5"/>
        <v>-19</v>
      </c>
      <c r="U63" s="202" t="s">
        <v>234</v>
      </c>
      <c r="V63" s="219">
        <f>V61+V62</f>
        <v>5.0000000000000009</v>
      </c>
      <c r="W63" s="1">
        <f t="shared" si="4"/>
        <v>58</v>
      </c>
      <c r="X63" s="2">
        <f>'dati nascosti'!$B$5/70*W63</f>
        <v>3.3142857142857141</v>
      </c>
      <c r="Y63" s="3">
        <f>IF(X63&lt;'dati nascosti'!$B$13,'dati nascosti'!$B$11^2*'dati nascosti'!$B$10*LN('dati nascosti'!$B$13/'dati nascosti'!$B$12)*(7+'dati nascosti'!$B$10*LN('dati nascosti'!$B$13/'dati nascosti'!$B$12)),'dati nascosti'!$B$11^2*'dati nascosti'!$B$10*LN(X63/'dati nascosti'!$B$12)*(7+'dati nascosti'!$B$10*LN(X63/'dati nascosti'!$B$12)))</f>
        <v>1.7075234013198439</v>
      </c>
      <c r="Z63" s="2">
        <f>'dati nascosti'!$B$20*Y63*'dati nascosti'!$B$14*$B$10*'dati nascosti'!$B$15/1000</f>
        <v>0.33516592209063945</v>
      </c>
      <c r="AA63" s="2"/>
      <c r="AB63" s="2"/>
      <c r="AC63" s="2">
        <f>'dati nascosti'!$B$20*Y63*'dati nascosti'!$B$14*'dati nascosti'!$B$18/1000</f>
        <v>-0.67033184418127889</v>
      </c>
      <c r="AD63" s="2">
        <f t="shared" si="1"/>
        <v>1.9152338405179478E-2</v>
      </c>
      <c r="AE63" s="2"/>
      <c r="AF63" s="2"/>
      <c r="AG63" s="2">
        <f t="shared" si="3"/>
        <v>-3.8304676810358956E-2</v>
      </c>
      <c r="AJ63" s="106" t="s">
        <v>47</v>
      </c>
      <c r="AK63" s="129" t="s">
        <v>128</v>
      </c>
      <c r="AL63" s="125" t="s">
        <v>55</v>
      </c>
      <c r="AM63" s="137"/>
      <c r="AN63" s="61"/>
      <c r="AO63"/>
      <c r="AP63"/>
      <c r="AQ63" s="124"/>
      <c r="AR63"/>
      <c r="AS63"/>
    </row>
    <row r="64" spans="2:53" x14ac:dyDescent="0.25">
      <c r="C64" s="184" t="s">
        <v>84</v>
      </c>
      <c r="D64" s="185">
        <f>'CALCOLO DEL VENTO NTC18'!C153</f>
        <v>250</v>
      </c>
      <c r="E64" s="61"/>
      <c r="I64" s="2"/>
      <c r="J64" s="6"/>
      <c r="K64" s="5"/>
      <c r="L64" s="37">
        <f t="shared" si="5"/>
        <v>-18</v>
      </c>
      <c r="U64" s="160" t="s">
        <v>235</v>
      </c>
      <c r="V64" s="202">
        <f>90-DEGREES(ATAN(V60/V62))</f>
        <v>30.000000000000007</v>
      </c>
      <c r="W64" s="1">
        <f t="shared" si="4"/>
        <v>59</v>
      </c>
      <c r="X64" s="2">
        <f>'dati nascosti'!$B$5/70*W64</f>
        <v>3.3714285714285714</v>
      </c>
      <c r="Y64" s="3">
        <f>IF(X64&lt;'dati nascosti'!$B$13,'dati nascosti'!$B$11^2*'dati nascosti'!$B$10*LN('dati nascosti'!$B$13/'dati nascosti'!$B$12)*(7+'dati nascosti'!$B$10*LN('dati nascosti'!$B$13/'dati nascosti'!$B$12)),'dati nascosti'!$B$11^2*'dati nascosti'!$B$10*LN(X64/'dati nascosti'!$B$12)*(7+'dati nascosti'!$B$10*LN(X64/'dati nascosti'!$B$12)))</f>
        <v>1.7075234013198439</v>
      </c>
      <c r="Z64" s="2">
        <f>'dati nascosti'!$B$20*Y64*'dati nascosti'!$B$14*$B$10*'dati nascosti'!$B$15/1000</f>
        <v>0.33516592209063945</v>
      </c>
      <c r="AA64" s="2"/>
      <c r="AB64" s="2"/>
      <c r="AC64" s="2">
        <f>'dati nascosti'!$B$20*Y64*'dati nascosti'!$B$14*'dati nascosti'!$B$18/1000</f>
        <v>-0.67033184418127889</v>
      </c>
      <c r="AD64" s="2">
        <f t="shared" si="1"/>
        <v>1.9152338405179329E-2</v>
      </c>
      <c r="AE64" s="2"/>
      <c r="AF64" s="2"/>
      <c r="AG64" s="2">
        <f t="shared" si="3"/>
        <v>-3.8304676810358658E-2</v>
      </c>
      <c r="AJ64" s="106" t="s">
        <v>48</v>
      </c>
      <c r="AK64" s="129" t="s">
        <v>128</v>
      </c>
      <c r="AL64" s="125" t="s">
        <v>55</v>
      </c>
      <c r="AM64" s="137"/>
      <c r="AN64" s="61"/>
      <c r="AO64"/>
      <c r="AP64"/>
      <c r="AQ64" s="124"/>
      <c r="AR64"/>
      <c r="AS64"/>
    </row>
    <row r="65" spans="2:54" x14ac:dyDescent="0.25">
      <c r="C65" s="184" t="s">
        <v>50</v>
      </c>
      <c r="D65" s="185">
        <f>'CALCOLO DEL VENTO NTC18'!C154</f>
        <v>30</v>
      </c>
      <c r="E65" s="61"/>
      <c r="I65" s="2"/>
      <c r="J65" s="6"/>
      <c r="K65" s="5"/>
      <c r="L65" s="37">
        <f t="shared" si="5"/>
        <v>-17</v>
      </c>
      <c r="U65" s="160" t="s">
        <v>236</v>
      </c>
      <c r="V65" s="219">
        <f>90-V64</f>
        <v>59.999999999999993</v>
      </c>
      <c r="W65" s="1">
        <f t="shared" si="4"/>
        <v>60</v>
      </c>
      <c r="X65" s="2">
        <f>'dati nascosti'!$B$5/70*W65</f>
        <v>3.4285714285714284</v>
      </c>
      <c r="Y65" s="3">
        <f>IF(X65&lt;'dati nascosti'!$B$13,'dati nascosti'!$B$11^2*'dati nascosti'!$B$10*LN('dati nascosti'!$B$13/'dati nascosti'!$B$12)*(7+'dati nascosti'!$B$10*LN('dati nascosti'!$B$13/'dati nascosti'!$B$12)),'dati nascosti'!$B$11^2*'dati nascosti'!$B$10*LN(X65/'dati nascosti'!$B$12)*(7+'dati nascosti'!$B$10*LN(X65/'dati nascosti'!$B$12)))</f>
        <v>1.7075234013198439</v>
      </c>
      <c r="Z65" s="2">
        <f>'dati nascosti'!$B$20*Y65*'dati nascosti'!$B$14*$B$10*'dati nascosti'!$B$15/1000</f>
        <v>0.33516592209063945</v>
      </c>
      <c r="AA65" s="2"/>
      <c r="AB65" s="2"/>
      <c r="AC65" s="2">
        <f>'dati nascosti'!$B$20*Y65*'dati nascosti'!$B$14*'dati nascosti'!$B$18/1000</f>
        <v>-0.67033184418127889</v>
      </c>
      <c r="AD65" s="2">
        <f t="shared" si="1"/>
        <v>1.9152338405179478E-2</v>
      </c>
      <c r="AE65" s="2"/>
      <c r="AF65" s="2"/>
      <c r="AG65" s="2">
        <f t="shared" si="3"/>
        <v>-3.8304676810358956E-2</v>
      </c>
      <c r="AJ65" s="106" t="s">
        <v>50</v>
      </c>
      <c r="AK65" s="129" t="s">
        <v>55</v>
      </c>
      <c r="AL65" s="125" t="s">
        <v>55</v>
      </c>
      <c r="AM65" s="137"/>
      <c r="AN65" s="61"/>
      <c r="AO65"/>
      <c r="AP65"/>
      <c r="AQ65" s="124"/>
      <c r="AR65"/>
      <c r="AS65"/>
    </row>
    <row r="66" spans="2:54" x14ac:dyDescent="0.25">
      <c r="C66" s="184" t="s">
        <v>87</v>
      </c>
      <c r="D66" s="185">
        <f>'CALCOLO DEL VENTO NTC18'!C155</f>
        <v>10</v>
      </c>
      <c r="E66" s="61"/>
      <c r="F66" s="61"/>
      <c r="G66" s="61"/>
      <c r="I66" s="2"/>
      <c r="J66" s="6"/>
      <c r="K66" s="5"/>
      <c r="L66" s="37">
        <f t="shared" si="5"/>
        <v>-16</v>
      </c>
      <c r="U66" s="202" t="s">
        <v>237</v>
      </c>
      <c r="V66" s="219">
        <f>V63-V61</f>
        <v>2.5000000000000009</v>
      </c>
      <c r="W66" s="1">
        <f t="shared" si="4"/>
        <v>61</v>
      </c>
      <c r="X66" s="2">
        <f>'dati nascosti'!$B$5/70*W66</f>
        <v>3.4857142857142858</v>
      </c>
      <c r="Y66" s="3">
        <f>IF(X66&lt;'dati nascosti'!$B$13,'dati nascosti'!$B$11^2*'dati nascosti'!$B$10*LN('dati nascosti'!$B$13/'dati nascosti'!$B$12)*(7+'dati nascosti'!$B$10*LN('dati nascosti'!$B$13/'dati nascosti'!$B$12)),'dati nascosti'!$B$11^2*'dati nascosti'!$B$10*LN(X66/'dati nascosti'!$B$12)*(7+'dati nascosti'!$B$10*LN(X66/'dati nascosti'!$B$12)))</f>
        <v>1.7075234013198439</v>
      </c>
      <c r="Z66" s="2">
        <f>'dati nascosti'!$B$20*Y66*'dati nascosti'!$B$14*$B$10*'dati nascosti'!$B$15/1000</f>
        <v>0.33516592209063945</v>
      </c>
      <c r="AA66" s="2"/>
      <c r="AB66" s="2"/>
      <c r="AC66" s="2">
        <f>'dati nascosti'!$B$20*Y66*'dati nascosti'!$B$14*'dati nascosti'!$B$18/1000</f>
        <v>-0.67033184418127889</v>
      </c>
      <c r="AD66" s="2">
        <f t="shared" si="1"/>
        <v>1.9152338405179329E-2</v>
      </c>
      <c r="AE66" s="2"/>
      <c r="AF66" s="2"/>
      <c r="AG66" s="2">
        <f t="shared" si="3"/>
        <v>-3.8304676810358658E-2</v>
      </c>
      <c r="AI66" s="124"/>
      <c r="AQ66" s="124"/>
      <c r="AR66"/>
      <c r="AS66"/>
      <c r="AX66" s="1" t="s">
        <v>148</v>
      </c>
      <c r="AY66" s="1" t="s">
        <v>148</v>
      </c>
      <c r="BA66" s="1" t="s">
        <v>213</v>
      </c>
    </row>
    <row r="67" spans="2:54" x14ac:dyDescent="0.25">
      <c r="C67" s="184" t="s">
        <v>88</v>
      </c>
      <c r="D67" s="185">
        <f>'CALCOLO DEL VENTO NTC18'!C156</f>
        <v>10</v>
      </c>
      <c r="E67" s="61"/>
      <c r="F67" s="61"/>
      <c r="G67" s="61"/>
      <c r="I67" s="2"/>
      <c r="J67" s="6"/>
      <c r="K67" s="5"/>
      <c r="L67" s="37">
        <f t="shared" si="5"/>
        <v>-15</v>
      </c>
      <c r="U67" s="160" t="s">
        <v>238</v>
      </c>
      <c r="V67" s="2">
        <f>'dati nascosti'!M15-'dati nascosti'!V62</f>
        <v>1.4999999999999991</v>
      </c>
      <c r="W67" s="1">
        <f t="shared" si="4"/>
        <v>62</v>
      </c>
      <c r="X67" s="2">
        <f>'dati nascosti'!$B$5/70*W67</f>
        <v>3.5428571428571427</v>
      </c>
      <c r="Y67" s="3">
        <f>IF(X67&lt;'dati nascosti'!$B$13,'dati nascosti'!$B$11^2*'dati nascosti'!$B$10*LN('dati nascosti'!$B$13/'dati nascosti'!$B$12)*(7+'dati nascosti'!$B$10*LN('dati nascosti'!$B$13/'dati nascosti'!$B$12)),'dati nascosti'!$B$11^2*'dati nascosti'!$B$10*LN(X67/'dati nascosti'!$B$12)*(7+'dati nascosti'!$B$10*LN(X67/'dati nascosti'!$B$12)))</f>
        <v>1.7075234013198439</v>
      </c>
      <c r="Z67" s="2">
        <f>'dati nascosti'!$B$20*Y67*'dati nascosti'!$B$14*$B$10*'dati nascosti'!$B$15/1000</f>
        <v>0.33516592209063945</v>
      </c>
      <c r="AA67" s="2"/>
      <c r="AB67" s="2"/>
      <c r="AC67" s="2">
        <f>'dati nascosti'!$B$20*Y67*'dati nascosti'!$B$14*'dati nascosti'!$B$18/1000</f>
        <v>-0.67033184418127889</v>
      </c>
      <c r="AD67" s="2">
        <f t="shared" si="1"/>
        <v>1.9152338405179478E-2</v>
      </c>
      <c r="AE67" s="2"/>
      <c r="AF67" s="2"/>
      <c r="AG67" s="2">
        <f t="shared" si="3"/>
        <v>-3.8304676810358956E-2</v>
      </c>
      <c r="AI67" s="124"/>
      <c r="AJ67" t="s">
        <v>145</v>
      </c>
      <c r="AQ67" s="124"/>
      <c r="AR67"/>
      <c r="AS67"/>
      <c r="AX67" s="143">
        <v>0</v>
      </c>
      <c r="AY67" s="1">
        <v>0</v>
      </c>
      <c r="BA67" s="94">
        <f>IF('dati nascosti'!M11&lt;=20,-0.4,IF('dati nascosti'!M11&gt;=60,0.8,0.03*'dati nascosti'!M11-1))</f>
        <v>-0.10000000000000009</v>
      </c>
      <c r="BB67" s="154">
        <f>('dati nascosti'!BA67-'CALCOLO DEL VENTO NTC18'!F224)</f>
        <v>-0.50000000000000011</v>
      </c>
    </row>
    <row r="68" spans="2:54" x14ac:dyDescent="0.25">
      <c r="C68" s="184" t="s">
        <v>85</v>
      </c>
      <c r="D68" s="186">
        <f>'CALCOLO DEL VENTO NTC18'!F153</f>
        <v>0.5</v>
      </c>
      <c r="I68" s="2"/>
      <c r="J68" s="6"/>
      <c r="K68" s="5"/>
      <c r="L68" s="37">
        <f t="shared" si="5"/>
        <v>-14</v>
      </c>
      <c r="U68" s="202"/>
      <c r="V68" s="6"/>
      <c r="W68" s="1">
        <f t="shared" si="4"/>
        <v>63</v>
      </c>
      <c r="X68" s="2">
        <f>'dati nascosti'!$B$5/70*W68</f>
        <v>3.6</v>
      </c>
      <c r="Y68" s="3">
        <f>IF(X68&lt;'dati nascosti'!$B$13,'dati nascosti'!$B$11^2*'dati nascosti'!$B$10*LN('dati nascosti'!$B$13/'dati nascosti'!$B$12)*(7+'dati nascosti'!$B$10*LN('dati nascosti'!$B$13/'dati nascosti'!$B$12)),'dati nascosti'!$B$11^2*'dati nascosti'!$B$10*LN(X68/'dati nascosti'!$B$12)*(7+'dati nascosti'!$B$10*LN(X68/'dati nascosti'!$B$12)))</f>
        <v>1.7075234013198439</v>
      </c>
      <c r="Z68" s="2">
        <f>'dati nascosti'!$B$20*Y68*'dati nascosti'!$B$14*$B$10*'dati nascosti'!$B$15/1000</f>
        <v>0.33516592209063945</v>
      </c>
      <c r="AA68" s="2"/>
      <c r="AB68" s="2"/>
      <c r="AC68" s="2">
        <f>'dati nascosti'!$B$20*Y68*'dati nascosti'!$B$14*'dati nascosti'!$B$18/1000</f>
        <v>-0.67033184418127889</v>
      </c>
      <c r="AD68" s="2">
        <f t="shared" si="1"/>
        <v>1.9152338405179329E-2</v>
      </c>
      <c r="AE68" s="2"/>
      <c r="AF68" s="2"/>
      <c r="AG68" s="2">
        <f t="shared" si="3"/>
        <v>-3.8304676810358658E-2</v>
      </c>
      <c r="AI68" s="124"/>
      <c r="AJ68" t="s">
        <v>144</v>
      </c>
      <c r="AK68" s="124"/>
      <c r="AL68" s="124"/>
      <c r="AM68" s="124"/>
      <c r="AN68" s="124"/>
      <c r="AO68" s="124"/>
      <c r="AP68" s="124"/>
      <c r="AQ68" s="124"/>
      <c r="AR68"/>
      <c r="AS68"/>
      <c r="AX68" s="1">
        <v>0.2</v>
      </c>
      <c r="AY68" s="1">
        <v>-0.2</v>
      </c>
      <c r="BA68" s="99">
        <f>BA67</f>
        <v>-0.10000000000000009</v>
      </c>
      <c r="BB68">
        <f>ABS('dati nascosti'!BA68+'CALCOLO DEL VENTO NTC18'!F234)</f>
        <v>0.29999999999999993</v>
      </c>
    </row>
    <row r="69" spans="2:54" x14ac:dyDescent="0.25">
      <c r="C69" s="184" t="s">
        <v>86</v>
      </c>
      <c r="D69" s="186">
        <f>'CALCOLO DEL VENTO NTC18'!F154</f>
        <v>1</v>
      </c>
      <c r="I69" s="2"/>
      <c r="J69" s="6"/>
      <c r="K69" s="5"/>
      <c r="L69" s="37">
        <f t="shared" si="5"/>
        <v>-13</v>
      </c>
      <c r="V69" s="6"/>
      <c r="W69" s="1">
        <f t="shared" si="4"/>
        <v>64</v>
      </c>
      <c r="X69" s="2">
        <f>'dati nascosti'!$B$5/70*W69</f>
        <v>3.657142857142857</v>
      </c>
      <c r="Y69" s="3">
        <f>IF(X69&lt;'dati nascosti'!$B$13,'dati nascosti'!$B$11^2*'dati nascosti'!$B$10*LN('dati nascosti'!$B$13/'dati nascosti'!$B$12)*(7+'dati nascosti'!$B$10*LN('dati nascosti'!$B$13/'dati nascosti'!$B$12)),'dati nascosti'!$B$11^2*'dati nascosti'!$B$10*LN(X69/'dati nascosti'!$B$12)*(7+'dati nascosti'!$B$10*LN(X69/'dati nascosti'!$B$12)))</f>
        <v>1.7075234013198439</v>
      </c>
      <c r="Z69" s="2">
        <f>'dati nascosti'!$B$20*Y69*'dati nascosti'!$B$14*$B$10*'dati nascosti'!$B$15/1000</f>
        <v>0.33516592209063945</v>
      </c>
      <c r="AA69" s="2"/>
      <c r="AB69" s="2"/>
      <c r="AC69" s="2">
        <f>'dati nascosti'!$B$20*Y69*'dati nascosti'!$B$14*'dati nascosti'!$B$18/1000</f>
        <v>-0.67033184418127889</v>
      </c>
      <c r="AD69" s="2">
        <f t="shared" ref="AD69:AD74" si="6">(Z70-Z69)*(X70-X69)/2+(Z69)*(X70-X69)</f>
        <v>1.9152338405179329E-2</v>
      </c>
      <c r="AE69" s="2"/>
      <c r="AF69" s="2"/>
      <c r="AG69" s="2">
        <f t="shared" ref="AG69:AG75" si="7">(AC70-AC69)*(X70-X69)/2+(AC69)*(X70-X69)</f>
        <v>-3.8304676810358658E-2</v>
      </c>
      <c r="AI69" s="124"/>
      <c r="AJ69" t="s">
        <v>143</v>
      </c>
      <c r="AK69" s="124"/>
      <c r="AL69" s="124"/>
      <c r="AM69" s="124"/>
      <c r="AN69" s="124"/>
      <c r="AO69" s="124"/>
      <c r="AP69" s="124"/>
      <c r="AQ69" s="124"/>
      <c r="AR69"/>
      <c r="AS69"/>
      <c r="AX69" s="1">
        <v>0.8</v>
      </c>
      <c r="AY69" s="1">
        <v>-0.5</v>
      </c>
      <c r="AZ69" s="1" t="s">
        <v>148</v>
      </c>
      <c r="BA69" s="1">
        <f>BA68</f>
        <v>-0.10000000000000009</v>
      </c>
    </row>
    <row r="70" spans="2:54" x14ac:dyDescent="0.25">
      <c r="I70" s="2"/>
      <c r="J70" s="6"/>
      <c r="K70" s="5"/>
      <c r="L70" s="37">
        <f t="shared" si="5"/>
        <v>-12</v>
      </c>
      <c r="V70" s="6"/>
      <c r="W70" s="1">
        <f t="shared" ref="W70:W107" si="8">W69+1</f>
        <v>65</v>
      </c>
      <c r="X70" s="2">
        <f>'dati nascosti'!$B$5/70*W70</f>
        <v>3.714285714285714</v>
      </c>
      <c r="Y70" s="3">
        <f>IF(X70&lt;'dati nascosti'!$B$13,'dati nascosti'!$B$11^2*'dati nascosti'!$B$10*LN('dati nascosti'!$B$13/'dati nascosti'!$B$12)*(7+'dati nascosti'!$B$10*LN('dati nascosti'!$B$13/'dati nascosti'!$B$12)),'dati nascosti'!$B$11^2*'dati nascosti'!$B$10*LN(X70/'dati nascosti'!$B$12)*(7+'dati nascosti'!$B$10*LN(X70/'dati nascosti'!$B$12)))</f>
        <v>1.7075234013198439</v>
      </c>
      <c r="Z70" s="2">
        <f>'dati nascosti'!$B$20*Y70*'dati nascosti'!$B$14*$B$10*'dati nascosti'!$B$15/1000</f>
        <v>0.33516592209063945</v>
      </c>
      <c r="AA70" s="2"/>
      <c r="AB70" s="2"/>
      <c r="AC70" s="2">
        <f>'dati nascosti'!$B$20*Y70*'dati nascosti'!$B$14*'dati nascosti'!$B$18/1000</f>
        <v>-0.67033184418127889</v>
      </c>
      <c r="AD70" s="2">
        <f t="shared" si="6"/>
        <v>1.9152338405179478E-2</v>
      </c>
      <c r="AE70" s="2"/>
      <c r="AF70" s="2"/>
      <c r="AG70" s="2">
        <f t="shared" si="7"/>
        <v>-3.8304676810358956E-2</v>
      </c>
      <c r="AI70" s="124"/>
      <c r="AJ70" t="s">
        <v>146</v>
      </c>
      <c r="AK70" s="124"/>
      <c r="AL70" s="124"/>
      <c r="AM70" s="124"/>
      <c r="AN70" s="124"/>
      <c r="AO70" s="124"/>
      <c r="AP70" s="124"/>
      <c r="AQ70" s="124"/>
      <c r="AR70"/>
      <c r="AS70"/>
      <c r="AX70" s="1">
        <v>0.4</v>
      </c>
      <c r="AY70" s="1">
        <v>-0.4</v>
      </c>
      <c r="AZ70" s="1" t="s">
        <v>147</v>
      </c>
      <c r="BA70" s="1">
        <f>BA69</f>
        <v>-0.10000000000000009</v>
      </c>
    </row>
    <row r="71" spans="2:54" x14ac:dyDescent="0.25">
      <c r="I71" s="2"/>
      <c r="J71" s="6"/>
      <c r="K71" s="6"/>
      <c r="L71" s="37">
        <f t="shared" si="5"/>
        <v>-11</v>
      </c>
      <c r="W71" s="1">
        <f t="shared" si="8"/>
        <v>66</v>
      </c>
      <c r="X71" s="2">
        <f>'dati nascosti'!$B$5/70*W71</f>
        <v>3.7714285714285714</v>
      </c>
      <c r="Y71" s="3">
        <f>IF(X71&lt;'dati nascosti'!$B$13,'dati nascosti'!$B$11^2*'dati nascosti'!$B$10*LN('dati nascosti'!$B$13/'dati nascosti'!$B$12)*(7+'dati nascosti'!$B$10*LN('dati nascosti'!$B$13/'dati nascosti'!$B$12)),'dati nascosti'!$B$11^2*'dati nascosti'!$B$10*LN(X71/'dati nascosti'!$B$12)*(7+'dati nascosti'!$B$10*LN(X71/'dati nascosti'!$B$12)))</f>
        <v>1.7075234013198439</v>
      </c>
      <c r="Z71" s="2">
        <f>'dati nascosti'!$B$20*Y71*'dati nascosti'!$B$14*$B$10*'dati nascosti'!$B$15/1000</f>
        <v>0.33516592209063945</v>
      </c>
      <c r="AA71" s="2"/>
      <c r="AB71" s="2"/>
      <c r="AC71" s="2">
        <f>'dati nascosti'!$B$20*Y71*'dati nascosti'!$B$14*'dati nascosti'!$B$18/1000</f>
        <v>-0.67033184418127889</v>
      </c>
      <c r="AD71" s="2">
        <f t="shared" si="6"/>
        <v>1.9152338405179329E-2</v>
      </c>
      <c r="AE71" s="2"/>
      <c r="AF71" s="2"/>
      <c r="AG71" s="2">
        <f t="shared" si="7"/>
        <v>-3.8304676810358658E-2</v>
      </c>
      <c r="AI71" s="124"/>
      <c r="AJ71" s="163" t="s">
        <v>210</v>
      </c>
      <c r="AK71" s="124"/>
      <c r="AL71" s="124"/>
      <c r="AM71" s="124"/>
      <c r="AN71" s="124"/>
      <c r="AO71" s="124"/>
      <c r="AP71" s="124"/>
      <c r="AQ71" s="124"/>
      <c r="AR71"/>
      <c r="AS71"/>
      <c r="AX71" s="1">
        <v>0</v>
      </c>
      <c r="AY71" s="1">
        <v>0</v>
      </c>
      <c r="BA71" s="1">
        <f>BA70</f>
        <v>-0.10000000000000009</v>
      </c>
    </row>
    <row r="72" spans="2:54" x14ac:dyDescent="0.25">
      <c r="I72" s="2"/>
      <c r="J72" s="6"/>
      <c r="K72" s="5"/>
      <c r="L72" s="37">
        <f t="shared" si="5"/>
        <v>-10</v>
      </c>
      <c r="V72" s="6"/>
      <c r="W72" s="1">
        <f t="shared" si="8"/>
        <v>67</v>
      </c>
      <c r="X72" s="2">
        <f>'dati nascosti'!$B$5/70*W72</f>
        <v>3.8285714285714283</v>
      </c>
      <c r="Y72" s="3">
        <f>IF(X72&lt;'dati nascosti'!$B$13,'dati nascosti'!$B$11^2*'dati nascosti'!$B$10*LN('dati nascosti'!$B$13/'dati nascosti'!$B$12)*(7+'dati nascosti'!$B$10*LN('dati nascosti'!$B$13/'dati nascosti'!$B$12)),'dati nascosti'!$B$11^2*'dati nascosti'!$B$10*LN(X72/'dati nascosti'!$B$12)*(7+'dati nascosti'!$B$10*LN(X72/'dati nascosti'!$B$12)))</f>
        <v>1.7075234013198439</v>
      </c>
      <c r="Z72" s="2">
        <f>'dati nascosti'!$B$20*Y72*'dati nascosti'!$B$14*$B$10*'dati nascosti'!$B$15/1000</f>
        <v>0.33516592209063945</v>
      </c>
      <c r="AA72" s="2"/>
      <c r="AB72" s="2"/>
      <c r="AC72" s="2">
        <f>'dati nascosti'!$B$20*Y72*'dati nascosti'!$B$14*'dati nascosti'!$B$18/1000</f>
        <v>-0.67033184418127889</v>
      </c>
      <c r="AD72" s="2">
        <f t="shared" si="6"/>
        <v>1.9152338405179478E-2</v>
      </c>
      <c r="AE72" s="2"/>
      <c r="AF72" s="2"/>
      <c r="AG72" s="2">
        <f t="shared" si="7"/>
        <v>-3.8304676810358956E-2</v>
      </c>
      <c r="AI72" s="124"/>
      <c r="AJ72" s="163" t="s">
        <v>211</v>
      </c>
      <c r="AK72" s="124"/>
      <c r="AL72" s="124"/>
      <c r="AM72" s="124"/>
      <c r="AN72" s="124"/>
      <c r="AO72" s="124"/>
      <c r="AP72" s="124"/>
      <c r="AQ72" s="124"/>
      <c r="AR72"/>
      <c r="AS72"/>
      <c r="AX72" s="1">
        <v>0</v>
      </c>
      <c r="AY72" s="1">
        <v>0</v>
      </c>
      <c r="BA72" s="1">
        <f>1.2*(1+SIN(RADIANS('dati nascosti'!M11)))</f>
        <v>1.7999999999999998</v>
      </c>
    </row>
    <row r="73" spans="2:54" x14ac:dyDescent="0.25">
      <c r="I73" s="2"/>
      <c r="J73" s="6"/>
      <c r="K73" s="5"/>
      <c r="L73" s="37">
        <f t="shared" si="5"/>
        <v>-9</v>
      </c>
      <c r="V73" s="6"/>
      <c r="W73" s="1">
        <f t="shared" si="8"/>
        <v>68</v>
      </c>
      <c r="X73" s="2">
        <f>'dati nascosti'!$B$5/70*W73</f>
        <v>3.8857142857142857</v>
      </c>
      <c r="Y73" s="3">
        <f>IF(X73&lt;'dati nascosti'!$B$13,'dati nascosti'!$B$11^2*'dati nascosti'!$B$10*LN('dati nascosti'!$B$13/'dati nascosti'!$B$12)*(7+'dati nascosti'!$B$10*LN('dati nascosti'!$B$13/'dati nascosti'!$B$12)),'dati nascosti'!$B$11^2*'dati nascosti'!$B$10*LN(X73/'dati nascosti'!$B$12)*(7+'dati nascosti'!$B$10*LN(X73/'dati nascosti'!$B$12)))</f>
        <v>1.7075234013198439</v>
      </c>
      <c r="Z73" s="2">
        <f>'dati nascosti'!$B$20*Y73*'dati nascosti'!$B$14*$B$10*'dati nascosti'!$B$15/1000</f>
        <v>0.33516592209063945</v>
      </c>
      <c r="AA73" s="2"/>
      <c r="AB73" s="2"/>
      <c r="AC73" s="2">
        <f>'dati nascosti'!$B$20*Y73*'dati nascosti'!$B$14*'dati nascosti'!$B$18/1000</f>
        <v>-0.67033184418127889</v>
      </c>
      <c r="AD73" s="2">
        <f t="shared" si="6"/>
        <v>1.9152338405179329E-2</v>
      </c>
      <c r="AE73" s="2"/>
      <c r="AF73" s="2"/>
      <c r="AG73" s="2">
        <f t="shared" si="7"/>
        <v>-3.8304676810358658E-2</v>
      </c>
      <c r="AI73" s="124"/>
      <c r="AJ73" s="163" t="s">
        <v>212</v>
      </c>
      <c r="AK73" s="124"/>
      <c r="AL73" s="124"/>
      <c r="AM73" s="124"/>
      <c r="AN73" s="124"/>
      <c r="AO73" s="124"/>
      <c r="AP73" s="124"/>
      <c r="AQ73" s="124"/>
      <c r="AR73"/>
      <c r="AS73"/>
      <c r="AX73" s="1">
        <v>0</v>
      </c>
      <c r="AY73" s="1">
        <v>0</v>
      </c>
      <c r="BA73" s="1">
        <f>0.8*(1+SIN(RADIANS('dati nascosti'!M11)))</f>
        <v>1.2000000000000002</v>
      </c>
    </row>
    <row r="74" spans="2:54" x14ac:dyDescent="0.25">
      <c r="I74" s="2"/>
      <c r="J74" s="6"/>
      <c r="K74" s="36">
        <f>'dati nascosti'!M9-'CALCOLO DEL VENTO NTC18'!G72</f>
        <v>2.5</v>
      </c>
      <c r="L74" s="37">
        <f t="shared" si="5"/>
        <v>-8</v>
      </c>
      <c r="N74" s="348" t="s">
        <v>219</v>
      </c>
      <c r="O74" s="348" t="s">
        <v>225</v>
      </c>
      <c r="P74" s="204"/>
      <c r="Q74" s="348" t="s">
        <v>220</v>
      </c>
      <c r="R74" s="348" t="s">
        <v>226</v>
      </c>
      <c r="S74" s="204"/>
      <c r="W74" s="1">
        <f t="shared" si="8"/>
        <v>69</v>
      </c>
      <c r="X74" s="2">
        <f>'dati nascosti'!$B$5/70*W74</f>
        <v>3.9428571428571426</v>
      </c>
      <c r="Y74" s="3">
        <f>IF(X74&lt;'dati nascosti'!$B$13,'dati nascosti'!$B$11^2*'dati nascosti'!$B$10*LN('dati nascosti'!$B$13/'dati nascosti'!$B$12)*(7+'dati nascosti'!$B$10*LN('dati nascosti'!$B$13/'dati nascosti'!$B$12)),'dati nascosti'!$B$11^2*'dati nascosti'!$B$10*LN(X74/'dati nascosti'!$B$12)*(7+'dati nascosti'!$B$10*LN(X74/'dati nascosti'!$B$12)))</f>
        <v>1.7075234013198439</v>
      </c>
      <c r="Z74" s="2">
        <f>'dati nascosti'!$B$20*Y74*'dati nascosti'!$B$14*$B$10*'dati nascosti'!$B$15/1000</f>
        <v>0.33516592209063945</v>
      </c>
      <c r="AA74" s="2"/>
      <c r="AB74" s="2"/>
      <c r="AC74" s="2">
        <f>'dati nascosti'!$B$20*Y74*'dati nascosti'!$B$14*'dati nascosti'!$B$18/1000</f>
        <v>-0.67033184418127889</v>
      </c>
      <c r="AD74" s="2">
        <f t="shared" si="6"/>
        <v>1.9152338405179478E-2</v>
      </c>
      <c r="AE74" s="2"/>
      <c r="AF74" s="2"/>
      <c r="AG74" s="2">
        <f t="shared" si="7"/>
        <v>-3.8304676810358956E-2</v>
      </c>
      <c r="AI74" s="124"/>
      <c r="AJ74" s="124"/>
      <c r="AK74" s="124"/>
      <c r="AL74" s="124"/>
      <c r="AM74" s="124"/>
      <c r="AN74" s="124"/>
      <c r="AO74" s="124"/>
      <c r="AP74" s="124"/>
      <c r="AQ74" s="124"/>
      <c r="AR74"/>
      <c r="AS74"/>
    </row>
    <row r="75" spans="2:54" ht="15" customHeight="1" x14ac:dyDescent="0.25">
      <c r="I75" s="2"/>
      <c r="J75" s="6"/>
      <c r="L75" s="37">
        <f t="shared" si="5"/>
        <v>-7</v>
      </c>
      <c r="N75" s="348"/>
      <c r="O75" s="348"/>
      <c r="P75" s="204"/>
      <c r="Q75" s="348"/>
      <c r="R75" s="348"/>
      <c r="S75" s="204"/>
      <c r="V75" s="6"/>
      <c r="W75" s="1">
        <f t="shared" si="8"/>
        <v>70</v>
      </c>
      <c r="X75" s="2">
        <f>'dati nascosti'!$B$5/70*W75</f>
        <v>4</v>
      </c>
      <c r="Y75" s="3">
        <f>IF(X75&lt;'dati nascosti'!$B$13,'dati nascosti'!$B$11^2*'dati nascosti'!$B$10*LN('dati nascosti'!$B$13/'dati nascosti'!$B$12)*(7+'dati nascosti'!$B$10*LN('dati nascosti'!$B$13/'dati nascosti'!$B$12)),'dati nascosti'!$B$11^2*'dati nascosti'!$B$10*LN(X75/'dati nascosti'!$B$12)*(7+'dati nascosti'!$B$10*LN(X75/'dati nascosti'!$B$12)))</f>
        <v>1.7075234013198439</v>
      </c>
      <c r="Z75" s="2">
        <f>'dati nascosti'!$B$20*Y75*'dati nascosti'!$B$14*$B$10*'dati nascosti'!$B$15/1000</f>
        <v>0.33516592209063945</v>
      </c>
      <c r="AA75" s="2"/>
      <c r="AB75" s="2"/>
      <c r="AC75" s="2">
        <f>'dati nascosti'!$B$20*Y75*'dati nascosti'!$B$14*'dati nascosti'!$B$18/1000</f>
        <v>-0.67033184418127889</v>
      </c>
      <c r="AD75" s="2">
        <f>(Z76-Z75)*(X76-X75)/2+(Z75)*(X76-X75)</f>
        <v>0</v>
      </c>
      <c r="AE75" s="2"/>
      <c r="AF75" s="2"/>
      <c r="AG75" s="2">
        <f t="shared" si="7"/>
        <v>0</v>
      </c>
      <c r="AI75" s="124"/>
      <c r="AJ75" s="124"/>
      <c r="AK75" s="124"/>
      <c r="AL75" s="124"/>
      <c r="AM75" s="124"/>
      <c r="AN75" s="124"/>
      <c r="AO75" s="124"/>
      <c r="AP75" s="124"/>
      <c r="AQ75" s="124"/>
      <c r="AR75"/>
      <c r="AS75"/>
    </row>
    <row r="76" spans="2:54" s="160" customFormat="1" x14ac:dyDescent="0.25">
      <c r="B76" s="229" t="s">
        <v>207</v>
      </c>
      <c r="C76" s="198">
        <v>0.01</v>
      </c>
      <c r="I76" s="2"/>
      <c r="J76" s="6"/>
      <c r="L76" s="37">
        <f t="shared" si="5"/>
        <v>-6</v>
      </c>
      <c r="N76" s="348"/>
      <c r="O76" s="348"/>
      <c r="P76" s="204" t="s">
        <v>242</v>
      </c>
      <c r="Q76" s="348"/>
      <c r="R76" s="348"/>
      <c r="S76" s="204"/>
      <c r="T76" s="162" t="s">
        <v>230</v>
      </c>
      <c r="U76" s="160" t="s">
        <v>218</v>
      </c>
      <c r="V76" s="6" t="s">
        <v>202</v>
      </c>
      <c r="W76" s="160">
        <f>W75</f>
        <v>70</v>
      </c>
      <c r="X76" s="2">
        <f t="shared" ref="X76:AB76" si="9">X75</f>
        <v>4</v>
      </c>
      <c r="Y76" s="3">
        <f>Y75</f>
        <v>1.7075234013198439</v>
      </c>
      <c r="Z76" s="2">
        <f>Z77</f>
        <v>-0.41895740261329945</v>
      </c>
      <c r="AA76" s="160">
        <f t="shared" si="9"/>
        <v>0</v>
      </c>
      <c r="AB76" s="160">
        <f t="shared" si="9"/>
        <v>0</v>
      </c>
      <c r="AC76" s="2">
        <f>AC77</f>
        <v>-0.67033184418127889</v>
      </c>
      <c r="AD76" s="2"/>
      <c r="AE76" s="2">
        <f>(Z77-Z76)*(X77-X76)/2+(Z76)*(X77-X76)</f>
        <v>-3.4913116884441493E-2</v>
      </c>
      <c r="AF76" s="2">
        <f>(AC77-AC76)*(X77-X76)/2+(AC76)*(X77-X76)</f>
        <v>-5.5860987015106375E-2</v>
      </c>
      <c r="AG76" s="2"/>
      <c r="AI76" s="37"/>
      <c r="AJ76" s="37"/>
      <c r="AK76" s="2"/>
      <c r="AL76" s="2"/>
      <c r="AR76"/>
      <c r="AS76"/>
    </row>
    <row r="77" spans="2:54" x14ac:dyDescent="0.25">
      <c r="B77" s="229" t="s">
        <v>208</v>
      </c>
      <c r="C77" s="198">
        <v>0.02</v>
      </c>
      <c r="I77" s="2"/>
      <c r="J77" s="6"/>
      <c r="K77" s="5"/>
      <c r="L77" s="37">
        <f t="shared" si="5"/>
        <v>-5</v>
      </c>
      <c r="N77" s="2">
        <f>IF(V77&lt;60,IF(V77&gt;20,(0.03*V77-1),-0.4),0.8)-'CALCOLO DEL VENTO NTC18'!$F$224</f>
        <v>-0.50000000000000011</v>
      </c>
      <c r="O77" s="2">
        <f>IF(V77&lt;60,IF(V77&gt;20,(0.03*V77-1),-0.4),0.8)+'CALCOLO DEL VENTO NTC18'!$F$234</f>
        <v>0.29999999999999993</v>
      </c>
      <c r="P77" s="2">
        <f>IF('CALCOLO DEL VENTO NTC18'!$F$218='CALCOLO DEL VENTO NTC18'!$F$228,N77,O77)</f>
        <v>-0.50000000000000011</v>
      </c>
      <c r="Q77" s="2">
        <f>1.2*(1+SIN(RADIANS(V77)))</f>
        <v>1.7999999999999998</v>
      </c>
      <c r="R77" s="2">
        <f>0.8*(1+SIN(RADIANS(V77)))</f>
        <v>1.2000000000000002</v>
      </c>
      <c r="T77" s="4">
        <f>IFERROR(90-DEGREES(ATAN((X77-$V$67)/(($V$63^2-(X77-$V$67)^2)^0.5))),0)</f>
        <v>58.891077489471485</v>
      </c>
      <c r="U77" s="2">
        <f>IF('dati nascosti'!$D$188=1,'dati nascosti'!P77,IF('CALCOLO DEL VENTO NTC18'!$B$215='dati nascosti'!$AJ$72,'dati nascosti'!Q77,'dati nascosti'!R77))</f>
        <v>-0.50000000000000011</v>
      </c>
      <c r="V77" s="4">
        <f>IF('CALCOLO DEL VENTO NTC18'!$D$68="no",'dati nascosti'!$M$11,IF('dati nascosti'!$M$11&lt;0,20,T77))</f>
        <v>30</v>
      </c>
      <c r="W77" s="38">
        <f>1</f>
        <v>1</v>
      </c>
      <c r="X77" s="40">
        <f t="shared" ref="X77:X106" si="10">$K$74/30*W77+$X$75</f>
        <v>4.083333333333333</v>
      </c>
      <c r="Y77" s="39">
        <f>IF(X77&lt;'dati nascosti'!$B$13,'dati nascosti'!$B$11^2*'dati nascosti'!$B$10*LN('dati nascosti'!$B$13/'dati nascosti'!$B$12)*(7+'dati nascosti'!$B$10*LN('dati nascosti'!$B$13/'dati nascosti'!$B$12)),'dati nascosti'!$B$11^2*'dati nascosti'!$B$10*LN(X77/'dati nascosti'!$B$12)*(7+'dati nascosti'!$B$10*LN(X77/'dati nascosti'!$B$12)))</f>
        <v>1.7075234013198439</v>
      </c>
      <c r="Z77" s="40">
        <f>IF('dati nascosti'!$M$15='CALCOLO DEL VENTO NTC18'!$C$70,0,'dati nascosti'!$B$20*Y77*'dati nascosti'!$B$14*$B$10*'dati nascosti'!U77/1000)</f>
        <v>-0.41895740261329945</v>
      </c>
      <c r="AC77" s="40">
        <f>IF('dati nascosti'!$M$15='CALCOLO DEL VENTO NTC18'!$C$70,0,'dati nascosti'!$B$20*Y77*'dati nascosti'!$B$14*$B$10*'dati nascosti'!$B$17/1000)</f>
        <v>-0.67033184418127889</v>
      </c>
      <c r="AD77" s="2"/>
      <c r="AE77" s="2">
        <f>(Z78-Z77)*(X78-X77)/2+(Z77)*(X78-X77)</f>
        <v>-3.4913116884441868E-2</v>
      </c>
      <c r="AF77" s="2">
        <f t="shared" ref="AF77:AF106" si="11">(AC78-AC77)*(X78-X77)/2+(AC77)*(X78-X77)</f>
        <v>-5.5860987015106972E-2</v>
      </c>
      <c r="AG77" s="2"/>
      <c r="AI77" s="37">
        <f>IF(SIGN(AE77)=-1,1,0)</f>
        <v>1</v>
      </c>
      <c r="AJ77" s="37">
        <f>IF(SIGN(AE77)=1,1,0)</f>
        <v>0</v>
      </c>
      <c r="AK77" s="2">
        <f>AE77*AI77</f>
        <v>-3.4913116884441868E-2</v>
      </c>
      <c r="AL77" s="2">
        <f>AE77*AJ77</f>
        <v>0</v>
      </c>
      <c r="AM77" s="37">
        <f>IF(AI77*X77=0,"",AI77*X77)</f>
        <v>4.083333333333333</v>
      </c>
      <c r="AN77" s="37" t="str">
        <f>IF(AJ77*X77=0,"",AJ77*X77)</f>
        <v/>
      </c>
      <c r="AO77" s="124"/>
      <c r="AP77" s="124"/>
      <c r="AQ77" s="124"/>
      <c r="AR77"/>
      <c r="AS77"/>
    </row>
    <row r="78" spans="2:54" x14ac:dyDescent="0.25">
      <c r="B78" s="229" t="s">
        <v>209</v>
      </c>
      <c r="C78" s="198">
        <v>0.04</v>
      </c>
      <c r="I78" s="2"/>
      <c r="J78" s="6"/>
      <c r="K78" s="5"/>
      <c r="L78" s="37">
        <f t="shared" si="5"/>
        <v>-4</v>
      </c>
      <c r="M78" s="202"/>
      <c r="N78" s="2">
        <f>IF(V78&lt;60,IF(V78&gt;20,(0.03*V78-1),-0.4),0.8)-'CALCOLO DEL VENTO NTC18'!$F$224</f>
        <v>-0.50000000000000011</v>
      </c>
      <c r="O78" s="2">
        <f>IF(V78&lt;60,IF(V78&gt;20,(0.03*V78-1),-0.4),0.8)+'CALCOLO DEL VENTO NTC18'!$F$234</f>
        <v>0.29999999999999993</v>
      </c>
      <c r="P78" s="2">
        <f>IF('CALCOLO DEL VENTO NTC18'!$F$218='CALCOLO DEL VENTO NTC18'!$F$228,N78,O78)</f>
        <v>-0.50000000000000011</v>
      </c>
      <c r="Q78" s="2">
        <f t="shared" ref="Q78:Q106" si="12">1.2*(1+SIN(RADIANS(V78)))</f>
        <v>1.7999999999999998</v>
      </c>
      <c r="R78" s="2">
        <f t="shared" ref="R78:R106" si="13">0.8*(1+SIN(RADIANS(V78)))</f>
        <v>1.2000000000000002</v>
      </c>
      <c r="T78" s="4">
        <f t="shared" ref="T78:T106" si="14">IFERROR(90-DEGREES(ATAN((X78-$V$67)/(($V$63^2-(X78-$V$67)^2)^0.5))),0)</f>
        <v>57.769047364497872</v>
      </c>
      <c r="U78" s="2">
        <f>IF('dati nascosti'!$D$188=1,'dati nascosti'!P78,IF('CALCOLO DEL VENTO NTC18'!$B$215='dati nascosti'!$AJ$72,'dati nascosti'!Q78,'dati nascosti'!R78))</f>
        <v>-0.50000000000000011</v>
      </c>
      <c r="V78" s="4">
        <f>IF('CALCOLO DEL VENTO NTC18'!$D$68="no",'dati nascosti'!$M$11,IF('dati nascosti'!$M$11&lt;0,20,T78))</f>
        <v>30</v>
      </c>
      <c r="W78" s="24">
        <f t="shared" si="8"/>
        <v>2</v>
      </c>
      <c r="X78" s="219">
        <f t="shared" si="10"/>
        <v>4.166666666666667</v>
      </c>
      <c r="Y78" s="3">
        <f>IF(X78&lt;'dati nascosti'!$B$13,'dati nascosti'!$B$11^2*'dati nascosti'!$B$10*LN('dati nascosti'!$B$13/'dati nascosti'!$B$12)*(7+'dati nascosti'!$B$10*LN('dati nascosti'!$B$13/'dati nascosti'!$B$12)),'dati nascosti'!$B$11^2*'dati nascosti'!$B$10*LN(X78/'dati nascosti'!$B$12)*(7+'dati nascosti'!$B$10*LN(X78/'dati nascosti'!$B$12)))</f>
        <v>1.7075234013198439</v>
      </c>
      <c r="Z78" s="40">
        <f>IF('dati nascosti'!$M$15='CALCOLO DEL VENTO NTC18'!$C$70,0,'dati nascosti'!$B$20*Y78*'dati nascosti'!$B$14*$B$10*'dati nascosti'!U78/1000)</f>
        <v>-0.41895740261329945</v>
      </c>
      <c r="AC78" s="40">
        <f>IF('dati nascosti'!$M$15='CALCOLO DEL VENTO NTC18'!$C$70,0,'dati nascosti'!$B$20*Y78*'dati nascosti'!$B$14*$B$10*'dati nascosti'!$B$17/1000)</f>
        <v>-0.67033184418127889</v>
      </c>
      <c r="AD78" s="2"/>
      <c r="AE78" s="2">
        <f t="shared" ref="AE78:AE104" si="15">(Z79-Z78)*(X79-X78)/2+(Z78)*(X79-X78)</f>
        <v>-3.4913116884441493E-2</v>
      </c>
      <c r="AF78" s="2">
        <f t="shared" si="11"/>
        <v>-5.5860987015106375E-2</v>
      </c>
      <c r="AG78" s="2"/>
      <c r="AI78" s="37">
        <f t="shared" ref="AI78:AI106" si="16">IF(SIGN(AE78)=-1,1,0)</f>
        <v>1</v>
      </c>
      <c r="AJ78" s="37">
        <f t="shared" ref="AJ78:AJ106" si="17">IF(SIGN(AE78)=1,1,0)</f>
        <v>0</v>
      </c>
      <c r="AK78" s="2">
        <f t="shared" ref="AK78:AK104" si="18">AE78*AI78</f>
        <v>-3.4913116884441493E-2</v>
      </c>
      <c r="AL78" s="2">
        <f t="shared" ref="AL78:AL106" si="19">AE78*AJ78</f>
        <v>0</v>
      </c>
      <c r="AM78" s="37">
        <f t="shared" ref="AM78:AM105" si="20">IF(AI78*X78=0,"",AI78*X78)</f>
        <v>4.166666666666667</v>
      </c>
      <c r="AN78" s="37" t="str">
        <f t="shared" ref="AN78:AN106" si="21">IF(AJ78*X78=0,"",AJ78*X78)</f>
        <v/>
      </c>
      <c r="AO78" s="124"/>
      <c r="AP78" s="124"/>
      <c r="AQ78" s="124"/>
      <c r="AR78"/>
      <c r="AS78"/>
    </row>
    <row r="79" spans="2:54" x14ac:dyDescent="0.25">
      <c r="B79" s="198"/>
      <c r="C79" s="201">
        <f>VLOOKUP('CALCOLO DEL VENTO NTC18'!D324,B76:C78,2,FALSE)</f>
        <v>0.02</v>
      </c>
      <c r="I79" s="2"/>
      <c r="J79" s="2"/>
      <c r="L79" s="37">
        <f t="shared" si="5"/>
        <v>-3</v>
      </c>
      <c r="M79" s="202"/>
      <c r="N79" s="2">
        <f>IF(V79&lt;60,IF(V79&gt;20,(0.03*V79-1),-0.4),0.8)-'CALCOLO DEL VENTO NTC18'!$F$224</f>
        <v>-0.50000000000000011</v>
      </c>
      <c r="O79" s="2">
        <f>IF(V79&lt;60,IF(V79&gt;20,(0.03*V79-1),-0.4),0.8)+'CALCOLO DEL VENTO NTC18'!$F$234</f>
        <v>0.29999999999999993</v>
      </c>
      <c r="P79" s="2">
        <f>IF('CALCOLO DEL VENTO NTC18'!$F$218='CALCOLO DEL VENTO NTC18'!$F$228,N79,O79)</f>
        <v>-0.50000000000000011</v>
      </c>
      <c r="Q79" s="2">
        <f t="shared" si="12"/>
        <v>1.7999999999999998</v>
      </c>
      <c r="R79" s="2">
        <f t="shared" si="13"/>
        <v>1.2000000000000002</v>
      </c>
      <c r="T79" s="4">
        <f t="shared" si="14"/>
        <v>56.632987030768241</v>
      </c>
      <c r="U79" s="2">
        <f>IF('dati nascosti'!$D$188=1,'dati nascosti'!P79,IF('CALCOLO DEL VENTO NTC18'!$B$215='dati nascosti'!$AJ$72,'dati nascosti'!Q79,'dati nascosti'!R79))</f>
        <v>-0.50000000000000011</v>
      </c>
      <c r="V79" s="4">
        <f>IF('CALCOLO DEL VENTO NTC18'!$D$68="no",'dati nascosti'!$M$11,IF('dati nascosti'!$M$11&lt;0,20,T79))</f>
        <v>30</v>
      </c>
      <c r="W79" s="24">
        <f t="shared" si="8"/>
        <v>3</v>
      </c>
      <c r="X79" s="219">
        <f t="shared" si="10"/>
        <v>4.25</v>
      </c>
      <c r="Y79" s="3">
        <f>IF(X79&lt;'dati nascosti'!$B$13,'dati nascosti'!$B$11^2*'dati nascosti'!$B$10*LN('dati nascosti'!$B$13/'dati nascosti'!$B$12)*(7+'dati nascosti'!$B$10*LN('dati nascosti'!$B$13/'dati nascosti'!$B$12)),'dati nascosti'!$B$11^2*'dati nascosti'!$B$10*LN(X79/'dati nascosti'!$B$12)*(7+'dati nascosti'!$B$10*LN(X79/'dati nascosti'!$B$12)))</f>
        <v>1.7075234013198439</v>
      </c>
      <c r="Z79" s="40">
        <f>IF('dati nascosti'!$M$15='CALCOLO DEL VENTO NTC18'!$C$70,0,'dati nascosti'!$B$20*Y79*'dati nascosti'!$B$14*$B$10*'dati nascosti'!U79/1000)</f>
        <v>-0.41895740261329945</v>
      </c>
      <c r="AC79" s="40">
        <f>IF('dati nascosti'!$M$15='CALCOLO DEL VENTO NTC18'!$C$70,0,'dati nascosti'!$B$20*Y79*'dati nascosti'!$B$14*$B$10*'dati nascosti'!$B$17/1000)</f>
        <v>-0.67033184418127889</v>
      </c>
      <c r="AD79" s="2"/>
      <c r="AE79" s="2">
        <f t="shared" si="15"/>
        <v>-3.4913116884441493E-2</v>
      </c>
      <c r="AF79" s="2">
        <f t="shared" si="11"/>
        <v>-5.5860987015106375E-2</v>
      </c>
      <c r="AG79" s="2"/>
      <c r="AI79" s="37">
        <f t="shared" si="16"/>
        <v>1</v>
      </c>
      <c r="AJ79" s="37">
        <f t="shared" si="17"/>
        <v>0</v>
      </c>
      <c r="AK79" s="2">
        <f t="shared" si="18"/>
        <v>-3.4913116884441493E-2</v>
      </c>
      <c r="AL79" s="2">
        <f t="shared" si="19"/>
        <v>0</v>
      </c>
      <c r="AM79" s="37">
        <f t="shared" si="20"/>
        <v>4.25</v>
      </c>
      <c r="AN79" s="37" t="str">
        <f t="shared" si="21"/>
        <v/>
      </c>
      <c r="AO79" s="124"/>
      <c r="AP79" s="124"/>
      <c r="AQ79" s="124"/>
      <c r="AR79"/>
      <c r="AS79"/>
    </row>
    <row r="80" spans="2:54" x14ac:dyDescent="0.25">
      <c r="I80" s="2"/>
      <c r="J80" s="2"/>
      <c r="L80" s="37">
        <f t="shared" si="5"/>
        <v>-2</v>
      </c>
      <c r="M80" s="202"/>
      <c r="N80" s="2">
        <f>IF(V80&lt;60,IF(V80&gt;20,(0.03*V80-1),-0.4),0.8)-'CALCOLO DEL VENTO NTC18'!$F$224</f>
        <v>-0.50000000000000011</v>
      </c>
      <c r="O80" s="2">
        <f>IF(V80&lt;60,IF(V80&gt;20,(0.03*V80-1),-0.4),0.8)+'CALCOLO DEL VENTO NTC18'!$F$234</f>
        <v>0.29999999999999993</v>
      </c>
      <c r="P80" s="2">
        <f>IF('CALCOLO DEL VENTO NTC18'!$F$218='CALCOLO DEL VENTO NTC18'!$F$228,N80,O80)</f>
        <v>-0.50000000000000011</v>
      </c>
      <c r="Q80" s="2">
        <f t="shared" si="12"/>
        <v>1.7999999999999998</v>
      </c>
      <c r="R80" s="2">
        <f t="shared" si="13"/>
        <v>1.2000000000000002</v>
      </c>
      <c r="T80" s="4">
        <f t="shared" si="14"/>
        <v>55.481892158938741</v>
      </c>
      <c r="U80" s="2">
        <f>IF('dati nascosti'!$D$188=1,'dati nascosti'!P80,IF('CALCOLO DEL VENTO NTC18'!$B$215='dati nascosti'!$AJ$72,'dati nascosti'!Q80,'dati nascosti'!R80))</f>
        <v>-0.50000000000000011</v>
      </c>
      <c r="V80" s="4">
        <f>IF('CALCOLO DEL VENTO NTC18'!$D$68="no",'dati nascosti'!$M$11,IF('dati nascosti'!$M$11&lt;0,20,T80))</f>
        <v>30</v>
      </c>
      <c r="W80" s="24">
        <f t="shared" si="8"/>
        <v>4</v>
      </c>
      <c r="X80" s="219">
        <f t="shared" si="10"/>
        <v>4.333333333333333</v>
      </c>
      <c r="Y80" s="3">
        <f>IF(X80&lt;'dati nascosti'!$B$13,'dati nascosti'!$B$11^2*'dati nascosti'!$B$10*LN('dati nascosti'!$B$13/'dati nascosti'!$B$12)*(7+'dati nascosti'!$B$10*LN('dati nascosti'!$B$13/'dati nascosti'!$B$12)),'dati nascosti'!$B$11^2*'dati nascosti'!$B$10*LN(X80/'dati nascosti'!$B$12)*(7+'dati nascosti'!$B$10*LN(X80/'dati nascosti'!$B$12)))</f>
        <v>1.7075234013198439</v>
      </c>
      <c r="Z80" s="40">
        <f>IF('dati nascosti'!$M$15='CALCOLO DEL VENTO NTC18'!$C$70,0,'dati nascosti'!$B$20*Y80*'dati nascosti'!$B$14*$B$10*'dati nascosti'!U80/1000)</f>
        <v>-0.41895740261329945</v>
      </c>
      <c r="AC80" s="40">
        <f>IF('dati nascosti'!$M$15='CALCOLO DEL VENTO NTC18'!$C$70,0,'dati nascosti'!$B$20*Y80*'dati nascosti'!$B$14*$B$10*'dati nascosti'!$B$17/1000)</f>
        <v>-0.67033184418127889</v>
      </c>
      <c r="AD80" s="2"/>
      <c r="AE80" s="2">
        <f t="shared" si="15"/>
        <v>-3.4913116884441868E-2</v>
      </c>
      <c r="AF80" s="2">
        <f t="shared" si="11"/>
        <v>-5.5860987015106972E-2</v>
      </c>
      <c r="AG80" s="2"/>
      <c r="AI80" s="37">
        <f t="shared" si="16"/>
        <v>1</v>
      </c>
      <c r="AJ80" s="37">
        <f t="shared" si="17"/>
        <v>0</v>
      </c>
      <c r="AK80" s="2">
        <f t="shared" si="18"/>
        <v>-3.4913116884441868E-2</v>
      </c>
      <c r="AL80" s="2">
        <f t="shared" si="19"/>
        <v>0</v>
      </c>
      <c r="AM80" s="37">
        <f t="shared" si="20"/>
        <v>4.333333333333333</v>
      </c>
      <c r="AN80" s="37" t="str">
        <f t="shared" si="21"/>
        <v/>
      </c>
      <c r="AO80" s="124"/>
      <c r="AP80" s="124"/>
      <c r="AQ80" s="124"/>
      <c r="AR80"/>
      <c r="AS80"/>
    </row>
    <row r="81" spans="9:45" x14ac:dyDescent="0.25">
      <c r="I81" s="2"/>
      <c r="J81" s="2"/>
      <c r="L81" s="37">
        <f>L82-1</f>
        <v>-1</v>
      </c>
      <c r="M81" s="202"/>
      <c r="N81" s="2">
        <f>IF(V81&lt;60,IF(V81&gt;20,(0.03*V81-1),-0.4),0.8)-'CALCOLO DEL VENTO NTC18'!$F$224</f>
        <v>-0.50000000000000011</v>
      </c>
      <c r="O81" s="2">
        <f>IF(V81&lt;60,IF(V81&gt;20,(0.03*V81-1),-0.4),0.8)+'CALCOLO DEL VENTO NTC18'!$F$234</f>
        <v>0.29999999999999993</v>
      </c>
      <c r="P81" s="2">
        <f>IF('CALCOLO DEL VENTO NTC18'!$F$218='CALCOLO DEL VENTO NTC18'!$F$228,N81,O81)</f>
        <v>-0.50000000000000011</v>
      </c>
      <c r="Q81" s="2">
        <f t="shared" si="12"/>
        <v>1.7999999999999998</v>
      </c>
      <c r="R81" s="2">
        <f t="shared" si="13"/>
        <v>1.2000000000000002</v>
      </c>
      <c r="T81" s="4">
        <f t="shared" si="14"/>
        <v>54.314665287347935</v>
      </c>
      <c r="U81" s="2">
        <f>IF('dati nascosti'!$D$188=1,'dati nascosti'!P81,IF('CALCOLO DEL VENTO NTC18'!$B$215='dati nascosti'!$AJ$72,'dati nascosti'!Q81,'dati nascosti'!R81))</f>
        <v>-0.50000000000000011</v>
      </c>
      <c r="V81" s="4">
        <f>IF('CALCOLO DEL VENTO NTC18'!$D$68="no",'dati nascosti'!$M$11,IF('dati nascosti'!$M$11&lt;0,20,T81))</f>
        <v>30</v>
      </c>
      <c r="W81" s="24">
        <f t="shared" si="8"/>
        <v>5</v>
      </c>
      <c r="X81" s="219">
        <f t="shared" si="10"/>
        <v>4.416666666666667</v>
      </c>
      <c r="Y81" s="3">
        <f>IF(X81&lt;'dati nascosti'!$B$13,'dati nascosti'!$B$11^2*'dati nascosti'!$B$10*LN('dati nascosti'!$B$13/'dati nascosti'!$B$12)*(7+'dati nascosti'!$B$10*LN('dati nascosti'!$B$13/'dati nascosti'!$B$12)),'dati nascosti'!$B$11^2*'dati nascosti'!$B$10*LN(X81/'dati nascosti'!$B$12)*(7+'dati nascosti'!$B$10*LN(X81/'dati nascosti'!$B$12)))</f>
        <v>1.7075234013198439</v>
      </c>
      <c r="Z81" s="40">
        <f>IF('dati nascosti'!$M$15='CALCOLO DEL VENTO NTC18'!$C$70,0,'dati nascosti'!$B$20*Y81*'dati nascosti'!$B$14*$B$10*'dati nascosti'!U81/1000)</f>
        <v>-0.41895740261329945</v>
      </c>
      <c r="AC81" s="40">
        <f>IF('dati nascosti'!$M$15='CALCOLO DEL VENTO NTC18'!$C$70,0,'dati nascosti'!$B$20*Y81*'dati nascosti'!$B$14*$B$10*'dati nascosti'!$B$17/1000)</f>
        <v>-0.67033184418127889</v>
      </c>
      <c r="AD81" s="2"/>
      <c r="AE81" s="2">
        <f t="shared" si="15"/>
        <v>-3.4913116884441493E-2</v>
      </c>
      <c r="AF81" s="2">
        <f t="shared" si="11"/>
        <v>-5.5860987015106375E-2</v>
      </c>
      <c r="AG81" s="2"/>
      <c r="AI81" s="37">
        <f t="shared" si="16"/>
        <v>1</v>
      </c>
      <c r="AJ81" s="37">
        <f t="shared" si="17"/>
        <v>0</v>
      </c>
      <c r="AK81" s="2">
        <f t="shared" si="18"/>
        <v>-3.4913116884441493E-2</v>
      </c>
      <c r="AL81" s="2">
        <f t="shared" si="19"/>
        <v>0</v>
      </c>
      <c r="AM81" s="37">
        <f t="shared" si="20"/>
        <v>4.416666666666667</v>
      </c>
      <c r="AN81" s="37" t="str">
        <f t="shared" si="21"/>
        <v/>
      </c>
      <c r="AO81" s="124"/>
      <c r="AP81" s="124"/>
      <c r="AQ81" s="124"/>
      <c r="AR81"/>
      <c r="AS81"/>
    </row>
    <row r="82" spans="9:45" x14ac:dyDescent="0.25">
      <c r="I82" s="2"/>
      <c r="J82" s="2"/>
      <c r="K82" s="5" t="s">
        <v>97</v>
      </c>
      <c r="L82" s="37">
        <v>0</v>
      </c>
      <c r="M82" s="202"/>
      <c r="N82" s="2">
        <f>IF(V82&lt;60,IF(V82&gt;20,(0.03*V82-1),-0.4),0.8)-'CALCOLO DEL VENTO NTC18'!$F$224</f>
        <v>-0.50000000000000011</v>
      </c>
      <c r="O82" s="2">
        <f>IF(V82&lt;60,IF(V82&gt;20,(0.03*V82-1),-0.4),0.8)+'CALCOLO DEL VENTO NTC18'!$F$234</f>
        <v>0.29999999999999993</v>
      </c>
      <c r="P82" s="2">
        <f>IF('CALCOLO DEL VENTO NTC18'!$F$218='CALCOLO DEL VENTO NTC18'!$F$228,N82,O82)</f>
        <v>-0.50000000000000011</v>
      </c>
      <c r="Q82" s="2">
        <f t="shared" si="12"/>
        <v>1.7999999999999998</v>
      </c>
      <c r="R82" s="2">
        <f t="shared" si="13"/>
        <v>1.2000000000000002</v>
      </c>
      <c r="T82" s="4">
        <f t="shared" si="14"/>
        <v>53.130102354155973</v>
      </c>
      <c r="U82" s="2">
        <f>IF('dati nascosti'!$D$188=1,'dati nascosti'!P82,IF('CALCOLO DEL VENTO NTC18'!$B$215='dati nascosti'!$AJ$72,'dati nascosti'!Q82,'dati nascosti'!R82))</f>
        <v>-0.50000000000000011</v>
      </c>
      <c r="V82" s="4">
        <f>IF('CALCOLO DEL VENTO NTC18'!$D$68="no",'dati nascosti'!$M$11,IF('dati nascosti'!$M$11&lt;0,20,T82))</f>
        <v>30</v>
      </c>
      <c r="W82" s="24">
        <f t="shared" si="8"/>
        <v>6</v>
      </c>
      <c r="X82" s="219">
        <f t="shared" si="10"/>
        <v>4.5</v>
      </c>
      <c r="Y82" s="3">
        <f>IF(X82&lt;'dati nascosti'!$B$13,'dati nascosti'!$B$11^2*'dati nascosti'!$B$10*LN('dati nascosti'!$B$13/'dati nascosti'!$B$12)*(7+'dati nascosti'!$B$10*LN('dati nascosti'!$B$13/'dati nascosti'!$B$12)),'dati nascosti'!$B$11^2*'dati nascosti'!$B$10*LN(X82/'dati nascosti'!$B$12)*(7+'dati nascosti'!$B$10*LN(X82/'dati nascosti'!$B$12)))</f>
        <v>1.7075234013198439</v>
      </c>
      <c r="Z82" s="40">
        <f>IF('dati nascosti'!$M$15='CALCOLO DEL VENTO NTC18'!$C$70,0,'dati nascosti'!$B$20*Y82*'dati nascosti'!$B$14*$B$10*'dati nascosti'!U82/1000)</f>
        <v>-0.41895740261329945</v>
      </c>
      <c r="AC82" s="40">
        <f>IF('dati nascosti'!$M$15='CALCOLO DEL VENTO NTC18'!$C$70,0,'dati nascosti'!$B$20*Y82*'dati nascosti'!$B$14*$B$10*'dati nascosti'!$B$17/1000)</f>
        <v>-0.67033184418127889</v>
      </c>
      <c r="AD82" s="2"/>
      <c r="AE82" s="2">
        <f t="shared" si="15"/>
        <v>-3.4913116884441493E-2</v>
      </c>
      <c r="AF82" s="2">
        <f t="shared" si="11"/>
        <v>-5.5860987015106375E-2</v>
      </c>
      <c r="AG82" s="2"/>
      <c r="AI82" s="37">
        <f t="shared" si="16"/>
        <v>1</v>
      </c>
      <c r="AJ82" s="37">
        <f t="shared" si="17"/>
        <v>0</v>
      </c>
      <c r="AK82" s="2">
        <f t="shared" si="18"/>
        <v>-3.4913116884441493E-2</v>
      </c>
      <c r="AL82" s="2">
        <f t="shared" si="19"/>
        <v>0</v>
      </c>
      <c r="AM82" s="37">
        <f t="shared" si="20"/>
        <v>4.5</v>
      </c>
      <c r="AN82" s="37" t="str">
        <f t="shared" si="21"/>
        <v/>
      </c>
      <c r="AO82" s="124"/>
      <c r="AP82" s="124"/>
      <c r="AQ82" s="124"/>
      <c r="AR82"/>
      <c r="AS82"/>
    </row>
    <row r="83" spans="9:45" x14ac:dyDescent="0.25">
      <c r="I83" s="2"/>
      <c r="J83" s="2"/>
      <c r="L83" s="37">
        <f>L82+1</f>
        <v>1</v>
      </c>
      <c r="M83" s="202"/>
      <c r="N83" s="2">
        <f>IF(V83&lt;60,IF(V83&gt;20,(0.03*V83-1),-0.4),0.8)-'CALCOLO DEL VENTO NTC18'!$F$224</f>
        <v>-0.50000000000000011</v>
      </c>
      <c r="O83" s="2">
        <f>IF(V83&lt;60,IF(V83&gt;20,(0.03*V83-1),-0.4),0.8)+'CALCOLO DEL VENTO NTC18'!$F$234</f>
        <v>0.29999999999999993</v>
      </c>
      <c r="P83" s="2">
        <f>IF('CALCOLO DEL VENTO NTC18'!$F$218='CALCOLO DEL VENTO NTC18'!$F$228,N83,O83)</f>
        <v>-0.50000000000000011</v>
      </c>
      <c r="Q83" s="2">
        <f t="shared" si="12"/>
        <v>1.7999999999999998</v>
      </c>
      <c r="R83" s="2">
        <f t="shared" si="13"/>
        <v>1.2000000000000002</v>
      </c>
      <c r="T83" s="4">
        <f t="shared" si="14"/>
        <v>51.926876677076358</v>
      </c>
      <c r="U83" s="2">
        <f>IF('dati nascosti'!$D$188=1,'dati nascosti'!P83,IF('CALCOLO DEL VENTO NTC18'!$B$215='dati nascosti'!$AJ$72,'dati nascosti'!Q83,'dati nascosti'!R83))</f>
        <v>-0.50000000000000011</v>
      </c>
      <c r="V83" s="4">
        <f>IF('CALCOLO DEL VENTO NTC18'!$D$68="no",'dati nascosti'!$M$11,IF('dati nascosti'!$M$11&lt;0,20,T83))</f>
        <v>30</v>
      </c>
      <c r="W83" s="24">
        <f t="shared" si="8"/>
        <v>7</v>
      </c>
      <c r="X83" s="219">
        <f t="shared" si="10"/>
        <v>4.583333333333333</v>
      </c>
      <c r="Y83" s="3">
        <f>IF(X83&lt;'dati nascosti'!$B$13,'dati nascosti'!$B$11^2*'dati nascosti'!$B$10*LN('dati nascosti'!$B$13/'dati nascosti'!$B$12)*(7+'dati nascosti'!$B$10*LN('dati nascosti'!$B$13/'dati nascosti'!$B$12)),'dati nascosti'!$B$11^2*'dati nascosti'!$B$10*LN(X83/'dati nascosti'!$B$12)*(7+'dati nascosti'!$B$10*LN(X83/'dati nascosti'!$B$12)))</f>
        <v>1.7075234013198439</v>
      </c>
      <c r="Z83" s="40">
        <f>IF('dati nascosti'!$M$15='CALCOLO DEL VENTO NTC18'!$C$70,0,'dati nascosti'!$B$20*Y83*'dati nascosti'!$B$14*$B$10*'dati nascosti'!U83/1000)</f>
        <v>-0.41895740261329945</v>
      </c>
      <c r="AC83" s="40">
        <f>IF('dati nascosti'!$M$15='CALCOLO DEL VENTO NTC18'!$C$70,0,'dati nascosti'!$B$20*Y83*'dati nascosti'!$B$14*$B$10*'dati nascosti'!$B$17/1000)</f>
        <v>-0.67033184418127889</v>
      </c>
      <c r="AD83" s="2"/>
      <c r="AE83" s="2">
        <f t="shared" si="15"/>
        <v>-3.4913116884441868E-2</v>
      </c>
      <c r="AF83" s="2">
        <f t="shared" si="11"/>
        <v>-5.5860987015106972E-2</v>
      </c>
      <c r="AG83" s="2"/>
      <c r="AI83" s="37">
        <f t="shared" si="16"/>
        <v>1</v>
      </c>
      <c r="AJ83" s="37">
        <f t="shared" si="17"/>
        <v>0</v>
      </c>
      <c r="AK83" s="2">
        <f t="shared" si="18"/>
        <v>-3.4913116884441868E-2</v>
      </c>
      <c r="AL83" s="2">
        <f t="shared" si="19"/>
        <v>0</v>
      </c>
      <c r="AM83" s="37">
        <f t="shared" si="20"/>
        <v>4.583333333333333</v>
      </c>
      <c r="AN83" s="37" t="str">
        <f t="shared" si="21"/>
        <v/>
      </c>
      <c r="AO83" s="124"/>
      <c r="AP83" s="124"/>
      <c r="AQ83" s="124"/>
      <c r="AR83"/>
      <c r="AS83"/>
    </row>
    <row r="84" spans="9:45" x14ac:dyDescent="0.25">
      <c r="I84" s="2"/>
      <c r="J84" s="2"/>
      <c r="K84" s="195" t="s">
        <v>203</v>
      </c>
      <c r="L84" s="37">
        <f t="shared" ref="L84:L147" si="22">L83+1</f>
        <v>2</v>
      </c>
      <c r="M84" s="202"/>
      <c r="N84" s="2">
        <f>IF(V84&lt;60,IF(V84&gt;20,(0.03*V84-1),-0.4),0.8)-'CALCOLO DEL VENTO NTC18'!$F$224</f>
        <v>-0.50000000000000011</v>
      </c>
      <c r="O84" s="2">
        <f>IF(V84&lt;60,IF(V84&gt;20,(0.03*V84-1),-0.4),0.8)+'CALCOLO DEL VENTO NTC18'!$F$234</f>
        <v>0.29999999999999993</v>
      </c>
      <c r="P84" s="2">
        <f>IF('CALCOLO DEL VENTO NTC18'!$F$218='CALCOLO DEL VENTO NTC18'!$F$228,N84,O84)</f>
        <v>-0.50000000000000011</v>
      </c>
      <c r="Q84" s="2">
        <f t="shared" si="12"/>
        <v>1.7999999999999998</v>
      </c>
      <c r="R84" s="2">
        <f t="shared" si="13"/>
        <v>1.2000000000000002</v>
      </c>
      <c r="T84" s="4">
        <f t="shared" si="14"/>
        <v>50.703519760812483</v>
      </c>
      <c r="U84" s="2">
        <f>IF('dati nascosti'!$D$188=1,'dati nascosti'!P84,IF('CALCOLO DEL VENTO NTC18'!$B$215='dati nascosti'!$AJ$72,'dati nascosti'!Q84,'dati nascosti'!R84))</f>
        <v>-0.50000000000000011</v>
      </c>
      <c r="V84" s="4">
        <f>IF('CALCOLO DEL VENTO NTC18'!$D$68="no",'dati nascosti'!$M$11,IF('dati nascosti'!$M$11&lt;0,20,T84))</f>
        <v>30</v>
      </c>
      <c r="W84" s="24">
        <f t="shared" si="8"/>
        <v>8</v>
      </c>
      <c r="X84" s="219">
        <f t="shared" si="10"/>
        <v>4.666666666666667</v>
      </c>
      <c r="Y84" s="3">
        <f>IF(X84&lt;'dati nascosti'!$B$13,'dati nascosti'!$B$11^2*'dati nascosti'!$B$10*LN('dati nascosti'!$B$13/'dati nascosti'!$B$12)*(7+'dati nascosti'!$B$10*LN('dati nascosti'!$B$13/'dati nascosti'!$B$12)),'dati nascosti'!$B$11^2*'dati nascosti'!$B$10*LN(X84/'dati nascosti'!$B$12)*(7+'dati nascosti'!$B$10*LN(X84/'dati nascosti'!$B$12)))</f>
        <v>1.7075234013198439</v>
      </c>
      <c r="Z84" s="40">
        <f>IF('dati nascosti'!$M$15='CALCOLO DEL VENTO NTC18'!$C$70,0,'dati nascosti'!$B$20*Y84*'dati nascosti'!$B$14*$B$10*'dati nascosti'!U84/1000)</f>
        <v>-0.41895740261329945</v>
      </c>
      <c r="AC84" s="40">
        <f>IF('dati nascosti'!$M$15='CALCOLO DEL VENTO NTC18'!$C$70,0,'dati nascosti'!$B$20*Y84*'dati nascosti'!$B$14*$B$10*'dati nascosti'!$B$17/1000)</f>
        <v>-0.67033184418127889</v>
      </c>
      <c r="AD84" s="2"/>
      <c r="AE84" s="2">
        <f t="shared" si="15"/>
        <v>-3.4913116884441493E-2</v>
      </c>
      <c r="AF84" s="2">
        <f t="shared" si="11"/>
        <v>-5.5860987015106375E-2</v>
      </c>
      <c r="AG84" s="2"/>
      <c r="AI84" s="37">
        <f t="shared" si="16"/>
        <v>1</v>
      </c>
      <c r="AJ84" s="37">
        <f t="shared" si="17"/>
        <v>0</v>
      </c>
      <c r="AK84" s="2">
        <f t="shared" si="18"/>
        <v>-3.4913116884441493E-2</v>
      </c>
      <c r="AL84" s="2">
        <f t="shared" si="19"/>
        <v>0</v>
      </c>
      <c r="AM84" s="37">
        <f t="shared" si="20"/>
        <v>4.666666666666667</v>
      </c>
      <c r="AN84" s="37" t="str">
        <f t="shared" si="21"/>
        <v/>
      </c>
      <c r="AO84" s="124"/>
      <c r="AP84" s="124"/>
      <c r="AQ84" s="124"/>
      <c r="AR84"/>
      <c r="AS84"/>
    </row>
    <row r="85" spans="9:45" x14ac:dyDescent="0.25">
      <c r="I85" s="2"/>
      <c r="J85" s="2"/>
      <c r="K85" s="195" t="s">
        <v>204</v>
      </c>
      <c r="L85" s="37">
        <f t="shared" si="22"/>
        <v>3</v>
      </c>
      <c r="M85" s="202"/>
      <c r="N85" s="2">
        <f>IF(V85&lt;60,IF(V85&gt;20,(0.03*V85-1),-0.4),0.8)-'CALCOLO DEL VENTO NTC18'!$F$224</f>
        <v>-0.50000000000000011</v>
      </c>
      <c r="O85" s="2">
        <f>IF(V85&lt;60,IF(V85&gt;20,(0.03*V85-1),-0.4),0.8)+'CALCOLO DEL VENTO NTC18'!$F$234</f>
        <v>0.29999999999999993</v>
      </c>
      <c r="P85" s="2">
        <f>IF('CALCOLO DEL VENTO NTC18'!$F$218='CALCOLO DEL VENTO NTC18'!$F$228,N85,O85)</f>
        <v>-0.50000000000000011</v>
      </c>
      <c r="Q85" s="2">
        <f t="shared" si="12"/>
        <v>1.7999999999999998</v>
      </c>
      <c r="R85" s="2">
        <f t="shared" si="13"/>
        <v>1.2000000000000002</v>
      </c>
      <c r="T85" s="4">
        <f t="shared" si="14"/>
        <v>49.458398126495467</v>
      </c>
      <c r="U85" s="2">
        <f>IF('dati nascosti'!$D$188=1,'dati nascosti'!P85,IF('CALCOLO DEL VENTO NTC18'!$B$215='dati nascosti'!$AJ$72,'dati nascosti'!Q85,'dati nascosti'!R85))</f>
        <v>-0.50000000000000011</v>
      </c>
      <c r="V85" s="4">
        <f>IF('CALCOLO DEL VENTO NTC18'!$D$68="no",'dati nascosti'!$M$11,IF('dati nascosti'!$M$11&lt;0,20,T85))</f>
        <v>30</v>
      </c>
      <c r="W85" s="24">
        <f t="shared" si="8"/>
        <v>9</v>
      </c>
      <c r="X85" s="219">
        <f t="shared" si="10"/>
        <v>4.75</v>
      </c>
      <c r="Y85" s="3">
        <f>IF(X85&lt;'dati nascosti'!$B$13,'dati nascosti'!$B$11^2*'dati nascosti'!$B$10*LN('dati nascosti'!$B$13/'dati nascosti'!$B$12)*(7+'dati nascosti'!$B$10*LN('dati nascosti'!$B$13/'dati nascosti'!$B$12)),'dati nascosti'!$B$11^2*'dati nascosti'!$B$10*LN(X85/'dati nascosti'!$B$12)*(7+'dati nascosti'!$B$10*LN(X85/'dati nascosti'!$B$12)))</f>
        <v>1.7075234013198439</v>
      </c>
      <c r="Z85" s="40">
        <f>IF('dati nascosti'!$M$15='CALCOLO DEL VENTO NTC18'!$C$70,0,'dati nascosti'!$B$20*Y85*'dati nascosti'!$B$14*$B$10*'dati nascosti'!U85/1000)</f>
        <v>-0.41895740261329945</v>
      </c>
      <c r="AC85" s="40">
        <f>IF('dati nascosti'!$M$15='CALCOLO DEL VENTO NTC18'!$C$70,0,'dati nascosti'!$B$20*Y85*'dati nascosti'!$B$14*$B$10*'dati nascosti'!$B$17/1000)</f>
        <v>-0.67033184418127889</v>
      </c>
      <c r="AD85" s="2"/>
      <c r="AE85" s="2">
        <f t="shared" si="15"/>
        <v>-3.4913116884441493E-2</v>
      </c>
      <c r="AF85" s="2">
        <f t="shared" si="11"/>
        <v>-5.5860987015106375E-2</v>
      </c>
      <c r="AG85" s="2"/>
      <c r="AI85" s="37">
        <f t="shared" si="16"/>
        <v>1</v>
      </c>
      <c r="AJ85" s="37">
        <f t="shared" si="17"/>
        <v>0</v>
      </c>
      <c r="AK85" s="2">
        <f t="shared" si="18"/>
        <v>-3.4913116884441493E-2</v>
      </c>
      <c r="AL85" s="2">
        <f t="shared" si="19"/>
        <v>0</v>
      </c>
      <c r="AM85" s="37">
        <f t="shared" si="20"/>
        <v>4.75</v>
      </c>
      <c r="AN85" s="37" t="str">
        <f t="shared" si="21"/>
        <v/>
      </c>
    </row>
    <row r="86" spans="9:45" x14ac:dyDescent="0.25">
      <c r="I86" s="2"/>
      <c r="J86" s="2"/>
      <c r="L86" s="37">
        <f t="shared" si="22"/>
        <v>4</v>
      </c>
      <c r="M86" s="202"/>
      <c r="N86" s="2">
        <f>IF(V86&lt;60,IF(V86&gt;20,(0.03*V86-1),-0.4),0.8)-'CALCOLO DEL VENTO NTC18'!$F$224</f>
        <v>-0.50000000000000011</v>
      </c>
      <c r="O86" s="2">
        <f>IF(V86&lt;60,IF(V86&gt;20,(0.03*V86-1),-0.4),0.8)+'CALCOLO DEL VENTO NTC18'!$F$234</f>
        <v>0.29999999999999993</v>
      </c>
      <c r="P86" s="2">
        <f>IF('CALCOLO DEL VENTO NTC18'!$F$218='CALCOLO DEL VENTO NTC18'!$F$228,N86,O86)</f>
        <v>-0.50000000000000011</v>
      </c>
      <c r="Q86" s="2">
        <f t="shared" si="12"/>
        <v>1.7999999999999998</v>
      </c>
      <c r="R86" s="2">
        <f t="shared" si="13"/>
        <v>1.2000000000000002</v>
      </c>
      <c r="T86" s="4">
        <f t="shared" si="14"/>
        <v>48.189685104221397</v>
      </c>
      <c r="U86" s="2">
        <f>IF('dati nascosti'!$D$188=1,'dati nascosti'!P86,IF('CALCOLO DEL VENTO NTC18'!$B$215='dati nascosti'!$AJ$72,'dati nascosti'!Q86,'dati nascosti'!R86))</f>
        <v>-0.50000000000000011</v>
      </c>
      <c r="V86" s="4">
        <f>IF('CALCOLO DEL VENTO NTC18'!$D$68="no",'dati nascosti'!$M$11,IF('dati nascosti'!$M$11&lt;0,20,T86))</f>
        <v>30</v>
      </c>
      <c r="W86" s="24">
        <f t="shared" si="8"/>
        <v>10</v>
      </c>
      <c r="X86" s="219">
        <f t="shared" si="10"/>
        <v>4.833333333333333</v>
      </c>
      <c r="Y86" s="3">
        <f>IF(X86&lt;'dati nascosti'!$B$13,'dati nascosti'!$B$11^2*'dati nascosti'!$B$10*LN('dati nascosti'!$B$13/'dati nascosti'!$B$12)*(7+'dati nascosti'!$B$10*LN('dati nascosti'!$B$13/'dati nascosti'!$B$12)),'dati nascosti'!$B$11^2*'dati nascosti'!$B$10*LN(X86/'dati nascosti'!$B$12)*(7+'dati nascosti'!$B$10*LN(X86/'dati nascosti'!$B$12)))</f>
        <v>1.7075234013198439</v>
      </c>
      <c r="Z86" s="40">
        <f>IF('dati nascosti'!$M$15='CALCOLO DEL VENTO NTC18'!$C$70,0,'dati nascosti'!$B$20*Y86*'dati nascosti'!$B$14*$B$10*'dati nascosti'!U86/1000)</f>
        <v>-0.41895740261329945</v>
      </c>
      <c r="AC86" s="40">
        <f>IF('dati nascosti'!$M$15='CALCOLO DEL VENTO NTC18'!$C$70,0,'dati nascosti'!$B$20*Y86*'dati nascosti'!$B$14*$B$10*'dati nascosti'!$B$17/1000)</f>
        <v>-0.67033184418127889</v>
      </c>
      <c r="AD86" s="2"/>
      <c r="AE86" s="2">
        <f t="shared" si="15"/>
        <v>-3.4913116884441868E-2</v>
      </c>
      <c r="AF86" s="2">
        <f t="shared" si="11"/>
        <v>-5.5860987015106972E-2</v>
      </c>
      <c r="AG86" s="2"/>
      <c r="AI86" s="37">
        <f t="shared" si="16"/>
        <v>1</v>
      </c>
      <c r="AJ86" s="37">
        <f t="shared" si="17"/>
        <v>0</v>
      </c>
      <c r="AK86" s="2">
        <f t="shared" si="18"/>
        <v>-3.4913116884441868E-2</v>
      </c>
      <c r="AL86" s="2">
        <f t="shared" si="19"/>
        <v>0</v>
      </c>
      <c r="AM86" s="37">
        <f t="shared" si="20"/>
        <v>4.833333333333333</v>
      </c>
      <c r="AN86" s="37" t="str">
        <f t="shared" si="21"/>
        <v/>
      </c>
    </row>
    <row r="87" spans="9:45" x14ac:dyDescent="0.25">
      <c r="I87" s="2"/>
      <c r="J87" s="2"/>
      <c r="L87" s="37">
        <f t="shared" si="22"/>
        <v>5</v>
      </c>
      <c r="M87" s="202"/>
      <c r="N87" s="2">
        <f>IF(V87&lt;60,IF(V87&gt;20,(0.03*V87-1),-0.4),0.8)-'CALCOLO DEL VENTO NTC18'!$F$224</f>
        <v>-0.50000000000000011</v>
      </c>
      <c r="O87" s="2">
        <f>IF(V87&lt;60,IF(V87&gt;20,(0.03*V87-1),-0.4),0.8)+'CALCOLO DEL VENTO NTC18'!$F$234</f>
        <v>0.29999999999999993</v>
      </c>
      <c r="P87" s="2">
        <f>IF('CALCOLO DEL VENTO NTC18'!$F$218='CALCOLO DEL VENTO NTC18'!$F$228,N87,O87)</f>
        <v>-0.50000000000000011</v>
      </c>
      <c r="Q87" s="2">
        <f t="shared" si="12"/>
        <v>1.7999999999999998</v>
      </c>
      <c r="R87" s="2">
        <f t="shared" si="13"/>
        <v>1.2000000000000002</v>
      </c>
      <c r="T87" s="4">
        <f t="shared" si="14"/>
        <v>46.895326180104014</v>
      </c>
      <c r="U87" s="2">
        <f>IF('dati nascosti'!$D$188=1,'dati nascosti'!P87,IF('CALCOLO DEL VENTO NTC18'!$B$215='dati nascosti'!$AJ$72,'dati nascosti'!Q87,'dati nascosti'!R87))</f>
        <v>-0.50000000000000011</v>
      </c>
      <c r="V87" s="4">
        <f>IF('CALCOLO DEL VENTO NTC18'!$D$68="no",'dati nascosti'!$M$11,IF('dati nascosti'!$M$11&lt;0,20,T87))</f>
        <v>30</v>
      </c>
      <c r="W87" s="24">
        <f t="shared" si="8"/>
        <v>11</v>
      </c>
      <c r="X87" s="219">
        <f t="shared" si="10"/>
        <v>4.916666666666667</v>
      </c>
      <c r="Y87" s="3">
        <f>IF(X87&lt;'dati nascosti'!$B$13,'dati nascosti'!$B$11^2*'dati nascosti'!$B$10*LN('dati nascosti'!$B$13/'dati nascosti'!$B$12)*(7+'dati nascosti'!$B$10*LN('dati nascosti'!$B$13/'dati nascosti'!$B$12)),'dati nascosti'!$B$11^2*'dati nascosti'!$B$10*LN(X87/'dati nascosti'!$B$12)*(7+'dati nascosti'!$B$10*LN(X87/'dati nascosti'!$B$12)))</f>
        <v>1.7075234013198439</v>
      </c>
      <c r="Z87" s="40">
        <f>IF('dati nascosti'!$M$15='CALCOLO DEL VENTO NTC18'!$C$70,0,'dati nascosti'!$B$20*Y87*'dati nascosti'!$B$14*$B$10*'dati nascosti'!U87/1000)</f>
        <v>-0.41895740261329945</v>
      </c>
      <c r="AC87" s="40">
        <f>IF('dati nascosti'!$M$15='CALCOLO DEL VENTO NTC18'!$C$70,0,'dati nascosti'!$B$20*Y87*'dati nascosti'!$B$14*$B$10*'dati nascosti'!$B$17/1000)</f>
        <v>-0.67033184418127889</v>
      </c>
      <c r="AD87" s="2"/>
      <c r="AE87" s="2">
        <f t="shared" si="15"/>
        <v>-3.4913116884441493E-2</v>
      </c>
      <c r="AF87" s="2">
        <f t="shared" si="11"/>
        <v>-5.5860987015106375E-2</v>
      </c>
      <c r="AG87" s="2"/>
      <c r="AI87" s="37">
        <f t="shared" si="16"/>
        <v>1</v>
      </c>
      <c r="AJ87" s="37">
        <f t="shared" si="17"/>
        <v>0</v>
      </c>
      <c r="AK87" s="2">
        <f t="shared" si="18"/>
        <v>-3.4913116884441493E-2</v>
      </c>
      <c r="AL87" s="2">
        <f t="shared" si="19"/>
        <v>0</v>
      </c>
      <c r="AM87" s="37">
        <f t="shared" si="20"/>
        <v>4.916666666666667</v>
      </c>
      <c r="AN87" s="37" t="str">
        <f t="shared" si="21"/>
        <v/>
      </c>
    </row>
    <row r="88" spans="9:45" x14ac:dyDescent="0.25">
      <c r="I88" s="2"/>
      <c r="J88" s="2"/>
      <c r="L88" s="37">
        <f t="shared" si="22"/>
        <v>6</v>
      </c>
      <c r="M88" s="202"/>
      <c r="N88" s="2">
        <f>IF(V88&lt;60,IF(V88&gt;20,(0.03*V88-1),-0.4),0.8)-'CALCOLO DEL VENTO NTC18'!$F$224</f>
        <v>-0.50000000000000011</v>
      </c>
      <c r="O88" s="2">
        <f>IF(V88&lt;60,IF(V88&gt;20,(0.03*V88-1),-0.4),0.8)+'CALCOLO DEL VENTO NTC18'!$F$234</f>
        <v>0.29999999999999993</v>
      </c>
      <c r="P88" s="2">
        <f>IF('CALCOLO DEL VENTO NTC18'!$F$218='CALCOLO DEL VENTO NTC18'!$F$228,N88,O88)</f>
        <v>-0.50000000000000011</v>
      </c>
      <c r="Q88" s="2">
        <f t="shared" si="12"/>
        <v>1.7999999999999998</v>
      </c>
      <c r="R88" s="2">
        <f t="shared" si="13"/>
        <v>1.2000000000000002</v>
      </c>
      <c r="T88" s="4">
        <f t="shared" si="14"/>
        <v>45.572995999194291</v>
      </c>
      <c r="U88" s="2">
        <f>IF('dati nascosti'!$D$188=1,'dati nascosti'!P88,IF('CALCOLO DEL VENTO NTC18'!$B$215='dati nascosti'!$AJ$72,'dati nascosti'!Q88,'dati nascosti'!R88))</f>
        <v>-0.50000000000000011</v>
      </c>
      <c r="V88" s="4">
        <f>IF('CALCOLO DEL VENTO NTC18'!$D$68="no",'dati nascosti'!$M$11,IF('dati nascosti'!$M$11&lt;0,20,T88))</f>
        <v>30</v>
      </c>
      <c r="W88" s="24">
        <f t="shared" si="8"/>
        <v>12</v>
      </c>
      <c r="X88" s="219">
        <f t="shared" si="10"/>
        <v>5</v>
      </c>
      <c r="Y88" s="3">
        <f>IF(X88&lt;'dati nascosti'!$B$13,'dati nascosti'!$B$11^2*'dati nascosti'!$B$10*LN('dati nascosti'!$B$13/'dati nascosti'!$B$12)*(7+'dati nascosti'!$B$10*LN('dati nascosti'!$B$13/'dati nascosti'!$B$12)),'dati nascosti'!$B$11^2*'dati nascosti'!$B$10*LN(X88/'dati nascosti'!$B$12)*(7+'dati nascosti'!$B$10*LN(X88/'dati nascosti'!$B$12)))</f>
        <v>1.7075234013198439</v>
      </c>
      <c r="Z88" s="40">
        <f>IF('dati nascosti'!$M$15='CALCOLO DEL VENTO NTC18'!$C$70,0,'dati nascosti'!$B$20*Y88*'dati nascosti'!$B$14*$B$10*'dati nascosti'!U88/1000)</f>
        <v>-0.41895740261329945</v>
      </c>
      <c r="AC88" s="40">
        <f>IF('dati nascosti'!$M$15='CALCOLO DEL VENTO NTC18'!$C$70,0,'dati nascosti'!$B$20*Y88*'dati nascosti'!$B$14*$B$10*'dati nascosti'!$B$17/1000)</f>
        <v>-0.67033184418127889</v>
      </c>
      <c r="AD88" s="2"/>
      <c r="AE88" s="2">
        <f t="shared" si="15"/>
        <v>-3.5013429881074844E-2</v>
      </c>
      <c r="AF88" s="2">
        <f t="shared" si="11"/>
        <v>-5.6021487809719737E-2</v>
      </c>
      <c r="AG88" s="2"/>
      <c r="AI88" s="37">
        <f t="shared" si="16"/>
        <v>1</v>
      </c>
      <c r="AJ88" s="37">
        <f t="shared" si="17"/>
        <v>0</v>
      </c>
      <c r="AK88" s="2">
        <f t="shared" si="18"/>
        <v>-3.5013429881074844E-2</v>
      </c>
      <c r="AL88" s="2">
        <f t="shared" si="19"/>
        <v>0</v>
      </c>
      <c r="AM88" s="37">
        <f t="shared" si="20"/>
        <v>5</v>
      </c>
      <c r="AN88" s="37" t="str">
        <f t="shared" si="21"/>
        <v/>
      </c>
    </row>
    <row r="89" spans="9:45" x14ac:dyDescent="0.25">
      <c r="I89" s="2"/>
      <c r="J89" s="2"/>
      <c r="L89" s="37">
        <f t="shared" si="22"/>
        <v>7</v>
      </c>
      <c r="M89" s="202"/>
      <c r="N89" s="2">
        <f>IF(V89&lt;60,IF(V89&gt;20,(0.03*V89-1),-0.4),0.8)-'CALCOLO DEL VENTO NTC18'!$F$224</f>
        <v>-0.50000000000000011</v>
      </c>
      <c r="O89" s="2">
        <f>IF(V89&lt;60,IF(V89&gt;20,(0.03*V89-1),-0.4),0.8)+'CALCOLO DEL VENTO NTC18'!$F$234</f>
        <v>0.29999999999999993</v>
      </c>
      <c r="P89" s="2">
        <f>IF('CALCOLO DEL VENTO NTC18'!$F$218='CALCOLO DEL VENTO NTC18'!$F$228,N89,O89)</f>
        <v>-0.50000000000000011</v>
      </c>
      <c r="Q89" s="2">
        <f t="shared" si="12"/>
        <v>1.7999999999999998</v>
      </c>
      <c r="R89" s="2">
        <f t="shared" si="13"/>
        <v>1.2000000000000002</v>
      </c>
      <c r="T89" s="4">
        <f t="shared" si="14"/>
        <v>44.220044427683405</v>
      </c>
      <c r="U89" s="2">
        <f>IF('dati nascosti'!$D$188=1,'dati nascosti'!P89,IF('CALCOLO DEL VENTO NTC18'!$B$215='dati nascosti'!$AJ$72,'dati nascosti'!Q89,'dati nascosti'!R89))</f>
        <v>-0.50000000000000011</v>
      </c>
      <c r="V89" s="4">
        <f>IF('CALCOLO DEL VENTO NTC18'!$D$68="no",'dati nascosti'!$M$11,IF('dati nascosti'!$M$11&lt;0,20,T89))</f>
        <v>30</v>
      </c>
      <c r="W89" s="24">
        <f t="shared" si="8"/>
        <v>13</v>
      </c>
      <c r="X89" s="219">
        <f t="shared" si="10"/>
        <v>5.083333333333333</v>
      </c>
      <c r="Y89" s="3">
        <f>IF(X89&lt;'dati nascosti'!$B$13,'dati nascosti'!$B$11^2*'dati nascosti'!$B$10*LN('dati nascosti'!$B$13/'dati nascosti'!$B$12)*(7+'dati nascosti'!$B$10*LN('dati nascosti'!$B$13/'dati nascosti'!$B$12)),'dati nascosti'!$B$11^2*'dati nascosti'!$B$10*LN(X89/'dati nascosti'!$B$12)*(7+'dati nascosti'!$B$10*LN(X89/'dati nascosti'!$B$12)))</f>
        <v>1.7173355753388466</v>
      </c>
      <c r="Z89" s="40">
        <f>IF('dati nascosti'!$M$15='CALCOLO DEL VENTO NTC18'!$C$70,0,'dati nascosti'!$B$20*Y89*'dati nascosti'!$B$14*$B$10*'dati nascosti'!U89/1000)</f>
        <v>-0.4213649145324998</v>
      </c>
      <c r="AC89" s="40">
        <f>IF('dati nascosti'!$M$15='CALCOLO DEL VENTO NTC18'!$C$70,0,'dati nascosti'!$B$20*Y89*'dati nascosti'!$B$14*$B$10*'dati nascosti'!$B$17/1000)</f>
        <v>-0.67418386325199964</v>
      </c>
      <c r="AD89" s="2"/>
      <c r="AE89" s="2">
        <f t="shared" si="15"/>
        <v>-3.5212642730861429E-2</v>
      </c>
      <c r="AF89" s="2">
        <f t="shared" si="11"/>
        <v>-5.6340228369378284E-2</v>
      </c>
      <c r="AG89" s="2"/>
      <c r="AI89" s="37">
        <f t="shared" si="16"/>
        <v>1</v>
      </c>
      <c r="AJ89" s="37">
        <f t="shared" si="17"/>
        <v>0</v>
      </c>
      <c r="AK89" s="2">
        <f t="shared" si="18"/>
        <v>-3.5212642730861429E-2</v>
      </c>
      <c r="AL89" s="2">
        <f t="shared" si="19"/>
        <v>0</v>
      </c>
      <c r="AM89" s="37">
        <f t="shared" si="20"/>
        <v>5.083333333333333</v>
      </c>
      <c r="AN89" s="37" t="str">
        <f t="shared" si="21"/>
        <v/>
      </c>
    </row>
    <row r="90" spans="9:45" x14ac:dyDescent="0.25">
      <c r="I90" s="2"/>
      <c r="J90" s="2"/>
      <c r="L90" s="37">
        <f t="shared" si="22"/>
        <v>8</v>
      </c>
      <c r="M90" s="202"/>
      <c r="N90" s="2">
        <f>IF(V90&lt;60,IF(V90&gt;20,(0.03*V90-1),-0.4),0.8)-'CALCOLO DEL VENTO NTC18'!$F$224</f>
        <v>-0.50000000000000011</v>
      </c>
      <c r="O90" s="2">
        <f>IF(V90&lt;60,IF(V90&gt;20,(0.03*V90-1),-0.4),0.8)+'CALCOLO DEL VENTO NTC18'!$F$234</f>
        <v>0.29999999999999993</v>
      </c>
      <c r="P90" s="2">
        <f>IF('CALCOLO DEL VENTO NTC18'!$F$218='CALCOLO DEL VENTO NTC18'!$F$228,N90,O90)</f>
        <v>-0.50000000000000011</v>
      </c>
      <c r="Q90" s="2">
        <f t="shared" si="12"/>
        <v>1.7999999999999998</v>
      </c>
      <c r="R90" s="2">
        <f t="shared" si="13"/>
        <v>1.2000000000000002</v>
      </c>
      <c r="T90" s="4">
        <f t="shared" si="14"/>
        <v>42.833428066067256</v>
      </c>
      <c r="U90" s="2">
        <f>IF('dati nascosti'!$D$188=1,'dati nascosti'!P90,IF('CALCOLO DEL VENTO NTC18'!$B$215='dati nascosti'!$AJ$72,'dati nascosti'!Q90,'dati nascosti'!R90))</f>
        <v>-0.50000000000000011</v>
      </c>
      <c r="V90" s="4">
        <f>IF('CALCOLO DEL VENTO NTC18'!$D$68="no",'dati nascosti'!$M$11,IF('dati nascosti'!$M$11&lt;0,20,T90))</f>
        <v>30</v>
      </c>
      <c r="W90" s="24">
        <f t="shared" si="8"/>
        <v>14</v>
      </c>
      <c r="X90" s="219">
        <f t="shared" si="10"/>
        <v>5.1666666666666661</v>
      </c>
      <c r="Y90" s="3">
        <f>IF(X90&lt;'dati nascosti'!$B$13,'dati nascosti'!$B$11^2*'dati nascosti'!$B$10*LN('dati nascosti'!$B$13/'dati nascosti'!$B$12)*(7+'dati nascosti'!$B$10*LN('dati nascosti'!$B$13/'dati nascosti'!$B$12)),'dati nascosti'!$B$11^2*'dati nascosti'!$B$10*LN(X90/'dati nascosti'!$B$12)*(7+'dati nascosti'!$B$10*LN(X90/'dati nascosti'!$B$12)))</f>
        <v>1.727009521907708</v>
      </c>
      <c r="Z90" s="40">
        <f>IF('dati nascosti'!$M$15='CALCOLO DEL VENTO NTC18'!$C$70,0,'dati nascosti'!$B$20*Y90*'dati nascosti'!$B$14*$B$10*'dati nascosti'!U90/1000)</f>
        <v>-0.4237385110081775</v>
      </c>
      <c r="AC90" s="40">
        <f>IF('dati nascosti'!$M$15='CALCOLO DEL VENTO NTC18'!$C$70,0,'dati nascosti'!$B$20*Y90*'dati nascosti'!$B$14*$B$10*'dati nascosti'!$B$17/1000)</f>
        <v>-0.67798161761308395</v>
      </c>
      <c r="AD90" s="2"/>
      <c r="AE90" s="2">
        <f t="shared" si="15"/>
        <v>-3.5409071056351833E-2</v>
      </c>
      <c r="AF90" s="2">
        <f t="shared" si="11"/>
        <v>-5.6654513690162937E-2</v>
      </c>
      <c r="AG90" s="2"/>
      <c r="AI90" s="37">
        <f t="shared" si="16"/>
        <v>1</v>
      </c>
      <c r="AJ90" s="37">
        <f t="shared" si="17"/>
        <v>0</v>
      </c>
      <c r="AK90" s="2">
        <f t="shared" si="18"/>
        <v>-3.5409071056351833E-2</v>
      </c>
      <c r="AL90" s="2">
        <f t="shared" si="19"/>
        <v>0</v>
      </c>
      <c r="AM90" s="37">
        <f t="shared" si="20"/>
        <v>5.1666666666666661</v>
      </c>
      <c r="AN90" s="37" t="str">
        <f t="shared" si="21"/>
        <v/>
      </c>
    </row>
    <row r="91" spans="9:45" x14ac:dyDescent="0.25">
      <c r="I91" s="2"/>
      <c r="J91" s="2"/>
      <c r="L91" s="37">
        <f t="shared" si="22"/>
        <v>9</v>
      </c>
      <c r="M91" s="202"/>
      <c r="N91" s="2">
        <f>IF(V91&lt;60,IF(V91&gt;20,(0.03*V91-1),-0.4),0.8)-'CALCOLO DEL VENTO NTC18'!$F$224</f>
        <v>-0.50000000000000011</v>
      </c>
      <c r="O91" s="2">
        <f>IF(V91&lt;60,IF(V91&gt;20,(0.03*V91-1),-0.4),0.8)+'CALCOLO DEL VENTO NTC18'!$F$234</f>
        <v>0.29999999999999993</v>
      </c>
      <c r="P91" s="2">
        <f>IF('CALCOLO DEL VENTO NTC18'!$F$218='CALCOLO DEL VENTO NTC18'!$F$228,N91,O91)</f>
        <v>-0.50000000000000011</v>
      </c>
      <c r="Q91" s="2">
        <f t="shared" si="12"/>
        <v>1.7999999999999998</v>
      </c>
      <c r="R91" s="2">
        <f t="shared" si="13"/>
        <v>1.2000000000000002</v>
      </c>
      <c r="T91" s="4">
        <f t="shared" si="14"/>
        <v>41.409622109270849</v>
      </c>
      <c r="U91" s="2">
        <f>IF('dati nascosti'!$D$188=1,'dati nascosti'!P91,IF('CALCOLO DEL VENTO NTC18'!$B$215='dati nascosti'!$AJ$72,'dati nascosti'!Q91,'dati nascosti'!R91))</f>
        <v>-0.50000000000000011</v>
      </c>
      <c r="V91" s="4">
        <f>IF('CALCOLO DEL VENTO NTC18'!$D$68="no",'dati nascosti'!$M$11,IF('dati nascosti'!$M$11&lt;0,20,T91))</f>
        <v>30</v>
      </c>
      <c r="W91" s="24">
        <f t="shared" si="8"/>
        <v>15</v>
      </c>
      <c r="X91" s="219">
        <f t="shared" si="10"/>
        <v>5.25</v>
      </c>
      <c r="Y91" s="3">
        <f>IF(X91&lt;'dati nascosti'!$B$13,'dati nascosti'!$B$11^2*'dati nascosti'!$B$10*LN('dati nascosti'!$B$13/'dati nascosti'!$B$12)*(7+'dati nascosti'!$B$10*LN('dati nascosti'!$B$13/'dati nascosti'!$B$12)),'dati nascosti'!$B$11^2*'dati nascosti'!$B$10*LN(X91/'dati nascosti'!$B$12)*(7+'dati nascosti'!$B$10*LN(X91/'dati nascosti'!$B$12)))</f>
        <v>1.7365493260656268</v>
      </c>
      <c r="Z91" s="40">
        <f>IF('dati nascosti'!$M$15='CALCOLO DEL VENTO NTC18'!$C$70,0,'dati nascosti'!$B$20*Y91*'dati nascosti'!$B$14*$B$10*'dati nascosti'!U91/1000)</f>
        <v>-0.42607919434426061</v>
      </c>
      <c r="AC91" s="40">
        <f>IF('dati nascosti'!$M$15='CALCOLO DEL VENTO NTC18'!$C$70,0,'dati nascosti'!$B$20*Y91*'dati nascosti'!$B$14*$B$10*'dati nascosti'!$B$17/1000)</f>
        <v>-0.68172671095081683</v>
      </c>
      <c r="AD91" s="2"/>
      <c r="AE91" s="2">
        <f t="shared" si="15"/>
        <v>-3.5602796517822839E-2</v>
      </c>
      <c r="AF91" s="2">
        <f t="shared" si="11"/>
        <v>-5.6964474428516522E-2</v>
      </c>
      <c r="AG91" s="2"/>
      <c r="AI91" s="37">
        <f t="shared" si="16"/>
        <v>1</v>
      </c>
      <c r="AJ91" s="37">
        <f t="shared" si="17"/>
        <v>0</v>
      </c>
      <c r="AK91" s="2">
        <f>AE91*AI91</f>
        <v>-3.5602796517822839E-2</v>
      </c>
      <c r="AL91" s="2">
        <f t="shared" si="19"/>
        <v>0</v>
      </c>
      <c r="AM91" s="37">
        <f t="shared" si="20"/>
        <v>5.25</v>
      </c>
      <c r="AN91" s="37" t="str">
        <f t="shared" si="21"/>
        <v/>
      </c>
    </row>
    <row r="92" spans="9:45" x14ac:dyDescent="0.25">
      <c r="I92" s="2"/>
      <c r="J92" s="2"/>
      <c r="L92" s="37">
        <f t="shared" si="22"/>
        <v>10</v>
      </c>
      <c r="M92" s="202"/>
      <c r="N92" s="2">
        <f>IF(V92&lt;60,IF(V92&gt;20,(0.03*V92-1),-0.4),0.8)-'CALCOLO DEL VENTO NTC18'!$F$224</f>
        <v>-0.50000000000000011</v>
      </c>
      <c r="O92" s="2">
        <f>IF(V92&lt;60,IF(V92&gt;20,(0.03*V92-1),-0.4),0.8)+'CALCOLO DEL VENTO NTC18'!$F$234</f>
        <v>0.29999999999999993</v>
      </c>
      <c r="P92" s="2">
        <f>IF('CALCOLO DEL VENTO NTC18'!$F$218='CALCOLO DEL VENTO NTC18'!$F$228,N92,O92)</f>
        <v>-0.50000000000000011</v>
      </c>
      <c r="Q92" s="2">
        <f t="shared" si="12"/>
        <v>1.7999999999999998</v>
      </c>
      <c r="R92" s="2">
        <f t="shared" si="13"/>
        <v>1.2000000000000002</v>
      </c>
      <c r="T92" s="4">
        <f t="shared" si="14"/>
        <v>39.944505189814876</v>
      </c>
      <c r="U92" s="2">
        <f>IF('dati nascosti'!$D$188=1,'dati nascosti'!P92,IF('CALCOLO DEL VENTO NTC18'!$B$215='dati nascosti'!$AJ$72,'dati nascosti'!Q92,'dati nascosti'!R92))</f>
        <v>-0.50000000000000011</v>
      </c>
      <c r="V92" s="4">
        <f>IF('CALCOLO DEL VENTO NTC18'!$D$68="no",'dati nascosti'!$M$11,IF('dati nascosti'!$M$11&lt;0,20,T92))</f>
        <v>30</v>
      </c>
      <c r="W92" s="24">
        <f t="shared" si="8"/>
        <v>16</v>
      </c>
      <c r="X92" s="219">
        <f t="shared" si="10"/>
        <v>5.333333333333333</v>
      </c>
      <c r="Y92" s="3">
        <f>IF(X92&lt;'dati nascosti'!$B$13,'dati nascosti'!$B$11^2*'dati nascosti'!$B$10*LN('dati nascosti'!$B$13/'dati nascosti'!$B$12)*(7+'dati nascosti'!$B$10*LN('dati nascosti'!$B$13/'dati nascosti'!$B$12)),'dati nascosti'!$B$11^2*'dati nascosti'!$B$10*LN(X92/'dati nascosti'!$B$12)*(7+'dati nascosti'!$B$10*LN(X92/'dati nascosti'!$B$12)))</f>
        <v>1.745958890420908</v>
      </c>
      <c r="Z92" s="40">
        <f>IF('dati nascosti'!$M$15='CALCOLO DEL VENTO NTC18'!$C$70,0,'dati nascosti'!$B$20*Y92*'dati nascosti'!$B$14*$B$10*'dati nascosti'!U92/1000)</f>
        <v>-0.42838792208349047</v>
      </c>
      <c r="AC92" s="40">
        <f>IF('dati nascosti'!$M$15='CALCOLO DEL VENTO NTC18'!$C$70,0,'dati nascosti'!$B$20*Y92*'dati nascosti'!$B$14*$B$10*'dati nascosti'!$B$17/1000)</f>
        <v>-0.68542067533358464</v>
      </c>
      <c r="AD92" s="2"/>
      <c r="AE92" s="2">
        <f t="shared" si="15"/>
        <v>-3.5793897156136227E-2</v>
      </c>
      <c r="AF92" s="2">
        <f t="shared" si="11"/>
        <v>-5.7270235449817949E-2</v>
      </c>
      <c r="AG92" s="2"/>
      <c r="AI92" s="37">
        <f t="shared" si="16"/>
        <v>1</v>
      </c>
      <c r="AJ92" s="37">
        <f t="shared" si="17"/>
        <v>0</v>
      </c>
      <c r="AK92" s="2">
        <f t="shared" si="18"/>
        <v>-3.5793897156136227E-2</v>
      </c>
      <c r="AL92" s="2">
        <f t="shared" si="19"/>
        <v>0</v>
      </c>
      <c r="AM92" s="37">
        <f t="shared" si="20"/>
        <v>5.333333333333333</v>
      </c>
      <c r="AN92" s="37" t="str">
        <f t="shared" si="21"/>
        <v/>
      </c>
    </row>
    <row r="93" spans="9:45" x14ac:dyDescent="0.25">
      <c r="I93" s="2"/>
      <c r="J93" s="2"/>
      <c r="L93" s="37">
        <f t="shared" si="22"/>
        <v>11</v>
      </c>
      <c r="M93" s="202"/>
      <c r="N93" s="2">
        <f>IF(V93&lt;60,IF(V93&gt;20,(0.03*V93-1),-0.4),0.8)-'CALCOLO DEL VENTO NTC18'!$F$224</f>
        <v>-0.50000000000000011</v>
      </c>
      <c r="O93" s="2">
        <f>IF(V93&lt;60,IF(V93&gt;20,(0.03*V93-1),-0.4),0.8)+'CALCOLO DEL VENTO NTC18'!$F$234</f>
        <v>0.29999999999999993</v>
      </c>
      <c r="P93" s="2">
        <f>IF('CALCOLO DEL VENTO NTC18'!$F$218='CALCOLO DEL VENTO NTC18'!$F$228,N93,O93)</f>
        <v>-0.50000000000000011</v>
      </c>
      <c r="Q93" s="2">
        <f t="shared" si="12"/>
        <v>1.7999999999999998</v>
      </c>
      <c r="R93" s="2">
        <f t="shared" si="13"/>
        <v>1.2000000000000002</v>
      </c>
      <c r="T93" s="4">
        <f t="shared" si="14"/>
        <v>38.43320634085083</v>
      </c>
      <c r="U93" s="2">
        <f>IF('dati nascosti'!$D$188=1,'dati nascosti'!P93,IF('CALCOLO DEL VENTO NTC18'!$B$215='dati nascosti'!$AJ$72,'dati nascosti'!Q93,'dati nascosti'!R93))</f>
        <v>-0.50000000000000011</v>
      </c>
      <c r="V93" s="4">
        <f>IF('CALCOLO DEL VENTO NTC18'!$D$68="no",'dati nascosti'!$M$11,IF('dati nascosti'!$M$11&lt;0,20,T93))</f>
        <v>30</v>
      </c>
      <c r="W93" s="24">
        <f t="shared" si="8"/>
        <v>17</v>
      </c>
      <c r="X93" s="219">
        <f t="shared" si="10"/>
        <v>5.4166666666666661</v>
      </c>
      <c r="Y93" s="220">
        <f>IF(X93&lt;'dati nascosti'!$B$13,'dati nascosti'!$B$11^2*'dati nascosti'!$B$10*LN('dati nascosti'!$B$13/'dati nascosti'!$B$12)*(7+'dati nascosti'!$B$10*LN('dati nascosti'!$B$13/'dati nascosti'!$B$12)),'dati nascosti'!$B$11^2*'dati nascosti'!$B$10*LN(X93/'dati nascosti'!$B$12)*(7+'dati nascosti'!$B$10*LN(X93/'dati nascosti'!$B$12)))</f>
        <v>1.7552419459773534</v>
      </c>
      <c r="Z93" s="40">
        <f>IF('dati nascosti'!$M$15='CALCOLO DEL VENTO NTC18'!$C$70,0,'dati nascosti'!$B$20*Y93*'dati nascosti'!$B$14*$B$10*'dati nascosti'!U93/1000)</f>
        <v>-0.43066560966378198</v>
      </c>
      <c r="AA93" s="36"/>
      <c r="AB93" s="36"/>
      <c r="AC93" s="40">
        <f>IF('dati nascosti'!$M$15='CALCOLO DEL VENTO NTC18'!$C$70,0,'dati nascosti'!$B$20*Y93*'dati nascosti'!$B$14*$B$10*'dati nascosti'!$B$17/1000)</f>
        <v>-0.68906497546205103</v>
      </c>
      <c r="AD93" s="219"/>
      <c r="AE93" s="219">
        <f t="shared" si="15"/>
        <v>-3.5982447605951387E-2</v>
      </c>
      <c r="AF93" s="219">
        <f t="shared" si="11"/>
        <v>-5.7571916169522216E-2</v>
      </c>
      <c r="AG93" s="219"/>
      <c r="AH93" s="36"/>
      <c r="AI93" s="37">
        <f>IF(SIGN(AE93)=-1,1,0)</f>
        <v>1</v>
      </c>
      <c r="AJ93" s="37">
        <f t="shared" si="17"/>
        <v>0</v>
      </c>
      <c r="AK93" s="219">
        <f>AE93*AI93</f>
        <v>-3.5982447605951387E-2</v>
      </c>
      <c r="AL93" s="219">
        <f t="shared" si="19"/>
        <v>0</v>
      </c>
      <c r="AM93" s="37">
        <f>IF(AI93*X93=0,"",AI93*X93)</f>
        <v>5.4166666666666661</v>
      </c>
      <c r="AN93" s="37" t="str">
        <f t="shared" si="21"/>
        <v/>
      </c>
      <c r="AO93" s="36"/>
    </row>
    <row r="94" spans="9:45" x14ac:dyDescent="0.25">
      <c r="I94" s="2"/>
      <c r="J94" s="2"/>
      <c r="L94" s="37">
        <f t="shared" si="22"/>
        <v>12</v>
      </c>
      <c r="M94" s="202"/>
      <c r="N94" s="2">
        <f>IF(V94&lt;60,IF(V94&gt;20,(0.03*V94-1),-0.4),0.8)-'CALCOLO DEL VENTO NTC18'!$F$224</f>
        <v>-0.50000000000000011</v>
      </c>
      <c r="O94" s="2">
        <f>IF(V94&lt;60,IF(V94&gt;20,(0.03*V94-1),-0.4),0.8)+'CALCOLO DEL VENTO NTC18'!$F$234</f>
        <v>0.29999999999999993</v>
      </c>
      <c r="P94" s="2">
        <f>IF('CALCOLO DEL VENTO NTC18'!$F$218='CALCOLO DEL VENTO NTC18'!$F$228,N94,O94)</f>
        <v>-0.50000000000000011</v>
      </c>
      <c r="Q94" s="2">
        <f t="shared" si="12"/>
        <v>1.7999999999999998</v>
      </c>
      <c r="R94" s="2">
        <f t="shared" si="13"/>
        <v>1.2000000000000002</v>
      </c>
      <c r="T94" s="4">
        <f t="shared" si="14"/>
        <v>36.869897645844013</v>
      </c>
      <c r="U94" s="2">
        <f>IF('dati nascosti'!$D$188=1,'dati nascosti'!P94,IF('CALCOLO DEL VENTO NTC18'!$B$215='dati nascosti'!$AJ$72,'dati nascosti'!Q94,'dati nascosti'!R94))</f>
        <v>-0.50000000000000011</v>
      </c>
      <c r="V94" s="4">
        <f>IF('CALCOLO DEL VENTO NTC18'!$D$68="no",'dati nascosti'!$M$11,IF('dati nascosti'!$M$11&lt;0,20,T94))</f>
        <v>30</v>
      </c>
      <c r="W94" s="24">
        <f t="shared" si="8"/>
        <v>18</v>
      </c>
      <c r="X94" s="219">
        <f t="shared" si="10"/>
        <v>5.5</v>
      </c>
      <c r="Y94" s="3">
        <f>IF(X94&lt;'dati nascosti'!$B$13,'dati nascosti'!$B$11^2*'dati nascosti'!$B$10*LN('dati nascosti'!$B$13/'dati nascosti'!$B$12)*(7+'dati nascosti'!$B$10*LN('dati nascosti'!$B$13/'dati nascosti'!$B$12)),'dati nascosti'!$B$11^2*'dati nascosti'!$B$10*LN(X94/'dati nascosti'!$B$12)*(7+'dati nascosti'!$B$10*LN(X94/'dati nascosti'!$B$12)))</f>
        <v>1.7644020621637093</v>
      </c>
      <c r="Z94" s="40">
        <f>IF('dati nascosti'!$M$15='CALCOLO DEL VENTO NTC18'!$C$70,0,'dati nascosti'!$B$20*Y94*'dati nascosti'!$B$14*$B$10*'dati nascosti'!U94/1000)</f>
        <v>-0.43291313287904531</v>
      </c>
      <c r="AC94" s="40">
        <f>IF('dati nascosti'!$M$15='CALCOLO DEL VENTO NTC18'!$C$70,0,'dati nascosti'!$B$20*Y94*'dati nascosti'!$B$14*$B$10*'dati nascosti'!$B$17/1000)</f>
        <v>-0.69266101260647239</v>
      </c>
      <c r="AD94" s="2"/>
      <c r="AE94" s="2">
        <f t="shared" si="15"/>
        <v>-3.6168519293358979E-2</v>
      </c>
      <c r="AF94" s="2">
        <f t="shared" si="11"/>
        <v>-5.7869630869374349E-2</v>
      </c>
      <c r="AG94" s="2"/>
      <c r="AI94" s="37">
        <f t="shared" si="16"/>
        <v>1</v>
      </c>
      <c r="AJ94" s="37">
        <f t="shared" si="17"/>
        <v>0</v>
      </c>
      <c r="AK94" s="2">
        <f t="shared" si="18"/>
        <v>-3.6168519293358979E-2</v>
      </c>
      <c r="AL94" s="2">
        <f t="shared" si="19"/>
        <v>0</v>
      </c>
      <c r="AM94" s="37">
        <f t="shared" si="20"/>
        <v>5.5</v>
      </c>
      <c r="AN94" s="37" t="str">
        <f t="shared" si="21"/>
        <v/>
      </c>
    </row>
    <row r="95" spans="9:45" x14ac:dyDescent="0.25">
      <c r="I95" s="2"/>
      <c r="J95" s="2"/>
      <c r="L95" s="37">
        <f t="shared" si="22"/>
        <v>13</v>
      </c>
      <c r="M95" s="202"/>
      <c r="N95" s="2">
        <f>IF(V95&lt;60,IF(V95&gt;20,(0.03*V95-1),-0.4),0.8)-'CALCOLO DEL VENTO NTC18'!$F$224</f>
        <v>-0.50000000000000011</v>
      </c>
      <c r="O95" s="2">
        <f>IF(V95&lt;60,IF(V95&gt;20,(0.03*V95-1),-0.4),0.8)+'CALCOLO DEL VENTO NTC18'!$F$234</f>
        <v>0.29999999999999993</v>
      </c>
      <c r="P95" s="2">
        <f>IF('CALCOLO DEL VENTO NTC18'!$F$218='CALCOLO DEL VENTO NTC18'!$F$228,N95,O95)</f>
        <v>-0.50000000000000011</v>
      </c>
      <c r="Q95" s="2">
        <f t="shared" si="12"/>
        <v>1.7999999999999998</v>
      </c>
      <c r="R95" s="2">
        <f t="shared" si="13"/>
        <v>1.2000000000000002</v>
      </c>
      <c r="T95" s="4">
        <f t="shared" si="14"/>
        <v>35.247506992052607</v>
      </c>
      <c r="U95" s="2">
        <f>IF('dati nascosti'!$D$188=1,'dati nascosti'!P95,IF('CALCOLO DEL VENTO NTC18'!$B$215='dati nascosti'!$AJ$72,'dati nascosti'!Q95,'dati nascosti'!R95))</f>
        <v>-0.50000000000000011</v>
      </c>
      <c r="V95" s="4">
        <f>IF('CALCOLO DEL VENTO NTC18'!$D$68="no",'dati nascosti'!$M$11,IF('dati nascosti'!$M$11&lt;0,20,T95))</f>
        <v>30</v>
      </c>
      <c r="W95" s="24">
        <f t="shared" si="8"/>
        <v>19</v>
      </c>
      <c r="X95" s="219">
        <f t="shared" si="10"/>
        <v>5.583333333333333</v>
      </c>
      <c r="Y95" s="3">
        <f>IF(X95&lt;'dati nascosti'!$B$13,'dati nascosti'!$B$11^2*'dati nascosti'!$B$10*LN('dati nascosti'!$B$13/'dati nascosti'!$B$12)*(7+'dati nascosti'!$B$10*LN('dati nascosti'!$B$13/'dati nascosti'!$B$12)),'dati nascosti'!$B$11^2*'dati nascosti'!$B$10*LN(X95/'dati nascosti'!$B$12)*(7+'dati nascosti'!$B$10*LN(X95/'dati nascosti'!$B$12)))</f>
        <v>1.7734426561358763</v>
      </c>
      <c r="Z95" s="40">
        <f>IF('dati nascosti'!$M$15='CALCOLO DEL VENTO NTC18'!$C$70,0,'dati nascosti'!$B$20*Y95*'dati nascosti'!$B$14*$B$10*'dati nascosti'!U95/1000)</f>
        <v>-0.43513133016157318</v>
      </c>
      <c r="AC95" s="40">
        <f>IF('dati nascosti'!$M$15='CALCOLO DEL VENTO NTC18'!$C$70,0,'dati nascosti'!$B$20*Y95*'dati nascosti'!$B$14*$B$10*'dati nascosti'!$B$17/1000)</f>
        <v>-0.69621012825851702</v>
      </c>
      <c r="AD95" s="2"/>
      <c r="AE95" s="2">
        <f t="shared" si="15"/>
        <v>-3.6352180619289187E-2</v>
      </c>
      <c r="AF95" s="2">
        <f t="shared" si="11"/>
        <v>-5.816348899086269E-2</v>
      </c>
      <c r="AG95" s="2"/>
      <c r="AI95" s="37">
        <f t="shared" si="16"/>
        <v>1</v>
      </c>
      <c r="AJ95" s="37">
        <f t="shared" si="17"/>
        <v>0</v>
      </c>
      <c r="AK95" s="2">
        <f t="shared" si="18"/>
        <v>-3.6352180619289187E-2</v>
      </c>
      <c r="AL95" s="2">
        <f t="shared" si="19"/>
        <v>0</v>
      </c>
      <c r="AM95" s="37">
        <f t="shared" si="20"/>
        <v>5.583333333333333</v>
      </c>
      <c r="AN95" s="37" t="str">
        <f t="shared" si="21"/>
        <v/>
      </c>
    </row>
    <row r="96" spans="9:45" x14ac:dyDescent="0.25">
      <c r="I96" s="2"/>
      <c r="J96" s="2"/>
      <c r="L96" s="37">
        <f t="shared" si="22"/>
        <v>14</v>
      </c>
      <c r="M96" s="202"/>
      <c r="N96" s="2">
        <f>IF(V96&lt;60,IF(V96&gt;20,(0.03*V96-1),-0.4),0.8)-'CALCOLO DEL VENTO NTC18'!$F$224</f>
        <v>-0.50000000000000011</v>
      </c>
      <c r="O96" s="2">
        <f>IF(V96&lt;60,IF(V96&gt;20,(0.03*V96-1),-0.4),0.8)+'CALCOLO DEL VENTO NTC18'!$F$234</f>
        <v>0.29999999999999993</v>
      </c>
      <c r="P96" s="2">
        <f>IF('CALCOLO DEL VENTO NTC18'!$F$218='CALCOLO DEL VENTO NTC18'!$F$228,N96,O96)</f>
        <v>-0.50000000000000011</v>
      </c>
      <c r="Q96" s="2">
        <f t="shared" si="12"/>
        <v>1.7999999999999998</v>
      </c>
      <c r="R96" s="2">
        <f t="shared" si="13"/>
        <v>1.2000000000000002</v>
      </c>
      <c r="T96" s="4">
        <f t="shared" si="14"/>
        <v>33.55730976192072</v>
      </c>
      <c r="U96" s="2">
        <f>IF('dati nascosti'!$D$188=1,'dati nascosti'!P96,IF('CALCOLO DEL VENTO NTC18'!$B$215='dati nascosti'!$AJ$72,'dati nascosti'!Q96,'dati nascosti'!R96))</f>
        <v>-0.50000000000000011</v>
      </c>
      <c r="V96" s="4">
        <f>IF('CALCOLO DEL VENTO NTC18'!$D$68="no",'dati nascosti'!$M$11,IF('dati nascosti'!$M$11&lt;0,20,T96))</f>
        <v>30</v>
      </c>
      <c r="W96" s="24">
        <f t="shared" si="8"/>
        <v>20</v>
      </c>
      <c r="X96" s="219">
        <f t="shared" si="10"/>
        <v>5.6666666666666661</v>
      </c>
      <c r="Y96" s="3">
        <f>IF(X96&lt;'dati nascosti'!$B$13,'dati nascosti'!$B$11^2*'dati nascosti'!$B$10*LN('dati nascosti'!$B$13/'dati nascosti'!$B$12)*(7+'dati nascosti'!$B$10*LN('dati nascosti'!$B$13/'dati nascosti'!$B$12)),'dati nascosti'!$B$11^2*'dati nascosti'!$B$10*LN(X96/'dati nascosti'!$B$12)*(7+'dati nascosti'!$B$10*LN(X96/'dati nascosti'!$B$12)))</f>
        <v>1.7823670014145514</v>
      </c>
      <c r="Z96" s="40">
        <f>IF('dati nascosti'!$M$15='CALCOLO DEL VENTO NTC18'!$C$70,0,'dati nascosti'!$B$20*Y96*'dati nascosti'!$B$14*$B$10*'dati nascosti'!U96/1000)</f>
        <v>-0.43732100470137036</v>
      </c>
      <c r="AC96" s="40">
        <f>IF('dati nascosti'!$M$15='CALCOLO DEL VENTO NTC18'!$C$70,0,'dati nascosti'!$B$20*Y96*'dati nascosti'!$B$14*$B$10*'dati nascosti'!$B$17/1000)</f>
        <v>-0.69971360752219247</v>
      </c>
      <c r="AD96" s="2"/>
      <c r="AE96" s="2">
        <f t="shared" si="15"/>
        <v>-3.6533497129902046E-2</v>
      </c>
      <c r="AF96" s="2">
        <f t="shared" si="11"/>
        <v>-5.8453595407843256E-2</v>
      </c>
      <c r="AG96" s="2"/>
      <c r="AI96" s="37">
        <f t="shared" si="16"/>
        <v>1</v>
      </c>
      <c r="AJ96" s="37">
        <f t="shared" si="17"/>
        <v>0</v>
      </c>
      <c r="AK96" s="2">
        <f t="shared" si="18"/>
        <v>-3.6533497129902046E-2</v>
      </c>
      <c r="AL96" s="2">
        <f t="shared" si="19"/>
        <v>0</v>
      </c>
      <c r="AM96" s="37">
        <f t="shared" si="20"/>
        <v>5.6666666666666661</v>
      </c>
      <c r="AN96" s="37" t="str">
        <f t="shared" si="21"/>
        <v/>
      </c>
    </row>
    <row r="97" spans="2:40" x14ac:dyDescent="0.25">
      <c r="I97" s="2"/>
      <c r="J97" s="2"/>
      <c r="L97" s="37">
        <f t="shared" si="22"/>
        <v>15</v>
      </c>
      <c r="M97" s="202"/>
      <c r="N97" s="2">
        <f>IF(V97&lt;60,IF(V97&gt;20,(0.03*V97-1),-0.4),0.8)-'CALCOLO DEL VENTO NTC18'!$F$224</f>
        <v>-0.50000000000000011</v>
      </c>
      <c r="O97" s="2">
        <f>IF(V97&lt;60,IF(V97&gt;20,(0.03*V97-1),-0.4),0.8)+'CALCOLO DEL VENTO NTC18'!$F$234</f>
        <v>0.29999999999999993</v>
      </c>
      <c r="P97" s="2">
        <f>IF('CALCOLO DEL VENTO NTC18'!$F$218='CALCOLO DEL VENTO NTC18'!$F$228,N97,O97)</f>
        <v>-0.50000000000000011</v>
      </c>
      <c r="Q97" s="2">
        <f t="shared" si="12"/>
        <v>1.7999999999999998</v>
      </c>
      <c r="R97" s="2">
        <f t="shared" si="13"/>
        <v>1.2000000000000002</v>
      </c>
      <c r="T97" s="4">
        <f t="shared" si="14"/>
        <v>31.788330617051606</v>
      </c>
      <c r="U97" s="2">
        <f>IF('dati nascosti'!$D$188=1,'dati nascosti'!P97,IF('CALCOLO DEL VENTO NTC18'!$B$215='dati nascosti'!$AJ$72,'dati nascosti'!Q97,'dati nascosti'!R97))</f>
        <v>-0.50000000000000011</v>
      </c>
      <c r="V97" s="4">
        <f>IF('CALCOLO DEL VENTO NTC18'!$D$68="no",'dati nascosti'!$M$11,IF('dati nascosti'!$M$11&lt;0,20,T97))</f>
        <v>30</v>
      </c>
      <c r="W97" s="24">
        <f t="shared" si="8"/>
        <v>21</v>
      </c>
      <c r="X97" s="219">
        <f t="shared" si="10"/>
        <v>5.75</v>
      </c>
      <c r="Y97" s="3">
        <f>IF(X97&lt;'dati nascosti'!$B$13,'dati nascosti'!$B$11^2*'dati nascosti'!$B$10*LN('dati nascosti'!$B$13/'dati nascosti'!$B$12)*(7+'dati nascosti'!$B$10*LN('dati nascosti'!$B$13/'dati nascosti'!$B$12)),'dati nascosti'!$B$11^2*'dati nascosti'!$B$10*LN(X97/'dati nascosti'!$B$12)*(7+'dati nascosti'!$B$10*LN(X97/'dati nascosti'!$B$12)))</f>
        <v>1.7911782359147428</v>
      </c>
      <c r="Z97" s="40">
        <f>IF('dati nascosti'!$M$15='CALCOLO DEL VENTO NTC18'!$C$70,0,'dati nascosti'!$B$20*Y97*'dati nascosti'!$B$14*$B$10*'dati nascosti'!U97/1000)</f>
        <v>-0.43948292641627251</v>
      </c>
      <c r="AC97" s="40">
        <f>IF('dati nascosti'!$M$15='CALCOLO DEL VENTO NTC18'!$C$70,0,'dati nascosti'!$B$20*Y97*'dati nascosti'!$B$14*$B$10*'dati nascosti'!$B$17/1000)</f>
        <v>-0.7031726822660358</v>
      </c>
      <c r="AD97" s="2"/>
      <c r="AE97" s="2">
        <f t="shared" si="15"/>
        <v>-3.671253167506721E-2</v>
      </c>
      <c r="AF97" s="2">
        <f t="shared" si="11"/>
        <v>-5.8740050680107514E-2</v>
      </c>
      <c r="AG97" s="2"/>
      <c r="AI97" s="37">
        <f t="shared" si="16"/>
        <v>1</v>
      </c>
      <c r="AJ97" s="37">
        <f t="shared" si="17"/>
        <v>0</v>
      </c>
      <c r="AK97" s="2">
        <f t="shared" si="18"/>
        <v>-3.671253167506721E-2</v>
      </c>
      <c r="AL97" s="2">
        <f t="shared" si="19"/>
        <v>0</v>
      </c>
      <c r="AM97" s="37">
        <f t="shared" si="20"/>
        <v>5.75</v>
      </c>
      <c r="AN97" s="37" t="str">
        <f t="shared" si="21"/>
        <v/>
      </c>
    </row>
    <row r="98" spans="2:40" x14ac:dyDescent="0.25">
      <c r="I98" s="2"/>
      <c r="J98" s="2"/>
      <c r="L98" s="37">
        <f t="shared" si="22"/>
        <v>16</v>
      </c>
      <c r="M98" s="202"/>
      <c r="N98" s="2">
        <f>IF(V98&lt;60,IF(V98&gt;20,(0.03*V98-1),-0.4),0.8)-'CALCOLO DEL VENTO NTC18'!$F$224</f>
        <v>-0.50000000000000011</v>
      </c>
      <c r="O98" s="2">
        <f>IF(V98&lt;60,IF(V98&gt;20,(0.03*V98-1),-0.4),0.8)+'CALCOLO DEL VENTO NTC18'!$F$234</f>
        <v>0.29999999999999993</v>
      </c>
      <c r="P98" s="2">
        <f>IF('CALCOLO DEL VENTO NTC18'!$F$218='CALCOLO DEL VENTO NTC18'!$F$228,N98,O98)</f>
        <v>-0.50000000000000011</v>
      </c>
      <c r="Q98" s="2">
        <f t="shared" si="12"/>
        <v>1.7999999999999998</v>
      </c>
      <c r="R98" s="2">
        <f t="shared" si="13"/>
        <v>1.2000000000000002</v>
      </c>
      <c r="T98" s="4">
        <f t="shared" si="14"/>
        <v>29.926434866614251</v>
      </c>
      <c r="U98" s="2">
        <f>IF('dati nascosti'!$D$188=1,'dati nascosti'!P98,IF('CALCOLO DEL VENTO NTC18'!$B$215='dati nascosti'!$AJ$72,'dati nascosti'!Q98,'dati nascosti'!R98))</f>
        <v>-0.50000000000000011</v>
      </c>
      <c r="V98" s="4">
        <f>IF('CALCOLO DEL VENTO NTC18'!$D$68="no",'dati nascosti'!$M$11,IF('dati nascosti'!$M$11&lt;0,20,T98))</f>
        <v>30</v>
      </c>
      <c r="W98" s="24">
        <f t="shared" si="8"/>
        <v>22</v>
      </c>
      <c r="X98" s="219">
        <f t="shared" si="10"/>
        <v>5.833333333333333</v>
      </c>
      <c r="Y98" s="3">
        <f>IF(X98&lt;'dati nascosti'!$B$13,'dati nascosti'!$B$11^2*'dati nascosti'!$B$10*LN('dati nascosti'!$B$13/'dati nascosti'!$B$12)*(7+'dati nascosti'!$B$10*LN('dati nascosti'!$B$13/'dati nascosti'!$B$12)),'dati nascosti'!$B$11^2*'dati nascosti'!$B$10*LN(X98/'dati nascosti'!$B$12)*(7+'dati nascosti'!$B$10*LN(X98/'dati nascosti'!$B$12)))</f>
        <v>1.7998793694180542</v>
      </c>
      <c r="Z98" s="40">
        <f>IF('dati nascosti'!$M$15='CALCOLO DEL VENTO NTC18'!$C$70,0,'dati nascosti'!$B$20*Y98*'dati nascosti'!$B$14*$B$10*'dati nascosti'!U98/1000)</f>
        <v>-0.44161783378534353</v>
      </c>
      <c r="AC98" s="40">
        <f>IF('dati nascosti'!$M$15='CALCOLO DEL VENTO NTC18'!$C$70,0,'dati nascosti'!$B$20*Y98*'dati nascosti'!$B$14*$B$10*'dati nascosti'!$B$17/1000)</f>
        <v>-0.70658853405654953</v>
      </c>
      <c r="AD98" s="2"/>
      <c r="AE98" s="2">
        <f t="shared" si="15"/>
        <v>-3.6889344555924054E-2</v>
      </c>
      <c r="AF98" s="2">
        <f t="shared" si="11"/>
        <v>-5.9022951289478473E-2</v>
      </c>
      <c r="AG98" s="2"/>
      <c r="AI98" s="37">
        <f t="shared" si="16"/>
        <v>1</v>
      </c>
      <c r="AJ98" s="37">
        <f t="shared" si="17"/>
        <v>0</v>
      </c>
      <c r="AK98" s="2">
        <f>AE98*AI98</f>
        <v>-3.6889344555924054E-2</v>
      </c>
      <c r="AL98" s="2">
        <f t="shared" si="19"/>
        <v>0</v>
      </c>
      <c r="AM98" s="37">
        <f t="shared" si="20"/>
        <v>5.833333333333333</v>
      </c>
      <c r="AN98" s="37" t="str">
        <f t="shared" si="21"/>
        <v/>
      </c>
    </row>
    <row r="99" spans="2:40" x14ac:dyDescent="0.25">
      <c r="I99" s="2"/>
      <c r="J99" s="2"/>
      <c r="L99" s="37">
        <f t="shared" si="22"/>
        <v>17</v>
      </c>
      <c r="M99" s="202"/>
      <c r="N99" s="2">
        <f>IF(V99&lt;60,IF(V99&gt;20,(0.03*V99-1),-0.4),0.8)-'CALCOLO DEL VENTO NTC18'!$F$224</f>
        <v>-0.50000000000000011</v>
      </c>
      <c r="O99" s="2">
        <f>IF(V99&lt;60,IF(V99&gt;20,(0.03*V99-1),-0.4),0.8)+'CALCOLO DEL VENTO NTC18'!$F$234</f>
        <v>0.29999999999999993</v>
      </c>
      <c r="P99" s="2">
        <f>IF('CALCOLO DEL VENTO NTC18'!$F$218='CALCOLO DEL VENTO NTC18'!$F$228,N99,O99)</f>
        <v>-0.50000000000000011</v>
      </c>
      <c r="Q99" s="2">
        <f t="shared" si="12"/>
        <v>1.7999999999999998</v>
      </c>
      <c r="R99" s="2">
        <f t="shared" si="13"/>
        <v>1.2000000000000002</v>
      </c>
      <c r="T99" s="4">
        <f t="shared" si="14"/>
        <v>27.95288658913514</v>
      </c>
      <c r="U99" s="2">
        <f>IF('dati nascosti'!$D$188=1,'dati nascosti'!P99,IF('CALCOLO DEL VENTO NTC18'!$B$215='dati nascosti'!$AJ$72,'dati nascosti'!Q99,'dati nascosti'!R99))</f>
        <v>-0.50000000000000011</v>
      </c>
      <c r="V99" s="4">
        <f>IF('CALCOLO DEL VENTO NTC18'!$D$68="no",'dati nascosti'!$M$11,IF('dati nascosti'!$M$11&lt;0,20,T99))</f>
        <v>30</v>
      </c>
      <c r="W99" s="24">
        <f t="shared" si="8"/>
        <v>23</v>
      </c>
      <c r="X99" s="219">
        <f t="shared" si="10"/>
        <v>5.9166666666666661</v>
      </c>
      <c r="Y99" s="3">
        <f>IF(X99&lt;'dati nascosti'!$B$13,'dati nascosti'!$B$11^2*'dati nascosti'!$B$10*LN('dati nascosti'!$B$13/'dati nascosti'!$B$12)*(7+'dati nascosti'!$B$10*LN('dati nascosti'!$B$13/'dati nascosti'!$B$12)),'dati nascosti'!$B$11^2*'dati nascosti'!$B$10*LN(X99/'dati nascosti'!$B$12)*(7+'dati nascosti'!$B$10*LN(X99/'dati nascosti'!$B$12)))</f>
        <v>1.8084732905337355</v>
      </c>
      <c r="Z99" s="40">
        <f>IF('dati nascosti'!$M$15='CALCOLO DEL VENTO NTC18'!$C$70,0,'dati nascosti'!$B$20*Y99*'dati nascosti'!$B$14*$B$10*'dati nascosti'!U99/1000)</f>
        <v>-0.44372643555683694</v>
      </c>
      <c r="AC99" s="40">
        <f>IF('dati nascosti'!$M$15='CALCOLO DEL VENTO NTC18'!$C$70,0,'dati nascosti'!$B$20*Y99*'dati nascosti'!$B$14*$B$10*'dati nascosti'!$B$17/1000)</f>
        <v>-0.70996229689093893</v>
      </c>
      <c r="AD99" s="2"/>
      <c r="AE99" s="2">
        <f t="shared" si="15"/>
        <v>-3.7063993662407084E-2</v>
      </c>
      <c r="AF99" s="2">
        <f t="shared" si="11"/>
        <v>-5.9302389859851326E-2</v>
      </c>
      <c r="AG99" s="2"/>
      <c r="AI99" s="37">
        <f t="shared" si="16"/>
        <v>1</v>
      </c>
      <c r="AJ99" s="37">
        <f t="shared" si="17"/>
        <v>0</v>
      </c>
      <c r="AK99" s="2">
        <f t="shared" si="18"/>
        <v>-3.7063993662407084E-2</v>
      </c>
      <c r="AL99" s="2">
        <f t="shared" si="19"/>
        <v>0</v>
      </c>
      <c r="AM99" s="37">
        <f t="shared" si="20"/>
        <v>5.9166666666666661</v>
      </c>
      <c r="AN99" s="37" t="str">
        <f t="shared" si="21"/>
        <v/>
      </c>
    </row>
    <row r="100" spans="2:40" x14ac:dyDescent="0.25">
      <c r="I100" s="2"/>
      <c r="J100" s="2"/>
      <c r="L100" s="37">
        <f t="shared" si="22"/>
        <v>18</v>
      </c>
      <c r="M100" s="202"/>
      <c r="N100" s="2">
        <f>IF(V100&lt;60,IF(V100&gt;20,(0.03*V100-1),-0.4),0.8)-'CALCOLO DEL VENTO NTC18'!$F$224</f>
        <v>-0.50000000000000011</v>
      </c>
      <c r="O100" s="2">
        <f>IF(V100&lt;60,IF(V100&gt;20,(0.03*V100-1),-0.4),0.8)+'CALCOLO DEL VENTO NTC18'!$F$234</f>
        <v>0.29999999999999993</v>
      </c>
      <c r="P100" s="2">
        <f>IF('CALCOLO DEL VENTO NTC18'!$F$218='CALCOLO DEL VENTO NTC18'!$F$228,N100,O100)</f>
        <v>-0.50000000000000011</v>
      </c>
      <c r="Q100" s="2">
        <f t="shared" si="12"/>
        <v>1.7999999999999998</v>
      </c>
      <c r="R100" s="2">
        <f t="shared" si="13"/>
        <v>1.2000000000000002</v>
      </c>
      <c r="T100" s="4">
        <f t="shared" si="14"/>
        <v>25.841932763167122</v>
      </c>
      <c r="U100" s="2">
        <f>IF('dati nascosti'!$D$188=1,'dati nascosti'!P100,IF('CALCOLO DEL VENTO NTC18'!$B$215='dati nascosti'!$AJ$72,'dati nascosti'!Q100,'dati nascosti'!R100))</f>
        <v>-0.50000000000000011</v>
      </c>
      <c r="V100" s="4">
        <f>IF('CALCOLO DEL VENTO NTC18'!$D$68="no",'dati nascosti'!$M$11,IF('dati nascosti'!$M$11&lt;0,20,T100))</f>
        <v>30</v>
      </c>
      <c r="W100" s="24">
        <f t="shared" si="8"/>
        <v>24</v>
      </c>
      <c r="X100" s="219">
        <f t="shared" si="10"/>
        <v>6</v>
      </c>
      <c r="Y100" s="3">
        <f>IF(X100&lt;'dati nascosti'!$B$13,'dati nascosti'!$B$11^2*'dati nascosti'!$B$10*LN('dati nascosti'!$B$13/'dati nascosti'!$B$12)*(7+'dati nascosti'!$B$10*LN('dati nascosti'!$B$13/'dati nascosti'!$B$12)),'dati nascosti'!$B$11^2*'dati nascosti'!$B$10*LN(X100/'dati nascosti'!$B$12)*(7+'dati nascosti'!$B$10*LN(X100/'dati nascosti'!$B$12)))</f>
        <v>1.8169627731900959</v>
      </c>
      <c r="Z100" s="40">
        <f>IF('dati nascosti'!$M$15='CALCOLO DEL VENTO NTC18'!$C$70,0,'dati nascosti'!$B$20*Y100*'dati nascosti'!$B$14*$B$10*'dati nascosti'!U100/1000)</f>
        <v>-0.44580941234092675</v>
      </c>
      <c r="AC100" s="40">
        <f>IF('dati nascosti'!$M$15='CALCOLO DEL VENTO NTC18'!$C$70,0,'dati nascosti'!$B$20*Y100*'dati nascosti'!$B$14*$B$10*'dati nascosti'!$B$17/1000)</f>
        <v>-0.71329505974548268</v>
      </c>
      <c r="AD100" s="2"/>
      <c r="AE100" s="2">
        <f t="shared" si="15"/>
        <v>-3.7236534601557486E-2</v>
      </c>
      <c r="AF100" s="2">
        <f t="shared" si="11"/>
        <v>-5.9578455362491969E-2</v>
      </c>
      <c r="AG100" s="2"/>
      <c r="AI100" s="37">
        <f t="shared" si="16"/>
        <v>1</v>
      </c>
      <c r="AJ100" s="37">
        <f t="shared" si="17"/>
        <v>0</v>
      </c>
      <c r="AK100" s="2">
        <f t="shared" si="18"/>
        <v>-3.7236534601557486E-2</v>
      </c>
      <c r="AL100" s="2">
        <f t="shared" si="19"/>
        <v>0</v>
      </c>
      <c r="AM100" s="37">
        <f t="shared" si="20"/>
        <v>6</v>
      </c>
      <c r="AN100" s="37" t="str">
        <f t="shared" si="21"/>
        <v/>
      </c>
    </row>
    <row r="101" spans="2:40" x14ac:dyDescent="0.25">
      <c r="I101" s="2"/>
      <c r="J101" s="2"/>
      <c r="L101" s="37">
        <f t="shared" si="22"/>
        <v>19</v>
      </c>
      <c r="M101" s="202"/>
      <c r="N101" s="2">
        <f>IF(V101&lt;60,IF(V101&gt;20,(0.03*V101-1),-0.4),0.8)-'CALCOLO DEL VENTO NTC18'!$F$224</f>
        <v>-0.50000000000000011</v>
      </c>
      <c r="O101" s="2">
        <f>IF(V101&lt;60,IF(V101&gt;20,(0.03*V101-1),-0.4),0.8)+'CALCOLO DEL VENTO NTC18'!$F$234</f>
        <v>0.29999999999999993</v>
      </c>
      <c r="P101" s="2">
        <f>IF('CALCOLO DEL VENTO NTC18'!$F$218='CALCOLO DEL VENTO NTC18'!$F$228,N101,O101)</f>
        <v>-0.50000000000000011</v>
      </c>
      <c r="Q101" s="2">
        <f t="shared" si="12"/>
        <v>1.7999999999999998</v>
      </c>
      <c r="R101" s="2">
        <f t="shared" si="13"/>
        <v>1.2000000000000002</v>
      </c>
      <c r="T101" s="4">
        <f t="shared" si="14"/>
        <v>23.55646430910123</v>
      </c>
      <c r="U101" s="2">
        <f>IF('dati nascosti'!$D$188=1,'dati nascosti'!P101,IF('CALCOLO DEL VENTO NTC18'!$B$215='dati nascosti'!$AJ$72,'dati nascosti'!Q101,'dati nascosti'!R101))</f>
        <v>-0.50000000000000011</v>
      </c>
      <c r="V101" s="4">
        <f>IF('CALCOLO DEL VENTO NTC18'!$D$68="no",'dati nascosti'!$M$11,IF('dati nascosti'!$M$11&lt;0,20,T101))</f>
        <v>30</v>
      </c>
      <c r="W101" s="24">
        <f t="shared" si="8"/>
        <v>25</v>
      </c>
      <c r="X101" s="219">
        <f t="shared" si="10"/>
        <v>6.083333333333333</v>
      </c>
      <c r="Y101" s="3">
        <f>IF(X101&lt;'dati nascosti'!$B$13,'dati nascosti'!$B$11^2*'dati nascosti'!$B$10*LN('dati nascosti'!$B$13/'dati nascosti'!$B$12)*(7+'dati nascosti'!$B$10*LN('dati nascosti'!$B$13/'dati nascosti'!$B$12)),'dati nascosti'!$B$11^2*'dati nascosti'!$B$10*LN(X101/'dati nascosti'!$B$12)*(7+'dati nascosti'!$B$10*LN(X101/'dati nascosti'!$B$12)))</f>
        <v>1.8253504826939682</v>
      </c>
      <c r="Z101" s="40">
        <f>IF('dati nascosti'!$M$15='CALCOLO DEL VENTO NTC18'!$C$70,0,'dati nascosti'!$B$20*Y101*'dati nascosti'!$B$14*$B$10*'dati nascosti'!U101/1000)</f>
        <v>-0.44786741809645603</v>
      </c>
      <c r="AC101" s="40">
        <f>IF('dati nascosti'!$M$15='CALCOLO DEL VENTO NTC18'!$C$70,0,'dati nascosti'!$B$20*Y101*'dati nascosti'!$B$14*$B$10*'dati nascosti'!$B$17/1000)</f>
        <v>-0.71658786895432958</v>
      </c>
      <c r="AD101" s="2"/>
      <c r="AE101" s="2">
        <f t="shared" si="15"/>
        <v>-3.7407020817356217E-2</v>
      </c>
      <c r="AF101" s="2">
        <f t="shared" si="11"/>
        <v>-5.9851233307769931E-2</v>
      </c>
      <c r="AG101" s="2"/>
      <c r="AI101" s="37">
        <f t="shared" si="16"/>
        <v>1</v>
      </c>
      <c r="AJ101" s="37">
        <f t="shared" si="17"/>
        <v>0</v>
      </c>
      <c r="AK101" s="2">
        <f t="shared" si="18"/>
        <v>-3.7407020817356217E-2</v>
      </c>
      <c r="AL101" s="2">
        <f t="shared" si="19"/>
        <v>0</v>
      </c>
      <c r="AM101" s="37">
        <f t="shared" si="20"/>
        <v>6.083333333333333</v>
      </c>
      <c r="AN101" s="37" t="str">
        <f t="shared" si="21"/>
        <v/>
      </c>
    </row>
    <row r="102" spans="2:40" x14ac:dyDescent="0.25">
      <c r="I102" s="2"/>
      <c r="J102" s="2"/>
      <c r="L102" s="37">
        <f t="shared" si="22"/>
        <v>20</v>
      </c>
      <c r="M102" s="202"/>
      <c r="N102" s="2">
        <f>IF(V102&lt;60,IF(V102&gt;20,(0.03*V102-1),-0.4),0.8)-'CALCOLO DEL VENTO NTC18'!$F$224</f>
        <v>-0.50000000000000011</v>
      </c>
      <c r="O102" s="2">
        <f>IF(V102&lt;60,IF(V102&gt;20,(0.03*V102-1),-0.4),0.8)+'CALCOLO DEL VENTO NTC18'!$F$234</f>
        <v>0.29999999999999993</v>
      </c>
      <c r="P102" s="2">
        <f>IF('CALCOLO DEL VENTO NTC18'!$F$218='CALCOLO DEL VENTO NTC18'!$F$228,N102,O102)</f>
        <v>-0.50000000000000011</v>
      </c>
      <c r="Q102" s="2">
        <f t="shared" si="12"/>
        <v>1.7999999999999998</v>
      </c>
      <c r="R102" s="2">
        <f t="shared" si="13"/>
        <v>1.2000000000000002</v>
      </c>
      <c r="T102" s="4">
        <f t="shared" si="14"/>
        <v>21.039469781317237</v>
      </c>
      <c r="U102" s="2">
        <f>IF('dati nascosti'!$D$188=1,'dati nascosti'!P102,IF('CALCOLO DEL VENTO NTC18'!$B$215='dati nascosti'!$AJ$72,'dati nascosti'!Q102,'dati nascosti'!R102))</f>
        <v>-0.50000000000000011</v>
      </c>
      <c r="V102" s="4">
        <f>IF('CALCOLO DEL VENTO NTC18'!$D$68="no",'dati nascosti'!$M$11,IF('dati nascosti'!$M$11&lt;0,20,T102))</f>
        <v>30</v>
      </c>
      <c r="W102" s="24">
        <f t="shared" si="8"/>
        <v>26</v>
      </c>
      <c r="X102" s="219">
        <f t="shared" si="10"/>
        <v>6.1666666666666661</v>
      </c>
      <c r="Y102" s="3">
        <f>IF(X102&lt;'dati nascosti'!$B$13,'dati nascosti'!$B$11^2*'dati nascosti'!$B$10*LN('dati nascosti'!$B$13/'dati nascosti'!$B$12)*(7+'dati nascosti'!$B$10*LN('dati nascosti'!$B$13/'dati nascosti'!$B$12)),'dati nascosti'!$B$11^2*'dati nascosti'!$B$10*LN(X102/'dati nascosti'!$B$12)*(7+'dati nascosti'!$B$10*LN(X102/'dati nascosti'!$B$12)))</f>
        <v>1.8336389813924361</v>
      </c>
      <c r="Z102" s="40">
        <f>IF('dati nascosti'!$M$15='CALCOLO DEL VENTO NTC18'!$C$70,0,'dati nascosti'!$B$20*Y102*'dati nascosti'!$B$14*$B$10*'dati nascosti'!U102/1000)</f>
        <v>-0.44990108152009622</v>
      </c>
      <c r="AC102" s="40">
        <f>IF('dati nascosti'!$M$15='CALCOLO DEL VENTO NTC18'!$C$70,0,'dati nascosti'!$B$20*Y102*'dati nascosti'!$B$14*$B$10*'dati nascosti'!$B$17/1000)</f>
        <v>-0.71984173043215383</v>
      </c>
      <c r="AD102" s="2"/>
      <c r="AE102" s="2">
        <f t="shared" si="15"/>
        <v>-3.7575503702734991E-2</v>
      </c>
      <c r="AF102" s="2">
        <f t="shared" si="11"/>
        <v>-6.0120805924375978E-2</v>
      </c>
      <c r="AG102" s="2"/>
      <c r="AI102" s="37">
        <f t="shared" si="16"/>
        <v>1</v>
      </c>
      <c r="AJ102" s="37">
        <f t="shared" si="17"/>
        <v>0</v>
      </c>
      <c r="AK102" s="2">
        <f t="shared" si="18"/>
        <v>-3.7575503702734991E-2</v>
      </c>
      <c r="AL102" s="2">
        <f t="shared" si="19"/>
        <v>0</v>
      </c>
      <c r="AM102" s="37">
        <f t="shared" si="20"/>
        <v>6.1666666666666661</v>
      </c>
      <c r="AN102" s="37" t="str">
        <f t="shared" si="21"/>
        <v/>
      </c>
    </row>
    <row r="103" spans="2:40" x14ac:dyDescent="0.25">
      <c r="I103" s="2"/>
      <c r="J103" s="2"/>
      <c r="L103" s="37">
        <f t="shared" si="22"/>
        <v>21</v>
      </c>
      <c r="M103" s="202"/>
      <c r="N103" s="2">
        <f>IF(V103&lt;60,IF(V103&gt;20,(0.03*V103-1),-0.4),0.8)-'CALCOLO DEL VENTO NTC18'!$F$224</f>
        <v>-0.50000000000000011</v>
      </c>
      <c r="O103" s="2">
        <f>IF(V103&lt;60,IF(V103&gt;20,(0.03*V103-1),-0.4),0.8)+'CALCOLO DEL VENTO NTC18'!$F$234</f>
        <v>0.29999999999999993</v>
      </c>
      <c r="P103" s="2">
        <f>IF('CALCOLO DEL VENTO NTC18'!$F$218='CALCOLO DEL VENTO NTC18'!$F$228,N103,O103)</f>
        <v>-0.50000000000000011</v>
      </c>
      <c r="Q103" s="2">
        <f t="shared" si="12"/>
        <v>1.7999999999999998</v>
      </c>
      <c r="R103" s="2">
        <f t="shared" si="13"/>
        <v>1.2000000000000002</v>
      </c>
      <c r="T103" s="4">
        <f t="shared" si="14"/>
        <v>18.194872338766771</v>
      </c>
      <c r="U103" s="2">
        <f>IF('dati nascosti'!$D$188=1,'dati nascosti'!P103,IF('CALCOLO DEL VENTO NTC18'!$B$215='dati nascosti'!$AJ$72,'dati nascosti'!Q103,'dati nascosti'!R103))</f>
        <v>-0.50000000000000011</v>
      </c>
      <c r="V103" s="4">
        <f>IF('CALCOLO DEL VENTO NTC18'!$D$68="no",'dati nascosti'!$M$11,IF('dati nascosti'!$M$11&lt;0,20,T103))</f>
        <v>30</v>
      </c>
      <c r="W103" s="24">
        <f t="shared" si="8"/>
        <v>27</v>
      </c>
      <c r="X103" s="219">
        <f t="shared" si="10"/>
        <v>6.25</v>
      </c>
      <c r="Y103" s="3">
        <f>IF(X103&lt;'dati nascosti'!$B$13,'dati nascosti'!$B$11^2*'dati nascosti'!$B$10*LN('dati nascosti'!$B$13/'dati nascosti'!$B$12)*(7+'dati nascosti'!$B$10*LN('dati nascosti'!$B$13/'dati nascosti'!$B$12)),'dati nascosti'!$B$11^2*'dati nascosti'!$B$10*LN(X103/'dati nascosti'!$B$12)*(7+'dati nascosti'!$B$10*LN(X103/'dati nascosti'!$B$12)))</f>
        <v>1.8418307339678772</v>
      </c>
      <c r="Z103" s="40">
        <f>IF('dati nascosti'!$M$15='CALCOLO DEL VENTO NTC18'!$C$70,0,'dati nascosti'!$B$20*Y103*'dati nascosti'!$B$14*$B$10*'dati nascosti'!U103/1000)</f>
        <v>-0.45191100734553724</v>
      </c>
      <c r="AC103" s="40">
        <f>IF('dati nascosti'!$M$15='CALCOLO DEL VENTO NTC18'!$C$70,0,'dati nascosti'!$B$20*Y103*'dati nascosti'!$B$14*$B$10*'dati nascosti'!$B$17/1000)</f>
        <v>-0.72305761175285943</v>
      </c>
      <c r="AD103" s="2"/>
      <c r="AE103" s="2">
        <f t="shared" si="15"/>
        <v>-3.774203270438254E-2</v>
      </c>
      <c r="AF103" s="2">
        <f t="shared" si="11"/>
        <v>-6.0387252327012045E-2</v>
      </c>
      <c r="AG103" s="2"/>
      <c r="AI103" s="37">
        <f t="shared" si="16"/>
        <v>1</v>
      </c>
      <c r="AJ103" s="37">
        <f t="shared" si="17"/>
        <v>0</v>
      </c>
      <c r="AK103" s="2">
        <f t="shared" si="18"/>
        <v>-3.774203270438254E-2</v>
      </c>
      <c r="AL103" s="2">
        <f t="shared" si="19"/>
        <v>0</v>
      </c>
      <c r="AM103" s="37">
        <f t="shared" si="20"/>
        <v>6.25</v>
      </c>
      <c r="AN103" s="37" t="str">
        <f t="shared" si="21"/>
        <v/>
      </c>
    </row>
    <row r="104" spans="2:40" x14ac:dyDescent="0.25">
      <c r="I104" s="2"/>
      <c r="J104" s="2"/>
      <c r="L104" s="37">
        <f t="shared" si="22"/>
        <v>22</v>
      </c>
      <c r="M104" s="202"/>
      <c r="N104" s="2">
        <f>IF(V104&lt;60,IF(V104&gt;20,(0.03*V104-1),-0.4),0.8)-'CALCOLO DEL VENTO NTC18'!$F$224</f>
        <v>-0.50000000000000011</v>
      </c>
      <c r="O104" s="2">
        <f>IF(V104&lt;60,IF(V104&gt;20,(0.03*V104-1),-0.4),0.8)+'CALCOLO DEL VENTO NTC18'!$F$234</f>
        <v>0.29999999999999993</v>
      </c>
      <c r="P104" s="2">
        <f>IF('CALCOLO DEL VENTO NTC18'!$F$218='CALCOLO DEL VENTO NTC18'!$F$228,N104,O104)</f>
        <v>-0.50000000000000011</v>
      </c>
      <c r="Q104" s="2">
        <f t="shared" si="12"/>
        <v>1.7999999999999998</v>
      </c>
      <c r="R104" s="2">
        <f t="shared" si="13"/>
        <v>1.2000000000000002</v>
      </c>
      <c r="T104" s="4">
        <f t="shared" si="14"/>
        <v>14.835111581975738</v>
      </c>
      <c r="U104" s="2">
        <f>IF('dati nascosti'!$D$188=1,'dati nascosti'!P104,IF('CALCOLO DEL VENTO NTC18'!$B$215='dati nascosti'!$AJ$72,'dati nascosti'!Q104,'dati nascosti'!R104))</f>
        <v>-0.50000000000000011</v>
      </c>
      <c r="V104" s="4">
        <f>IF('CALCOLO DEL VENTO NTC18'!$D$68="no",'dati nascosti'!$M$11,IF('dati nascosti'!$M$11&lt;0,20,T104))</f>
        <v>30</v>
      </c>
      <c r="W104" s="24">
        <f t="shared" si="8"/>
        <v>28</v>
      </c>
      <c r="X104" s="219">
        <f t="shared" si="10"/>
        <v>6.333333333333333</v>
      </c>
      <c r="Y104" s="3">
        <f>IF(X104&lt;'dati nascosti'!$B$13,'dati nascosti'!$B$11^2*'dati nascosti'!$B$10*LN('dati nascosti'!$B$13/'dati nascosti'!$B$12)*(7+'dati nascosti'!$B$10*LN('dati nascosti'!$B$13/'dati nascosti'!$B$12)),'dati nascosti'!$B$11^2*'dati nascosti'!$B$10*LN(X104/'dati nascosti'!$B$12)*(7+'dati nascosti'!$B$10*LN(X104/'dati nascosti'!$B$12)))</f>
        <v>1.8499281123946016</v>
      </c>
      <c r="Z104" s="40">
        <f>IF('dati nascosti'!$M$15='CALCOLO DEL VENTO NTC18'!$C$70,0,'dati nascosti'!$B$20*Y104*'dati nascosti'!$B$14*$B$10*'dati nascosti'!U104/1000)</f>
        <v>-0.45389777755964689</v>
      </c>
      <c r="AC104" s="40">
        <f>IF('dati nascosti'!$M$15='CALCOLO DEL VENTO NTC18'!$C$70,0,'dati nascosti'!$B$20*Y104*'dati nascosti'!$B$14*$B$10*'dati nascosti'!$B$17/1000)</f>
        <v>-0.72623644409543486</v>
      </c>
      <c r="AD104" s="2"/>
      <c r="AE104" s="2">
        <f t="shared" si="15"/>
        <v>-3.7906655420898237E-2</v>
      </c>
      <c r="AF104" s="2">
        <f t="shared" si="11"/>
        <v>-6.0650648673437162E-2</v>
      </c>
      <c r="AG104" s="2"/>
      <c r="AI104" s="37">
        <f t="shared" si="16"/>
        <v>1</v>
      </c>
      <c r="AJ104" s="37">
        <f t="shared" si="17"/>
        <v>0</v>
      </c>
      <c r="AK104" s="2">
        <f t="shared" si="18"/>
        <v>-3.7906655420898237E-2</v>
      </c>
      <c r="AL104" s="2">
        <f t="shared" si="19"/>
        <v>0</v>
      </c>
      <c r="AM104" s="37">
        <f t="shared" si="20"/>
        <v>6.333333333333333</v>
      </c>
      <c r="AN104" s="37" t="str">
        <f t="shared" si="21"/>
        <v/>
      </c>
    </row>
    <row r="105" spans="2:40" x14ac:dyDescent="0.25">
      <c r="I105" s="2"/>
      <c r="J105" s="2"/>
      <c r="K105" s="2"/>
      <c r="L105" s="37">
        <f t="shared" si="22"/>
        <v>23</v>
      </c>
      <c r="M105" s="202"/>
      <c r="N105" s="2">
        <f>IF(V105&lt;60,IF(V105&gt;20,(0.03*V105-1),-0.4),0.8)-'CALCOLO DEL VENTO NTC18'!$F$224</f>
        <v>-0.50000000000000011</v>
      </c>
      <c r="O105" s="2">
        <f>IF(V105&lt;60,IF(V105&gt;20,(0.03*V105-1),-0.4),0.8)+'CALCOLO DEL VENTO NTC18'!$F$234</f>
        <v>0.29999999999999993</v>
      </c>
      <c r="P105" s="2">
        <f>IF('CALCOLO DEL VENTO NTC18'!$F$218='CALCOLO DEL VENTO NTC18'!$F$228,N105,O105)</f>
        <v>-0.50000000000000011</v>
      </c>
      <c r="Q105" s="2">
        <f t="shared" si="12"/>
        <v>1.7999999999999998</v>
      </c>
      <c r="R105" s="2">
        <f t="shared" si="13"/>
        <v>1.2000000000000002</v>
      </c>
      <c r="T105" s="4">
        <f t="shared" si="14"/>
        <v>10.475313843229458</v>
      </c>
      <c r="U105" s="2">
        <f>IF('dati nascosti'!$D$188=1,'dati nascosti'!P105,IF('CALCOLO DEL VENTO NTC18'!$B$215='dati nascosti'!$AJ$72,'dati nascosti'!Q105,'dati nascosti'!R105))</f>
        <v>-0.50000000000000011</v>
      </c>
      <c r="V105" s="4">
        <f>IF('CALCOLO DEL VENTO NTC18'!$D$68="no",'dati nascosti'!$M$11,IF('dati nascosti'!$M$11&lt;0,20,T105))</f>
        <v>30</v>
      </c>
      <c r="W105" s="24">
        <f t="shared" si="8"/>
        <v>29</v>
      </c>
      <c r="X105" s="219">
        <f t="shared" si="10"/>
        <v>6.4166666666666661</v>
      </c>
      <c r="Y105" s="3">
        <f>IF(X105&lt;'dati nascosti'!$B$13,'dati nascosti'!$B$11^2*'dati nascosti'!$B$10*LN('dati nascosti'!$B$13/'dati nascosti'!$B$12)*(7+'dati nascosti'!$B$10*LN('dati nascosti'!$B$13/'dati nascosti'!$B$12)),'dati nascosti'!$B$11^2*'dati nascosti'!$B$10*LN(X105/'dati nascosti'!$B$12)*(7+'dati nascosti'!$B$10*LN(X105/'dati nascosti'!$B$12)))</f>
        <v>1.857933400582823</v>
      </c>
      <c r="Z105" s="40">
        <f>IF('dati nascosti'!$M$15='CALCOLO DEL VENTO NTC18'!$C$70,0,'dati nascosti'!$B$20*Y105*'dati nascosti'!$B$14*$B$10*'dati nascosti'!U105/1000)</f>
        <v>-0.45586195254191403</v>
      </c>
      <c r="AC105" s="40">
        <f>IF('dati nascosti'!$M$15='CALCOLO DEL VENTO NTC18'!$C$70,0,'dati nascosti'!$B$20*Y105*'dati nascosti'!$B$14*$B$10*'dati nascosti'!$B$17/1000)</f>
        <v>-0.72937912406706229</v>
      </c>
      <c r="AD105" s="2"/>
      <c r="AE105" s="2">
        <f>(Z106-Z105)*(X106-X105)/2+(Z105)*(X106-X105)</f>
        <v>-3.80694176947858E-2</v>
      </c>
      <c r="AF105" s="2">
        <f t="shared" si="11"/>
        <v>-6.0911068311657254E-2</v>
      </c>
      <c r="AG105" s="2"/>
      <c r="AI105" s="37">
        <f t="shared" si="16"/>
        <v>1</v>
      </c>
      <c r="AJ105" s="37">
        <f t="shared" si="17"/>
        <v>0</v>
      </c>
      <c r="AK105" s="2">
        <f>AE105*AI105</f>
        <v>-3.80694176947858E-2</v>
      </c>
      <c r="AL105" s="2">
        <f t="shared" si="19"/>
        <v>0</v>
      </c>
      <c r="AM105" s="37">
        <f t="shared" si="20"/>
        <v>6.4166666666666661</v>
      </c>
      <c r="AN105" s="37" t="str">
        <f t="shared" si="21"/>
        <v/>
      </c>
    </row>
    <row r="106" spans="2:40" x14ac:dyDescent="0.25">
      <c r="I106" s="2"/>
      <c r="L106" s="37">
        <f t="shared" si="22"/>
        <v>24</v>
      </c>
      <c r="M106" s="202"/>
      <c r="N106" s="2">
        <f>IF(V106&lt;60,IF(V106&gt;20,(0.03*V106-1),-0.4),0.8)-'CALCOLO DEL VENTO NTC18'!$F$224</f>
        <v>-0.50000000000000011</v>
      </c>
      <c r="O106" s="2">
        <f>IF(V106&lt;60,IF(V106&gt;20,(0.03*V106-1),-0.4),0.8)+'CALCOLO DEL VENTO NTC18'!$F$234</f>
        <v>0.29999999999999993</v>
      </c>
      <c r="P106" s="2">
        <f>IF('CALCOLO DEL VENTO NTC18'!$F$218='CALCOLO DEL VENTO NTC18'!$F$228,N106,O106)</f>
        <v>-0.50000000000000011</v>
      </c>
      <c r="Q106" s="2">
        <f t="shared" si="12"/>
        <v>1.7999999999999998</v>
      </c>
      <c r="R106" s="2">
        <f t="shared" si="13"/>
        <v>1.2000000000000002</v>
      </c>
      <c r="T106" s="4">
        <f t="shared" si="14"/>
        <v>0</v>
      </c>
      <c r="U106" s="2">
        <f>IF('dati nascosti'!$D$188=1,'dati nascosti'!P106,IF('CALCOLO DEL VENTO NTC18'!$B$215='dati nascosti'!$AJ$72,'dati nascosti'!Q106,'dati nascosti'!R106))</f>
        <v>-0.50000000000000011</v>
      </c>
      <c r="V106" s="4">
        <f>IF('CALCOLO DEL VENTO NTC18'!$D$68="no",'dati nascosti'!$M$11,IF('dati nascosti'!$M$11&lt;0,20,T106))</f>
        <v>30</v>
      </c>
      <c r="W106" s="24">
        <f t="shared" si="8"/>
        <v>30</v>
      </c>
      <c r="X106" s="219">
        <f t="shared" si="10"/>
        <v>6.5</v>
      </c>
      <c r="Y106" s="3">
        <f>IF(X106&lt;'dati nascosti'!$B$13,'dati nascosti'!$B$11^2*'dati nascosti'!$B$10*LN('dati nascosti'!$B$13/'dati nascosti'!$B$12)*(7+'dati nascosti'!$B$10*LN('dati nascosti'!$B$13/'dati nascosti'!$B$12)),'dati nascosti'!$B$11^2*'dati nascosti'!$B$10*LN(X106/'dati nascosti'!$B$12)*(7+'dati nascosti'!$B$10*LN(X106/'dati nascosti'!$B$12)))</f>
        <v>1.8658487987334482</v>
      </c>
      <c r="Z106" s="40">
        <f>IF('dati nascosti'!$M$15='CALCOLO DEL VENTO NTC18'!$C$70,0,'dati nascosti'!$B$20*Y106*'dati nascosti'!$B$14*$B$10*'dati nascosti'!U106/1000)</f>
        <v>-0.45780407213293856</v>
      </c>
      <c r="AC106" s="40">
        <f>IF('dati nascosti'!$M$15='CALCOLO DEL VENTO NTC18'!$C$70,0,'dati nascosti'!$B$20*Y106*'dati nascosti'!$B$14*$B$10*'dati nascosti'!$B$17/1000)</f>
        <v>-0.73248651541270149</v>
      </c>
      <c r="AD106" s="2"/>
      <c r="AE106" s="2">
        <f>(Z107-Z106)*(X107-X106)/2+(Z106)*(X107-X106)</f>
        <v>0</v>
      </c>
      <c r="AF106" s="2">
        <f t="shared" si="11"/>
        <v>0</v>
      </c>
      <c r="AG106" s="2"/>
      <c r="AI106" s="37">
        <f t="shared" si="16"/>
        <v>0</v>
      </c>
      <c r="AJ106" s="37">
        <f t="shared" si="17"/>
        <v>0</v>
      </c>
      <c r="AK106" s="2">
        <f>AE106*AI106</f>
        <v>0</v>
      </c>
      <c r="AL106" s="2">
        <f t="shared" si="19"/>
        <v>0</v>
      </c>
      <c r="AM106" s="37" t="str">
        <f>IF(AI106*X106=0,"",AI106*X106)</f>
        <v/>
      </c>
      <c r="AN106" s="37" t="str">
        <f t="shared" si="21"/>
        <v/>
      </c>
    </row>
    <row r="107" spans="2:40" x14ac:dyDescent="0.25">
      <c r="L107" s="37">
        <f t="shared" si="22"/>
        <v>25</v>
      </c>
      <c r="M107" s="202"/>
      <c r="T107" s="202"/>
      <c r="W107" s="160">
        <f t="shared" si="8"/>
        <v>31</v>
      </c>
      <c r="X107" s="219">
        <f>X106</f>
        <v>6.5</v>
      </c>
      <c r="Y107" s="3">
        <f>IF(X107&lt;'dati nascosti'!$B$13,'dati nascosti'!$B$11^2*'dati nascosti'!$B$10*LN('dati nascosti'!$B$13/'dati nascosti'!$B$12)*(7+'dati nascosti'!$B$10*LN('dati nascosti'!$B$13/'dati nascosti'!$B$12)),'dati nascosti'!$B$11^2*'dati nascosti'!$B$10*LN(X107/'dati nascosti'!$B$12)*(7+'dati nascosti'!$B$10*LN(X107/'dati nascosti'!$B$12)))</f>
        <v>1.8658487987334482</v>
      </c>
      <c r="Z107" s="40">
        <f>IF('dati nascosti'!$M$15='CALCOLO DEL VENTO NTC18'!$C$70,0,'dati nascosti'!$B$20*Y107*'dati nascosti'!$B$14*$B$10*'dati nascosti'!U107/1000)</f>
        <v>0</v>
      </c>
      <c r="AC107" s="40">
        <v>0</v>
      </c>
      <c r="AD107" s="2"/>
      <c r="AE107" s="2"/>
      <c r="AF107" s="2"/>
      <c r="AG107" s="2"/>
    </row>
    <row r="108" spans="2:40" x14ac:dyDescent="0.25">
      <c r="L108" s="37">
        <f t="shared" si="22"/>
        <v>26</v>
      </c>
      <c r="M108" s="202"/>
      <c r="T108" s="2"/>
      <c r="Y108" s="1">
        <f>'dati nascosti'!$B$11^2*'dati nascosti'!$B$10*LN(X107/'dati nascosti'!$B$12)*(7+'dati nascosti'!$B$10*LN(X107/'dati nascosti'!$B$12))</f>
        <v>1.8658487987334482</v>
      </c>
      <c r="AD108" s="193">
        <f>SUM(AD4:AD107)</f>
        <v>1.3406636883625576</v>
      </c>
      <c r="AE108" s="193">
        <f>SUM(AE77:AE107)</f>
        <v>-1.0427158025547203</v>
      </c>
      <c r="AF108" s="193">
        <f>SUM(AF77:AF107)</f>
        <v>-1.6683452840875519</v>
      </c>
      <c r="AG108" s="193">
        <f t="shared" ref="AG108" si="23">SUM(AG4:AG107)</f>
        <v>-2.6813273767251151</v>
      </c>
      <c r="AI108" s="2"/>
      <c r="AK108" s="193">
        <f>SUM(AK76:AK106)</f>
        <v>-1.0427158025547203</v>
      </c>
      <c r="AL108" s="193">
        <f>SUM(AL76:AL106)</f>
        <v>0</v>
      </c>
    </row>
    <row r="109" spans="2:40" x14ac:dyDescent="0.25">
      <c r="L109" s="37">
        <f t="shared" si="22"/>
        <v>27</v>
      </c>
      <c r="M109" s="202"/>
      <c r="T109" s="202"/>
      <c r="AB109" s="338" t="s">
        <v>201</v>
      </c>
      <c r="AC109" s="338"/>
      <c r="AD109" s="194">
        <f>AD108/$X$76</f>
        <v>0.33516592209063939</v>
      </c>
      <c r="AE109" s="194">
        <f>AE108/($X$107-$X$76)</f>
        <v>-0.41708632102188814</v>
      </c>
      <c r="AF109" s="194">
        <f>AF108/($X$107-$X$76)</f>
        <v>-0.66733811363502071</v>
      </c>
      <c r="AG109" s="194">
        <f>AG108/$X$76</f>
        <v>-0.67033184418127878</v>
      </c>
      <c r="AK109" s="194">
        <f>AK108/(AK111)</f>
        <v>-0.4170863210218882</v>
      </c>
      <c r="AL109" s="194">
        <f>IFERROR(AL108/(AL111),0)</f>
        <v>0</v>
      </c>
    </row>
    <row r="110" spans="2:40" x14ac:dyDescent="0.25">
      <c r="L110" s="37">
        <f t="shared" si="22"/>
        <v>28</v>
      </c>
      <c r="M110" s="202"/>
      <c r="T110" s="2"/>
    </row>
    <row r="111" spans="2:40" x14ac:dyDescent="0.25">
      <c r="L111" s="37">
        <f t="shared" si="22"/>
        <v>29</v>
      </c>
      <c r="M111" s="202"/>
      <c r="AK111" s="1">
        <f>(MAX(AM76:AM106)-MIN(AM76:AM106))+$K$74/30*W77*2</f>
        <v>2.4999999999999996</v>
      </c>
      <c r="AL111" s="2">
        <f>(X107-X76)-AK111</f>
        <v>0</v>
      </c>
    </row>
    <row r="112" spans="2:40" x14ac:dyDescent="0.25">
      <c r="B112" s="303" t="s">
        <v>205</v>
      </c>
      <c r="C112" s="303"/>
      <c r="D112" s="303"/>
      <c r="E112" s="303"/>
      <c r="F112" s="303"/>
      <c r="G112" s="72" t="str">
        <f>'CALCOLO DEL VENTO NTC18'!D68</f>
        <v>no</v>
      </c>
      <c r="L112" s="37">
        <f t="shared" si="22"/>
        <v>30</v>
      </c>
      <c r="M112" s="202"/>
    </row>
    <row r="113" spans="2:38" x14ac:dyDescent="0.25">
      <c r="B113" s="303" t="s">
        <v>247</v>
      </c>
      <c r="C113" s="303"/>
      <c r="D113" s="303"/>
      <c r="E113" s="303"/>
      <c r="F113" s="303"/>
      <c r="G113" s="230">
        <f>'CALCOLO DEL VENTO NTC18'!C70</f>
        <v>6.5</v>
      </c>
      <c r="L113" s="37">
        <f t="shared" si="22"/>
        <v>31</v>
      </c>
      <c r="M113" s="202"/>
    </row>
    <row r="114" spans="2:38" x14ac:dyDescent="0.25">
      <c r="B114" s="303" t="s">
        <v>163</v>
      </c>
      <c r="C114" s="303"/>
      <c r="D114" s="303"/>
      <c r="E114" s="303"/>
      <c r="F114" s="303"/>
      <c r="G114" s="230">
        <f>'CALCOLO DEL VENTO NTC18'!G72</f>
        <v>4</v>
      </c>
      <c r="L114" s="37">
        <f t="shared" si="22"/>
        <v>32</v>
      </c>
      <c r="M114" s="202"/>
    </row>
    <row r="115" spans="2:38" x14ac:dyDescent="0.25">
      <c r="B115" s="356" t="s">
        <v>248</v>
      </c>
      <c r="C115" s="356"/>
      <c r="D115" s="356"/>
      <c r="E115" s="356"/>
      <c r="F115" s="356"/>
      <c r="G115" s="355">
        <f>'CALCOLO DEL VENTO NTC18'!D73</f>
        <v>30</v>
      </c>
      <c r="L115" s="37">
        <f t="shared" si="22"/>
        <v>33</v>
      </c>
      <c r="M115" s="202"/>
    </row>
    <row r="116" spans="2:38" x14ac:dyDescent="0.25">
      <c r="B116" s="356"/>
      <c r="C116" s="356"/>
      <c r="D116" s="356"/>
      <c r="E116" s="356"/>
      <c r="F116" s="356"/>
      <c r="G116" s="355"/>
      <c r="L116" s="37">
        <f t="shared" si="22"/>
        <v>34</v>
      </c>
      <c r="M116" s="202"/>
      <c r="AK116" s="61"/>
      <c r="AL116" s="61"/>
    </row>
    <row r="117" spans="2:38" x14ac:dyDescent="0.25">
      <c r="L117" s="37">
        <f t="shared" si="22"/>
        <v>35</v>
      </c>
      <c r="M117" s="202"/>
      <c r="AK117" s="214" t="s">
        <v>227</v>
      </c>
      <c r="AL117" s="214" t="s">
        <v>228</v>
      </c>
    </row>
    <row r="118" spans="2:38" x14ac:dyDescent="0.25">
      <c r="L118" s="37">
        <f t="shared" si="22"/>
        <v>36</v>
      </c>
      <c r="M118" s="202"/>
      <c r="AK118" s="215">
        <f>'dati nascosti'!AL109</f>
        <v>0</v>
      </c>
      <c r="AL118" s="214">
        <f>'dati nascosti'!AL111</f>
        <v>0</v>
      </c>
    </row>
    <row r="119" spans="2:38" x14ac:dyDescent="0.25">
      <c r="L119" s="37">
        <f t="shared" si="22"/>
        <v>37</v>
      </c>
      <c r="M119" s="202"/>
      <c r="AK119" s="215">
        <f>'dati nascosti'!AK109</f>
        <v>-0.4170863210218882</v>
      </c>
      <c r="AL119" s="214">
        <f>'dati nascosti'!AK111</f>
        <v>2.4999999999999996</v>
      </c>
    </row>
    <row r="120" spans="2:38" x14ac:dyDescent="0.25">
      <c r="L120" s="37">
        <f t="shared" si="22"/>
        <v>38</v>
      </c>
      <c r="M120" s="202"/>
      <c r="AK120"/>
      <c r="AL120" s="61"/>
    </row>
    <row r="121" spans="2:38" x14ac:dyDescent="0.25">
      <c r="L121" s="37">
        <f t="shared" si="22"/>
        <v>39</v>
      </c>
      <c r="M121" s="202"/>
      <c r="AK121" t="s">
        <v>229</v>
      </c>
      <c r="AL121" s="214">
        <f>IF('CALCOLO DEL VENTO NTC18'!D68="si",IF(AK118*AK119&lt;0,1,0),0)</f>
        <v>0</v>
      </c>
    </row>
    <row r="122" spans="2:38" x14ac:dyDescent="0.25">
      <c r="L122" s="37">
        <f t="shared" si="22"/>
        <v>40</v>
      </c>
      <c r="M122" s="202"/>
      <c r="AK122" s="213">
        <f>AK119+AK118</f>
        <v>-0.4170863210218882</v>
      </c>
      <c r="AL122" s="213">
        <f>'CALCOLO DEL VENTO NTC18'!D279+'CALCOLO DEL VENTO NTC18'!E277</f>
        <v>2.4999999999999996</v>
      </c>
    </row>
    <row r="123" spans="2:38" x14ac:dyDescent="0.25">
      <c r="L123" s="37">
        <f t="shared" si="22"/>
        <v>41</v>
      </c>
      <c r="M123" s="202"/>
    </row>
    <row r="124" spans="2:38" x14ac:dyDescent="0.25">
      <c r="L124" s="37">
        <f t="shared" si="22"/>
        <v>42</v>
      </c>
      <c r="M124" s="202"/>
    </row>
    <row r="125" spans="2:38" x14ac:dyDescent="0.25">
      <c r="L125" s="37">
        <f t="shared" si="22"/>
        <v>43</v>
      </c>
      <c r="M125" s="202"/>
    </row>
    <row r="126" spans="2:38" x14ac:dyDescent="0.25">
      <c r="L126" s="37">
        <f t="shared" si="22"/>
        <v>44</v>
      </c>
      <c r="M126" s="202"/>
    </row>
    <row r="127" spans="2:38" x14ac:dyDescent="0.25">
      <c r="L127" s="37">
        <f t="shared" si="22"/>
        <v>45</v>
      </c>
      <c r="M127" s="202"/>
    </row>
    <row r="128" spans="2:38" x14ac:dyDescent="0.25">
      <c r="L128" s="37">
        <f t="shared" si="22"/>
        <v>46</v>
      </c>
      <c r="M128" s="202"/>
    </row>
    <row r="129" spans="12:13" x14ac:dyDescent="0.25">
      <c r="L129" s="37">
        <f t="shared" si="22"/>
        <v>47</v>
      </c>
      <c r="M129" s="202"/>
    </row>
    <row r="130" spans="12:13" x14ac:dyDescent="0.25">
      <c r="L130" s="37">
        <f t="shared" si="22"/>
        <v>48</v>
      </c>
      <c r="M130" s="202"/>
    </row>
    <row r="131" spans="12:13" x14ac:dyDescent="0.25">
      <c r="L131" s="37">
        <f t="shared" si="22"/>
        <v>49</v>
      </c>
      <c r="M131" s="202"/>
    </row>
    <row r="132" spans="12:13" x14ac:dyDescent="0.25">
      <c r="L132" s="37">
        <f t="shared" si="22"/>
        <v>50</v>
      </c>
      <c r="M132" s="202"/>
    </row>
    <row r="133" spans="12:13" x14ac:dyDescent="0.25">
      <c r="L133" s="37">
        <f t="shared" si="22"/>
        <v>51</v>
      </c>
      <c r="M133" s="202"/>
    </row>
    <row r="134" spans="12:13" x14ac:dyDescent="0.25">
      <c r="L134" s="37">
        <f t="shared" si="22"/>
        <v>52</v>
      </c>
      <c r="M134" s="202"/>
    </row>
    <row r="135" spans="12:13" x14ac:dyDescent="0.25">
      <c r="L135" s="37">
        <f t="shared" si="22"/>
        <v>53</v>
      </c>
      <c r="M135" s="202"/>
    </row>
    <row r="136" spans="12:13" x14ac:dyDescent="0.25">
      <c r="L136" s="37">
        <f t="shared" si="22"/>
        <v>54</v>
      </c>
      <c r="M136" s="202"/>
    </row>
    <row r="137" spans="12:13" x14ac:dyDescent="0.25">
      <c r="L137" s="37">
        <f t="shared" si="22"/>
        <v>55</v>
      </c>
      <c r="M137" s="202"/>
    </row>
    <row r="138" spans="12:13" x14ac:dyDescent="0.25">
      <c r="L138" s="37">
        <f t="shared" si="22"/>
        <v>56</v>
      </c>
      <c r="M138" s="202"/>
    </row>
    <row r="139" spans="12:13" x14ac:dyDescent="0.25">
      <c r="L139" s="37">
        <f t="shared" si="22"/>
        <v>57</v>
      </c>
      <c r="M139" s="202"/>
    </row>
    <row r="140" spans="12:13" x14ac:dyDescent="0.25">
      <c r="L140" s="37">
        <f t="shared" si="22"/>
        <v>58</v>
      </c>
      <c r="M140" s="202"/>
    </row>
    <row r="141" spans="12:13" x14ac:dyDescent="0.25">
      <c r="L141" s="37">
        <f t="shared" si="22"/>
        <v>59</v>
      </c>
      <c r="M141" s="202"/>
    </row>
    <row r="142" spans="12:13" x14ac:dyDescent="0.25">
      <c r="L142" s="37">
        <f t="shared" si="22"/>
        <v>60</v>
      </c>
      <c r="M142" s="202"/>
    </row>
    <row r="143" spans="12:13" x14ac:dyDescent="0.25">
      <c r="L143" s="37">
        <f t="shared" si="22"/>
        <v>61</v>
      </c>
      <c r="M143" s="202"/>
    </row>
    <row r="144" spans="12:13" x14ac:dyDescent="0.25">
      <c r="L144" s="37">
        <f t="shared" si="22"/>
        <v>62</v>
      </c>
      <c r="M144" s="202"/>
    </row>
    <row r="145" spans="12:13" x14ac:dyDescent="0.25">
      <c r="L145" s="37">
        <f t="shared" si="22"/>
        <v>63</v>
      </c>
      <c r="M145" s="202"/>
    </row>
    <row r="146" spans="12:13" x14ac:dyDescent="0.25">
      <c r="L146" s="37">
        <f t="shared" si="22"/>
        <v>64</v>
      </c>
      <c r="M146" s="202"/>
    </row>
    <row r="147" spans="12:13" x14ac:dyDescent="0.25">
      <c r="L147" s="37">
        <f t="shared" si="22"/>
        <v>65</v>
      </c>
      <c r="M147" s="202"/>
    </row>
    <row r="148" spans="12:13" x14ac:dyDescent="0.25">
      <c r="L148" s="37">
        <f t="shared" ref="L148:L172" si="24">L147+1</f>
        <v>66</v>
      </c>
      <c r="M148" s="202"/>
    </row>
    <row r="149" spans="12:13" x14ac:dyDescent="0.25">
      <c r="L149" s="37">
        <f t="shared" si="24"/>
        <v>67</v>
      </c>
      <c r="M149" s="202"/>
    </row>
    <row r="150" spans="12:13" x14ac:dyDescent="0.25">
      <c r="L150" s="37">
        <f t="shared" si="24"/>
        <v>68</v>
      </c>
      <c r="M150" s="202"/>
    </row>
    <row r="151" spans="12:13" x14ac:dyDescent="0.25">
      <c r="L151" s="37">
        <f t="shared" si="24"/>
        <v>69</v>
      </c>
      <c r="M151" s="202"/>
    </row>
    <row r="152" spans="12:13" x14ac:dyDescent="0.25">
      <c r="L152" s="37">
        <f t="shared" si="24"/>
        <v>70</v>
      </c>
      <c r="M152" s="202"/>
    </row>
    <row r="153" spans="12:13" x14ac:dyDescent="0.25">
      <c r="L153" s="37">
        <f t="shared" si="24"/>
        <v>71</v>
      </c>
      <c r="M153" s="202"/>
    </row>
    <row r="154" spans="12:13" x14ac:dyDescent="0.25">
      <c r="L154" s="37">
        <f t="shared" si="24"/>
        <v>72</v>
      </c>
      <c r="M154" s="202"/>
    </row>
    <row r="155" spans="12:13" x14ac:dyDescent="0.25">
      <c r="L155" s="37">
        <f t="shared" si="24"/>
        <v>73</v>
      </c>
      <c r="M155" s="202"/>
    </row>
    <row r="156" spans="12:13" x14ac:dyDescent="0.25">
      <c r="L156" s="37">
        <f t="shared" si="24"/>
        <v>74</v>
      </c>
      <c r="M156" s="202"/>
    </row>
    <row r="157" spans="12:13" x14ac:dyDescent="0.25">
      <c r="L157" s="37">
        <f t="shared" si="24"/>
        <v>75</v>
      </c>
      <c r="M157" s="202"/>
    </row>
    <row r="158" spans="12:13" x14ac:dyDescent="0.25">
      <c r="L158" s="37">
        <f t="shared" si="24"/>
        <v>76</v>
      </c>
      <c r="M158" s="202"/>
    </row>
    <row r="159" spans="12:13" x14ac:dyDescent="0.25">
      <c r="L159" s="37">
        <f t="shared" si="24"/>
        <v>77</v>
      </c>
      <c r="M159" s="202"/>
    </row>
    <row r="160" spans="12:13" x14ac:dyDescent="0.25">
      <c r="L160" s="37">
        <f t="shared" si="24"/>
        <v>78</v>
      </c>
      <c r="M160" s="202"/>
    </row>
    <row r="161" spans="12:13" x14ac:dyDescent="0.25">
      <c r="L161" s="37">
        <f t="shared" si="24"/>
        <v>79</v>
      </c>
      <c r="M161" s="202"/>
    </row>
    <row r="162" spans="12:13" x14ac:dyDescent="0.25">
      <c r="L162" s="37">
        <f t="shared" si="24"/>
        <v>80</v>
      </c>
      <c r="M162" s="202"/>
    </row>
    <row r="163" spans="12:13" x14ac:dyDescent="0.25">
      <c r="L163" s="37">
        <f t="shared" si="24"/>
        <v>81</v>
      </c>
      <c r="M163" s="202"/>
    </row>
    <row r="164" spans="12:13" x14ac:dyDescent="0.25">
      <c r="L164" s="37">
        <f t="shared" si="24"/>
        <v>82</v>
      </c>
      <c r="M164" s="202"/>
    </row>
    <row r="165" spans="12:13" x14ac:dyDescent="0.25">
      <c r="L165" s="37">
        <f t="shared" si="24"/>
        <v>83</v>
      </c>
      <c r="M165" s="202"/>
    </row>
    <row r="166" spans="12:13" x14ac:dyDescent="0.25">
      <c r="L166" s="37">
        <f t="shared" si="24"/>
        <v>84</v>
      </c>
      <c r="M166" s="202"/>
    </row>
    <row r="167" spans="12:13" x14ac:dyDescent="0.25">
      <c r="L167" s="37">
        <f t="shared" si="24"/>
        <v>85</v>
      </c>
      <c r="M167" s="202"/>
    </row>
    <row r="168" spans="12:13" x14ac:dyDescent="0.25">
      <c r="L168" s="37">
        <f t="shared" si="24"/>
        <v>86</v>
      </c>
      <c r="M168" s="202"/>
    </row>
    <row r="169" spans="12:13" x14ac:dyDescent="0.25">
      <c r="L169" s="37">
        <f t="shared" si="24"/>
        <v>87</v>
      </c>
      <c r="M169" s="202"/>
    </row>
    <row r="170" spans="12:13" x14ac:dyDescent="0.25">
      <c r="L170" s="37">
        <f t="shared" si="24"/>
        <v>88</v>
      </c>
      <c r="M170" s="202"/>
    </row>
    <row r="171" spans="12:13" x14ac:dyDescent="0.25">
      <c r="L171" s="37">
        <f t="shared" si="24"/>
        <v>89</v>
      </c>
      <c r="M171" s="202"/>
    </row>
    <row r="172" spans="12:13" x14ac:dyDescent="0.25">
      <c r="L172" s="37">
        <f t="shared" si="24"/>
        <v>90</v>
      </c>
      <c r="M172" s="202"/>
    </row>
    <row r="183" spans="4:9" ht="15.75" thickBot="1" x14ac:dyDescent="0.3"/>
    <row r="184" spans="4:9" ht="15.75" thickTop="1" x14ac:dyDescent="0.25">
      <c r="D184" s="349" t="str">
        <f>IF('CALCOLO DEL VENTO NTC18'!B215='dati nascosti'!AJ71,'dati nascosti'!AJ68,'CALCOLO DEL VENTO NTC18'!B215)</f>
        <v>Costruzioni che presentano su due pareti opposte, normali alla direzione del vento, aperture di superficie non minore di 1/3 di quella totale</v>
      </c>
      <c r="E184" s="350"/>
      <c r="F184" s="350"/>
      <c r="G184" s="350"/>
      <c r="H184" s="350"/>
      <c r="I184" s="351"/>
    </row>
    <row r="185" spans="4:9" ht="15.75" thickBot="1" x14ac:dyDescent="0.3">
      <c r="D185" s="352"/>
      <c r="E185" s="353"/>
      <c r="F185" s="353"/>
      <c r="G185" s="353"/>
      <c r="H185" s="353"/>
      <c r="I185" s="354"/>
    </row>
    <row r="186" spans="4:9" ht="15.75" thickTop="1" x14ac:dyDescent="0.25">
      <c r="D186" s="209"/>
      <c r="E186" s="209"/>
      <c r="F186" s="209"/>
      <c r="G186" s="209"/>
      <c r="H186" s="209"/>
      <c r="I186" s="209"/>
    </row>
    <row r="187" spans="4:9" x14ac:dyDescent="0.25">
      <c r="D187" s="61"/>
      <c r="E187" s="61"/>
      <c r="F187" s="61"/>
      <c r="G187" s="61"/>
      <c r="H187" s="61"/>
      <c r="I187" s="61"/>
    </row>
    <row r="188" spans="4:9" x14ac:dyDescent="0.25">
      <c r="D188" s="198">
        <f>IF(E188=1,0,1)</f>
        <v>1</v>
      </c>
      <c r="E188" s="198">
        <f>IF('CALCOLO DEL VENTO NTC18'!B215='dati nascosti'!AJ72,1,IF('CALCOLO DEL VENTO NTC18'!B215='dati nascosti'!AJ73,1,0))</f>
        <v>0</v>
      </c>
      <c r="F188" s="61"/>
      <c r="G188" s="61"/>
      <c r="H188" s="61"/>
      <c r="I188" s="61"/>
    </row>
    <row r="189" spans="4:9" x14ac:dyDescent="0.25">
      <c r="D189" s="200"/>
      <c r="E189"/>
      <c r="F189" s="201" t="s">
        <v>148</v>
      </c>
      <c r="G189" s="201">
        <f>VLOOKUP('CALCOLO DEL VENTO NTC18'!B215,'dati nascosti'!AJ67:BB73,15,FALSE)</f>
        <v>0.4</v>
      </c>
      <c r="H189" s="61"/>
      <c r="I189" s="61"/>
    </row>
    <row r="190" spans="4:9" x14ac:dyDescent="0.25">
      <c r="D190"/>
      <c r="E190"/>
      <c r="F190" s="201" t="s">
        <v>214</v>
      </c>
      <c r="G190" s="201">
        <f>VLOOKUP('CALCOLO DEL VENTO NTC18'!B215,'dati nascosti'!AJ67:BB73,18,FALSE)</f>
        <v>-0.10000000000000009</v>
      </c>
      <c r="H190" s="61"/>
      <c r="I190" s="18"/>
    </row>
    <row r="191" spans="4:9" x14ac:dyDescent="0.25">
      <c r="D191"/>
      <c r="E191"/>
      <c r="F191"/>
      <c r="G191" s="61"/>
      <c r="H191" s="61"/>
      <c r="I191" s="61"/>
    </row>
    <row r="192" spans="4:9" x14ac:dyDescent="0.25">
      <c r="D192"/>
      <c r="E192" s="201" t="s">
        <v>223</v>
      </c>
      <c r="F192"/>
      <c r="G192" s="61"/>
      <c r="H192" s="61"/>
      <c r="I192" s="61"/>
    </row>
    <row r="193" spans="4:9" x14ac:dyDescent="0.25">
      <c r="D193"/>
      <c r="E193" s="201" t="s">
        <v>222</v>
      </c>
      <c r="F193"/>
      <c r="G193" s="61"/>
      <c r="H193" s="61"/>
      <c r="I193" s="61"/>
    </row>
  </sheetData>
  <protectedRanges>
    <protectedRange sqref="D64:D67" name="Intervallo2_1"/>
    <protectedRange sqref="M11 M9" name="Intervallo2"/>
  </protectedRanges>
  <customSheetViews>
    <customSheetView guid="{C56548B1-AD9F-45D5-A6C9-CFD9EB8CFADF}" scale="80" state="hidden" topLeftCell="J85">
      <selection activeCell="Y109" sqref="Y109"/>
      <pageMargins left="0.7" right="0.7" top="0.75" bottom="0.75" header="0.3" footer="0.3"/>
      <pageSetup paperSize="9" orientation="portrait" r:id="rId1"/>
    </customSheetView>
    <customSheetView guid="{948D5EE8-4948-4B88-9BE1-4533C7B89844}" scale="80" state="hidden">
      <selection activeCell="J24" sqref="J24"/>
      <pageMargins left="0.7" right="0.7" top="0.75" bottom="0.75" header="0.3" footer="0.3"/>
      <pageSetup paperSize="9" orientation="portrait" r:id="rId2"/>
    </customSheetView>
  </customSheetViews>
  <mergeCells count="52">
    <mergeCell ref="R74:R76"/>
    <mergeCell ref="D184:I185"/>
    <mergeCell ref="Q74:Q76"/>
    <mergeCell ref="O74:O76"/>
    <mergeCell ref="N74:N76"/>
    <mergeCell ref="G115:G116"/>
    <mergeCell ref="B115:F116"/>
    <mergeCell ref="B112:F112"/>
    <mergeCell ref="B113:F113"/>
    <mergeCell ref="B114:F114"/>
    <mergeCell ref="B49:D49"/>
    <mergeCell ref="B50:D50"/>
    <mergeCell ref="D5:G5"/>
    <mergeCell ref="D9:G9"/>
    <mergeCell ref="D20:G20"/>
    <mergeCell ref="D21:G21"/>
    <mergeCell ref="D22:G22"/>
    <mergeCell ref="B28:C28"/>
    <mergeCell ref="B29:C29"/>
    <mergeCell ref="D19:G19"/>
    <mergeCell ref="D7:G7"/>
    <mergeCell ref="D6:G6"/>
    <mergeCell ref="D26:G26"/>
    <mergeCell ref="D27:G27"/>
    <mergeCell ref="D23:G23"/>
    <mergeCell ref="AK17:AP17"/>
    <mergeCell ref="AL18:AM18"/>
    <mergeCell ref="AN18:AP18"/>
    <mergeCell ref="AK24:AP24"/>
    <mergeCell ref="AL25:AM25"/>
    <mergeCell ref="AN25:AP25"/>
    <mergeCell ref="AK31:AP31"/>
    <mergeCell ref="AL32:AM32"/>
    <mergeCell ref="AN32:AP32"/>
    <mergeCell ref="AK38:AP38"/>
    <mergeCell ref="AL39:AM39"/>
    <mergeCell ref="AN39:AP39"/>
    <mergeCell ref="AB109:AC109"/>
    <mergeCell ref="AK60:AL60"/>
    <mergeCell ref="AK45:AP45"/>
    <mergeCell ref="AK46:AL46"/>
    <mergeCell ref="AK52:AP52"/>
    <mergeCell ref="AK53:AL53"/>
    <mergeCell ref="AK59:AP59"/>
    <mergeCell ref="P22:P23"/>
    <mergeCell ref="P24:P25"/>
    <mergeCell ref="P26:P27"/>
    <mergeCell ref="M20:M21"/>
    <mergeCell ref="M22:M23"/>
    <mergeCell ref="M24:M25"/>
    <mergeCell ref="M26:M27"/>
    <mergeCell ref="P20:P21"/>
  </mergeCells>
  <conditionalFormatting sqref="C66:G67 C64:E65 C68:D69">
    <cfRule type="expression" dxfId="1" priority="4">
      <formula>IF($D$160=$B$35,TRUE,FALSE)</formula>
    </cfRule>
  </conditionalFormatting>
  <dataValidations disablePrompts="1" count="1">
    <dataValidation allowBlank="1" showErrorMessage="1" sqref="D28"/>
  </dataValidations>
  <pageMargins left="0.7" right="0.7" top="0.75" bottom="0.75" header="0.3" footer="0.3"/>
  <pageSetup paperSize="9"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3" id="{6B444FC9-23A7-4B22-97CB-9961E08971C5}">
            <xm:f>IF('CALCOLO DEL VENTO NTC18'!$D$150=$B$35,TRUE,FALSE)</xm:f>
            <x14:dxf>
              <font>
                <color theme="0"/>
              </font>
              <border>
                <left/>
                <right/>
                <top/>
                <bottom/>
                <vertical/>
                <horizontal/>
              </border>
            </x14:dxf>
          </x14:cfRule>
          <xm:sqref>C64:D69</xm:sqref>
        </x14:conditionalFormatting>
        <x14:conditionalFormatting xmlns:xm="http://schemas.microsoft.com/office/excel/2006/main">
          <x14:cfRule type="expression" priority="2" id="{5EEF67B6-1141-4F7B-945E-288300EF4CBB}">
            <xm:f>IF('CALCOLO DEL VENTO NTC18'!$B$215=$AJ$70,TRUE,FALSE)</xm:f>
            <x14:dxf/>
          </x14:cfRule>
          <xm:sqref>F248:G248 F258:G258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52"/>
  <sheetViews>
    <sheetView showGridLines="0" showRowColHeaders="0" zoomScale="85" zoomScaleNormal="85" workbookViewId="0">
      <selection activeCell="B18" sqref="B18"/>
    </sheetView>
  </sheetViews>
  <sheetFormatPr defaultRowHeight="15" x14ac:dyDescent="0.25"/>
  <cols>
    <col min="2" max="2" width="60.42578125" customWidth="1"/>
  </cols>
  <sheetData>
    <row r="1" spans="2:12" ht="25.15" customHeight="1" x14ac:dyDescent="0.25">
      <c r="B1" s="41"/>
      <c r="C1" s="41"/>
      <c r="D1" s="41"/>
      <c r="E1" s="41"/>
      <c r="F1" s="41"/>
      <c r="G1" s="41"/>
      <c r="H1" s="41"/>
      <c r="I1" s="41"/>
      <c r="J1" s="41"/>
      <c r="K1" s="41"/>
      <c r="L1" s="41"/>
    </row>
    <row r="2" spans="2:12" ht="25.15" customHeight="1" x14ac:dyDescent="0.25">
      <c r="B2" s="49" t="s">
        <v>31</v>
      </c>
      <c r="C2" s="49" t="s">
        <v>34</v>
      </c>
      <c r="D2" s="49" t="s">
        <v>74</v>
      </c>
      <c r="E2" s="49" t="s">
        <v>75</v>
      </c>
      <c r="F2" s="49" t="s">
        <v>168</v>
      </c>
      <c r="G2" s="41"/>
      <c r="H2" s="55" t="s">
        <v>67</v>
      </c>
      <c r="I2" s="159" t="s">
        <v>162</v>
      </c>
      <c r="J2" s="41"/>
      <c r="K2" s="41"/>
      <c r="L2" s="41"/>
    </row>
    <row r="3" spans="2:12" ht="25.15" customHeight="1" x14ac:dyDescent="0.25">
      <c r="B3" s="56" t="s">
        <v>35</v>
      </c>
      <c r="C3" s="57">
        <v>1</v>
      </c>
      <c r="D3" s="57">
        <v>25</v>
      </c>
      <c r="E3" s="57">
        <v>1000</v>
      </c>
      <c r="F3" s="58">
        <v>0.4</v>
      </c>
      <c r="G3" s="41"/>
      <c r="H3" s="51">
        <v>5</v>
      </c>
      <c r="I3" s="50">
        <f>0.75*(1-0.2*LN(-LN(1-1/H3)))^0.5</f>
        <v>0.85512762118320407</v>
      </c>
      <c r="J3" s="41"/>
      <c r="K3" s="41"/>
      <c r="L3" s="41"/>
    </row>
    <row r="4" spans="2:12" ht="25.15" customHeight="1" x14ac:dyDescent="0.25">
      <c r="B4" s="56" t="s">
        <v>36</v>
      </c>
      <c r="C4" s="57">
        <v>2</v>
      </c>
      <c r="D4" s="57">
        <v>25</v>
      </c>
      <c r="E4" s="57">
        <v>750</v>
      </c>
      <c r="F4" s="58">
        <v>0.45</v>
      </c>
      <c r="G4" s="41"/>
      <c r="H4" s="51">
        <f>H3+5</f>
        <v>10</v>
      </c>
      <c r="I4" s="50">
        <f t="shared" ref="I4:I67" si="0">0.75*(1-0.2*LN(-LN(1-1/H4)))^0.5</f>
        <v>0.90314247177433216</v>
      </c>
      <c r="J4" s="41"/>
      <c r="K4" s="41"/>
      <c r="L4" s="41"/>
    </row>
    <row r="5" spans="2:12" ht="25.15" customHeight="1" x14ac:dyDescent="0.25">
      <c r="B5" s="56" t="s">
        <v>37</v>
      </c>
      <c r="C5" s="57">
        <v>3</v>
      </c>
      <c r="D5" s="57">
        <v>27</v>
      </c>
      <c r="E5" s="57">
        <v>500</v>
      </c>
      <c r="F5" s="58">
        <v>0.37</v>
      </c>
      <c r="G5" s="41"/>
      <c r="H5" s="51">
        <f t="shared" ref="H5:H68" si="1">H4+5</f>
        <v>15</v>
      </c>
      <c r="I5" s="50">
        <f t="shared" si="0"/>
        <v>0.92913783169900976</v>
      </c>
      <c r="J5" s="41"/>
      <c r="K5" s="41"/>
      <c r="L5" s="41"/>
    </row>
    <row r="6" spans="2:12" ht="25.15" customHeight="1" x14ac:dyDescent="0.25">
      <c r="B6" s="56" t="s">
        <v>38</v>
      </c>
      <c r="C6" s="57">
        <v>4</v>
      </c>
      <c r="D6" s="57">
        <v>28</v>
      </c>
      <c r="E6" s="57">
        <v>500</v>
      </c>
      <c r="F6" s="58">
        <v>0.36</v>
      </c>
      <c r="G6" s="41"/>
      <c r="H6" s="51">
        <f t="shared" si="1"/>
        <v>20</v>
      </c>
      <c r="I6" s="50">
        <f t="shared" si="0"/>
        <v>0.94691444466606578</v>
      </c>
      <c r="J6" s="41"/>
      <c r="K6" s="41"/>
      <c r="L6" s="41"/>
    </row>
    <row r="7" spans="2:12" ht="25.15" customHeight="1" x14ac:dyDescent="0.25">
      <c r="B7" s="56" t="s">
        <v>39</v>
      </c>
      <c r="C7" s="57">
        <v>5</v>
      </c>
      <c r="D7" s="57">
        <v>28</v>
      </c>
      <c r="E7" s="57">
        <v>750</v>
      </c>
      <c r="F7" s="58">
        <v>0.4</v>
      </c>
      <c r="G7" s="41"/>
      <c r="H7" s="51">
        <f t="shared" si="1"/>
        <v>25</v>
      </c>
      <c r="I7" s="50">
        <f t="shared" si="0"/>
        <v>0.96038279056457787</v>
      </c>
      <c r="J7" s="41"/>
      <c r="K7" s="41"/>
      <c r="L7" s="41"/>
    </row>
    <row r="8" spans="2:12" ht="25.15" customHeight="1" x14ac:dyDescent="0.25">
      <c r="B8" s="56" t="s">
        <v>40</v>
      </c>
      <c r="C8" s="57">
        <v>6</v>
      </c>
      <c r="D8" s="57">
        <v>28</v>
      </c>
      <c r="E8" s="57">
        <v>500</v>
      </c>
      <c r="F8" s="58">
        <v>0.36</v>
      </c>
      <c r="G8" s="41"/>
      <c r="H8" s="51">
        <f t="shared" si="1"/>
        <v>30</v>
      </c>
      <c r="I8" s="50">
        <f t="shared" si="0"/>
        <v>0.97120189997686168</v>
      </c>
      <c r="J8" s="41"/>
      <c r="K8" s="41"/>
      <c r="L8" s="41"/>
    </row>
    <row r="9" spans="2:12" ht="25.15" customHeight="1" x14ac:dyDescent="0.25">
      <c r="B9" s="56" t="s">
        <v>41</v>
      </c>
      <c r="C9" s="57">
        <v>7</v>
      </c>
      <c r="D9" s="57">
        <v>28</v>
      </c>
      <c r="E9" s="57">
        <v>1000</v>
      </c>
      <c r="F9" s="58">
        <v>0.54</v>
      </c>
      <c r="G9" s="41"/>
      <c r="H9" s="51">
        <f t="shared" si="1"/>
        <v>35</v>
      </c>
      <c r="I9" s="50">
        <f t="shared" si="0"/>
        <v>0.98022958879064337</v>
      </c>
      <c r="J9" s="41"/>
      <c r="K9" s="41"/>
      <c r="L9" s="41"/>
    </row>
    <row r="10" spans="2:12" ht="25.15" customHeight="1" x14ac:dyDescent="0.25">
      <c r="B10" s="56" t="s">
        <v>42</v>
      </c>
      <c r="C10" s="57">
        <v>8</v>
      </c>
      <c r="D10" s="57">
        <v>30</v>
      </c>
      <c r="E10" s="57">
        <v>1500</v>
      </c>
      <c r="F10" s="58">
        <v>0.5</v>
      </c>
      <c r="G10" s="41"/>
      <c r="H10" s="51">
        <f t="shared" si="1"/>
        <v>40</v>
      </c>
      <c r="I10" s="50">
        <f t="shared" si="0"/>
        <v>0.98796650576820921</v>
      </c>
      <c r="J10" s="41"/>
      <c r="K10" s="41"/>
      <c r="L10" s="41"/>
    </row>
    <row r="11" spans="2:12" ht="25.15" customHeight="1" x14ac:dyDescent="0.25">
      <c r="B11" s="56" t="s">
        <v>43</v>
      </c>
      <c r="C11" s="57">
        <v>9</v>
      </c>
      <c r="D11" s="57">
        <v>31</v>
      </c>
      <c r="E11" s="57">
        <v>500</v>
      </c>
      <c r="F11" s="58">
        <v>0.32</v>
      </c>
      <c r="G11" s="41"/>
      <c r="H11" s="51">
        <f t="shared" si="1"/>
        <v>45</v>
      </c>
      <c r="I11" s="50">
        <f t="shared" si="0"/>
        <v>0.99473001325592336</v>
      </c>
      <c r="J11" s="41"/>
      <c r="K11" s="41"/>
      <c r="L11" s="41"/>
    </row>
    <row r="12" spans="2:12" ht="25.15" customHeight="1" x14ac:dyDescent="0.25">
      <c r="B12" s="59"/>
      <c r="C12" s="59"/>
      <c r="D12" s="59"/>
      <c r="E12" s="59"/>
      <c r="F12" s="59"/>
      <c r="G12" s="41"/>
      <c r="H12" s="51">
        <f t="shared" si="1"/>
        <v>50</v>
      </c>
      <c r="I12" s="50">
        <f t="shared" si="0"/>
        <v>1.0007337802921321</v>
      </c>
      <c r="J12" s="41"/>
      <c r="K12" s="41"/>
      <c r="L12" s="41"/>
    </row>
    <row r="13" spans="2:12" ht="25.15" customHeight="1" x14ac:dyDescent="0.25">
      <c r="B13" s="60" t="s">
        <v>31</v>
      </c>
      <c r="C13" s="357" t="s">
        <v>44</v>
      </c>
      <c r="D13" s="357"/>
      <c r="E13" s="357"/>
      <c r="F13" s="357"/>
      <c r="G13" s="41"/>
      <c r="H13" s="51">
        <f t="shared" si="1"/>
        <v>55</v>
      </c>
      <c r="I13" s="50">
        <f t="shared" si="0"/>
        <v>1.0061284324193829</v>
      </c>
      <c r="J13" s="41"/>
      <c r="K13" s="41"/>
      <c r="L13" s="41"/>
    </row>
    <row r="14" spans="2:12" ht="49.5" customHeight="1" x14ac:dyDescent="0.25">
      <c r="B14" s="56" t="s">
        <v>45</v>
      </c>
      <c r="C14" s="357" t="s">
        <v>46</v>
      </c>
      <c r="D14" s="357"/>
      <c r="E14" s="357"/>
      <c r="F14" s="357"/>
      <c r="G14" s="41"/>
      <c r="H14" s="51">
        <f t="shared" si="1"/>
        <v>60</v>
      </c>
      <c r="I14" s="50">
        <f t="shared" si="0"/>
        <v>1.01102407832996</v>
      </c>
      <c r="J14" s="41"/>
      <c r="K14" s="41"/>
      <c r="L14" s="41"/>
    </row>
    <row r="15" spans="2:12" ht="49.5" customHeight="1" x14ac:dyDescent="0.25">
      <c r="B15" s="158" t="s">
        <v>155</v>
      </c>
      <c r="C15" s="357" t="s">
        <v>47</v>
      </c>
      <c r="D15" s="357"/>
      <c r="E15" s="357"/>
      <c r="F15" s="357"/>
      <c r="G15" s="41"/>
      <c r="H15" s="51">
        <f t="shared" si="1"/>
        <v>65</v>
      </c>
      <c r="I15" s="50">
        <f t="shared" si="0"/>
        <v>1.0155036110958284</v>
      </c>
      <c r="J15" s="41"/>
      <c r="K15" s="41"/>
      <c r="L15" s="41"/>
    </row>
    <row r="16" spans="2:12" ht="49.5" customHeight="1" x14ac:dyDescent="0.25">
      <c r="B16" s="56" t="s">
        <v>156</v>
      </c>
      <c r="C16" s="357" t="s">
        <v>48</v>
      </c>
      <c r="D16" s="357"/>
      <c r="E16" s="357"/>
      <c r="F16" s="357"/>
      <c r="G16" s="41"/>
      <c r="H16" s="51">
        <f t="shared" si="1"/>
        <v>70</v>
      </c>
      <c r="I16" s="50">
        <f t="shared" si="0"/>
        <v>1.0196309718360603</v>
      </c>
      <c r="J16" s="41"/>
      <c r="K16" s="41"/>
      <c r="L16" s="41"/>
    </row>
    <row r="17" spans="2:12" ht="49.5" customHeight="1" x14ac:dyDescent="0.25">
      <c r="B17" s="56" t="s">
        <v>49</v>
      </c>
      <c r="C17" s="357" t="s">
        <v>50</v>
      </c>
      <c r="D17" s="357"/>
      <c r="E17" s="357"/>
      <c r="F17" s="357"/>
      <c r="G17" s="41"/>
      <c r="H17" s="51">
        <f t="shared" si="1"/>
        <v>75</v>
      </c>
      <c r="I17" s="50">
        <f t="shared" si="0"/>
        <v>1.0234565024757023</v>
      </c>
      <c r="J17" s="41"/>
      <c r="K17" s="41"/>
      <c r="L17" s="41"/>
    </row>
    <row r="18" spans="2:12" ht="25.15" customHeight="1" x14ac:dyDescent="0.25">
      <c r="B18" s="43"/>
      <c r="C18" s="59"/>
      <c r="D18" s="59"/>
      <c r="E18" s="59"/>
      <c r="F18" s="59"/>
      <c r="G18" s="41"/>
      <c r="H18" s="51">
        <f t="shared" si="1"/>
        <v>80</v>
      </c>
      <c r="I18" s="50">
        <f t="shared" si="0"/>
        <v>1.0270205361062441</v>
      </c>
      <c r="J18" s="41"/>
      <c r="K18" s="41"/>
      <c r="L18" s="41"/>
    </row>
    <row r="19" spans="2:12" ht="25.15" customHeight="1" x14ac:dyDescent="0.25">
      <c r="B19" s="44" t="s">
        <v>51</v>
      </c>
      <c r="C19" s="57" t="s">
        <v>68</v>
      </c>
      <c r="D19" s="57" t="s">
        <v>69</v>
      </c>
      <c r="E19" s="57" t="s">
        <v>70</v>
      </c>
      <c r="F19" s="59"/>
      <c r="G19" s="41"/>
      <c r="H19" s="51">
        <f t="shared" si="1"/>
        <v>85</v>
      </c>
      <c r="I19" s="50">
        <f t="shared" si="0"/>
        <v>1.0303558776542665</v>
      </c>
      <c r="J19" s="41"/>
      <c r="K19" s="41"/>
      <c r="L19" s="41"/>
    </row>
    <row r="20" spans="2:12" ht="25.15" customHeight="1" x14ac:dyDescent="0.25">
      <c r="B20" s="44" t="s">
        <v>55</v>
      </c>
      <c r="C20" s="157">
        <v>0.17</v>
      </c>
      <c r="D20" s="157">
        <v>0.01</v>
      </c>
      <c r="E20" s="57">
        <v>2</v>
      </c>
      <c r="F20" s="59"/>
      <c r="G20" s="41"/>
      <c r="H20" s="51">
        <f t="shared" si="1"/>
        <v>90</v>
      </c>
      <c r="I20" s="50">
        <f t="shared" si="0"/>
        <v>1.0334895620918512</v>
      </c>
      <c r="J20" s="41"/>
      <c r="K20" s="41"/>
      <c r="L20" s="41"/>
    </row>
    <row r="21" spans="2:12" ht="25.15" customHeight="1" x14ac:dyDescent="0.25">
      <c r="B21" s="44" t="s">
        <v>56</v>
      </c>
      <c r="C21" s="157">
        <v>0.19</v>
      </c>
      <c r="D21" s="157">
        <v>0.05</v>
      </c>
      <c r="E21" s="57">
        <v>4</v>
      </c>
      <c r="F21" s="59"/>
      <c r="G21" s="41"/>
      <c r="H21" s="51">
        <f t="shared" si="1"/>
        <v>95</v>
      </c>
      <c r="I21" s="50">
        <f t="shared" si="0"/>
        <v>1.0364441285307389</v>
      </c>
      <c r="J21" s="41"/>
      <c r="K21" s="41"/>
      <c r="L21" s="41"/>
    </row>
    <row r="22" spans="2:12" ht="25.15" customHeight="1" x14ac:dyDescent="0.25">
      <c r="B22" s="44" t="s">
        <v>57</v>
      </c>
      <c r="C22" s="157">
        <v>0.2</v>
      </c>
      <c r="D22" s="157">
        <v>0.1</v>
      </c>
      <c r="E22" s="57">
        <v>5</v>
      </c>
      <c r="F22" s="59"/>
      <c r="G22" s="41"/>
      <c r="H22" s="51">
        <f t="shared" si="1"/>
        <v>100</v>
      </c>
      <c r="I22" s="50">
        <f t="shared" si="0"/>
        <v>1.0392385616461532</v>
      </c>
      <c r="J22" s="41"/>
      <c r="K22" s="41"/>
      <c r="L22" s="41"/>
    </row>
    <row r="23" spans="2:12" ht="25.15" customHeight="1" x14ac:dyDescent="0.25">
      <c r="B23" s="44" t="s">
        <v>58</v>
      </c>
      <c r="C23" s="157">
        <v>0.22</v>
      </c>
      <c r="D23" s="157">
        <v>0.3</v>
      </c>
      <c r="E23" s="57">
        <v>8</v>
      </c>
      <c r="F23" s="59"/>
      <c r="G23" s="41"/>
      <c r="H23" s="51">
        <f t="shared" si="1"/>
        <v>105</v>
      </c>
      <c r="I23" s="50">
        <f t="shared" si="0"/>
        <v>1.0418889993793494</v>
      </c>
      <c r="J23" s="41"/>
      <c r="K23" s="41"/>
      <c r="L23" s="41"/>
    </row>
    <row r="24" spans="2:12" ht="25.15" customHeight="1" x14ac:dyDescent="0.25">
      <c r="B24" s="44" t="s">
        <v>59</v>
      </c>
      <c r="C24" s="157">
        <v>0.23</v>
      </c>
      <c r="D24" s="157">
        <v>0.7</v>
      </c>
      <c r="E24" s="57">
        <v>12</v>
      </c>
      <c r="F24" s="59"/>
      <c r="G24" s="41"/>
      <c r="H24" s="51">
        <f t="shared" si="1"/>
        <v>110</v>
      </c>
      <c r="I24" s="50">
        <f t="shared" si="0"/>
        <v>1.0444092731774344</v>
      </c>
      <c r="J24" s="41"/>
      <c r="K24" s="41"/>
      <c r="L24" s="41"/>
    </row>
    <row r="25" spans="2:12" ht="25.15" customHeight="1" x14ac:dyDescent="0.25">
      <c r="B25" s="41"/>
      <c r="C25" s="42"/>
      <c r="D25" s="42"/>
      <c r="E25" s="42"/>
      <c r="F25" s="42"/>
      <c r="G25" s="41"/>
      <c r="H25" s="51">
        <f t="shared" si="1"/>
        <v>115</v>
      </c>
      <c r="I25" s="50">
        <f t="shared" si="0"/>
        <v>1.0468113261192826</v>
      </c>
      <c r="J25" s="41"/>
      <c r="K25" s="41"/>
      <c r="L25" s="41"/>
    </row>
    <row r="26" spans="2:12" ht="25.15" customHeight="1" x14ac:dyDescent="0.25">
      <c r="B26" s="41"/>
      <c r="C26" s="42"/>
      <c r="D26" s="42"/>
      <c r="E26" s="42"/>
      <c r="F26" s="42"/>
      <c r="G26" s="41"/>
      <c r="H26" s="51">
        <f t="shared" si="1"/>
        <v>120</v>
      </c>
      <c r="I26" s="50">
        <f t="shared" si="0"/>
        <v>1.049105540578835</v>
      </c>
      <c r="J26" s="41"/>
      <c r="K26" s="41"/>
      <c r="L26" s="41"/>
    </row>
    <row r="27" spans="2:12" ht="25.15" customHeight="1" x14ac:dyDescent="0.25">
      <c r="B27" s="41"/>
      <c r="C27" s="42"/>
      <c r="D27" s="42"/>
      <c r="E27" s="42"/>
      <c r="F27" s="42"/>
      <c r="G27" s="41"/>
      <c r="H27" s="51">
        <f t="shared" si="1"/>
        <v>125</v>
      </c>
      <c r="I27" s="50">
        <f t="shared" si="0"/>
        <v>1.0513009979097823</v>
      </c>
      <c r="J27" s="41"/>
      <c r="K27" s="41"/>
      <c r="L27" s="41"/>
    </row>
    <row r="28" spans="2:12" ht="25.15" customHeight="1" x14ac:dyDescent="0.25">
      <c r="B28" s="41"/>
      <c r="C28" s="42"/>
      <c r="D28" s="42"/>
      <c r="E28" s="42"/>
      <c r="F28" s="42"/>
      <c r="G28" s="41"/>
      <c r="H28" s="51">
        <f t="shared" si="1"/>
        <v>130</v>
      </c>
      <c r="I28" s="50">
        <f t="shared" si="0"/>
        <v>1.0534056863805785</v>
      </c>
      <c r="J28" s="41"/>
      <c r="K28" s="41"/>
      <c r="L28" s="41"/>
    </row>
    <row r="29" spans="2:12" ht="25.15" customHeight="1" x14ac:dyDescent="0.25">
      <c r="B29" s="41"/>
      <c r="C29" s="42"/>
      <c r="D29" s="42"/>
      <c r="E29" s="42"/>
      <c r="F29" s="42"/>
      <c r="G29" s="41"/>
      <c r="H29" s="51">
        <f t="shared" si="1"/>
        <v>135</v>
      </c>
      <c r="I29" s="50">
        <f t="shared" si="0"/>
        <v>1.0554266692452625</v>
      </c>
      <c r="J29" s="41"/>
      <c r="K29" s="41"/>
      <c r="L29" s="41"/>
    </row>
    <row r="30" spans="2:12" ht="25.15" customHeight="1" x14ac:dyDescent="0.25">
      <c r="B30" s="41"/>
      <c r="C30" s="42"/>
      <c r="D30" s="42"/>
      <c r="E30" s="42"/>
      <c r="F30" s="42"/>
      <c r="G30" s="41"/>
      <c r="H30" s="51">
        <f t="shared" si="1"/>
        <v>140</v>
      </c>
      <c r="I30" s="50">
        <f t="shared" si="0"/>
        <v>1.0573702217709586</v>
      </c>
      <c r="J30" s="41"/>
      <c r="K30" s="41"/>
      <c r="L30" s="41"/>
    </row>
    <row r="31" spans="2:12" ht="25.15" customHeight="1" x14ac:dyDescent="0.25">
      <c r="B31" s="41"/>
      <c r="C31" s="42"/>
      <c r="D31" s="42"/>
      <c r="E31" s="42"/>
      <c r="F31" s="42"/>
      <c r="G31" s="41"/>
      <c r="H31" s="51">
        <f t="shared" si="1"/>
        <v>145</v>
      </c>
      <c r="I31" s="50">
        <f t="shared" si="0"/>
        <v>1.0592419438487357</v>
      </c>
      <c r="J31" s="41"/>
      <c r="K31" s="41"/>
      <c r="L31" s="41"/>
    </row>
    <row r="32" spans="2:12" ht="25.15" customHeight="1" x14ac:dyDescent="0.25">
      <c r="B32" s="41"/>
      <c r="C32" s="42"/>
      <c r="D32" s="42"/>
      <c r="E32" s="42"/>
      <c r="F32" s="42"/>
      <c r="G32" s="41"/>
      <c r="H32" s="51">
        <f t="shared" si="1"/>
        <v>150</v>
      </c>
      <c r="I32" s="50">
        <f t="shared" si="0"/>
        <v>1.0610468532223396</v>
      </c>
      <c r="J32" s="41"/>
      <c r="K32" s="41"/>
      <c r="L32" s="41"/>
    </row>
    <row r="33" spans="2:12" ht="25.15" customHeight="1" x14ac:dyDescent="0.25">
      <c r="B33" s="41"/>
      <c r="C33" s="42"/>
      <c r="D33" s="42"/>
      <c r="E33" s="42"/>
      <c r="F33" s="42"/>
      <c r="G33" s="41"/>
      <c r="H33" s="51">
        <f t="shared" si="1"/>
        <v>155</v>
      </c>
      <c r="I33" s="50">
        <f t="shared" si="0"/>
        <v>1.0627894631995203</v>
      </c>
      <c r="J33" s="41"/>
      <c r="K33" s="41"/>
      <c r="L33" s="41"/>
    </row>
    <row r="34" spans="2:12" ht="25.15" customHeight="1" x14ac:dyDescent="0.25">
      <c r="B34" s="41"/>
      <c r="C34" s="42"/>
      <c r="D34" s="42"/>
      <c r="E34" s="42"/>
      <c r="F34" s="42"/>
      <c r="G34" s="41"/>
      <c r="H34" s="51">
        <f t="shared" si="1"/>
        <v>160</v>
      </c>
      <c r="I34" s="50">
        <f t="shared" si="0"/>
        <v>1.0644738478413656</v>
      </c>
      <c r="J34" s="41"/>
      <c r="K34" s="41"/>
      <c r="L34" s="41"/>
    </row>
    <row r="35" spans="2:12" ht="25.15" customHeight="1" x14ac:dyDescent="0.25">
      <c r="B35" s="41"/>
      <c r="C35" s="42"/>
      <c r="D35" s="42"/>
      <c r="E35" s="42"/>
      <c r="F35" s="42"/>
      <c r="G35" s="41"/>
      <c r="H35" s="51">
        <f t="shared" si="1"/>
        <v>165</v>
      </c>
      <c r="I35" s="50">
        <f t="shared" si="0"/>
        <v>1.0661036969721076</v>
      </c>
      <c r="J35" s="41"/>
      <c r="K35" s="41"/>
      <c r="L35" s="41"/>
    </row>
    <row r="36" spans="2:12" ht="25.15" customHeight="1" x14ac:dyDescent="0.25">
      <c r="B36" s="41"/>
      <c r="C36" s="41"/>
      <c r="D36" s="41"/>
      <c r="E36" s="41"/>
      <c r="F36" s="41"/>
      <c r="G36" s="41"/>
      <c r="H36" s="51">
        <f t="shared" si="1"/>
        <v>170</v>
      </c>
      <c r="I36" s="50">
        <f t="shared" si="0"/>
        <v>1.0676823628565562</v>
      </c>
      <c r="J36" s="41"/>
      <c r="K36" s="41"/>
      <c r="L36" s="41"/>
    </row>
    <row r="37" spans="2:12" ht="25.15" customHeight="1" x14ac:dyDescent="0.25">
      <c r="B37" s="41"/>
      <c r="C37" s="41"/>
      <c r="D37" s="41"/>
      <c r="E37" s="41"/>
      <c r="F37" s="41"/>
      <c r="G37" s="41"/>
      <c r="H37" s="51">
        <f t="shared" si="1"/>
        <v>175</v>
      </c>
      <c r="I37" s="50">
        <f t="shared" si="0"/>
        <v>1.0692129000131074</v>
      </c>
      <c r="J37" s="41"/>
      <c r="K37" s="41"/>
      <c r="L37" s="41"/>
    </row>
    <row r="38" spans="2:12" ht="25.15" customHeight="1" x14ac:dyDescent="0.25">
      <c r="B38" s="41"/>
      <c r="C38" s="41"/>
      <c r="D38" s="41"/>
      <c r="E38" s="41"/>
      <c r="F38" s="41"/>
      <c r="G38" s="41"/>
      <c r="H38" s="51">
        <f t="shared" si="1"/>
        <v>180</v>
      </c>
      <c r="I38" s="50">
        <f t="shared" si="0"/>
        <v>1.070698099337472</v>
      </c>
      <c r="J38" s="41"/>
      <c r="K38" s="41"/>
      <c r="L38" s="41"/>
    </row>
    <row r="39" spans="2:12" ht="25.15" customHeight="1" x14ac:dyDescent="0.25">
      <c r="B39" s="41"/>
      <c r="C39" s="41"/>
      <c r="D39" s="41"/>
      <c r="E39" s="41"/>
      <c r="F39" s="41"/>
      <c r="G39" s="41"/>
      <c r="H39" s="51">
        <f t="shared" si="1"/>
        <v>185</v>
      </c>
      <c r="I39" s="50">
        <f t="shared" si="0"/>
        <v>1.0721405174842671</v>
      </c>
      <c r="J39" s="41"/>
      <c r="K39" s="41"/>
      <c r="L39" s="41"/>
    </row>
    <row r="40" spans="2:12" ht="25.15" customHeight="1" x14ac:dyDescent="0.25">
      <c r="B40" s="41"/>
      <c r="C40" s="41"/>
      <c r="D40" s="41"/>
      <c r="E40" s="41"/>
      <c r="F40" s="41"/>
      <c r="G40" s="41"/>
      <c r="H40" s="51">
        <f t="shared" si="1"/>
        <v>190</v>
      </c>
      <c r="I40" s="50">
        <f t="shared" si="0"/>
        <v>1.0735425022748137</v>
      </c>
      <c r="J40" s="41"/>
      <c r="K40" s="41"/>
      <c r="L40" s="41"/>
    </row>
    <row r="41" spans="2:12" ht="25.15" customHeight="1" x14ac:dyDescent="0.25">
      <c r="B41" s="41"/>
      <c r="C41" s="41"/>
      <c r="D41" s="41"/>
      <c r="E41" s="41"/>
      <c r="F41" s="41"/>
      <c r="G41" s="41"/>
      <c r="H41" s="51">
        <f t="shared" si="1"/>
        <v>195</v>
      </c>
      <c r="I41" s="50">
        <f t="shared" si="0"/>
        <v>1.074906214758208</v>
      </c>
      <c r="J41" s="41"/>
      <c r="K41" s="41"/>
      <c r="L41" s="41"/>
    </row>
    <row r="42" spans="2:12" ht="25.15" customHeight="1" x14ac:dyDescent="0.25">
      <c r="B42" s="41"/>
      <c r="C42" s="41"/>
      <c r="D42" s="41"/>
      <c r="E42" s="41"/>
      <c r="F42" s="41"/>
      <c r="G42" s="41"/>
      <c r="H42" s="51">
        <f t="shared" si="1"/>
        <v>200</v>
      </c>
      <c r="I42" s="50">
        <f t="shared" si="0"/>
        <v>1.0762336484403332</v>
      </c>
      <c r="J42" s="41"/>
      <c r="K42" s="41"/>
      <c r="L42" s="41"/>
    </row>
    <row r="43" spans="2:12" ht="25.15" customHeight="1" x14ac:dyDescent="0.25">
      <c r="B43" s="41"/>
      <c r="C43" s="41"/>
      <c r="D43" s="41"/>
      <c r="E43" s="41"/>
      <c r="F43" s="41"/>
      <c r="G43" s="41"/>
      <c r="H43" s="51">
        <f t="shared" si="1"/>
        <v>205</v>
      </c>
      <c r="I43" s="50">
        <f t="shared" si="0"/>
        <v>1.0775266461055821</v>
      </c>
      <c r="J43" s="41"/>
      <c r="K43" s="41"/>
      <c r="L43" s="41"/>
    </row>
    <row r="44" spans="2:12" ht="25.15" customHeight="1" x14ac:dyDescent="0.25">
      <c r="B44" s="41"/>
      <c r="C44" s="41"/>
      <c r="D44" s="41"/>
      <c r="E44" s="41"/>
      <c r="F44" s="41"/>
      <c r="G44" s="41"/>
      <c r="H44" s="51">
        <f t="shared" si="1"/>
        <v>210</v>
      </c>
      <c r="I44" s="50">
        <f t="shared" si="0"/>
        <v>1.0787869145835749</v>
      </c>
      <c r="J44" s="41"/>
      <c r="K44" s="41"/>
      <c r="L44" s="41"/>
    </row>
    <row r="45" spans="2:12" ht="25.15" customHeight="1" x14ac:dyDescent="0.25">
      <c r="B45" s="41"/>
      <c r="C45" s="41"/>
      <c r="D45" s="41"/>
      <c r="E45" s="41"/>
      <c r="F45" s="41"/>
      <c r="G45" s="41"/>
      <c r="H45" s="51">
        <f t="shared" si="1"/>
        <v>215</v>
      </c>
      <c r="I45" s="50">
        <f t="shared" si="0"/>
        <v>1.0800160377545249</v>
      </c>
      <c r="J45" s="41"/>
      <c r="K45" s="41"/>
      <c r="L45" s="41"/>
    </row>
    <row r="46" spans="2:12" ht="25.15" customHeight="1" x14ac:dyDescent="0.25">
      <c r="B46" s="41"/>
      <c r="C46" s="41"/>
      <c r="D46" s="41"/>
      <c r="E46" s="41"/>
      <c r="F46" s="41"/>
      <c r="G46" s="41"/>
      <c r="H46" s="51">
        <f t="shared" si="1"/>
        <v>220</v>
      </c>
      <c r="I46" s="50">
        <f t="shared" si="0"/>
        <v>1.0812154880391427</v>
      </c>
      <c r="J46" s="41"/>
      <c r="K46" s="41"/>
      <c r="L46" s="41"/>
    </row>
    <row r="47" spans="2:12" ht="25.15" customHeight="1" x14ac:dyDescent="0.25">
      <c r="B47" s="41"/>
      <c r="C47" s="41"/>
      <c r="D47" s="41"/>
      <c r="E47" s="41"/>
      <c r="F47" s="41"/>
      <c r="G47" s="41"/>
      <c r="H47" s="51">
        <f t="shared" si="1"/>
        <v>225</v>
      </c>
      <c r="I47" s="50">
        <f t="shared" si="0"/>
        <v>1.082386636579844</v>
      </c>
      <c r="J47" s="41"/>
      <c r="K47" s="41"/>
      <c r="L47" s="41"/>
    </row>
    <row r="48" spans="2:12" ht="25.15" customHeight="1" x14ac:dyDescent="0.25">
      <c r="B48" s="41"/>
      <c r="C48" s="41"/>
      <c r="D48" s="41"/>
      <c r="E48" s="41"/>
      <c r="F48" s="41"/>
      <c r="G48" s="41"/>
      <c r="H48" s="51">
        <f t="shared" si="1"/>
        <v>230</v>
      </c>
      <c r="I48" s="50">
        <f t="shared" si="0"/>
        <v>1.0835307622879164</v>
      </c>
      <c r="J48" s="41"/>
      <c r="K48" s="41"/>
      <c r="L48" s="41"/>
    </row>
    <row r="49" spans="2:12" ht="25.15" customHeight="1" x14ac:dyDescent="0.25">
      <c r="B49" s="41"/>
      <c r="C49" s="41"/>
      <c r="D49" s="41"/>
      <c r="E49" s="41"/>
      <c r="F49" s="41"/>
      <c r="G49" s="41"/>
      <c r="H49" s="51">
        <f t="shared" si="1"/>
        <v>235</v>
      </c>
      <c r="I49" s="50">
        <f t="shared" si="0"/>
        <v>1.0846490599046814</v>
      </c>
      <c r="J49" s="41"/>
      <c r="K49" s="41"/>
      <c r="L49" s="41"/>
    </row>
    <row r="50" spans="2:12" ht="25.15" customHeight="1" x14ac:dyDescent="0.25">
      <c r="B50" s="41"/>
      <c r="C50" s="41"/>
      <c r="D50" s="41"/>
      <c r="E50" s="41"/>
      <c r="F50" s="41"/>
      <c r="G50" s="41"/>
      <c r="H50" s="51">
        <f t="shared" si="1"/>
        <v>240</v>
      </c>
      <c r="I50" s="50">
        <f t="shared" si="0"/>
        <v>1.085742647202695</v>
      </c>
      <c r="J50" s="41"/>
      <c r="K50" s="41"/>
      <c r="L50" s="41"/>
    </row>
    <row r="51" spans="2:12" ht="25.15" customHeight="1" x14ac:dyDescent="0.25">
      <c r="B51" s="41"/>
      <c r="C51" s="41"/>
      <c r="D51" s="41"/>
      <c r="E51" s="41"/>
      <c r="F51" s="41"/>
      <c r="G51" s="41"/>
      <c r="H51" s="51">
        <f t="shared" si="1"/>
        <v>245</v>
      </c>
      <c r="I51" s="50">
        <f t="shared" si="0"/>
        <v>1.086812571434594</v>
      </c>
      <c r="J51" s="41"/>
      <c r="K51" s="41"/>
      <c r="L51" s="41"/>
    </row>
    <row r="52" spans="2:12" ht="25.15" customHeight="1" x14ac:dyDescent="0.25">
      <c r="B52" s="41"/>
      <c r="C52" s="41"/>
      <c r="D52" s="41"/>
      <c r="E52" s="41"/>
      <c r="F52" s="41"/>
      <c r="G52" s="41"/>
      <c r="H52" s="51">
        <f t="shared" si="1"/>
        <v>250</v>
      </c>
      <c r="I52" s="50">
        <f t="shared" si="0"/>
        <v>1.0878598151218681</v>
      </c>
      <c r="J52" s="41"/>
      <c r="K52" s="41"/>
      <c r="L52" s="41"/>
    </row>
    <row r="53" spans="2:12" ht="25.15" customHeight="1" x14ac:dyDescent="0.25">
      <c r="B53" s="41"/>
      <c r="C53" s="41"/>
      <c r="D53" s="41"/>
      <c r="E53" s="41"/>
      <c r="F53" s="41"/>
      <c r="G53" s="41"/>
      <c r="H53" s="51">
        <f t="shared" si="1"/>
        <v>255</v>
      </c>
      <c r="I53" s="50">
        <f t="shared" si="0"/>
        <v>1.0888853012628652</v>
      </c>
      <c r="J53" s="41"/>
      <c r="K53" s="41"/>
      <c r="L53" s="41"/>
    </row>
    <row r="54" spans="2:12" ht="25.15" customHeight="1" x14ac:dyDescent="0.25">
      <c r="B54" s="41"/>
      <c r="C54" s="41"/>
      <c r="D54" s="41"/>
      <c r="E54" s="41"/>
      <c r="F54" s="41"/>
      <c r="G54" s="41"/>
      <c r="H54" s="51">
        <f t="shared" si="1"/>
        <v>260</v>
      </c>
      <c r="I54" s="50">
        <f t="shared" si="0"/>
        <v>1.0898898980284994</v>
      </c>
      <c r="J54" s="41"/>
      <c r="K54" s="41"/>
      <c r="L54" s="41"/>
    </row>
    <row r="55" spans="2:12" ht="25.15" customHeight="1" x14ac:dyDescent="0.25">
      <c r="B55" s="41"/>
      <c r="C55" s="41"/>
      <c r="D55" s="41"/>
      <c r="E55" s="41"/>
      <c r="F55" s="41"/>
      <c r="G55" s="41"/>
      <c r="H55" s="51">
        <f t="shared" si="1"/>
        <v>265</v>
      </c>
      <c r="I55" s="50">
        <f t="shared" si="0"/>
        <v>1.0908744230048619</v>
      </c>
      <c r="J55" s="41"/>
      <c r="K55" s="41"/>
      <c r="L55" s="41"/>
    </row>
    <row r="56" spans="2:12" ht="25.15" customHeight="1" x14ac:dyDescent="0.25">
      <c r="B56" s="41"/>
      <c r="C56" s="41"/>
      <c r="D56" s="41"/>
      <c r="E56" s="41"/>
      <c r="F56" s="41"/>
      <c r="G56" s="41"/>
      <c r="H56" s="51">
        <f t="shared" si="1"/>
        <v>270</v>
      </c>
      <c r="I56" s="50">
        <f t="shared" si="0"/>
        <v>1.0918396470341369</v>
      </c>
      <c r="J56" s="41"/>
      <c r="K56" s="41"/>
      <c r="L56" s="41"/>
    </row>
    <row r="57" spans="2:12" ht="25.15" customHeight="1" x14ac:dyDescent="0.25">
      <c r="B57" s="41"/>
      <c r="C57" s="41"/>
      <c r="D57" s="41"/>
      <c r="E57" s="41"/>
      <c r="F57" s="41"/>
      <c r="G57" s="41"/>
      <c r="H57" s="51">
        <f t="shared" si="1"/>
        <v>275</v>
      </c>
      <c r="I57" s="50">
        <f t="shared" si="0"/>
        <v>1.0927862976985416</v>
      </c>
      <c r="J57" s="41"/>
      <c r="K57" s="41"/>
      <c r="L57" s="41"/>
    </row>
    <row r="58" spans="2:12" ht="25.15" customHeight="1" x14ac:dyDescent="0.25">
      <c r="B58" s="41"/>
      <c r="C58" s="41"/>
      <c r="D58" s="41"/>
      <c r="E58" s="41"/>
      <c r="F58" s="41"/>
      <c r="G58" s="41"/>
      <c r="H58" s="51">
        <f t="shared" si="1"/>
        <v>280</v>
      </c>
      <c r="I58" s="50">
        <f t="shared" si="0"/>
        <v>1.0937150624863372</v>
      </c>
      <c r="J58" s="41"/>
      <c r="K58" s="41"/>
      <c r="L58" s="41"/>
    </row>
    <row r="59" spans="2:12" ht="25.15" customHeight="1" x14ac:dyDescent="0.25">
      <c r="B59" s="41"/>
      <c r="C59" s="41"/>
      <c r="D59" s="41"/>
      <c r="E59" s="41"/>
      <c r="F59" s="41"/>
      <c r="G59" s="41"/>
      <c r="H59" s="51">
        <f t="shared" si="1"/>
        <v>285</v>
      </c>
      <c r="I59" s="50">
        <f t="shared" si="0"/>
        <v>1.0946265916740203</v>
      </c>
      <c r="J59" s="41"/>
      <c r="K59" s="41"/>
      <c r="L59" s="41"/>
    </row>
    <row r="60" spans="2:12" ht="25.15" customHeight="1" x14ac:dyDescent="0.25">
      <c r="B60" s="41"/>
      <c r="C60" s="41"/>
      <c r="D60" s="41"/>
      <c r="E60" s="41"/>
      <c r="F60" s="41"/>
      <c r="G60" s="41"/>
      <c r="H60" s="51">
        <f t="shared" si="1"/>
        <v>290</v>
      </c>
      <c r="I60" s="50">
        <f t="shared" si="0"/>
        <v>1.095521500954681</v>
      </c>
      <c r="J60" s="41"/>
      <c r="K60" s="41"/>
      <c r="L60" s="41"/>
    </row>
    <row r="61" spans="2:12" ht="25.15" customHeight="1" x14ac:dyDescent="0.25">
      <c r="B61" s="41"/>
      <c r="C61" s="41"/>
      <c r="D61" s="41"/>
      <c r="E61" s="41"/>
      <c r="F61" s="41"/>
      <c r="G61" s="41"/>
      <c r="H61" s="51">
        <f t="shared" si="1"/>
        <v>295</v>
      </c>
      <c r="I61" s="50">
        <f t="shared" si="0"/>
        <v>1.0964003738388195</v>
      </c>
      <c r="J61" s="41"/>
      <c r="K61" s="41"/>
      <c r="L61" s="41"/>
    </row>
    <row r="62" spans="2:12" ht="25.15" customHeight="1" x14ac:dyDescent="0.25">
      <c r="B62" s="41"/>
      <c r="C62" s="41"/>
      <c r="D62" s="41"/>
      <c r="E62" s="41"/>
      <c r="F62" s="41"/>
      <c r="G62" s="41"/>
      <c r="H62" s="51">
        <f t="shared" si="1"/>
        <v>300</v>
      </c>
      <c r="I62" s="50">
        <f t="shared" si="0"/>
        <v>1.0972637638508393</v>
      </c>
      <c r="J62" s="41"/>
      <c r="K62" s="41"/>
      <c r="L62" s="41"/>
    </row>
    <row r="63" spans="2:12" ht="25.15" customHeight="1" x14ac:dyDescent="0.25">
      <c r="B63" s="41"/>
      <c r="C63" s="41"/>
      <c r="D63" s="41"/>
      <c r="E63" s="41"/>
      <c r="F63" s="41"/>
      <c r="G63" s="41"/>
      <c r="H63" s="51">
        <f t="shared" si="1"/>
        <v>305</v>
      </c>
      <c r="I63" s="50">
        <f t="shared" si="0"/>
        <v>1.0981121965417078</v>
      </c>
      <c r="J63" s="41"/>
      <c r="K63" s="41"/>
      <c r="L63" s="41"/>
    </row>
    <row r="64" spans="2:12" ht="25.15" customHeight="1" x14ac:dyDescent="0.25">
      <c r="B64" s="41"/>
      <c r="C64" s="41"/>
      <c r="D64" s="41"/>
      <c r="E64" s="41"/>
      <c r="F64" s="41"/>
      <c r="G64" s="41"/>
      <c r="H64" s="51">
        <f t="shared" si="1"/>
        <v>310</v>
      </c>
      <c r="I64" s="50">
        <f t="shared" si="0"/>
        <v>1.0989461713358977</v>
      </c>
      <c r="J64" s="41"/>
      <c r="K64" s="41"/>
      <c r="L64" s="41"/>
    </row>
    <row r="65" spans="2:12" ht="25.15" customHeight="1" x14ac:dyDescent="0.25">
      <c r="B65" s="41"/>
      <c r="C65" s="41"/>
      <c r="D65" s="41"/>
      <c r="E65" s="41"/>
      <c r="F65" s="41"/>
      <c r="G65" s="41"/>
      <c r="H65" s="51">
        <f t="shared" si="1"/>
        <v>315</v>
      </c>
      <c r="I65" s="50">
        <f t="shared" si="0"/>
        <v>1.0997661632287137</v>
      </c>
      <c r="J65" s="41"/>
      <c r="K65" s="41"/>
      <c r="L65" s="41"/>
    </row>
    <row r="66" spans="2:12" ht="25.15" customHeight="1" x14ac:dyDescent="0.25">
      <c r="B66" s="41"/>
      <c r="C66" s="41"/>
      <c r="D66" s="41"/>
      <c r="E66" s="41"/>
      <c r="F66" s="41"/>
      <c r="G66" s="41"/>
      <c r="H66" s="51">
        <f t="shared" si="1"/>
        <v>320</v>
      </c>
      <c r="I66" s="50">
        <f t="shared" si="0"/>
        <v>1.1005726243482847</v>
      </c>
      <c r="J66" s="41"/>
      <c r="K66" s="41"/>
      <c r="L66" s="41"/>
    </row>
    <row r="67" spans="2:12" ht="25.15" customHeight="1" x14ac:dyDescent="0.25">
      <c r="B67" s="41"/>
      <c r="C67" s="41"/>
      <c r="D67" s="41"/>
      <c r="E67" s="41"/>
      <c r="F67" s="41"/>
      <c r="G67" s="41"/>
      <c r="H67" s="51">
        <f t="shared" si="1"/>
        <v>325</v>
      </c>
      <c r="I67" s="50">
        <f t="shared" si="0"/>
        <v>1.1013659853949533</v>
      </c>
      <c r="J67" s="41"/>
      <c r="K67" s="41"/>
      <c r="L67" s="41"/>
    </row>
    <row r="68" spans="2:12" ht="25.15" customHeight="1" x14ac:dyDescent="0.25">
      <c r="B68" s="41"/>
      <c r="C68" s="41"/>
      <c r="D68" s="41"/>
      <c r="E68" s="41"/>
      <c r="F68" s="41"/>
      <c r="G68" s="41"/>
      <c r="H68" s="51">
        <f t="shared" si="1"/>
        <v>330</v>
      </c>
      <c r="I68" s="50">
        <f t="shared" ref="I68:I101" si="2">0.75*(1-0.2*LN(-LN(1-1/H68)))^0.5</f>
        <v>1.1021466569694025</v>
      </c>
      <c r="J68" s="41"/>
      <c r="K68" s="41"/>
      <c r="L68" s="41"/>
    </row>
    <row r="69" spans="2:12" ht="25.15" customHeight="1" x14ac:dyDescent="0.25">
      <c r="B69" s="41"/>
      <c r="C69" s="41"/>
      <c r="D69" s="41"/>
      <c r="E69" s="41"/>
      <c r="F69" s="41"/>
      <c r="G69" s="41"/>
      <c r="H69" s="51">
        <f t="shared" ref="H69:H101" si="3">H68+5</f>
        <v>335</v>
      </c>
      <c r="I69" s="50">
        <f t="shared" si="2"/>
        <v>1.1029150307996933</v>
      </c>
      <c r="J69" s="41"/>
      <c r="K69" s="41"/>
      <c r="L69" s="41"/>
    </row>
    <row r="70" spans="2:12" ht="25.15" customHeight="1" x14ac:dyDescent="0.25">
      <c r="B70" s="41"/>
      <c r="C70" s="41"/>
      <c r="D70" s="41"/>
      <c r="E70" s="41"/>
      <c r="F70" s="41"/>
      <c r="G70" s="41"/>
      <c r="H70" s="51">
        <f t="shared" si="3"/>
        <v>340</v>
      </c>
      <c r="I70" s="50">
        <f t="shared" si="2"/>
        <v>1.1036714808762682</v>
      </c>
      <c r="J70" s="41"/>
      <c r="K70" s="41"/>
      <c r="L70" s="41"/>
    </row>
    <row r="71" spans="2:12" ht="25.15" customHeight="1" x14ac:dyDescent="0.25">
      <c r="B71" s="41"/>
      <c r="C71" s="41"/>
      <c r="D71" s="41"/>
      <c r="E71" s="41"/>
      <c r="F71" s="41"/>
      <c r="G71" s="41"/>
      <c r="H71" s="51">
        <f t="shared" si="3"/>
        <v>345</v>
      </c>
      <c r="I71" s="50">
        <f t="shared" si="2"/>
        <v>1.1044163645030824</v>
      </c>
      <c r="J71" s="41"/>
      <c r="K71" s="41"/>
      <c r="L71" s="41"/>
    </row>
    <row r="72" spans="2:12" ht="25.15" customHeight="1" x14ac:dyDescent="0.25">
      <c r="B72" s="41"/>
      <c r="C72" s="41"/>
      <c r="D72" s="41"/>
      <c r="E72" s="41"/>
      <c r="F72" s="41"/>
      <c r="G72" s="41"/>
      <c r="H72" s="51">
        <f t="shared" si="3"/>
        <v>350</v>
      </c>
      <c r="I72" s="50">
        <f t="shared" si="2"/>
        <v>1.1051500232721798</v>
      </c>
      <c r="J72" s="41"/>
      <c r="K72" s="41"/>
      <c r="L72" s="41"/>
    </row>
    <row r="73" spans="2:12" ht="25.15" customHeight="1" x14ac:dyDescent="0.25">
      <c r="B73" s="41"/>
      <c r="C73" s="41"/>
      <c r="D73" s="41"/>
      <c r="E73" s="41"/>
      <c r="F73" s="41"/>
      <c r="G73" s="41"/>
      <c r="H73" s="51">
        <f t="shared" si="3"/>
        <v>355</v>
      </c>
      <c r="I73" s="50">
        <f t="shared" si="2"/>
        <v>1.105872783968306</v>
      </c>
      <c r="J73" s="41"/>
      <c r="K73" s="41"/>
      <c r="L73" s="41"/>
    </row>
    <row r="74" spans="2:12" ht="25.15" customHeight="1" x14ac:dyDescent="0.25">
      <c r="B74" s="41"/>
      <c r="C74" s="41"/>
      <c r="D74" s="41"/>
      <c r="E74" s="41"/>
      <c r="F74" s="41"/>
      <c r="G74" s="41"/>
      <c r="H74" s="51">
        <f t="shared" si="3"/>
        <v>360</v>
      </c>
      <c r="I74" s="50">
        <f t="shared" si="2"/>
        <v>1.1065849594094628</v>
      </c>
      <c r="J74" s="41"/>
      <c r="K74" s="41"/>
      <c r="L74" s="41"/>
    </row>
    <row r="75" spans="2:12" ht="25.15" customHeight="1" x14ac:dyDescent="0.25">
      <c r="B75" s="41"/>
      <c r="C75" s="41"/>
      <c r="D75" s="41"/>
      <c r="E75" s="41"/>
      <c r="F75" s="41"/>
      <c r="G75" s="41"/>
      <c r="H75" s="51">
        <f t="shared" si="3"/>
        <v>365</v>
      </c>
      <c r="I75" s="50">
        <f t="shared" si="2"/>
        <v>1.1072868492288062</v>
      </c>
      <c r="J75" s="41"/>
      <c r="K75" s="41"/>
      <c r="L75" s="41"/>
    </row>
    <row r="76" spans="2:12" ht="25.15" customHeight="1" x14ac:dyDescent="0.25">
      <c r="B76" s="41"/>
      <c r="C76" s="41"/>
      <c r="D76" s="41"/>
      <c r="E76" s="41"/>
      <c r="F76" s="41"/>
      <c r="G76" s="41"/>
      <c r="H76" s="51">
        <f t="shared" si="3"/>
        <v>370</v>
      </c>
      <c r="I76" s="50">
        <f t="shared" si="2"/>
        <v>1.1079787406026906</v>
      </c>
      <c r="J76" s="41"/>
      <c r="K76" s="41"/>
      <c r="L76" s="41"/>
    </row>
    <row r="77" spans="2:12" ht="25.15" customHeight="1" x14ac:dyDescent="0.25">
      <c r="B77" s="41"/>
      <c r="C77" s="41"/>
      <c r="D77" s="41"/>
      <c r="E77" s="41"/>
      <c r="F77" s="41"/>
      <c r="G77" s="41"/>
      <c r="H77" s="51">
        <f t="shared" si="3"/>
        <v>375</v>
      </c>
      <c r="I77" s="50">
        <f t="shared" si="2"/>
        <v>1.1086609089292538</v>
      </c>
      <c r="J77" s="41"/>
      <c r="K77" s="41"/>
      <c r="L77" s="41"/>
    </row>
    <row r="78" spans="2:12" ht="25.15" customHeight="1" x14ac:dyDescent="0.25">
      <c r="B78" s="41"/>
      <c r="C78" s="41"/>
      <c r="D78" s="41"/>
      <c r="E78" s="41"/>
      <c r="F78" s="41"/>
      <c r="G78" s="41"/>
      <c r="H78" s="51">
        <f t="shared" si="3"/>
        <v>380</v>
      </c>
      <c r="I78" s="50">
        <f t="shared" si="2"/>
        <v>1.1093336184615306</v>
      </c>
      <c r="J78" s="41"/>
      <c r="K78" s="41"/>
      <c r="L78" s="41"/>
    </row>
    <row r="79" spans="2:12" ht="25.15" customHeight="1" x14ac:dyDescent="0.25">
      <c r="B79" s="41"/>
      <c r="C79" s="41"/>
      <c r="D79" s="41"/>
      <c r="E79" s="41"/>
      <c r="F79" s="41"/>
      <c r="G79" s="41"/>
      <c r="H79" s="51">
        <f t="shared" si="3"/>
        <v>385</v>
      </c>
      <c r="I79" s="50">
        <f t="shared" si="2"/>
        <v>1.1099971228986598</v>
      </c>
      <c r="J79" s="41"/>
      <c r="K79" s="41"/>
      <c r="L79" s="41"/>
    </row>
    <row r="80" spans="2:12" ht="25.15" customHeight="1" x14ac:dyDescent="0.25">
      <c r="B80" s="41"/>
      <c r="C80" s="41"/>
      <c r="D80" s="41"/>
      <c r="E80" s="41"/>
      <c r="F80" s="41"/>
      <c r="G80" s="41"/>
      <c r="H80" s="51">
        <f t="shared" si="3"/>
        <v>390</v>
      </c>
      <c r="I80" s="50">
        <f t="shared" si="2"/>
        <v>1.1106516659385122</v>
      </c>
      <c r="J80" s="41"/>
      <c r="K80" s="41"/>
      <c r="L80" s="41"/>
    </row>
    <row r="81" spans="2:12" ht="25.15" customHeight="1" x14ac:dyDescent="0.25">
      <c r="B81" s="41"/>
      <c r="C81" s="41"/>
      <c r="D81" s="41"/>
      <c r="E81" s="41"/>
      <c r="F81" s="41"/>
      <c r="G81" s="41"/>
      <c r="H81" s="51">
        <f t="shared" si="3"/>
        <v>395</v>
      </c>
      <c r="I81" s="50">
        <f t="shared" si="2"/>
        <v>1.1112974817946781</v>
      </c>
      <c r="J81" s="41"/>
      <c r="K81" s="41"/>
      <c r="L81" s="41"/>
    </row>
    <row r="82" spans="2:12" ht="25.15" customHeight="1" x14ac:dyDescent="0.25">
      <c r="B82" s="41"/>
      <c r="C82" s="41"/>
      <c r="D82" s="41"/>
      <c r="E82" s="41"/>
      <c r="F82" s="41"/>
      <c r="G82" s="41"/>
      <c r="H82" s="51">
        <f t="shared" si="3"/>
        <v>400</v>
      </c>
      <c r="I82" s="50">
        <f t="shared" si="2"/>
        <v>1.1119347956805583</v>
      </c>
      <c r="J82" s="41"/>
      <c r="K82" s="41"/>
      <c r="L82" s="41"/>
    </row>
    <row r="83" spans="2:12" ht="25.15" customHeight="1" x14ac:dyDescent="0.25">
      <c r="B83" s="41"/>
      <c r="C83" s="41"/>
      <c r="D83" s="41"/>
      <c r="E83" s="41"/>
      <c r="F83" s="41"/>
      <c r="G83" s="41"/>
      <c r="H83" s="51">
        <f t="shared" si="3"/>
        <v>405</v>
      </c>
      <c r="I83" s="50">
        <f t="shared" si="2"/>
        <v>1.1125638242630134</v>
      </c>
      <c r="J83" s="41"/>
      <c r="K83" s="41"/>
      <c r="L83" s="41"/>
    </row>
    <row r="84" spans="2:12" ht="25.15" customHeight="1" x14ac:dyDescent="0.25">
      <c r="B84" s="41"/>
      <c r="C84" s="41"/>
      <c r="D84" s="41"/>
      <c r="E84" s="41"/>
      <c r="F84" s="41"/>
      <c r="G84" s="41"/>
      <c r="H84" s="51">
        <f t="shared" si="3"/>
        <v>410</v>
      </c>
      <c r="I84" s="50">
        <f t="shared" si="2"/>
        <v>1.1131847760878655</v>
      </c>
      <c r="J84" s="41"/>
      <c r="K84" s="41"/>
      <c r="L84" s="41"/>
    </row>
    <row r="85" spans="2:12" ht="25.15" customHeight="1" x14ac:dyDescent="0.25">
      <c r="B85" s="41"/>
      <c r="C85" s="41"/>
      <c r="D85" s="41"/>
      <c r="E85" s="41"/>
      <c r="F85" s="41"/>
      <c r="G85" s="41"/>
      <c r="H85" s="51">
        <f t="shared" si="3"/>
        <v>415</v>
      </c>
      <c r="I85" s="50">
        <f t="shared" si="2"/>
        <v>1.1137978519792913</v>
      </c>
      <c r="J85" s="41"/>
      <c r="K85" s="41"/>
      <c r="L85" s="41"/>
    </row>
    <row r="86" spans="2:12" ht="25.15" customHeight="1" x14ac:dyDescent="0.25">
      <c r="B86" s="41"/>
      <c r="C86" s="41"/>
      <c r="D86" s="41"/>
      <c r="E86" s="41"/>
      <c r="F86" s="41"/>
      <c r="G86" s="41"/>
      <c r="H86" s="51">
        <f t="shared" si="3"/>
        <v>420</v>
      </c>
      <c r="I86" s="50">
        <f t="shared" si="2"/>
        <v>1.1144032454150117</v>
      </c>
      <c r="J86" s="41"/>
      <c r="K86" s="41"/>
      <c r="L86" s="41"/>
    </row>
    <row r="87" spans="2:12" ht="25.15" customHeight="1" x14ac:dyDescent="0.25">
      <c r="B87" s="41"/>
      <c r="C87" s="41"/>
      <c r="D87" s="41"/>
      <c r="E87" s="41"/>
      <c r="F87" s="41"/>
      <c r="G87" s="41"/>
      <c r="H87" s="51">
        <f t="shared" si="3"/>
        <v>425</v>
      </c>
      <c r="I87" s="50">
        <f t="shared" si="2"/>
        <v>1.1150011428790321</v>
      </c>
      <c r="J87" s="41"/>
      <c r="K87" s="41"/>
      <c r="L87" s="41"/>
    </row>
    <row r="88" spans="2:12" ht="25.15" customHeight="1" x14ac:dyDescent="0.25">
      <c r="B88" s="41"/>
      <c r="C88" s="41"/>
      <c r="D88" s="41"/>
      <c r="E88" s="41"/>
      <c r="F88" s="41"/>
      <c r="G88" s="41"/>
      <c r="H88" s="51">
        <f t="shared" si="3"/>
        <v>430</v>
      </c>
      <c r="I88" s="50">
        <f t="shared" si="2"/>
        <v>1.1155917241934883</v>
      </c>
      <c r="J88" s="41"/>
      <c r="K88" s="41"/>
      <c r="L88" s="41"/>
    </row>
    <row r="89" spans="2:12" ht="25.15" customHeight="1" x14ac:dyDescent="0.25">
      <c r="B89" s="41"/>
      <c r="C89" s="41"/>
      <c r="D89" s="41"/>
      <c r="E89" s="41"/>
      <c r="F89" s="41"/>
      <c r="G89" s="41"/>
      <c r="H89" s="51">
        <f t="shared" si="3"/>
        <v>435</v>
      </c>
      <c r="I89" s="50">
        <f t="shared" si="2"/>
        <v>1.1161751628311067</v>
      </c>
      <c r="J89" s="41"/>
      <c r="K89" s="41"/>
      <c r="L89" s="41"/>
    </row>
    <row r="90" spans="2:12" ht="25.15" customHeight="1" x14ac:dyDescent="0.25">
      <c r="B90" s="41"/>
      <c r="C90" s="41"/>
      <c r="D90" s="41"/>
      <c r="E90" s="41"/>
      <c r="F90" s="41"/>
      <c r="G90" s="41"/>
      <c r="H90" s="51">
        <f t="shared" si="3"/>
        <v>440</v>
      </c>
      <c r="I90" s="50">
        <f t="shared" si="2"/>
        <v>1.1167516262095742</v>
      </c>
      <c r="J90" s="41"/>
      <c r="K90" s="41"/>
      <c r="L90" s="41"/>
    </row>
    <row r="91" spans="2:12" ht="25.15" customHeight="1" x14ac:dyDescent="0.25">
      <c r="B91" s="41"/>
      <c r="C91" s="41"/>
      <c r="D91" s="41"/>
      <c r="E91" s="41"/>
      <c r="F91" s="41"/>
      <c r="G91" s="41"/>
      <c r="H91" s="51">
        <f t="shared" si="3"/>
        <v>445</v>
      </c>
      <c r="I91" s="50">
        <f t="shared" si="2"/>
        <v>1.1173212759691014</v>
      </c>
      <c r="J91" s="41"/>
      <c r="K91" s="41"/>
      <c r="L91" s="41"/>
    </row>
    <row r="92" spans="2:12" ht="25.15" customHeight="1" x14ac:dyDescent="0.25">
      <c r="B92" s="41"/>
      <c r="C92" s="41"/>
      <c r="D92" s="41"/>
      <c r="E92" s="41"/>
      <c r="F92" s="41"/>
      <c r="G92" s="41"/>
      <c r="H92" s="51">
        <f t="shared" si="3"/>
        <v>450</v>
      </c>
      <c r="I92" s="50">
        <f t="shared" si="2"/>
        <v>1.1178842682342789</v>
      </c>
      <c r="J92" s="41"/>
      <c r="K92" s="41"/>
      <c r="L92" s="41"/>
    </row>
    <row r="93" spans="2:12" ht="25.15" customHeight="1" x14ac:dyDescent="0.25">
      <c r="B93" s="41"/>
      <c r="C93" s="41"/>
      <c r="D93" s="41"/>
      <c r="E93" s="41"/>
      <c r="F93" s="41"/>
      <c r="G93" s="41"/>
      <c r="H93" s="51">
        <f t="shared" si="3"/>
        <v>455</v>
      </c>
      <c r="I93" s="50">
        <f t="shared" si="2"/>
        <v>1.1184407538613177</v>
      </c>
      <c r="J93" s="41"/>
      <c r="K93" s="41"/>
      <c r="L93" s="41"/>
    </row>
    <row r="94" spans="2:12" ht="25.15" customHeight="1" x14ac:dyDescent="0.25">
      <c r="B94" s="41"/>
      <c r="C94" s="41"/>
      <c r="D94" s="41"/>
      <c r="E94" s="41"/>
      <c r="F94" s="41"/>
      <c r="G94" s="41"/>
      <c r="H94" s="51">
        <f t="shared" si="3"/>
        <v>460</v>
      </c>
      <c r="I94" s="50">
        <f t="shared" si="2"/>
        <v>1.118990878671597</v>
      </c>
      <c r="J94" s="41"/>
      <c r="K94" s="41"/>
      <c r="L94" s="41"/>
    </row>
    <row r="95" spans="2:12" ht="25.15" customHeight="1" x14ac:dyDescent="0.25">
      <c r="B95" s="41"/>
      <c r="C95" s="41"/>
      <c r="D95" s="41"/>
      <c r="E95" s="41"/>
      <c r="F95" s="41"/>
      <c r="G95" s="41"/>
      <c r="H95" s="51">
        <f t="shared" si="3"/>
        <v>465</v>
      </c>
      <c r="I95" s="50">
        <f t="shared" si="2"/>
        <v>1.1195347836724561</v>
      </c>
      <c r="J95" s="41"/>
      <c r="K95" s="41"/>
      <c r="L95" s="41"/>
    </row>
    <row r="96" spans="2:12" ht="25.15" customHeight="1" x14ac:dyDescent="0.25">
      <c r="B96" s="41"/>
      <c r="C96" s="41"/>
      <c r="D96" s="41"/>
      <c r="E96" s="41"/>
      <c r="F96" s="41"/>
      <c r="G96" s="41"/>
      <c r="H96" s="51">
        <f t="shared" si="3"/>
        <v>470</v>
      </c>
      <c r="I96" s="50">
        <f t="shared" si="2"/>
        <v>1.1200726052660412</v>
      </c>
      <c r="J96" s="41"/>
      <c r="K96" s="41"/>
      <c r="L96" s="41"/>
    </row>
    <row r="97" spans="2:12" ht="25.15" customHeight="1" x14ac:dyDescent="0.25">
      <c r="B97" s="41"/>
      <c r="C97" s="41"/>
      <c r="D97" s="41"/>
      <c r="E97" s="41"/>
      <c r="F97" s="41"/>
      <c r="G97" s="41"/>
      <c r="H97" s="51">
        <f t="shared" si="3"/>
        <v>475</v>
      </c>
      <c r="I97" s="50">
        <f t="shared" si="2"/>
        <v>1.120604475446954</v>
      </c>
      <c r="J97" s="41"/>
      <c r="K97" s="41"/>
      <c r="L97" s="41"/>
    </row>
    <row r="98" spans="2:12" ht="25.15" customHeight="1" x14ac:dyDescent="0.25">
      <c r="B98" s="41"/>
      <c r="C98" s="41"/>
      <c r="D98" s="41"/>
      <c r="E98" s="41"/>
      <c r="F98" s="41"/>
      <c r="G98" s="41"/>
      <c r="H98" s="51">
        <f t="shared" si="3"/>
        <v>480</v>
      </c>
      <c r="I98" s="50">
        <f t="shared" si="2"/>
        <v>1.1211305219894632</v>
      </c>
      <c r="J98" s="41"/>
      <c r="K98" s="41"/>
      <c r="L98" s="41"/>
    </row>
    <row r="99" spans="2:12" ht="25.15" customHeight="1" x14ac:dyDescent="0.25">
      <c r="B99" s="41"/>
      <c r="C99" s="41"/>
      <c r="D99" s="41"/>
      <c r="E99" s="41"/>
      <c r="F99" s="41"/>
      <c r="G99" s="41"/>
      <c r="H99" s="51">
        <f t="shared" si="3"/>
        <v>485</v>
      </c>
      <c r="I99" s="50">
        <f t="shared" si="2"/>
        <v>1.1216508686248758</v>
      </c>
      <c r="J99" s="41"/>
      <c r="K99" s="41"/>
      <c r="L99" s="41"/>
    </row>
    <row r="100" spans="2:12" ht="25.15" customHeight="1" x14ac:dyDescent="0.25">
      <c r="B100" s="41"/>
      <c r="C100" s="41"/>
      <c r="D100" s="41"/>
      <c r="E100" s="41"/>
      <c r="F100" s="41"/>
      <c r="G100" s="41"/>
      <c r="H100" s="51">
        <f t="shared" si="3"/>
        <v>490</v>
      </c>
      <c r="I100" s="50">
        <f t="shared" si="2"/>
        <v>1.1221656352097182</v>
      </c>
      <c r="J100" s="41"/>
      <c r="K100" s="41"/>
      <c r="L100" s="41"/>
    </row>
    <row r="101" spans="2:12" ht="25.15" customHeight="1" x14ac:dyDescent="0.25">
      <c r="B101" s="41"/>
      <c r="C101" s="41"/>
      <c r="D101" s="41"/>
      <c r="E101" s="41"/>
      <c r="F101" s="41"/>
      <c r="G101" s="41"/>
      <c r="H101" s="51">
        <f t="shared" si="3"/>
        <v>495</v>
      </c>
      <c r="I101" s="50">
        <f t="shared" si="2"/>
        <v>1.1226749378852849</v>
      </c>
      <c r="J101" s="41"/>
      <c r="K101" s="41"/>
      <c r="L101" s="41"/>
    </row>
    <row r="102" spans="2:12" ht="25.15" customHeight="1" x14ac:dyDescent="0.25">
      <c r="B102" s="41"/>
      <c r="C102" s="41"/>
      <c r="D102" s="41"/>
      <c r="E102" s="41"/>
      <c r="F102" s="41"/>
      <c r="G102" s="41"/>
      <c r="H102" s="45"/>
      <c r="I102" s="45"/>
      <c r="J102" s="41"/>
      <c r="K102" s="41"/>
      <c r="L102" s="41"/>
    </row>
    <row r="103" spans="2:12" ht="25.15" customHeight="1" x14ac:dyDescent="0.25">
      <c r="B103" s="41"/>
      <c r="C103" s="41"/>
      <c r="D103" s="41"/>
      <c r="E103" s="41"/>
      <c r="F103" s="41"/>
      <c r="G103" s="41"/>
      <c r="H103" s="45"/>
      <c r="I103" s="45"/>
      <c r="J103" s="41"/>
      <c r="K103" s="41"/>
      <c r="L103" s="41"/>
    </row>
    <row r="104" spans="2:12" ht="25.15" customHeight="1" x14ac:dyDescent="0.25">
      <c r="B104" s="41"/>
      <c r="C104" s="41"/>
      <c r="D104" s="41"/>
      <c r="E104" s="41"/>
      <c r="F104" s="41"/>
      <c r="G104" s="41"/>
      <c r="H104" s="45"/>
      <c r="I104" s="45"/>
      <c r="J104" s="41"/>
      <c r="K104" s="41"/>
      <c r="L104" s="41"/>
    </row>
    <row r="105" spans="2:12" ht="25.15" customHeight="1" x14ac:dyDescent="0.25">
      <c r="B105" s="41"/>
      <c r="C105" s="41"/>
      <c r="D105" s="41"/>
      <c r="E105" s="41"/>
      <c r="F105" s="41"/>
      <c r="G105" s="41"/>
      <c r="H105" s="45"/>
      <c r="I105" s="45"/>
      <c r="J105" s="41"/>
      <c r="K105" s="41"/>
      <c r="L105" s="41"/>
    </row>
    <row r="106" spans="2:12" ht="25.15" customHeight="1" x14ac:dyDescent="0.25">
      <c r="B106" s="41"/>
      <c r="C106" s="41"/>
      <c r="D106" s="41"/>
      <c r="E106" s="41"/>
      <c r="F106" s="41"/>
      <c r="G106" s="41"/>
      <c r="H106" s="45"/>
      <c r="I106" s="45"/>
      <c r="J106" s="41"/>
      <c r="K106" s="41"/>
      <c r="L106" s="41"/>
    </row>
    <row r="107" spans="2:12" ht="25.15" customHeight="1" x14ac:dyDescent="0.25">
      <c r="B107" s="41"/>
      <c r="C107" s="41"/>
      <c r="D107" s="41"/>
      <c r="E107" s="41"/>
      <c r="F107" s="41"/>
      <c r="G107" s="41"/>
      <c r="H107" s="45"/>
      <c r="I107" s="45"/>
      <c r="J107" s="41"/>
      <c r="K107" s="41"/>
      <c r="L107" s="41"/>
    </row>
    <row r="108" spans="2:12" ht="25.15" customHeight="1" x14ac:dyDescent="0.25">
      <c r="B108" s="41"/>
      <c r="C108" s="41"/>
      <c r="D108" s="41"/>
      <c r="E108" s="41"/>
      <c r="F108" s="41"/>
      <c r="G108" s="41"/>
      <c r="H108" s="45"/>
      <c r="I108" s="45"/>
      <c r="J108" s="41"/>
      <c r="K108" s="41"/>
      <c r="L108" s="41"/>
    </row>
    <row r="109" spans="2:12" ht="25.15" customHeight="1" x14ac:dyDescent="0.25">
      <c r="B109" s="41"/>
      <c r="C109" s="41"/>
      <c r="D109" s="41"/>
      <c r="E109" s="41"/>
      <c r="F109" s="41"/>
      <c r="G109" s="41"/>
      <c r="H109" s="45"/>
      <c r="I109" s="45"/>
      <c r="J109" s="41"/>
      <c r="K109" s="41"/>
      <c r="L109" s="41"/>
    </row>
    <row r="110" spans="2:12" ht="25.15" customHeight="1" x14ac:dyDescent="0.25">
      <c r="B110" s="41"/>
      <c r="C110" s="41"/>
      <c r="D110" s="41"/>
      <c r="E110" s="41"/>
      <c r="F110" s="41"/>
      <c r="G110" s="41"/>
      <c r="H110" s="45"/>
      <c r="I110" s="45"/>
      <c r="J110" s="41"/>
      <c r="K110" s="41"/>
      <c r="L110" s="41"/>
    </row>
    <row r="111" spans="2:12" ht="25.15" customHeight="1" x14ac:dyDescent="0.25">
      <c r="B111" s="41"/>
      <c r="C111" s="41"/>
      <c r="D111" s="41"/>
      <c r="E111" s="41"/>
      <c r="F111" s="41"/>
      <c r="G111" s="41"/>
      <c r="H111" s="45"/>
      <c r="I111" s="45"/>
      <c r="J111" s="41"/>
      <c r="K111" s="41"/>
      <c r="L111" s="41"/>
    </row>
    <row r="112" spans="2:12" ht="25.15" customHeight="1" x14ac:dyDescent="0.25">
      <c r="B112" s="41"/>
      <c r="C112" s="41"/>
      <c r="D112" s="41"/>
      <c r="E112" s="41"/>
      <c r="F112" s="41"/>
      <c r="G112" s="41"/>
      <c r="H112" s="45"/>
      <c r="I112" s="45"/>
      <c r="J112" s="41"/>
      <c r="K112" s="41"/>
      <c r="L112" s="41"/>
    </row>
    <row r="113" spans="2:12" ht="25.15" customHeight="1" x14ac:dyDescent="0.25">
      <c r="B113" s="41"/>
      <c r="C113" s="41"/>
      <c r="D113" s="41"/>
      <c r="E113" s="41"/>
      <c r="F113" s="41"/>
      <c r="G113" s="41"/>
      <c r="H113" s="45"/>
      <c r="I113" s="45"/>
      <c r="J113" s="41"/>
      <c r="K113" s="41"/>
      <c r="L113" s="41"/>
    </row>
    <row r="114" spans="2:12" ht="25.15" customHeight="1" x14ac:dyDescent="0.25">
      <c r="B114" s="41"/>
      <c r="C114" s="41"/>
      <c r="D114" s="41"/>
      <c r="E114" s="41"/>
      <c r="F114" s="41"/>
      <c r="G114" s="41"/>
      <c r="H114" s="45"/>
      <c r="I114" s="45"/>
      <c r="J114" s="41"/>
      <c r="K114" s="41"/>
      <c r="L114" s="41"/>
    </row>
    <row r="115" spans="2:12" ht="25.15" customHeight="1" x14ac:dyDescent="0.25">
      <c r="B115" s="41"/>
      <c r="C115" s="41"/>
      <c r="D115" s="41"/>
      <c r="E115" s="41"/>
      <c r="F115" s="41"/>
      <c r="G115" s="41"/>
      <c r="H115" s="45"/>
      <c r="I115" s="45"/>
      <c r="J115" s="41"/>
      <c r="K115" s="41"/>
      <c r="L115" s="41"/>
    </row>
    <row r="116" spans="2:12" ht="25.15" customHeight="1" x14ac:dyDescent="0.25">
      <c r="B116" s="41"/>
      <c r="C116" s="41"/>
      <c r="D116" s="41"/>
      <c r="E116" s="41"/>
      <c r="F116" s="41"/>
      <c r="G116" s="41"/>
      <c r="H116" s="45"/>
      <c r="I116" s="45"/>
      <c r="J116" s="41"/>
      <c r="K116" s="41"/>
      <c r="L116" s="41"/>
    </row>
    <row r="117" spans="2:12" ht="25.15" customHeight="1" x14ac:dyDescent="0.25">
      <c r="B117" s="41"/>
      <c r="C117" s="41"/>
      <c r="D117" s="41"/>
      <c r="E117" s="41"/>
      <c r="F117" s="41"/>
      <c r="G117" s="41"/>
      <c r="H117" s="45"/>
      <c r="I117" s="45"/>
      <c r="J117" s="41"/>
      <c r="K117" s="41"/>
      <c r="L117" s="41"/>
    </row>
    <row r="118" spans="2:12" ht="25.15" customHeight="1" x14ac:dyDescent="0.25">
      <c r="B118" s="41"/>
      <c r="C118" s="41"/>
      <c r="D118" s="41"/>
      <c r="E118" s="41"/>
      <c r="F118" s="41"/>
      <c r="G118" s="41"/>
      <c r="H118" s="45"/>
      <c r="I118" s="45"/>
      <c r="J118" s="41"/>
      <c r="K118" s="41"/>
      <c r="L118" s="41"/>
    </row>
    <row r="119" spans="2:12" ht="25.15" customHeight="1" x14ac:dyDescent="0.25">
      <c r="B119" s="41"/>
      <c r="C119" s="41"/>
      <c r="D119" s="41"/>
      <c r="E119" s="41"/>
      <c r="F119" s="41"/>
      <c r="G119" s="41"/>
      <c r="H119" s="45"/>
      <c r="I119" s="45"/>
      <c r="J119" s="41"/>
      <c r="K119" s="41"/>
      <c r="L119" s="41"/>
    </row>
    <row r="120" spans="2:12" ht="25.15" customHeight="1" x14ac:dyDescent="0.25">
      <c r="B120" s="41"/>
      <c r="C120" s="41"/>
      <c r="D120" s="41"/>
      <c r="E120" s="41"/>
      <c r="F120" s="41"/>
      <c r="G120" s="41"/>
      <c r="H120" s="45"/>
      <c r="I120" s="45"/>
      <c r="J120" s="41"/>
      <c r="K120" s="41"/>
      <c r="L120" s="41"/>
    </row>
    <row r="121" spans="2:12" ht="25.15" customHeight="1" x14ac:dyDescent="0.25">
      <c r="B121" s="41"/>
      <c r="C121" s="41"/>
      <c r="D121" s="41"/>
      <c r="E121" s="41"/>
      <c r="F121" s="41"/>
      <c r="G121" s="41"/>
      <c r="H121" s="45"/>
      <c r="I121" s="45"/>
      <c r="J121" s="41"/>
      <c r="K121" s="41"/>
      <c r="L121" s="41"/>
    </row>
    <row r="122" spans="2:12" ht="25.15" customHeight="1" x14ac:dyDescent="0.25">
      <c r="B122" s="41"/>
      <c r="C122" s="41"/>
      <c r="D122" s="41"/>
      <c r="E122" s="41"/>
      <c r="F122" s="41"/>
      <c r="G122" s="41"/>
      <c r="H122" s="45"/>
      <c r="I122" s="45"/>
      <c r="J122" s="41"/>
      <c r="K122" s="41"/>
      <c r="L122" s="41"/>
    </row>
    <row r="123" spans="2:12" ht="25.15" customHeight="1" x14ac:dyDescent="0.25">
      <c r="B123" s="41"/>
      <c r="C123" s="41"/>
      <c r="D123" s="41"/>
      <c r="E123" s="41"/>
      <c r="F123" s="41"/>
      <c r="G123" s="41"/>
      <c r="H123" s="45"/>
      <c r="I123" s="45"/>
      <c r="J123" s="41"/>
      <c r="K123" s="41"/>
      <c r="L123" s="41"/>
    </row>
    <row r="124" spans="2:12" ht="25.15" customHeight="1" x14ac:dyDescent="0.25">
      <c r="B124" s="41"/>
      <c r="C124" s="41"/>
      <c r="D124" s="41"/>
      <c r="E124" s="41"/>
      <c r="F124" s="41"/>
      <c r="G124" s="41"/>
      <c r="H124" s="45"/>
      <c r="I124" s="45"/>
      <c r="J124" s="41"/>
      <c r="K124" s="41"/>
      <c r="L124" s="41"/>
    </row>
    <row r="125" spans="2:12" ht="25.15" customHeight="1" x14ac:dyDescent="0.25">
      <c r="B125" s="41"/>
      <c r="C125" s="41"/>
      <c r="D125" s="41"/>
      <c r="E125" s="41"/>
      <c r="F125" s="41"/>
      <c r="G125" s="41"/>
      <c r="H125" s="45"/>
      <c r="I125" s="45"/>
      <c r="J125" s="41"/>
      <c r="K125" s="41"/>
      <c r="L125" s="41"/>
    </row>
    <row r="126" spans="2:12" ht="25.15" customHeight="1" x14ac:dyDescent="0.25">
      <c r="B126" s="41"/>
      <c r="C126" s="41"/>
      <c r="D126" s="41"/>
      <c r="E126" s="41"/>
      <c r="F126" s="41"/>
      <c r="G126" s="41"/>
      <c r="H126" s="45"/>
      <c r="I126" s="45"/>
      <c r="J126" s="41"/>
      <c r="K126" s="41"/>
      <c r="L126" s="41"/>
    </row>
    <row r="127" spans="2:12" ht="25.15" customHeight="1" x14ac:dyDescent="0.25">
      <c r="B127" s="41"/>
      <c r="C127" s="41"/>
      <c r="D127" s="41"/>
      <c r="E127" s="41"/>
      <c r="F127" s="41"/>
      <c r="G127" s="41"/>
      <c r="H127" s="45"/>
      <c r="I127" s="45"/>
      <c r="J127" s="41"/>
      <c r="K127" s="41"/>
      <c r="L127" s="41"/>
    </row>
    <row r="128" spans="2:12" ht="25.15" customHeight="1" x14ac:dyDescent="0.25">
      <c r="B128" s="41"/>
      <c r="C128" s="41"/>
      <c r="D128" s="41"/>
      <c r="E128" s="41"/>
      <c r="F128" s="41"/>
      <c r="G128" s="41"/>
      <c r="H128" s="45"/>
      <c r="I128" s="45"/>
      <c r="J128" s="41"/>
      <c r="K128" s="41"/>
      <c r="L128" s="41"/>
    </row>
    <row r="129" spans="2:12" ht="25.15" customHeight="1" x14ac:dyDescent="0.25">
      <c r="B129" s="41"/>
      <c r="C129" s="41"/>
      <c r="D129" s="41"/>
      <c r="E129" s="41"/>
      <c r="F129" s="41"/>
      <c r="G129" s="41"/>
      <c r="H129" s="45"/>
      <c r="I129" s="45"/>
      <c r="J129" s="41"/>
      <c r="K129" s="41"/>
      <c r="L129" s="41"/>
    </row>
    <row r="130" spans="2:12" ht="25.15" customHeight="1" x14ac:dyDescent="0.25">
      <c r="B130" s="41"/>
      <c r="C130" s="41"/>
      <c r="D130" s="41"/>
      <c r="E130" s="41"/>
      <c r="F130" s="41"/>
      <c r="G130" s="41"/>
      <c r="H130" s="45"/>
      <c r="I130" s="45"/>
      <c r="J130" s="41"/>
      <c r="K130" s="41"/>
      <c r="L130" s="41"/>
    </row>
    <row r="131" spans="2:12" ht="25.15" customHeight="1" x14ac:dyDescent="0.25">
      <c r="B131" s="41"/>
      <c r="C131" s="41"/>
      <c r="D131" s="41"/>
      <c r="E131" s="41"/>
      <c r="F131" s="41"/>
      <c r="G131" s="41"/>
      <c r="H131" s="45"/>
      <c r="I131" s="45"/>
      <c r="J131" s="41"/>
      <c r="K131" s="41"/>
      <c r="L131" s="41"/>
    </row>
    <row r="132" spans="2:12" ht="25.15" customHeight="1" x14ac:dyDescent="0.25">
      <c r="B132" s="41"/>
      <c r="C132" s="41"/>
      <c r="D132" s="41"/>
      <c r="E132" s="41"/>
      <c r="F132" s="41"/>
      <c r="G132" s="41"/>
      <c r="H132" s="45"/>
      <c r="I132" s="45"/>
      <c r="J132" s="41"/>
      <c r="K132" s="41"/>
      <c r="L132" s="41"/>
    </row>
    <row r="133" spans="2:12" ht="25.15" customHeight="1" x14ac:dyDescent="0.25">
      <c r="B133" s="41"/>
      <c r="C133" s="41"/>
      <c r="D133" s="41"/>
      <c r="E133" s="41"/>
      <c r="F133" s="41"/>
      <c r="G133" s="41"/>
      <c r="H133" s="45"/>
      <c r="I133" s="45"/>
      <c r="J133" s="41"/>
      <c r="K133" s="41"/>
      <c r="L133" s="41"/>
    </row>
    <row r="134" spans="2:12" ht="25.15" customHeight="1" x14ac:dyDescent="0.25">
      <c r="B134" s="41"/>
      <c r="C134" s="41"/>
      <c r="D134" s="41"/>
      <c r="E134" s="41"/>
      <c r="F134" s="41"/>
      <c r="G134" s="41"/>
      <c r="H134" s="45"/>
      <c r="I134" s="45"/>
      <c r="J134" s="41"/>
      <c r="K134" s="41"/>
      <c r="L134" s="41"/>
    </row>
    <row r="135" spans="2:12" ht="25.15" customHeight="1" x14ac:dyDescent="0.25">
      <c r="B135" s="41"/>
      <c r="C135" s="41"/>
      <c r="D135" s="41"/>
      <c r="E135" s="41"/>
      <c r="F135" s="41"/>
      <c r="G135" s="41"/>
      <c r="H135" s="45"/>
      <c r="I135" s="45"/>
      <c r="J135" s="41"/>
      <c r="K135" s="41"/>
      <c r="L135" s="41"/>
    </row>
    <row r="136" spans="2:12" ht="25.15" customHeight="1" x14ac:dyDescent="0.25">
      <c r="B136" s="41"/>
      <c r="C136" s="41"/>
      <c r="D136" s="41"/>
      <c r="E136" s="41"/>
      <c r="F136" s="41"/>
      <c r="G136" s="41"/>
      <c r="H136" s="45"/>
      <c r="I136" s="45"/>
      <c r="J136" s="41"/>
      <c r="K136" s="41"/>
      <c r="L136" s="41"/>
    </row>
    <row r="137" spans="2:12" ht="25.15" customHeight="1" x14ac:dyDescent="0.25">
      <c r="B137" s="41"/>
      <c r="C137" s="41"/>
      <c r="D137" s="41"/>
      <c r="E137" s="41"/>
      <c r="F137" s="41"/>
      <c r="G137" s="41"/>
      <c r="H137" s="45"/>
      <c r="I137" s="45"/>
      <c r="J137" s="41"/>
      <c r="K137" s="41"/>
      <c r="L137" s="41"/>
    </row>
    <row r="138" spans="2:12" ht="25.15" customHeight="1" x14ac:dyDescent="0.25">
      <c r="B138" s="41"/>
      <c r="C138" s="41"/>
      <c r="D138" s="41"/>
      <c r="E138" s="41"/>
      <c r="F138" s="41"/>
      <c r="G138" s="41"/>
      <c r="H138" s="45"/>
      <c r="I138" s="45"/>
      <c r="J138" s="41"/>
      <c r="K138" s="41"/>
      <c r="L138" s="41"/>
    </row>
    <row r="139" spans="2:12" ht="25.15" customHeight="1" x14ac:dyDescent="0.25">
      <c r="B139" s="41"/>
      <c r="C139" s="41"/>
      <c r="D139" s="41"/>
      <c r="E139" s="41"/>
      <c r="F139" s="41"/>
      <c r="G139" s="41"/>
      <c r="H139" s="45"/>
      <c r="I139" s="45"/>
      <c r="J139" s="41"/>
      <c r="K139" s="41"/>
      <c r="L139" s="41"/>
    </row>
    <row r="140" spans="2:12" ht="25.15" customHeight="1" x14ac:dyDescent="0.25">
      <c r="B140" s="41"/>
      <c r="C140" s="41"/>
      <c r="D140" s="41"/>
      <c r="E140" s="41"/>
      <c r="F140" s="41"/>
      <c r="G140" s="41"/>
      <c r="H140" s="45"/>
      <c r="I140" s="45"/>
      <c r="J140" s="41"/>
      <c r="K140" s="41"/>
      <c r="L140" s="41"/>
    </row>
    <row r="141" spans="2:12" ht="25.15" customHeight="1" x14ac:dyDescent="0.25">
      <c r="B141" s="41"/>
      <c r="C141" s="41"/>
      <c r="D141" s="41"/>
      <c r="E141" s="41"/>
      <c r="F141" s="41"/>
      <c r="G141" s="41"/>
      <c r="H141" s="45"/>
      <c r="I141" s="45"/>
      <c r="J141" s="41"/>
      <c r="K141" s="41"/>
      <c r="L141" s="41"/>
    </row>
    <row r="142" spans="2:12" ht="25.15" customHeight="1" x14ac:dyDescent="0.25">
      <c r="B142" s="41"/>
      <c r="C142" s="41"/>
      <c r="D142" s="41"/>
      <c r="E142" s="41"/>
      <c r="F142" s="41"/>
      <c r="G142" s="41"/>
      <c r="H142" s="45"/>
      <c r="I142" s="45"/>
      <c r="J142" s="41"/>
      <c r="K142" s="41"/>
      <c r="L142" s="41"/>
    </row>
    <row r="143" spans="2:12" ht="25.15" customHeight="1" x14ac:dyDescent="0.25">
      <c r="B143" s="41"/>
      <c r="C143" s="41"/>
      <c r="D143" s="41"/>
      <c r="E143" s="41"/>
      <c r="F143" s="41"/>
      <c r="G143" s="41"/>
      <c r="H143" s="45"/>
      <c r="I143" s="45"/>
      <c r="J143" s="41"/>
      <c r="K143" s="41"/>
      <c r="L143" s="41"/>
    </row>
    <row r="144" spans="2:12" ht="25.15" customHeight="1" x14ac:dyDescent="0.25">
      <c r="B144" s="41"/>
      <c r="C144" s="41"/>
      <c r="D144" s="41"/>
      <c r="E144" s="41"/>
      <c r="F144" s="41"/>
      <c r="G144" s="41"/>
      <c r="H144" s="45"/>
      <c r="I144" s="45"/>
      <c r="J144" s="41"/>
      <c r="K144" s="41"/>
      <c r="L144" s="41"/>
    </row>
    <row r="145" spans="2:12" ht="25.15" customHeight="1" x14ac:dyDescent="0.25">
      <c r="B145" s="41"/>
      <c r="C145" s="41"/>
      <c r="D145" s="41"/>
      <c r="E145" s="41"/>
      <c r="F145" s="41"/>
      <c r="G145" s="41"/>
      <c r="H145" s="45"/>
      <c r="I145" s="45"/>
      <c r="J145" s="41"/>
      <c r="K145" s="41"/>
      <c r="L145" s="41"/>
    </row>
    <row r="146" spans="2:12" ht="25.15" customHeight="1" x14ac:dyDescent="0.25">
      <c r="B146" s="41"/>
      <c r="C146" s="41"/>
      <c r="D146" s="41"/>
      <c r="E146" s="41"/>
      <c r="F146" s="41"/>
      <c r="G146" s="41"/>
      <c r="H146" s="45"/>
      <c r="I146" s="45"/>
      <c r="J146" s="41"/>
      <c r="K146" s="41"/>
      <c r="L146" s="41"/>
    </row>
    <row r="147" spans="2:12" ht="25.15" customHeight="1" x14ac:dyDescent="0.25">
      <c r="B147" s="41"/>
      <c r="C147" s="41"/>
      <c r="D147" s="41"/>
      <c r="E147" s="41"/>
      <c r="F147" s="41"/>
      <c r="G147" s="41"/>
      <c r="H147" s="45"/>
      <c r="I147" s="45"/>
      <c r="J147" s="41"/>
      <c r="K147" s="41"/>
      <c r="L147" s="41"/>
    </row>
    <row r="148" spans="2:12" ht="25.15" customHeight="1" x14ac:dyDescent="0.25">
      <c r="B148" s="41"/>
      <c r="C148" s="41"/>
      <c r="D148" s="41"/>
      <c r="E148" s="41"/>
      <c r="F148" s="41"/>
      <c r="G148" s="41"/>
      <c r="H148" s="45"/>
      <c r="I148" s="45"/>
      <c r="J148" s="41"/>
      <c r="K148" s="41"/>
      <c r="L148" s="41"/>
    </row>
    <row r="149" spans="2:12" ht="25.15" customHeight="1" x14ac:dyDescent="0.25">
      <c r="B149" s="41"/>
      <c r="C149" s="41"/>
      <c r="D149" s="41"/>
      <c r="E149" s="41"/>
      <c r="F149" s="41"/>
      <c r="G149" s="41"/>
      <c r="H149" s="45"/>
      <c r="I149" s="45"/>
      <c r="J149" s="41"/>
      <c r="K149" s="41"/>
      <c r="L149" s="41"/>
    </row>
    <row r="150" spans="2:12" ht="25.15" customHeight="1" x14ac:dyDescent="0.25">
      <c r="B150" s="41"/>
      <c r="C150" s="41"/>
      <c r="D150" s="41"/>
      <c r="E150" s="41"/>
      <c r="F150" s="41"/>
      <c r="G150" s="41"/>
      <c r="H150" s="45"/>
      <c r="I150" s="45"/>
      <c r="J150" s="41"/>
      <c r="K150" s="41"/>
      <c r="L150" s="41"/>
    </row>
    <row r="151" spans="2:12" ht="25.15" customHeight="1" x14ac:dyDescent="0.25">
      <c r="B151" s="41"/>
      <c r="C151" s="41"/>
      <c r="D151" s="41"/>
      <c r="E151" s="41"/>
      <c r="F151" s="41"/>
      <c r="G151" s="41"/>
      <c r="H151" s="45"/>
      <c r="I151" s="45"/>
      <c r="J151" s="41"/>
      <c r="K151" s="41"/>
      <c r="L151" s="41"/>
    </row>
    <row r="152" spans="2:12" ht="25.15" customHeight="1" x14ac:dyDescent="0.25">
      <c r="H152" s="20"/>
      <c r="I152" s="20"/>
    </row>
    <row r="153" spans="2:12" ht="25.15" customHeight="1" x14ac:dyDescent="0.25">
      <c r="H153" s="20"/>
      <c r="I153" s="20"/>
    </row>
    <row r="154" spans="2:12" ht="25.15" customHeight="1" x14ac:dyDescent="0.25">
      <c r="H154" s="20"/>
      <c r="I154" s="20"/>
    </row>
    <row r="155" spans="2:12" ht="25.15" customHeight="1" x14ac:dyDescent="0.25">
      <c r="H155" s="20"/>
      <c r="I155" s="20"/>
    </row>
    <row r="156" spans="2:12" ht="25.15" customHeight="1" x14ac:dyDescent="0.25">
      <c r="H156" s="20"/>
      <c r="I156" s="20"/>
    </row>
    <row r="157" spans="2:12" ht="25.15" customHeight="1" x14ac:dyDescent="0.25">
      <c r="H157" s="20"/>
      <c r="I157" s="20"/>
    </row>
    <row r="158" spans="2:12" ht="25.15" customHeight="1" x14ac:dyDescent="0.25">
      <c r="H158" s="20"/>
      <c r="I158" s="20"/>
    </row>
    <row r="159" spans="2:12" ht="25.15" customHeight="1" x14ac:dyDescent="0.25">
      <c r="H159" s="20"/>
      <c r="I159" s="20"/>
    </row>
    <row r="160" spans="2:12" ht="25.15" customHeight="1" x14ac:dyDescent="0.25">
      <c r="H160" s="20"/>
      <c r="I160" s="20"/>
    </row>
    <row r="161" spans="8:9" ht="25.15" customHeight="1" x14ac:dyDescent="0.25">
      <c r="H161" s="20"/>
      <c r="I161" s="20"/>
    </row>
    <row r="162" spans="8:9" ht="25.15" customHeight="1" x14ac:dyDescent="0.25">
      <c r="H162" s="20"/>
      <c r="I162" s="20"/>
    </row>
    <row r="163" spans="8:9" ht="25.15" customHeight="1" x14ac:dyDescent="0.25">
      <c r="H163" s="20"/>
      <c r="I163" s="20"/>
    </row>
    <row r="164" spans="8:9" ht="25.15" customHeight="1" x14ac:dyDescent="0.25">
      <c r="H164" s="20"/>
      <c r="I164" s="20"/>
    </row>
    <row r="165" spans="8:9" ht="25.15" customHeight="1" x14ac:dyDescent="0.25">
      <c r="H165" s="20"/>
      <c r="I165" s="20"/>
    </row>
    <row r="166" spans="8:9" ht="25.15" customHeight="1" x14ac:dyDescent="0.25">
      <c r="H166" s="20"/>
      <c r="I166" s="20"/>
    </row>
    <row r="167" spans="8:9" ht="25.15" customHeight="1" x14ac:dyDescent="0.25">
      <c r="H167" s="20"/>
      <c r="I167" s="20"/>
    </row>
    <row r="168" spans="8:9" ht="25.15" customHeight="1" x14ac:dyDescent="0.25">
      <c r="H168" s="20"/>
      <c r="I168" s="20"/>
    </row>
    <row r="169" spans="8:9" ht="25.15" customHeight="1" x14ac:dyDescent="0.25">
      <c r="H169" s="20"/>
      <c r="I169" s="20"/>
    </row>
    <row r="170" spans="8:9" ht="25.15" customHeight="1" x14ac:dyDescent="0.25">
      <c r="H170" s="20"/>
      <c r="I170" s="20"/>
    </row>
    <row r="171" spans="8:9" ht="25.15" customHeight="1" x14ac:dyDescent="0.25">
      <c r="H171" s="20"/>
      <c r="I171" s="20"/>
    </row>
    <row r="172" spans="8:9" ht="25.15" customHeight="1" x14ac:dyDescent="0.25">
      <c r="H172" s="20"/>
      <c r="I172" s="20"/>
    </row>
    <row r="173" spans="8:9" ht="25.15" customHeight="1" x14ac:dyDescent="0.25">
      <c r="H173" s="20"/>
      <c r="I173" s="20"/>
    </row>
    <row r="174" spans="8:9" ht="25.15" customHeight="1" x14ac:dyDescent="0.25">
      <c r="H174" s="20"/>
      <c r="I174" s="20"/>
    </row>
    <row r="175" spans="8:9" ht="25.15" customHeight="1" x14ac:dyDescent="0.25">
      <c r="H175" s="20"/>
      <c r="I175" s="20"/>
    </row>
    <row r="176" spans="8:9" ht="25.15" customHeight="1" x14ac:dyDescent="0.25">
      <c r="H176" s="20"/>
      <c r="I176" s="20"/>
    </row>
    <row r="177" spans="8:9" ht="25.15" customHeight="1" x14ac:dyDescent="0.25">
      <c r="H177" s="20"/>
      <c r="I177" s="20"/>
    </row>
    <row r="178" spans="8:9" ht="25.15" customHeight="1" x14ac:dyDescent="0.25">
      <c r="H178" s="20"/>
      <c r="I178" s="20"/>
    </row>
    <row r="179" spans="8:9" ht="25.15" customHeight="1" x14ac:dyDescent="0.25">
      <c r="H179" s="20"/>
      <c r="I179" s="20"/>
    </row>
    <row r="180" spans="8:9" ht="25.15" customHeight="1" x14ac:dyDescent="0.25">
      <c r="H180" s="20"/>
      <c r="I180" s="20"/>
    </row>
    <row r="181" spans="8:9" ht="25.15" customHeight="1" x14ac:dyDescent="0.25">
      <c r="H181" s="20"/>
      <c r="I181" s="20"/>
    </row>
    <row r="182" spans="8:9" ht="25.15" customHeight="1" x14ac:dyDescent="0.25">
      <c r="H182" s="20"/>
      <c r="I182" s="20"/>
    </row>
    <row r="183" spans="8:9" ht="25.15" customHeight="1" x14ac:dyDescent="0.25">
      <c r="H183" s="20"/>
      <c r="I183" s="20"/>
    </row>
    <row r="184" spans="8:9" ht="25.15" customHeight="1" x14ac:dyDescent="0.25">
      <c r="H184" s="20"/>
      <c r="I184" s="20"/>
    </row>
    <row r="185" spans="8:9" ht="25.15" customHeight="1" x14ac:dyDescent="0.25">
      <c r="H185" s="20"/>
      <c r="I185" s="20"/>
    </row>
    <row r="186" spans="8:9" ht="25.15" customHeight="1" x14ac:dyDescent="0.25">
      <c r="H186" s="20"/>
      <c r="I186" s="20"/>
    </row>
    <row r="187" spans="8:9" ht="25.15" customHeight="1" x14ac:dyDescent="0.25">
      <c r="H187" s="20"/>
      <c r="I187" s="20"/>
    </row>
    <row r="188" spans="8:9" ht="25.15" customHeight="1" x14ac:dyDescent="0.25">
      <c r="H188" s="20"/>
      <c r="I188" s="20"/>
    </row>
    <row r="189" spans="8:9" ht="25.15" customHeight="1" x14ac:dyDescent="0.25">
      <c r="H189" s="20"/>
      <c r="I189" s="20"/>
    </row>
    <row r="190" spans="8:9" ht="25.15" customHeight="1" x14ac:dyDescent="0.25">
      <c r="H190" s="20"/>
      <c r="I190" s="20"/>
    </row>
    <row r="191" spans="8:9" ht="25.15" customHeight="1" x14ac:dyDescent="0.25">
      <c r="H191" s="20"/>
      <c r="I191" s="20"/>
    </row>
    <row r="192" spans="8:9" ht="25.15" customHeight="1" x14ac:dyDescent="0.25">
      <c r="H192" s="20"/>
      <c r="I192" s="20"/>
    </row>
    <row r="193" spans="8:9" x14ac:dyDescent="0.25">
      <c r="H193" s="20"/>
      <c r="I193" s="20"/>
    </row>
    <row r="194" spans="8:9" x14ac:dyDescent="0.25">
      <c r="H194" s="20"/>
      <c r="I194" s="20"/>
    </row>
    <row r="195" spans="8:9" x14ac:dyDescent="0.25">
      <c r="H195" s="20"/>
      <c r="I195" s="20"/>
    </row>
    <row r="196" spans="8:9" x14ac:dyDescent="0.25">
      <c r="H196" s="20"/>
      <c r="I196" s="20"/>
    </row>
    <row r="197" spans="8:9" x14ac:dyDescent="0.25">
      <c r="H197" s="20"/>
      <c r="I197" s="20"/>
    </row>
    <row r="198" spans="8:9" x14ac:dyDescent="0.25">
      <c r="H198" s="20"/>
      <c r="I198" s="20"/>
    </row>
    <row r="199" spans="8:9" x14ac:dyDescent="0.25">
      <c r="H199" s="20"/>
      <c r="I199" s="20"/>
    </row>
    <row r="200" spans="8:9" x14ac:dyDescent="0.25">
      <c r="H200" s="20"/>
      <c r="I200" s="20"/>
    </row>
    <row r="201" spans="8:9" x14ac:dyDescent="0.25">
      <c r="H201" s="20"/>
      <c r="I201" s="20"/>
    </row>
    <row r="202" spans="8:9" x14ac:dyDescent="0.25">
      <c r="H202" s="20"/>
      <c r="I202" s="20"/>
    </row>
    <row r="203" spans="8:9" x14ac:dyDescent="0.25">
      <c r="H203" s="20"/>
      <c r="I203" s="20"/>
    </row>
    <row r="204" spans="8:9" x14ac:dyDescent="0.25">
      <c r="H204" s="20"/>
      <c r="I204" s="20"/>
    </row>
    <row r="205" spans="8:9" x14ac:dyDescent="0.25">
      <c r="H205" s="20"/>
      <c r="I205" s="20"/>
    </row>
    <row r="206" spans="8:9" x14ac:dyDescent="0.25">
      <c r="H206" s="20"/>
      <c r="I206" s="20"/>
    </row>
    <row r="207" spans="8:9" x14ac:dyDescent="0.25">
      <c r="H207" s="20"/>
      <c r="I207" s="20"/>
    </row>
    <row r="208" spans="8:9" x14ac:dyDescent="0.25">
      <c r="H208" s="20"/>
      <c r="I208" s="20"/>
    </row>
    <row r="209" spans="8:9" x14ac:dyDescent="0.25">
      <c r="H209" s="20"/>
      <c r="I209" s="20"/>
    </row>
    <row r="210" spans="8:9" x14ac:dyDescent="0.25">
      <c r="H210" s="20"/>
      <c r="I210" s="20"/>
    </row>
    <row r="211" spans="8:9" x14ac:dyDescent="0.25">
      <c r="H211" s="20"/>
      <c r="I211" s="20"/>
    </row>
    <row r="212" spans="8:9" x14ac:dyDescent="0.25">
      <c r="H212" s="20"/>
      <c r="I212" s="20"/>
    </row>
    <row r="213" spans="8:9" x14ac:dyDescent="0.25">
      <c r="H213" s="20"/>
      <c r="I213" s="20"/>
    </row>
    <row r="214" spans="8:9" x14ac:dyDescent="0.25">
      <c r="H214" s="20"/>
      <c r="I214" s="20"/>
    </row>
    <row r="215" spans="8:9" x14ac:dyDescent="0.25">
      <c r="H215" s="20"/>
      <c r="I215" s="20"/>
    </row>
    <row r="216" spans="8:9" x14ac:dyDescent="0.25">
      <c r="H216" s="20"/>
      <c r="I216" s="20"/>
    </row>
    <row r="217" spans="8:9" x14ac:dyDescent="0.25">
      <c r="H217" s="20"/>
      <c r="I217" s="20"/>
    </row>
    <row r="218" spans="8:9" x14ac:dyDescent="0.25">
      <c r="H218" s="20"/>
      <c r="I218" s="20"/>
    </row>
    <row r="219" spans="8:9" x14ac:dyDescent="0.25">
      <c r="H219" s="20"/>
      <c r="I219" s="20"/>
    </row>
    <row r="220" spans="8:9" x14ac:dyDescent="0.25">
      <c r="H220" s="20"/>
      <c r="I220" s="20"/>
    </row>
    <row r="221" spans="8:9" x14ac:dyDescent="0.25">
      <c r="H221" s="20"/>
      <c r="I221" s="20"/>
    </row>
    <row r="222" spans="8:9" x14ac:dyDescent="0.25">
      <c r="H222" s="20"/>
      <c r="I222" s="20"/>
    </row>
    <row r="223" spans="8:9" x14ac:dyDescent="0.25">
      <c r="H223" s="20"/>
      <c r="I223" s="20"/>
    </row>
    <row r="224" spans="8:9" x14ac:dyDescent="0.25">
      <c r="H224" s="20"/>
      <c r="I224" s="20"/>
    </row>
    <row r="225" spans="8:9" x14ac:dyDescent="0.25">
      <c r="H225" s="20"/>
      <c r="I225" s="20"/>
    </row>
    <row r="226" spans="8:9" x14ac:dyDescent="0.25">
      <c r="H226" s="20"/>
      <c r="I226" s="20"/>
    </row>
    <row r="227" spans="8:9" x14ac:dyDescent="0.25">
      <c r="H227" s="20"/>
      <c r="I227" s="20"/>
    </row>
    <row r="228" spans="8:9" x14ac:dyDescent="0.25">
      <c r="H228" s="20"/>
      <c r="I228" s="20"/>
    </row>
    <row r="229" spans="8:9" x14ac:dyDescent="0.25">
      <c r="H229" s="20"/>
      <c r="I229" s="20"/>
    </row>
    <row r="230" spans="8:9" x14ac:dyDescent="0.25">
      <c r="H230" s="20"/>
      <c r="I230" s="20"/>
    </row>
    <row r="231" spans="8:9" x14ac:dyDescent="0.25">
      <c r="H231" s="20"/>
      <c r="I231" s="20"/>
    </row>
    <row r="232" spans="8:9" x14ac:dyDescent="0.25">
      <c r="H232" s="20"/>
      <c r="I232" s="20"/>
    </row>
    <row r="233" spans="8:9" x14ac:dyDescent="0.25">
      <c r="H233" s="20"/>
      <c r="I233" s="20"/>
    </row>
    <row r="234" spans="8:9" x14ac:dyDescent="0.25">
      <c r="H234" s="20"/>
      <c r="I234" s="20"/>
    </row>
    <row r="235" spans="8:9" x14ac:dyDescent="0.25">
      <c r="H235" s="20"/>
      <c r="I235" s="20"/>
    </row>
    <row r="236" spans="8:9" x14ac:dyDescent="0.25">
      <c r="H236" s="20"/>
      <c r="I236" s="20"/>
    </row>
    <row r="237" spans="8:9" x14ac:dyDescent="0.25">
      <c r="H237" s="20"/>
      <c r="I237" s="20"/>
    </row>
    <row r="238" spans="8:9" x14ac:dyDescent="0.25">
      <c r="H238" s="20"/>
      <c r="I238" s="20"/>
    </row>
    <row r="239" spans="8:9" x14ac:dyDescent="0.25">
      <c r="H239" s="20"/>
      <c r="I239" s="20"/>
    </row>
    <row r="240" spans="8:9" x14ac:dyDescent="0.25">
      <c r="H240" s="20"/>
      <c r="I240" s="20"/>
    </row>
    <row r="241" spans="8:9" x14ac:dyDescent="0.25">
      <c r="H241" s="20"/>
      <c r="I241" s="20"/>
    </row>
    <row r="242" spans="8:9" x14ac:dyDescent="0.25">
      <c r="H242" s="20"/>
      <c r="I242" s="20"/>
    </row>
    <row r="243" spans="8:9" x14ac:dyDescent="0.25">
      <c r="H243" s="20"/>
      <c r="I243" s="20"/>
    </row>
    <row r="244" spans="8:9" x14ac:dyDescent="0.25">
      <c r="H244" s="20"/>
      <c r="I244" s="20"/>
    </row>
    <row r="245" spans="8:9" x14ac:dyDescent="0.25">
      <c r="H245" s="20"/>
      <c r="I245" s="20"/>
    </row>
    <row r="246" spans="8:9" x14ac:dyDescent="0.25">
      <c r="H246" s="20"/>
      <c r="I246" s="20"/>
    </row>
    <row r="247" spans="8:9" x14ac:dyDescent="0.25">
      <c r="H247" s="20"/>
      <c r="I247" s="20"/>
    </row>
    <row r="248" spans="8:9" x14ac:dyDescent="0.25">
      <c r="H248" s="20"/>
      <c r="I248" s="20"/>
    </row>
    <row r="249" spans="8:9" x14ac:dyDescent="0.25">
      <c r="H249" s="20"/>
      <c r="I249" s="20"/>
    </row>
    <row r="250" spans="8:9" x14ac:dyDescent="0.25">
      <c r="H250" s="20"/>
      <c r="I250" s="20"/>
    </row>
    <row r="251" spans="8:9" x14ac:dyDescent="0.25">
      <c r="H251" s="20"/>
      <c r="I251" s="20"/>
    </row>
    <row r="252" spans="8:9" x14ac:dyDescent="0.25">
      <c r="H252" s="20"/>
      <c r="I252" s="20"/>
    </row>
  </sheetData>
  <sheetProtection algorithmName="SHA-512" hashValue="O6fL4VaTqQ3bivFRefr+nzJYszJKYlHSBFEgcmqjuH4EJVb99ounJDpmVYGZ/VBTJWrr1aaOXQcgkDSu4amWbw==" saltValue="jTcIipk1akVIuBzucrAQ5w==" spinCount="100000" sheet="1" objects="1" scenarios="1" selectLockedCells="1" selectUnlockedCells="1"/>
  <customSheetViews>
    <customSheetView guid="{C56548B1-AD9F-45D5-A6C9-CFD9EB8CFADF}" scale="85" showGridLines="0" showRowCol="0">
      <selection activeCell="B18" sqref="B18"/>
      <pageMargins left="0.7" right="0.7" top="0.75" bottom="0.75" header="0.3" footer="0.3"/>
      <pageSetup paperSize="9" orientation="portrait" r:id="rId1"/>
    </customSheetView>
    <customSheetView guid="{948D5EE8-4948-4B88-9BE1-4533C7B89844}" scale="85" showGridLines="0" showRowCol="0">
      <selection activeCell="B18" sqref="B18"/>
      <pageMargins left="0.7" right="0.7" top="0.75" bottom="0.75" header="0.3" footer="0.3"/>
      <pageSetup paperSize="9" orientation="portrait" r:id="rId2"/>
    </customSheetView>
  </customSheetViews>
  <mergeCells count="5">
    <mergeCell ref="C13:F13"/>
    <mergeCell ref="C14:F14"/>
    <mergeCell ref="C15:F15"/>
    <mergeCell ref="C16:F16"/>
    <mergeCell ref="C17:F17"/>
  </mergeCell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vt:i4>
      </vt:variant>
      <vt:variant>
        <vt:lpstr>Intervalli denominati</vt:lpstr>
      </vt:variant>
      <vt:variant>
        <vt:i4>18</vt:i4>
      </vt:variant>
    </vt:vector>
  </HeadingPairs>
  <TitlesOfParts>
    <vt:vector size="23" baseType="lpstr">
      <vt:lpstr>ISTRUZIONI</vt:lpstr>
      <vt:lpstr>CALCOLO DEL VENTO NTC18</vt:lpstr>
      <vt:lpstr>Apprfondimenti coperture curve</vt:lpstr>
      <vt:lpstr>dati nascosti</vt:lpstr>
      <vt:lpstr>DATI NTC18</vt:lpstr>
      <vt:lpstr>'CALCOLO DEL VENTO NTC18'!Area_stampa</vt:lpstr>
      <vt:lpstr>catesp</vt:lpstr>
      <vt:lpstr>conf</vt:lpstr>
      <vt:lpstr>for</vt:lpstr>
      <vt:lpstr>formi</vt:lpstr>
      <vt:lpstr>grad</vt:lpstr>
      <vt:lpstr>incl</vt:lpstr>
      <vt:lpstr>regioni</vt:lpstr>
      <vt:lpstr>rugosità</vt:lpstr>
      <vt:lpstr>sn</vt:lpstr>
      <vt:lpstr>sta</vt:lpstr>
      <vt:lpstr>sup</vt:lpstr>
      <vt:lpstr>supe</vt:lpstr>
      <vt:lpstr>tip</vt:lpstr>
      <vt:lpstr>tipo</vt:lpstr>
      <vt:lpstr>top</vt:lpstr>
      <vt:lpstr>topo</vt:lpstr>
      <vt:lpstr>TR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Davide Cicchini</dc:creator>
  <cp:lastModifiedBy>Davide Cicchini</cp:lastModifiedBy>
  <cp:lastPrinted>2018-05-01T14:14:04Z</cp:lastPrinted>
  <dcterms:created xsi:type="dcterms:W3CDTF">2015-03-12T18:50:09Z</dcterms:created>
  <dcterms:modified xsi:type="dcterms:W3CDTF">2018-12-15T18:39:08Z</dcterms:modified>
</cp:coreProperties>
</file>