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\CONDIVISIONE GOOGLE\PROGRAMMI UTILI\PROGETTO PILASTRO\"/>
    </mc:Choice>
  </mc:AlternateContent>
  <workbookProtection workbookPassword="C2CA" lockStructure="1"/>
  <bookViews>
    <workbookView xWindow="120" yWindow="45" windowWidth="15600" windowHeight="8160" tabRatio="733"/>
  </bookViews>
  <sheets>
    <sheet name="Istruzioni" sheetId="9" r:id="rId1"/>
    <sheet name="DATI" sheetId="12" r:id="rId2"/>
    <sheet name="foglio deposito" sheetId="13" state="hidden" r:id="rId3"/>
    <sheet name="DATI nascosti 1" sheetId="1" state="hidden" r:id="rId4"/>
    <sheet name="DATI nascosti 2" sheetId="14" state="hidden" r:id="rId5"/>
    <sheet name="TABULATI" sheetId="11" r:id="rId6"/>
    <sheet name="T2" sheetId="15" state="hidden" r:id="rId7"/>
    <sheet name="N-M" sheetId="3" r:id="rId8"/>
    <sheet name="N-M KN" sheetId="5" r:id="rId9"/>
    <sheet name="N-e" sheetId="4" state="hidden" r:id="rId10"/>
    <sheet name="N M KN approx" sheetId="7" r:id="rId11"/>
    <sheet name="Foglio3" sheetId="10" state="hidden" r:id="rId12"/>
  </sheets>
  <externalReferences>
    <externalReference r:id="rId13"/>
    <externalReference r:id="rId14"/>
    <externalReference r:id="rId15"/>
  </externalReferences>
  <definedNames>
    <definedName name="CA">'foglio deposito'!#REF!</definedName>
    <definedName name="cari">'[1]Foglio deposito'!$F$2:$F$4</definedName>
    <definedName name="cd">[1]Foglio1!$S$19:$S$20</definedName>
    <definedName name="clas">'foglio deposito'!$G$6:$G$16</definedName>
    <definedName name="CLASS">'foglio deposito'!$G$6:$G$17</definedName>
    <definedName name="dut">'foglio deposito'!$H$38:$H$39</definedName>
    <definedName name="fe">'[1]Foglio deposito'!$P$10:$P$11</definedName>
    <definedName name="fer">'foglio deposito'!$J$6:$J$7</definedName>
    <definedName name="FERR">'foglio deposito'!$J$6:$J$10</definedName>
    <definedName name="ff">[1]Foglio1!$N$4:$N$9</definedName>
    <definedName name="LC">'foglio deposito'!$K$18:$K$20</definedName>
    <definedName name="nn">[1]Foglio1!$M$6:$M$10</definedName>
    <definedName name="NU">[1]Foglio1!$M$4:$M$10</definedName>
    <definedName name="sigc">'[1]Foglio deposito'!$E$141:$E$142</definedName>
    <definedName name="sigs">'[1]Foglio deposito'!$F$141:$F$142</definedName>
    <definedName name="sn">'foglio deposito'!$K$22:$K$23</definedName>
    <definedName name="step">'[2]M-χ'!$C$53:$C$71</definedName>
    <definedName name="tarat">'foglio deposito'!#REF!</definedName>
    <definedName name="taratu">'foglio deposito'!#REF!</definedName>
    <definedName name="tp">'foglio deposito'!$F$1:$F$2</definedName>
    <definedName name="w">'[3]DATI NASCOSTI'!$C$105:$C$107</definedName>
  </definedNames>
  <calcPr calcId="162913"/>
</workbook>
</file>

<file path=xl/calcChain.xml><?xml version="1.0" encoding="utf-8"?>
<calcChain xmlns="http://schemas.openxmlformats.org/spreadsheetml/2006/main">
  <c r="F55" i="12" l="1"/>
  <c r="Q8" i="14" l="1"/>
  <c r="R8" i="14"/>
  <c r="R7" i="14"/>
  <c r="Q7" i="14"/>
  <c r="R8" i="1"/>
  <c r="Q8" i="1"/>
  <c r="R7" i="1"/>
  <c r="Q7" i="1"/>
  <c r="D84" i="13"/>
  <c r="M84" i="13"/>
  <c r="H85" i="13"/>
  <c r="H86" i="13"/>
  <c r="M86" i="13"/>
  <c r="G88" i="13"/>
  <c r="M93" i="13" s="1"/>
  <c r="G89" i="13"/>
  <c r="J88" i="13" s="1"/>
  <c r="L10" i="1"/>
  <c r="L10" i="14" s="1"/>
  <c r="H14" i="1"/>
  <c r="H14" i="14" s="1"/>
  <c r="H12" i="1"/>
  <c r="H12" i="14" s="1"/>
  <c r="C10" i="1"/>
  <c r="C10" i="14" s="1"/>
  <c r="B11" i="14" s="1"/>
  <c r="C8" i="1"/>
  <c r="C8" i="14" s="1"/>
  <c r="C6" i="1"/>
  <c r="C6" i="14" s="1"/>
  <c r="L12" i="14"/>
  <c r="H8" i="14"/>
  <c r="B105" i="15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B128" i="15" s="1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P11" i="14" l="1"/>
  <c r="P12" i="14"/>
  <c r="B221" i="15"/>
  <c r="B173" i="15"/>
  <c r="B157" i="15"/>
  <c r="B141" i="15"/>
  <c r="B153" i="15"/>
  <c r="B169" i="15"/>
  <c r="B185" i="15"/>
  <c r="B201" i="15"/>
  <c r="B225" i="15"/>
  <c r="B145" i="15"/>
  <c r="B161" i="15"/>
  <c r="B177" i="15"/>
  <c r="B193" i="15"/>
  <c r="B209" i="15"/>
  <c r="B189" i="15"/>
  <c r="B205" i="15"/>
  <c r="B229" i="15"/>
  <c r="B149" i="15"/>
  <c r="B165" i="15"/>
  <c r="B181" i="15"/>
  <c r="B197" i="15"/>
  <c r="B213" i="15"/>
  <c r="B240" i="15"/>
  <c r="C13" i="14"/>
  <c r="B217" i="15"/>
  <c r="B233" i="15"/>
  <c r="B237" i="15"/>
  <c r="B241" i="15"/>
  <c r="B142" i="15"/>
  <c r="B150" i="15"/>
  <c r="B158" i="15"/>
  <c r="B166" i="15"/>
  <c r="B174" i="15"/>
  <c r="B182" i="15"/>
  <c r="B186" i="15"/>
  <c r="B190" i="15"/>
  <c r="B198" i="15"/>
  <c r="B202" i="15"/>
  <c r="B206" i="15"/>
  <c r="B210" i="15"/>
  <c r="B214" i="15"/>
  <c r="B218" i="15"/>
  <c r="B222" i="15"/>
  <c r="B226" i="15"/>
  <c r="B230" i="15"/>
  <c r="B234" i="15"/>
  <c r="B238" i="15"/>
  <c r="B242" i="15"/>
  <c r="B143" i="15"/>
  <c r="B147" i="15"/>
  <c r="B151" i="15"/>
  <c r="B155" i="15"/>
  <c r="B159" i="15"/>
  <c r="B163" i="15"/>
  <c r="B167" i="15"/>
  <c r="B171" i="15"/>
  <c r="B175" i="15"/>
  <c r="B179" i="15"/>
  <c r="B183" i="15"/>
  <c r="B187" i="15"/>
  <c r="B191" i="15"/>
  <c r="B195" i="15"/>
  <c r="B199" i="15"/>
  <c r="B203" i="15"/>
  <c r="B207" i="15"/>
  <c r="B211" i="15"/>
  <c r="B215" i="15"/>
  <c r="B219" i="15"/>
  <c r="B223" i="15"/>
  <c r="B227" i="15"/>
  <c r="B231" i="15"/>
  <c r="B235" i="15"/>
  <c r="B239" i="15"/>
  <c r="B243" i="15"/>
  <c r="B244" i="15" s="1"/>
  <c r="B139" i="15"/>
  <c r="B146" i="15"/>
  <c r="B154" i="15"/>
  <c r="B162" i="15"/>
  <c r="B170" i="15"/>
  <c r="B178" i="15"/>
  <c r="B194" i="15"/>
  <c r="B140" i="15"/>
  <c r="B144" i="15"/>
  <c r="B148" i="15"/>
  <c r="B152" i="15"/>
  <c r="B156" i="15"/>
  <c r="B160" i="15"/>
  <c r="B164" i="15"/>
  <c r="B168" i="15"/>
  <c r="B172" i="15"/>
  <c r="B176" i="15"/>
  <c r="B180" i="15"/>
  <c r="B184" i="15"/>
  <c r="B188" i="15"/>
  <c r="B192" i="15"/>
  <c r="B196" i="15"/>
  <c r="B200" i="15"/>
  <c r="B204" i="15"/>
  <c r="B208" i="15"/>
  <c r="B212" i="15"/>
  <c r="B216" i="15"/>
  <c r="B220" i="15"/>
  <c r="B224" i="15"/>
  <c r="B228" i="15"/>
  <c r="B232" i="15"/>
  <c r="B236" i="15"/>
  <c r="B18" i="14"/>
  <c r="O18" i="14" l="1"/>
  <c r="F244" i="15"/>
  <c r="E244" i="15" s="1"/>
  <c r="B245" i="15"/>
  <c r="F245" i="15" s="1"/>
  <c r="F243" i="15"/>
  <c r="E243" i="15" s="1"/>
  <c r="B246" i="15" l="1"/>
  <c r="D244" i="15"/>
  <c r="C244" i="15"/>
  <c r="C243" i="15"/>
  <c r="D243" i="15"/>
  <c r="B247" i="15"/>
  <c r="F246" i="15"/>
  <c r="C245" i="15"/>
  <c r="D245" i="15"/>
  <c r="E245" i="15"/>
  <c r="F3" i="13"/>
  <c r="B7" i="13" s="1"/>
  <c r="H3" i="13"/>
  <c r="H4" i="13"/>
  <c r="E6" i="13"/>
  <c r="H6" i="13"/>
  <c r="E8" i="13"/>
  <c r="D15" i="13"/>
  <c r="I22" i="13"/>
  <c r="I23" i="13"/>
  <c r="C34" i="13"/>
  <c r="I34" i="13"/>
  <c r="M35" i="13"/>
  <c r="C36" i="13"/>
  <c r="M36" i="13"/>
  <c r="C38" i="13"/>
  <c r="F8" i="12" s="1"/>
  <c r="K46" i="13"/>
  <c r="G45" i="13"/>
  <c r="G46" i="13"/>
  <c r="G47" i="13"/>
  <c r="H47" i="13"/>
  <c r="D53" i="13"/>
  <c r="F7" i="12"/>
  <c r="C41" i="13" s="1"/>
  <c r="F19" i="12"/>
  <c r="F31" i="12"/>
  <c r="F38" i="12"/>
  <c r="F39" i="12"/>
  <c r="L6" i="1" s="1"/>
  <c r="F40" i="12"/>
  <c r="I32" i="13" s="1"/>
  <c r="K61" i="12"/>
  <c r="M61" i="12"/>
  <c r="I66" i="12"/>
  <c r="P85" i="13" s="1"/>
  <c r="F65" i="12"/>
  <c r="F69" i="12" s="1"/>
  <c r="F66" i="12"/>
  <c r="F70" i="12" s="1"/>
  <c r="O72" i="12"/>
  <c r="P91" i="13" s="1"/>
  <c r="K73" i="12"/>
  <c r="L73" i="12"/>
  <c r="M73" i="12"/>
  <c r="L75" i="12"/>
  <c r="M92" i="13" s="1"/>
  <c r="K47" i="13" l="1"/>
  <c r="H16" i="1"/>
  <c r="H16" i="14"/>
  <c r="H19" i="13"/>
  <c r="H17" i="13" s="1"/>
  <c r="F21" i="12" s="1"/>
  <c r="F24" i="12" s="1"/>
  <c r="L6" i="14"/>
  <c r="L14" i="14" s="1"/>
  <c r="L16" i="14" s="1"/>
  <c r="M244" i="15" s="1"/>
  <c r="L14" i="1"/>
  <c r="C127" i="13"/>
  <c r="C126" i="13"/>
  <c r="C128" i="13"/>
  <c r="G72" i="13"/>
  <c r="G76" i="13" s="1"/>
  <c r="E126" i="13"/>
  <c r="E128" i="13"/>
  <c r="E127" i="13"/>
  <c r="G71" i="13"/>
  <c r="G122" i="13"/>
  <c r="M245" i="15"/>
  <c r="K243" i="15"/>
  <c r="E9" i="13"/>
  <c r="L8" i="1"/>
  <c r="L8" i="14" s="1"/>
  <c r="G75" i="13"/>
  <c r="K245" i="15"/>
  <c r="K244" i="15"/>
  <c r="S44" i="13"/>
  <c r="S46" i="13"/>
  <c r="B248" i="15"/>
  <c r="F247" i="15"/>
  <c r="D246" i="15"/>
  <c r="K246" i="15" s="1"/>
  <c r="C246" i="15"/>
  <c r="M246" i="15" s="1"/>
  <c r="E246" i="15"/>
  <c r="O62" i="12"/>
  <c r="P81" i="13" s="1"/>
  <c r="K14" i="13"/>
  <c r="D61" i="13"/>
  <c r="F25" i="13"/>
  <c r="K45" i="13"/>
  <c r="B243" i="11"/>
  <c r="F243" i="11" s="1"/>
  <c r="B242" i="11"/>
  <c r="B241" i="11"/>
  <c r="B240" i="11"/>
  <c r="B239" i="11"/>
  <c r="B238" i="11"/>
  <c r="B237" i="11"/>
  <c r="B236" i="11"/>
  <c r="B235" i="11"/>
  <c r="B234" i="11"/>
  <c r="B233" i="11"/>
  <c r="B232" i="11"/>
  <c r="B231" i="11"/>
  <c r="B230" i="11"/>
  <c r="B229" i="11"/>
  <c r="B228" i="11"/>
  <c r="B227" i="11"/>
  <c r="B226" i="11"/>
  <c r="B225" i="11"/>
  <c r="B224" i="11"/>
  <c r="B223" i="11"/>
  <c r="B222" i="11"/>
  <c r="B221" i="11"/>
  <c r="B220" i="11"/>
  <c r="B219" i="11"/>
  <c r="B218" i="11"/>
  <c r="B217" i="11"/>
  <c r="B216" i="11"/>
  <c r="B215" i="11"/>
  <c r="B214" i="11"/>
  <c r="B213" i="11"/>
  <c r="B212" i="11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05" i="1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M243" i="15" l="1"/>
  <c r="F29" i="12"/>
  <c r="K49" i="13" s="1"/>
  <c r="H6" i="1"/>
  <c r="H6" i="14" s="1"/>
  <c r="H7" i="14" s="1"/>
  <c r="F23" i="12"/>
  <c r="F22" i="12" s="1"/>
  <c r="D60" i="13" s="1"/>
  <c r="J64" i="13" s="1"/>
  <c r="C119" i="11"/>
  <c r="F73" i="12"/>
  <c r="C60" i="11"/>
  <c r="F74" i="12"/>
  <c r="F27" i="13"/>
  <c r="C76" i="11"/>
  <c r="C135" i="11"/>
  <c r="C28" i="11"/>
  <c r="C92" i="11"/>
  <c r="C12" i="11"/>
  <c r="C44" i="11"/>
  <c r="C48" i="11"/>
  <c r="C80" i="11"/>
  <c r="C123" i="11"/>
  <c r="C4" i="11"/>
  <c r="C20" i="11"/>
  <c r="C36" i="11"/>
  <c r="C52" i="11"/>
  <c r="C68" i="11"/>
  <c r="C84" i="11"/>
  <c r="C100" i="11"/>
  <c r="C111" i="11"/>
  <c r="C127" i="11"/>
  <c r="C16" i="11"/>
  <c r="C32" i="11"/>
  <c r="C64" i="11"/>
  <c r="C96" i="11"/>
  <c r="C107" i="11"/>
  <c r="C8" i="11"/>
  <c r="C24" i="11"/>
  <c r="C40" i="11"/>
  <c r="C56" i="11"/>
  <c r="C72" i="11"/>
  <c r="C88" i="11"/>
  <c r="C104" i="11"/>
  <c r="C115" i="11"/>
  <c r="C131" i="11"/>
  <c r="C2" i="11"/>
  <c r="C5" i="11"/>
  <c r="C9" i="11"/>
  <c r="C13" i="11"/>
  <c r="C17" i="11"/>
  <c r="C21" i="11"/>
  <c r="C25" i="11"/>
  <c r="C29" i="11"/>
  <c r="C33" i="11"/>
  <c r="C37" i="11"/>
  <c r="C41" i="11"/>
  <c r="C45" i="11"/>
  <c r="C49" i="11"/>
  <c r="C53" i="11"/>
  <c r="C57" i="11"/>
  <c r="C61" i="11"/>
  <c r="C65" i="11"/>
  <c r="C69" i="11"/>
  <c r="C73" i="11"/>
  <c r="C77" i="11"/>
  <c r="C81" i="11"/>
  <c r="C85" i="11"/>
  <c r="C89" i="11"/>
  <c r="C93" i="11"/>
  <c r="C97" i="11"/>
  <c r="C101" i="11"/>
  <c r="C108" i="11"/>
  <c r="C112" i="11"/>
  <c r="C116" i="11"/>
  <c r="C120" i="11"/>
  <c r="C124" i="11"/>
  <c r="C128" i="11"/>
  <c r="C132" i="11"/>
  <c r="C136" i="11"/>
  <c r="C139" i="11"/>
  <c r="C140" i="11" s="1"/>
  <c r="C141" i="11" s="1"/>
  <c r="D2" i="11"/>
  <c r="C6" i="11"/>
  <c r="C10" i="11"/>
  <c r="C14" i="11"/>
  <c r="C18" i="11"/>
  <c r="C22" i="11"/>
  <c r="C26" i="11"/>
  <c r="C30" i="11"/>
  <c r="C34" i="11"/>
  <c r="C38" i="11"/>
  <c r="C42" i="11"/>
  <c r="C46" i="11"/>
  <c r="C50" i="11"/>
  <c r="C54" i="11"/>
  <c r="C58" i="11"/>
  <c r="C62" i="11"/>
  <c r="C66" i="11"/>
  <c r="C70" i="11"/>
  <c r="C74" i="11"/>
  <c r="C78" i="11"/>
  <c r="C82" i="11"/>
  <c r="C86" i="11"/>
  <c r="C90" i="11"/>
  <c r="C94" i="11"/>
  <c r="C98" i="11"/>
  <c r="C102" i="11"/>
  <c r="C105" i="11"/>
  <c r="C109" i="11"/>
  <c r="C113" i="11"/>
  <c r="C117" i="11"/>
  <c r="C121" i="11"/>
  <c r="C125" i="11"/>
  <c r="C129" i="11"/>
  <c r="C133" i="11"/>
  <c r="C137" i="11"/>
  <c r="C3" i="11"/>
  <c r="C7" i="11"/>
  <c r="C11" i="11"/>
  <c r="C15" i="11"/>
  <c r="C19" i="11"/>
  <c r="C23" i="11"/>
  <c r="C27" i="11"/>
  <c r="C31" i="11"/>
  <c r="C35" i="11"/>
  <c r="C39" i="11"/>
  <c r="C43" i="11"/>
  <c r="C47" i="11"/>
  <c r="C51" i="11"/>
  <c r="C55" i="11"/>
  <c r="C59" i="11"/>
  <c r="C63" i="11"/>
  <c r="C67" i="11"/>
  <c r="C71" i="11"/>
  <c r="C75" i="11"/>
  <c r="C79" i="11"/>
  <c r="C83" i="11"/>
  <c r="C87" i="11"/>
  <c r="C91" i="11"/>
  <c r="C95" i="11"/>
  <c r="C99" i="11"/>
  <c r="C103" i="11"/>
  <c r="C106" i="11"/>
  <c r="C110" i="11"/>
  <c r="C114" i="11"/>
  <c r="C118" i="11"/>
  <c r="C122" i="11"/>
  <c r="C126" i="11"/>
  <c r="C130" i="11"/>
  <c r="C134" i="11"/>
  <c r="C138" i="11"/>
  <c r="C127" i="15"/>
  <c r="M127" i="15" s="1"/>
  <c r="C111" i="15"/>
  <c r="M111" i="15" s="1"/>
  <c r="C96" i="15"/>
  <c r="M96" i="15" s="1"/>
  <c r="C80" i="15"/>
  <c r="M80" i="15" s="1"/>
  <c r="C64" i="15"/>
  <c r="M64" i="15" s="1"/>
  <c r="C48" i="15"/>
  <c r="M48" i="15" s="1"/>
  <c r="C32" i="15"/>
  <c r="M32" i="15" s="1"/>
  <c r="C16" i="15"/>
  <c r="M16" i="15" s="1"/>
  <c r="C116" i="15"/>
  <c r="M116" i="15" s="1"/>
  <c r="C134" i="15"/>
  <c r="M134" i="15" s="1"/>
  <c r="C118" i="15"/>
  <c r="M118" i="15" s="1"/>
  <c r="C103" i="15"/>
  <c r="C87" i="15"/>
  <c r="M87" i="15" s="1"/>
  <c r="C71" i="15"/>
  <c r="M71" i="15" s="1"/>
  <c r="C55" i="15"/>
  <c r="M55" i="15" s="1"/>
  <c r="C39" i="15"/>
  <c r="M39" i="15" s="1"/>
  <c r="C23" i="15"/>
  <c r="M23" i="15" s="1"/>
  <c r="C7" i="15"/>
  <c r="M7" i="15" s="1"/>
  <c r="C124" i="15"/>
  <c r="M124" i="15" s="1"/>
  <c r="C81" i="15"/>
  <c r="M81" i="15" s="1"/>
  <c r="C53" i="15"/>
  <c r="M53" i="15" s="1"/>
  <c r="C13" i="15"/>
  <c r="M13" i="15" s="1"/>
  <c r="C129" i="15"/>
  <c r="M129" i="15" s="1"/>
  <c r="C113" i="15"/>
  <c r="M113" i="15" s="1"/>
  <c r="C98" i="15"/>
  <c r="M98" i="15" s="1"/>
  <c r="C82" i="15"/>
  <c r="M82" i="15" s="1"/>
  <c r="C66" i="15"/>
  <c r="M66" i="15" s="1"/>
  <c r="C50" i="15"/>
  <c r="M50" i="15" s="1"/>
  <c r="C34" i="15"/>
  <c r="M34" i="15" s="1"/>
  <c r="C18" i="15"/>
  <c r="M18" i="15" s="1"/>
  <c r="D2" i="15"/>
  <c r="C108" i="15"/>
  <c r="M108" i="15" s="1"/>
  <c r="C73" i="15"/>
  <c r="M73" i="15" s="1"/>
  <c r="C37" i="15"/>
  <c r="M37" i="15" s="1"/>
  <c r="C137" i="15"/>
  <c r="M137" i="15" s="1"/>
  <c r="C131" i="15"/>
  <c r="M131" i="15" s="1"/>
  <c r="C20" i="15"/>
  <c r="M20" i="15" s="1"/>
  <c r="C122" i="15"/>
  <c r="M122" i="15" s="1"/>
  <c r="C75" i="15"/>
  <c r="M75" i="15" s="1"/>
  <c r="C11" i="15"/>
  <c r="M11" i="15" s="1"/>
  <c r="C61" i="15"/>
  <c r="M61" i="15" s="1"/>
  <c r="C138" i="15"/>
  <c r="M138" i="15" s="1"/>
  <c r="C123" i="15"/>
  <c r="M123" i="15" s="1"/>
  <c r="C107" i="15"/>
  <c r="M107" i="15" s="1"/>
  <c r="C92" i="15"/>
  <c r="M92" i="15" s="1"/>
  <c r="C76" i="15"/>
  <c r="M76" i="15" s="1"/>
  <c r="C60" i="15"/>
  <c r="M60" i="15" s="1"/>
  <c r="C44" i="15"/>
  <c r="M44" i="15" s="1"/>
  <c r="C28" i="15"/>
  <c r="M28" i="15" s="1"/>
  <c r="C12" i="15"/>
  <c r="M12" i="15" s="1"/>
  <c r="C45" i="15"/>
  <c r="M45" i="15" s="1"/>
  <c r="C130" i="15"/>
  <c r="M130" i="15" s="1"/>
  <c r="C114" i="15"/>
  <c r="M114" i="15" s="1"/>
  <c r="C99" i="15"/>
  <c r="M99" i="15" s="1"/>
  <c r="C83" i="15"/>
  <c r="M83" i="15" s="1"/>
  <c r="C67" i="15"/>
  <c r="M67" i="15" s="1"/>
  <c r="C51" i="15"/>
  <c r="M51" i="15" s="1"/>
  <c r="C35" i="15"/>
  <c r="M35" i="15" s="1"/>
  <c r="C19" i="15"/>
  <c r="M19" i="15" s="1"/>
  <c r="C3" i="15"/>
  <c r="M3" i="15" s="1"/>
  <c r="C112" i="15"/>
  <c r="M112" i="15" s="1"/>
  <c r="C77" i="15"/>
  <c r="M77" i="15" s="1"/>
  <c r="C41" i="15"/>
  <c r="M41" i="15" s="1"/>
  <c r="C2" i="15"/>
  <c r="M2" i="15" s="1"/>
  <c r="C125" i="15"/>
  <c r="M125" i="15" s="1"/>
  <c r="C109" i="15"/>
  <c r="M109" i="15" s="1"/>
  <c r="C94" i="15"/>
  <c r="M94" i="15" s="1"/>
  <c r="C78" i="15"/>
  <c r="M78" i="15" s="1"/>
  <c r="C62" i="15"/>
  <c r="M62" i="15" s="1"/>
  <c r="C46" i="15"/>
  <c r="M46" i="15" s="1"/>
  <c r="C30" i="15"/>
  <c r="M30" i="15" s="1"/>
  <c r="C14" i="15"/>
  <c r="M14" i="15" s="1"/>
  <c r="L9" i="14"/>
  <c r="C97" i="15"/>
  <c r="M97" i="15" s="1"/>
  <c r="C65" i="15"/>
  <c r="M65" i="15" s="1"/>
  <c r="C29" i="15"/>
  <c r="M29" i="15" s="1"/>
  <c r="C115" i="15"/>
  <c r="M115" i="15" s="1"/>
  <c r="C100" i="15"/>
  <c r="M100" i="15" s="1"/>
  <c r="C68" i="15"/>
  <c r="M68" i="15" s="1"/>
  <c r="C36" i="15"/>
  <c r="M36" i="15" s="1"/>
  <c r="C5" i="15"/>
  <c r="M5" i="15" s="1"/>
  <c r="C91" i="15"/>
  <c r="M91" i="15" s="1"/>
  <c r="C43" i="15"/>
  <c r="M43" i="15" s="1"/>
  <c r="C132" i="15"/>
  <c r="M132" i="15" s="1"/>
  <c r="C135" i="15"/>
  <c r="M135" i="15" s="1"/>
  <c r="C119" i="15"/>
  <c r="M119" i="15" s="1"/>
  <c r="C104" i="15"/>
  <c r="M104" i="15" s="1"/>
  <c r="C88" i="15"/>
  <c r="M88" i="15" s="1"/>
  <c r="C72" i="15"/>
  <c r="M72" i="15" s="1"/>
  <c r="C56" i="15"/>
  <c r="M56" i="15" s="1"/>
  <c r="C40" i="15"/>
  <c r="M40" i="15" s="1"/>
  <c r="C24" i="15"/>
  <c r="M24" i="15" s="1"/>
  <c r="C8" i="15"/>
  <c r="M8" i="15" s="1"/>
  <c r="C21" i="15"/>
  <c r="M21" i="15" s="1"/>
  <c r="C126" i="15"/>
  <c r="M126" i="15" s="1"/>
  <c r="C110" i="15"/>
  <c r="M110" i="15" s="1"/>
  <c r="C95" i="15"/>
  <c r="M95" i="15" s="1"/>
  <c r="C79" i="15"/>
  <c r="M79" i="15" s="1"/>
  <c r="C63" i="15"/>
  <c r="M63" i="15" s="1"/>
  <c r="C47" i="15"/>
  <c r="M47" i="15" s="1"/>
  <c r="C31" i="15"/>
  <c r="M31" i="15" s="1"/>
  <c r="C15" i="15"/>
  <c r="M15" i="15" s="1"/>
  <c r="C136" i="15"/>
  <c r="M136" i="15" s="1"/>
  <c r="C101" i="15"/>
  <c r="M101" i="15" s="1"/>
  <c r="C69" i="15"/>
  <c r="M69" i="15" s="1"/>
  <c r="C33" i="15"/>
  <c r="M33" i="15" s="1"/>
  <c r="C139" i="15"/>
  <c r="C121" i="15"/>
  <c r="M121" i="15" s="1"/>
  <c r="C105" i="15"/>
  <c r="M105" i="15" s="1"/>
  <c r="C90" i="15"/>
  <c r="M90" i="15" s="1"/>
  <c r="C74" i="15"/>
  <c r="M74" i="15" s="1"/>
  <c r="C58" i="15"/>
  <c r="M58" i="15" s="1"/>
  <c r="C42" i="15"/>
  <c r="M42" i="15" s="1"/>
  <c r="C26" i="15"/>
  <c r="M26" i="15" s="1"/>
  <c r="C10" i="15"/>
  <c r="M10" i="15" s="1"/>
  <c r="C128" i="15"/>
  <c r="M128" i="15" s="1"/>
  <c r="C93" i="15"/>
  <c r="M93" i="15" s="1"/>
  <c r="C57" i="15"/>
  <c r="M57" i="15" s="1"/>
  <c r="C17" i="15"/>
  <c r="M17" i="15" s="1"/>
  <c r="C84" i="15"/>
  <c r="M84" i="15" s="1"/>
  <c r="C52" i="15"/>
  <c r="M52" i="15" s="1"/>
  <c r="C4" i="15"/>
  <c r="M4" i="15" s="1"/>
  <c r="C106" i="15"/>
  <c r="M106" i="15" s="1"/>
  <c r="C59" i="15"/>
  <c r="M59" i="15" s="1"/>
  <c r="C27" i="15"/>
  <c r="M27" i="15" s="1"/>
  <c r="C89" i="15"/>
  <c r="M89" i="15" s="1"/>
  <c r="C25" i="15"/>
  <c r="M25" i="15" s="1"/>
  <c r="C86" i="15"/>
  <c r="M86" i="15" s="1"/>
  <c r="C22" i="15"/>
  <c r="M22" i="15" s="1"/>
  <c r="C49" i="15"/>
  <c r="M49" i="15" s="1"/>
  <c r="F118" i="15"/>
  <c r="D118" i="15" s="1"/>
  <c r="K118" i="15" s="1"/>
  <c r="F112" i="15"/>
  <c r="F125" i="15"/>
  <c r="D125" i="15" s="1"/>
  <c r="K125" i="15" s="1"/>
  <c r="F135" i="15"/>
  <c r="C102" i="15"/>
  <c r="M102" i="15" s="1"/>
  <c r="F111" i="15"/>
  <c r="C133" i="15"/>
  <c r="M133" i="15" s="1"/>
  <c r="C70" i="15"/>
  <c r="M70" i="15" s="1"/>
  <c r="C6" i="15"/>
  <c r="M6" i="15" s="1"/>
  <c r="C9" i="15"/>
  <c r="M9" i="15" s="1"/>
  <c r="F132" i="15"/>
  <c r="F117" i="15"/>
  <c r="C38" i="15"/>
  <c r="M38" i="15" s="1"/>
  <c r="C117" i="15"/>
  <c r="M117" i="15" s="1"/>
  <c r="C54" i="15"/>
  <c r="M54" i="15" s="1"/>
  <c r="C120" i="15"/>
  <c r="M120" i="15" s="1"/>
  <c r="C85" i="15"/>
  <c r="M85" i="15" s="1"/>
  <c r="F126" i="15"/>
  <c r="F133" i="15"/>
  <c r="D133" i="15" s="1"/>
  <c r="K133" i="15" s="1"/>
  <c r="F115" i="15"/>
  <c r="F128" i="15"/>
  <c r="F121" i="15"/>
  <c r="D121" i="15" s="1"/>
  <c r="K121" i="15" s="1"/>
  <c r="F134" i="15"/>
  <c r="F127" i="15"/>
  <c r="F105" i="15"/>
  <c r="F130" i="15"/>
  <c r="D130" i="15" s="1"/>
  <c r="K130" i="15" s="1"/>
  <c r="F123" i="15"/>
  <c r="F136" i="15"/>
  <c r="F114" i="15"/>
  <c r="F109" i="15"/>
  <c r="F120" i="15"/>
  <c r="F104" i="15"/>
  <c r="F124" i="15"/>
  <c r="D124" i="15" s="1"/>
  <c r="K124" i="15" s="1"/>
  <c r="F107" i="15"/>
  <c r="D107" i="15" s="1"/>
  <c r="K107" i="15" s="1"/>
  <c r="F131" i="15"/>
  <c r="F113" i="15"/>
  <c r="F137" i="15"/>
  <c r="D137" i="15" s="1"/>
  <c r="K137" i="15" s="1"/>
  <c r="F119" i="15"/>
  <c r="F138" i="15"/>
  <c r="F116" i="15"/>
  <c r="F108" i="15"/>
  <c r="F122" i="15"/>
  <c r="F106" i="15"/>
  <c r="F129" i="15"/>
  <c r="F110" i="15"/>
  <c r="E247" i="15"/>
  <c r="D247" i="15"/>
  <c r="K247" i="15" s="1"/>
  <c r="C247" i="15"/>
  <c r="M247" i="15" s="1"/>
  <c r="F248" i="15"/>
  <c r="B249" i="15"/>
  <c r="B244" i="11"/>
  <c r="B245" i="11" s="1"/>
  <c r="B246" i="11" s="1"/>
  <c r="D243" i="11"/>
  <c r="E243" i="11"/>
  <c r="C13" i="1"/>
  <c r="F9" i="7"/>
  <c r="F5" i="7"/>
  <c r="B18" i="1"/>
  <c r="B11" i="1"/>
  <c r="L9" i="1"/>
  <c r="P11" i="1"/>
  <c r="H7" i="1" l="1"/>
  <c r="F25" i="12"/>
  <c r="F26" i="12" s="1"/>
  <c r="H10" i="14"/>
  <c r="H10" i="1"/>
  <c r="G122" i="11" s="1"/>
  <c r="I122" i="11" s="1"/>
  <c r="K44" i="13"/>
  <c r="D116" i="15"/>
  <c r="K116" i="15" s="1"/>
  <c r="D127" i="15"/>
  <c r="K127" i="15" s="1"/>
  <c r="D115" i="15"/>
  <c r="K115" i="15" s="1"/>
  <c r="D135" i="15"/>
  <c r="K135" i="15" s="1"/>
  <c r="D129" i="15"/>
  <c r="K129" i="15" s="1"/>
  <c r="D104" i="15"/>
  <c r="K104" i="15" s="1"/>
  <c r="D136" i="15"/>
  <c r="K136" i="15" s="1"/>
  <c r="D106" i="15"/>
  <c r="K106" i="15" s="1"/>
  <c r="D123" i="15"/>
  <c r="K123" i="15" s="1"/>
  <c r="D126" i="15"/>
  <c r="K126" i="15" s="1"/>
  <c r="F245" i="11"/>
  <c r="E245" i="11" s="1"/>
  <c r="D112" i="15"/>
  <c r="K112" i="15" s="1"/>
  <c r="D114" i="15"/>
  <c r="K114" i="15" s="1"/>
  <c r="D105" i="15"/>
  <c r="K105" i="15" s="1"/>
  <c r="F244" i="11"/>
  <c r="D244" i="11" s="1"/>
  <c r="D110" i="15"/>
  <c r="K110" i="15" s="1"/>
  <c r="D108" i="15"/>
  <c r="K108" i="15" s="1"/>
  <c r="D128" i="15"/>
  <c r="K128" i="15" s="1"/>
  <c r="D113" i="15"/>
  <c r="K113" i="15" s="1"/>
  <c r="D117" i="15"/>
  <c r="K117" i="15" s="1"/>
  <c r="D131" i="15"/>
  <c r="K131" i="15" s="1"/>
  <c r="D132" i="15"/>
  <c r="K132" i="15" s="1"/>
  <c r="D138" i="15"/>
  <c r="K138" i="15" s="1"/>
  <c r="D120" i="15"/>
  <c r="K120" i="15" s="1"/>
  <c r="D134" i="15"/>
  <c r="K134" i="15" s="1"/>
  <c r="D122" i="15"/>
  <c r="K122" i="15" s="1"/>
  <c r="D119" i="15"/>
  <c r="K119" i="15" s="1"/>
  <c r="D109" i="15"/>
  <c r="K109" i="15" s="1"/>
  <c r="D111" i="15"/>
  <c r="K111" i="15" s="1"/>
  <c r="M103" i="15"/>
  <c r="F103" i="15"/>
  <c r="M69" i="11"/>
  <c r="C140" i="15"/>
  <c r="M139" i="15"/>
  <c r="F139" i="15"/>
  <c r="D139" i="15" s="1"/>
  <c r="K139" i="15" s="1"/>
  <c r="K2" i="15"/>
  <c r="D3" i="15"/>
  <c r="F2" i="15"/>
  <c r="F249" i="15"/>
  <c r="B250" i="15"/>
  <c r="E248" i="15"/>
  <c r="D248" i="15"/>
  <c r="K248" i="15" s="1"/>
  <c r="C248" i="15"/>
  <c r="M248" i="15" s="1"/>
  <c r="D3" i="11"/>
  <c r="D4" i="11" s="1"/>
  <c r="C243" i="11"/>
  <c r="P12" i="1"/>
  <c r="K243" i="11" s="1"/>
  <c r="M2" i="11"/>
  <c r="M135" i="11"/>
  <c r="M134" i="11"/>
  <c r="M122" i="11"/>
  <c r="M85" i="11"/>
  <c r="M128" i="11"/>
  <c r="M141" i="11"/>
  <c r="C142" i="11"/>
  <c r="F141" i="11"/>
  <c r="D141" i="11" s="1"/>
  <c r="M127" i="11"/>
  <c r="M129" i="11"/>
  <c r="M139" i="11"/>
  <c r="M121" i="11"/>
  <c r="M72" i="11"/>
  <c r="M77" i="11"/>
  <c r="M78" i="11"/>
  <c r="M103" i="11"/>
  <c r="M99" i="11"/>
  <c r="M95" i="11"/>
  <c r="M91" i="11"/>
  <c r="M87" i="11"/>
  <c r="M75" i="11"/>
  <c r="M59" i="11"/>
  <c r="M43" i="11"/>
  <c r="M28" i="11"/>
  <c r="M24" i="11"/>
  <c r="M20" i="11"/>
  <c r="M50" i="11"/>
  <c r="M34" i="11"/>
  <c r="M61" i="11"/>
  <c r="M45" i="11"/>
  <c r="M29" i="11"/>
  <c r="M56" i="11"/>
  <c r="M40" i="11"/>
  <c r="M11" i="11"/>
  <c r="M10" i="11"/>
  <c r="M140" i="11"/>
  <c r="M137" i="11"/>
  <c r="M132" i="11"/>
  <c r="M80" i="11"/>
  <c r="F138" i="11"/>
  <c r="D138" i="11" s="1"/>
  <c r="F136" i="11"/>
  <c r="D136" i="11" s="1"/>
  <c r="F134" i="11"/>
  <c r="D134" i="11" s="1"/>
  <c r="F132" i="11"/>
  <c r="D132" i="11" s="1"/>
  <c r="F130" i="11"/>
  <c r="D130" i="11" s="1"/>
  <c r="F127" i="11"/>
  <c r="D127" i="11" s="1"/>
  <c r="F123" i="11"/>
  <c r="D123" i="11" s="1"/>
  <c r="F120" i="11"/>
  <c r="D120" i="11" s="1"/>
  <c r="F119" i="11"/>
  <c r="D119" i="11" s="1"/>
  <c r="F117" i="11"/>
  <c r="D117" i="11" s="1"/>
  <c r="F115" i="11"/>
  <c r="D115" i="11" s="1"/>
  <c r="F113" i="11"/>
  <c r="D113" i="11" s="1"/>
  <c r="F111" i="11"/>
  <c r="D111" i="11" s="1"/>
  <c r="F109" i="11"/>
  <c r="D109" i="11" s="1"/>
  <c r="F107" i="11"/>
  <c r="D107" i="11" s="1"/>
  <c r="F105" i="11"/>
  <c r="D105" i="11" s="1"/>
  <c r="F137" i="11"/>
  <c r="D137" i="11" s="1"/>
  <c r="F133" i="11"/>
  <c r="D133" i="11" s="1"/>
  <c r="F129" i="11"/>
  <c r="D129" i="11" s="1"/>
  <c r="F126" i="11"/>
  <c r="D126" i="11" s="1"/>
  <c r="F122" i="11"/>
  <c r="D122" i="11" s="1"/>
  <c r="F139" i="11"/>
  <c r="D139" i="11" s="1"/>
  <c r="F125" i="11"/>
  <c r="D125" i="11" s="1"/>
  <c r="F121" i="11"/>
  <c r="D121" i="11" s="1"/>
  <c r="F118" i="11"/>
  <c r="D118" i="11" s="1"/>
  <c r="F116" i="11"/>
  <c r="D116" i="11" s="1"/>
  <c r="F114" i="11"/>
  <c r="D114" i="11" s="1"/>
  <c r="F112" i="11"/>
  <c r="D112" i="11" s="1"/>
  <c r="F110" i="11"/>
  <c r="D110" i="11" s="1"/>
  <c r="F108" i="11"/>
  <c r="D108" i="11" s="1"/>
  <c r="F106" i="11"/>
  <c r="D106" i="11" s="1"/>
  <c r="F104" i="11"/>
  <c r="D104" i="11" s="1"/>
  <c r="F103" i="11"/>
  <c r="D103" i="11" s="1"/>
  <c r="F135" i="11"/>
  <c r="D135" i="11" s="1"/>
  <c r="F131" i="11"/>
  <c r="D131" i="11" s="1"/>
  <c r="F128" i="11"/>
  <c r="D128" i="11" s="1"/>
  <c r="F124" i="11"/>
  <c r="D124" i="11" s="1"/>
  <c r="M119" i="11"/>
  <c r="M117" i="11"/>
  <c r="M115" i="11"/>
  <c r="M113" i="11"/>
  <c r="M111" i="11"/>
  <c r="M109" i="11"/>
  <c r="M107" i="11"/>
  <c r="M105" i="11"/>
  <c r="M118" i="11"/>
  <c r="M116" i="11"/>
  <c r="M114" i="11"/>
  <c r="M112" i="11"/>
  <c r="M110" i="11"/>
  <c r="M108" i="11"/>
  <c r="M106" i="11"/>
  <c r="M104" i="11"/>
  <c r="M13" i="11"/>
  <c r="H108" i="11"/>
  <c r="H121" i="11"/>
  <c r="H115" i="11"/>
  <c r="H107" i="11"/>
  <c r="M124" i="11"/>
  <c r="M138" i="11"/>
  <c r="M123" i="11"/>
  <c r="M126" i="11"/>
  <c r="M136" i="11"/>
  <c r="M84" i="11"/>
  <c r="M68" i="11"/>
  <c r="M73" i="11"/>
  <c r="M74" i="11"/>
  <c r="M102" i="11"/>
  <c r="M98" i="11"/>
  <c r="M94" i="11"/>
  <c r="M90" i="11"/>
  <c r="M86" i="11"/>
  <c r="M71" i="11"/>
  <c r="M55" i="11"/>
  <c r="M39" i="11"/>
  <c r="M27" i="11"/>
  <c r="M23" i="11"/>
  <c r="M19" i="11"/>
  <c r="M62" i="11"/>
  <c r="M46" i="11"/>
  <c r="M30" i="11"/>
  <c r="M57" i="11"/>
  <c r="M41" i="11"/>
  <c r="M15" i="11"/>
  <c r="M52" i="11"/>
  <c r="M36" i="11"/>
  <c r="M7" i="11"/>
  <c r="M6" i="11"/>
  <c r="M12" i="11"/>
  <c r="M70" i="11"/>
  <c r="M101" i="11"/>
  <c r="M97" i="11"/>
  <c r="M93" i="11"/>
  <c r="M89" i="11"/>
  <c r="M83" i="11"/>
  <c r="M67" i="11"/>
  <c r="M51" i="11"/>
  <c r="M35" i="11"/>
  <c r="M26" i="11"/>
  <c r="M22" i="11"/>
  <c r="M18" i="11"/>
  <c r="M58" i="11"/>
  <c r="M42" i="11"/>
  <c r="M14" i="11"/>
  <c r="M53" i="11"/>
  <c r="M37" i="11"/>
  <c r="M64" i="11"/>
  <c r="M48" i="11"/>
  <c r="M32" i="11"/>
  <c r="M3" i="11"/>
  <c r="M9" i="11"/>
  <c r="M8" i="11"/>
  <c r="F246" i="11"/>
  <c r="B247" i="11"/>
  <c r="M131" i="11"/>
  <c r="F140" i="11"/>
  <c r="D140" i="11" s="1"/>
  <c r="M130" i="11"/>
  <c r="M133" i="11"/>
  <c r="M120" i="11"/>
  <c r="M125" i="11"/>
  <c r="M76" i="11"/>
  <c r="M81" i="11"/>
  <c r="M82" i="11"/>
  <c r="M66" i="11"/>
  <c r="M100" i="11"/>
  <c r="M96" i="11"/>
  <c r="M92" i="11"/>
  <c r="M88" i="11"/>
  <c r="M79" i="11"/>
  <c r="M63" i="11"/>
  <c r="M47" i="11"/>
  <c r="M31" i="11"/>
  <c r="M25" i="11"/>
  <c r="M21" i="11"/>
  <c r="M17" i="11"/>
  <c r="M54" i="11"/>
  <c r="M38" i="11"/>
  <c r="M65" i="11"/>
  <c r="M49" i="11"/>
  <c r="M33" i="11"/>
  <c r="M60" i="11"/>
  <c r="M44" i="11"/>
  <c r="M16" i="11"/>
  <c r="F2" i="11"/>
  <c r="M5" i="11"/>
  <c r="M4" i="11"/>
  <c r="L16" i="1"/>
  <c r="D8" i="7"/>
  <c r="F8" i="7" s="1"/>
  <c r="D6" i="7"/>
  <c r="F6" i="7" s="1"/>
  <c r="G111" i="11" l="1"/>
  <c r="I111" i="11" s="1"/>
  <c r="G104" i="11"/>
  <c r="I104" i="11" s="1"/>
  <c r="H116" i="11"/>
  <c r="J116" i="11" s="1"/>
  <c r="G119" i="11"/>
  <c r="I119" i="11" s="1"/>
  <c r="G112" i="11"/>
  <c r="I112" i="11" s="1"/>
  <c r="G123" i="11"/>
  <c r="P13" i="1"/>
  <c r="G109" i="11"/>
  <c r="I109" i="11" s="1"/>
  <c r="G117" i="11"/>
  <c r="I117" i="11" s="1"/>
  <c r="H105" i="11"/>
  <c r="H113" i="11"/>
  <c r="J113" i="11" s="1"/>
  <c r="G103" i="11"/>
  <c r="I103" i="11" s="1"/>
  <c r="G110" i="11"/>
  <c r="I110" i="11" s="1"/>
  <c r="G118" i="11"/>
  <c r="I118" i="11" s="1"/>
  <c r="L118" i="11" s="1"/>
  <c r="H106" i="11"/>
  <c r="J106" i="11" s="1"/>
  <c r="H114" i="11"/>
  <c r="G121" i="11"/>
  <c r="I121" i="11" s="1"/>
  <c r="B8" i="7"/>
  <c r="B7" i="7" s="1"/>
  <c r="D7" i="7" s="1"/>
  <c r="F7" i="7" s="1"/>
  <c r="D245" i="11"/>
  <c r="K245" i="11" s="1"/>
  <c r="G105" i="11"/>
  <c r="I105" i="11" s="1"/>
  <c r="G113" i="11"/>
  <c r="I113" i="11" s="1"/>
  <c r="H120" i="11"/>
  <c r="H109" i="11"/>
  <c r="J109" i="11" s="1"/>
  <c r="H117" i="11"/>
  <c r="G106" i="11"/>
  <c r="I106" i="11" s="1"/>
  <c r="G114" i="11"/>
  <c r="I114" i="11" s="1"/>
  <c r="L114" i="11" s="1"/>
  <c r="H103" i="11"/>
  <c r="H110" i="11"/>
  <c r="H118" i="11"/>
  <c r="G120" i="11"/>
  <c r="I120" i="11" s="1"/>
  <c r="L120" i="11" s="1"/>
  <c r="G107" i="11"/>
  <c r="I107" i="11" s="1"/>
  <c r="L107" i="11" s="1"/>
  <c r="G115" i="11"/>
  <c r="I115" i="11" s="1"/>
  <c r="H123" i="11"/>
  <c r="H111" i="11"/>
  <c r="H119" i="11"/>
  <c r="J119" i="11" s="1"/>
  <c r="G108" i="11"/>
  <c r="I108" i="11" s="1"/>
  <c r="G116" i="11"/>
  <c r="I116" i="11" s="1"/>
  <c r="H104" i="11"/>
  <c r="J104" i="11" s="1"/>
  <c r="H112" i="11"/>
  <c r="J112" i="11" s="1"/>
  <c r="H122" i="11"/>
  <c r="J122" i="11" s="1"/>
  <c r="E244" i="11"/>
  <c r="C245" i="11"/>
  <c r="F28" i="12"/>
  <c r="F27" i="12"/>
  <c r="K48" i="13" s="1"/>
  <c r="C9" i="13"/>
  <c r="G103" i="13" s="1"/>
  <c r="G73" i="13"/>
  <c r="F21" i="13"/>
  <c r="G74" i="13"/>
  <c r="F68" i="12"/>
  <c r="F23" i="13"/>
  <c r="F67" i="12"/>
  <c r="H115" i="15"/>
  <c r="H107" i="15"/>
  <c r="G122" i="15"/>
  <c r="I122" i="15" s="1"/>
  <c r="L122" i="15" s="1"/>
  <c r="N122" i="15" s="1"/>
  <c r="R122" i="15" s="1"/>
  <c r="H109" i="15"/>
  <c r="G123" i="15"/>
  <c r="H106" i="15"/>
  <c r="H117" i="15"/>
  <c r="H119" i="15"/>
  <c r="H114" i="15"/>
  <c r="P14" i="14"/>
  <c r="H104" i="15"/>
  <c r="H118" i="15"/>
  <c r="H120" i="15"/>
  <c r="H116" i="15"/>
  <c r="G108" i="15"/>
  <c r="I108" i="15" s="1"/>
  <c r="L108" i="15" s="1"/>
  <c r="N108" i="15" s="1"/>
  <c r="H122" i="15"/>
  <c r="H111" i="15"/>
  <c r="G120" i="15"/>
  <c r="I120" i="15" s="1"/>
  <c r="L120" i="15" s="1"/>
  <c r="N120" i="15" s="1"/>
  <c r="R120" i="15" s="1"/>
  <c r="G117" i="15"/>
  <c r="I117" i="15" s="1"/>
  <c r="L117" i="15" s="1"/>
  <c r="N117" i="15" s="1"/>
  <c r="R117" i="15" s="1"/>
  <c r="H112" i="15"/>
  <c r="G106" i="15"/>
  <c r="I106" i="15" s="1"/>
  <c r="L106" i="15" s="1"/>
  <c r="N106" i="15" s="1"/>
  <c r="P106" i="15" s="1"/>
  <c r="G118" i="15"/>
  <c r="I118" i="15" s="1"/>
  <c r="L118" i="15" s="1"/>
  <c r="N118" i="15" s="1"/>
  <c r="R118" i="15" s="1"/>
  <c r="G115" i="15"/>
  <c r="I115" i="15" s="1"/>
  <c r="L115" i="15" s="1"/>
  <c r="N115" i="15" s="1"/>
  <c r="R115" i="15" s="1"/>
  <c r="H108" i="15"/>
  <c r="G103" i="15"/>
  <c r="I103" i="15" s="1"/>
  <c r="L103" i="15" s="1"/>
  <c r="G121" i="15"/>
  <c r="I121" i="15" s="1"/>
  <c r="L121" i="15" s="1"/>
  <c r="N121" i="15" s="1"/>
  <c r="P121" i="15" s="1"/>
  <c r="G104" i="15"/>
  <c r="I104" i="15" s="1"/>
  <c r="L104" i="15" s="1"/>
  <c r="N104" i="15" s="1"/>
  <c r="P104" i="15" s="1"/>
  <c r="G114" i="15"/>
  <c r="I114" i="15" s="1"/>
  <c r="L114" i="15" s="1"/>
  <c r="N114" i="15" s="1"/>
  <c r="H103" i="15"/>
  <c r="G112" i="15"/>
  <c r="I112" i="15" s="1"/>
  <c r="L112" i="15" s="1"/>
  <c r="N112" i="15" s="1"/>
  <c r="R112" i="15" s="1"/>
  <c r="G109" i="15"/>
  <c r="I109" i="15" s="1"/>
  <c r="L109" i="15" s="1"/>
  <c r="N109" i="15" s="1"/>
  <c r="P109" i="15" s="1"/>
  <c r="G105" i="15"/>
  <c r="I105" i="15" s="1"/>
  <c r="L105" i="15" s="1"/>
  <c r="N105" i="15" s="1"/>
  <c r="R105" i="15" s="1"/>
  <c r="G119" i="15"/>
  <c r="I119" i="15" s="1"/>
  <c r="L119" i="15" s="1"/>
  <c r="N119" i="15" s="1"/>
  <c r="G110" i="15"/>
  <c r="I110" i="15" s="1"/>
  <c r="L110" i="15" s="1"/>
  <c r="N110" i="15" s="1"/>
  <c r="R110" i="15" s="1"/>
  <c r="G107" i="15"/>
  <c r="I107" i="15" s="1"/>
  <c r="L107" i="15" s="1"/>
  <c r="N107" i="15" s="1"/>
  <c r="P107" i="15" s="1"/>
  <c r="H113" i="15"/>
  <c r="G116" i="15"/>
  <c r="I116" i="15" s="1"/>
  <c r="L116" i="15" s="1"/>
  <c r="N116" i="15" s="1"/>
  <c r="P116" i="15" s="1"/>
  <c r="G113" i="15"/>
  <c r="I113" i="15" s="1"/>
  <c r="L113" i="15" s="1"/>
  <c r="N113" i="15" s="1"/>
  <c r="P113" i="15" s="1"/>
  <c r="H105" i="15"/>
  <c r="G111" i="15"/>
  <c r="I111" i="15" s="1"/>
  <c r="L111" i="15" s="1"/>
  <c r="N111" i="15" s="1"/>
  <c r="R111" i="15" s="1"/>
  <c r="H123" i="15"/>
  <c r="H121" i="15"/>
  <c r="J121" i="15" s="1"/>
  <c r="O121" i="15" s="1"/>
  <c r="T121" i="15" s="1"/>
  <c r="U121" i="15" s="1"/>
  <c r="P13" i="14"/>
  <c r="H110" i="15"/>
  <c r="B5" i="7"/>
  <c r="B9" i="7" s="1"/>
  <c r="K108" i="11"/>
  <c r="K109" i="11"/>
  <c r="K103" i="11"/>
  <c r="G104" i="10" s="1"/>
  <c r="K110" i="11"/>
  <c r="K111" i="11"/>
  <c r="P14" i="1"/>
  <c r="C244" i="11"/>
  <c r="M244" i="11" s="1"/>
  <c r="K104" i="11"/>
  <c r="G105" i="10" s="1"/>
  <c r="K113" i="11"/>
  <c r="K112" i="11"/>
  <c r="K105" i="11"/>
  <c r="G106" i="10" s="1"/>
  <c r="K106" i="11"/>
  <c r="K114" i="11"/>
  <c r="K107" i="11"/>
  <c r="K115" i="11"/>
  <c r="K244" i="11"/>
  <c r="F3" i="11"/>
  <c r="F3" i="15"/>
  <c r="D4" i="15"/>
  <c r="K3" i="15"/>
  <c r="O2" i="15"/>
  <c r="N2" i="15"/>
  <c r="M140" i="15"/>
  <c r="C141" i="15"/>
  <c r="F140" i="15"/>
  <c r="D140" i="15" s="1"/>
  <c r="K140" i="15" s="1"/>
  <c r="D103" i="15"/>
  <c r="K103" i="15" s="1"/>
  <c r="K135" i="11"/>
  <c r="K116" i="11"/>
  <c r="K133" i="11"/>
  <c r="K117" i="11"/>
  <c r="K127" i="11"/>
  <c r="K136" i="11"/>
  <c r="K124" i="11"/>
  <c r="K118" i="11"/>
  <c r="K122" i="11"/>
  <c r="K137" i="11"/>
  <c r="K119" i="11"/>
  <c r="K130" i="11"/>
  <c r="K128" i="11"/>
  <c r="K121" i="11"/>
  <c r="K126" i="11"/>
  <c r="K120" i="11"/>
  <c r="K132" i="11"/>
  <c r="K131" i="11"/>
  <c r="K125" i="11"/>
  <c r="K129" i="11"/>
  <c r="K123" i="11"/>
  <c r="K134" i="11"/>
  <c r="K140" i="11"/>
  <c r="G141" i="10" s="1"/>
  <c r="K139" i="11"/>
  <c r="G140" i="10" s="1"/>
  <c r="K141" i="11"/>
  <c r="P118" i="15"/>
  <c r="F250" i="15"/>
  <c r="B251" i="15"/>
  <c r="C249" i="15"/>
  <c r="M249" i="15" s="1"/>
  <c r="E249" i="15"/>
  <c r="D249" i="15"/>
  <c r="K249" i="15" s="1"/>
  <c r="L103" i="11"/>
  <c r="L110" i="11"/>
  <c r="L108" i="11"/>
  <c r="M243" i="11"/>
  <c r="L109" i="11"/>
  <c r="L117" i="11"/>
  <c r="K138" i="11"/>
  <c r="O18" i="1"/>
  <c r="K2" i="11"/>
  <c r="O2" i="11" s="1"/>
  <c r="Q2" i="11" s="1"/>
  <c r="J121" i="11"/>
  <c r="L106" i="11"/>
  <c r="L113" i="11"/>
  <c r="L105" i="11"/>
  <c r="L116" i="11"/>
  <c r="L121" i="11"/>
  <c r="K3" i="11"/>
  <c r="N3" i="11" s="1"/>
  <c r="L111" i="11"/>
  <c r="L119" i="11"/>
  <c r="L122" i="11"/>
  <c r="L115" i="11"/>
  <c r="J108" i="11"/>
  <c r="H137" i="11"/>
  <c r="H135" i="11"/>
  <c r="H133" i="11"/>
  <c r="H131" i="11"/>
  <c r="H129" i="11"/>
  <c r="H138" i="11"/>
  <c r="H134" i="11"/>
  <c r="H130" i="11"/>
  <c r="H126" i="11"/>
  <c r="H125" i="11"/>
  <c r="H136" i="11"/>
  <c r="H132" i="11"/>
  <c r="H128" i="11"/>
  <c r="H124" i="11"/>
  <c r="H127" i="11"/>
  <c r="G138" i="11"/>
  <c r="G132" i="11"/>
  <c r="I132" i="11" s="1"/>
  <c r="L132" i="11" s="1"/>
  <c r="G130" i="11"/>
  <c r="I130" i="11" s="1"/>
  <c r="L130" i="11" s="1"/>
  <c r="G124" i="11"/>
  <c r="I124" i="11" s="1"/>
  <c r="L124" i="11" s="1"/>
  <c r="I123" i="11"/>
  <c r="L123" i="11" s="1"/>
  <c r="G133" i="11"/>
  <c r="I133" i="11" s="1"/>
  <c r="L133" i="11" s="1"/>
  <c r="G131" i="11"/>
  <c r="I131" i="11" s="1"/>
  <c r="L131" i="11" s="1"/>
  <c r="G125" i="11"/>
  <c r="I125" i="11" s="1"/>
  <c r="L125" i="11" s="1"/>
  <c r="M245" i="11"/>
  <c r="C246" i="11"/>
  <c r="M246" i="11" s="1"/>
  <c r="E246" i="11"/>
  <c r="D246" i="11"/>
  <c r="K246" i="11" s="1"/>
  <c r="J105" i="11"/>
  <c r="J117" i="11"/>
  <c r="L104" i="11"/>
  <c r="L112" i="11"/>
  <c r="J110" i="11"/>
  <c r="F4" i="11"/>
  <c r="D5" i="11"/>
  <c r="K4" i="11"/>
  <c r="G5" i="10" s="1"/>
  <c r="F247" i="11"/>
  <c r="B248" i="11"/>
  <c r="J111" i="11"/>
  <c r="J115" i="11"/>
  <c r="C143" i="11"/>
  <c r="F142" i="11"/>
  <c r="D142" i="11" s="1"/>
  <c r="K142" i="11" s="1"/>
  <c r="M142" i="11"/>
  <c r="J123" i="11" l="1"/>
  <c r="O123" i="11" s="1"/>
  <c r="Q123" i="11" s="1"/>
  <c r="G135" i="11"/>
  <c r="I135" i="11" s="1"/>
  <c r="L135" i="11" s="1"/>
  <c r="G134" i="11"/>
  <c r="I134" i="11" s="1"/>
  <c r="L134" i="11" s="1"/>
  <c r="N134" i="11" s="1"/>
  <c r="R134" i="11" s="1"/>
  <c r="G129" i="11"/>
  <c r="I129" i="11" s="1"/>
  <c r="L129" i="11" s="1"/>
  <c r="N129" i="11" s="1"/>
  <c r="P129" i="11" s="1"/>
  <c r="G137" i="11"/>
  <c r="I137" i="11" s="1"/>
  <c r="L137" i="11" s="1"/>
  <c r="N137" i="11" s="1"/>
  <c r="R137" i="11" s="1"/>
  <c r="G128" i="11"/>
  <c r="I128" i="11" s="1"/>
  <c r="L128" i="11" s="1"/>
  <c r="G136" i="11"/>
  <c r="I136" i="11" s="1"/>
  <c r="L136" i="11" s="1"/>
  <c r="N136" i="11" s="1"/>
  <c r="P136" i="11" s="1"/>
  <c r="J114" i="11"/>
  <c r="O114" i="11" s="1"/>
  <c r="Q114" i="11" s="1"/>
  <c r="G127" i="11"/>
  <c r="I127" i="11" s="1"/>
  <c r="L127" i="11" s="1"/>
  <c r="N127" i="11" s="1"/>
  <c r="R127" i="11" s="1"/>
  <c r="G126" i="11"/>
  <c r="I126" i="11" s="1"/>
  <c r="L126" i="11" s="1"/>
  <c r="J107" i="11"/>
  <c r="J120" i="11"/>
  <c r="O120" i="11" s="1"/>
  <c r="Q120" i="11" s="1"/>
  <c r="J118" i="11"/>
  <c r="O118" i="11" s="1"/>
  <c r="Q118" i="11" s="1"/>
  <c r="P115" i="15"/>
  <c r="J108" i="15"/>
  <c r="O108" i="15" s="1"/>
  <c r="Q108" i="15" s="1"/>
  <c r="J122" i="15"/>
  <c r="O122" i="15" s="1"/>
  <c r="Q122" i="15" s="1"/>
  <c r="R121" i="15"/>
  <c r="P120" i="15"/>
  <c r="J110" i="15"/>
  <c r="O110" i="15" s="1"/>
  <c r="S110" i="15" s="1"/>
  <c r="J105" i="15"/>
  <c r="O105" i="15" s="1"/>
  <c r="S105" i="15" s="1"/>
  <c r="J120" i="15"/>
  <c r="O120" i="15" s="1"/>
  <c r="Q120" i="15" s="1"/>
  <c r="J111" i="15"/>
  <c r="O111" i="15" s="1"/>
  <c r="Q111" i="15" s="1"/>
  <c r="J114" i="15"/>
  <c r="O114" i="15" s="1"/>
  <c r="S114" i="15" s="1"/>
  <c r="J115" i="15"/>
  <c r="O115" i="15" s="1"/>
  <c r="T115" i="15" s="1"/>
  <c r="U115" i="15" s="1"/>
  <c r="R106" i="15"/>
  <c r="F72" i="12"/>
  <c r="P114" i="15"/>
  <c r="R114" i="15"/>
  <c r="P108" i="15"/>
  <c r="R108" i="15"/>
  <c r="R119" i="15"/>
  <c r="P119" i="15"/>
  <c r="P110" i="15"/>
  <c r="R116" i="15"/>
  <c r="J113" i="15"/>
  <c r="O113" i="15" s="1"/>
  <c r="Q113" i="15" s="1"/>
  <c r="J112" i="15"/>
  <c r="O112" i="15" s="1"/>
  <c r="S112" i="15" s="1"/>
  <c r="J118" i="15"/>
  <c r="O118" i="15" s="1"/>
  <c r="J119" i="15"/>
  <c r="O119" i="15" s="1"/>
  <c r="J109" i="15"/>
  <c r="O109" i="15" s="1"/>
  <c r="S109" i="15" s="1"/>
  <c r="H132" i="15"/>
  <c r="H130" i="15"/>
  <c r="H125" i="15"/>
  <c r="J123" i="15"/>
  <c r="H129" i="15"/>
  <c r="H126" i="15"/>
  <c r="H124" i="15"/>
  <c r="H131" i="15"/>
  <c r="H134" i="15"/>
  <c r="H127" i="15"/>
  <c r="H135" i="15"/>
  <c r="H133" i="15"/>
  <c r="H137" i="15"/>
  <c r="H136" i="15"/>
  <c r="H138" i="15"/>
  <c r="H128" i="15"/>
  <c r="J104" i="15"/>
  <c r="O104" i="15" s="1"/>
  <c r="S104" i="15" s="1"/>
  <c r="J117" i="15"/>
  <c r="O117" i="15" s="1"/>
  <c r="Q117" i="15" s="1"/>
  <c r="G137" i="15"/>
  <c r="I137" i="15" s="1"/>
  <c r="L137" i="15" s="1"/>
  <c r="N137" i="15" s="1"/>
  <c r="G126" i="15"/>
  <c r="I126" i="15" s="1"/>
  <c r="L126" i="15" s="1"/>
  <c r="N126" i="15" s="1"/>
  <c r="R126" i="15" s="1"/>
  <c r="G132" i="15"/>
  <c r="I132" i="15" s="1"/>
  <c r="L132" i="15" s="1"/>
  <c r="N132" i="15" s="1"/>
  <c r="P132" i="15" s="1"/>
  <c r="G133" i="15"/>
  <c r="I133" i="15" s="1"/>
  <c r="L133" i="15" s="1"/>
  <c r="N133" i="15" s="1"/>
  <c r="P133" i="15" s="1"/>
  <c r="G125" i="15"/>
  <c r="I125" i="15" s="1"/>
  <c r="L125" i="15" s="1"/>
  <c r="N125" i="15" s="1"/>
  <c r="R125" i="15" s="1"/>
  <c r="G130" i="15"/>
  <c r="I130" i="15" s="1"/>
  <c r="L130" i="15" s="1"/>
  <c r="N130" i="15" s="1"/>
  <c r="R130" i="15" s="1"/>
  <c r="G124" i="15"/>
  <c r="I124" i="15" s="1"/>
  <c r="L124" i="15" s="1"/>
  <c r="N124" i="15" s="1"/>
  <c r="G129" i="15"/>
  <c r="I129" i="15" s="1"/>
  <c r="L129" i="15" s="1"/>
  <c r="N129" i="15" s="1"/>
  <c r="P129" i="15" s="1"/>
  <c r="G138" i="15"/>
  <c r="G128" i="15"/>
  <c r="I128" i="15" s="1"/>
  <c r="L128" i="15" s="1"/>
  <c r="N128" i="15" s="1"/>
  <c r="R128" i="15" s="1"/>
  <c r="I123" i="15"/>
  <c r="L123" i="15" s="1"/>
  <c r="G136" i="15"/>
  <c r="I136" i="15" s="1"/>
  <c r="L136" i="15" s="1"/>
  <c r="G134" i="15"/>
  <c r="I134" i="15" s="1"/>
  <c r="L134" i="15" s="1"/>
  <c r="N134" i="15" s="1"/>
  <c r="R134" i="15" s="1"/>
  <c r="G131" i="15"/>
  <c r="I131" i="15" s="1"/>
  <c r="L131" i="15" s="1"/>
  <c r="N131" i="15" s="1"/>
  <c r="R131" i="15" s="1"/>
  <c r="G135" i="15"/>
  <c r="I135" i="15" s="1"/>
  <c r="L135" i="15" s="1"/>
  <c r="G127" i="15"/>
  <c r="I127" i="15" s="1"/>
  <c r="L127" i="15" s="1"/>
  <c r="N127" i="15" s="1"/>
  <c r="P127" i="15" s="1"/>
  <c r="J116" i="15"/>
  <c r="O116" i="15" s="1"/>
  <c r="T116" i="15" s="1"/>
  <c r="U116" i="15" s="1"/>
  <c r="J106" i="15"/>
  <c r="O106" i="15" s="1"/>
  <c r="J107" i="15"/>
  <c r="O107" i="15" s="1"/>
  <c r="T107" i="15" s="1"/>
  <c r="U107" i="15" s="1"/>
  <c r="R104" i="15"/>
  <c r="N110" i="11"/>
  <c r="R110" i="11" s="1"/>
  <c r="N105" i="11"/>
  <c r="R105" i="11" s="1"/>
  <c r="N111" i="11"/>
  <c r="R111" i="11" s="1"/>
  <c r="N106" i="11"/>
  <c r="R106" i="11" s="1"/>
  <c r="N108" i="11"/>
  <c r="R108" i="11" s="1"/>
  <c r="P111" i="15"/>
  <c r="P112" i="15"/>
  <c r="O103" i="11"/>
  <c r="S103" i="11" s="1"/>
  <c r="C104" i="10" s="1"/>
  <c r="N109" i="11"/>
  <c r="R109" i="11" s="1"/>
  <c r="P105" i="15"/>
  <c r="N115" i="11"/>
  <c r="R115" i="11" s="1"/>
  <c r="P122" i="15"/>
  <c r="N114" i="11"/>
  <c r="R114" i="11" s="1"/>
  <c r="P117" i="15"/>
  <c r="N113" i="11"/>
  <c r="R113" i="11" s="1"/>
  <c r="N107" i="11"/>
  <c r="R107" i="11" s="1"/>
  <c r="R107" i="15"/>
  <c r="Q121" i="15"/>
  <c r="S121" i="15"/>
  <c r="N116" i="11"/>
  <c r="P116" i="11" s="1"/>
  <c r="N128" i="11"/>
  <c r="R128" i="11" s="1"/>
  <c r="O122" i="11"/>
  <c r="S122" i="11" s="1"/>
  <c r="R113" i="15"/>
  <c r="N119" i="11"/>
  <c r="R119" i="11" s="1"/>
  <c r="N125" i="11"/>
  <c r="R125" i="11" s="1"/>
  <c r="N133" i="11"/>
  <c r="R133" i="11" s="1"/>
  <c r="N124" i="11"/>
  <c r="P124" i="11" s="1"/>
  <c r="N120" i="11"/>
  <c r="R120" i="11" s="1"/>
  <c r="N117" i="11"/>
  <c r="R117" i="11" s="1"/>
  <c r="R109" i="15"/>
  <c r="N130" i="11"/>
  <c r="P130" i="11" s="1"/>
  <c r="N126" i="11"/>
  <c r="R126" i="11" s="1"/>
  <c r="N118" i="11"/>
  <c r="R118" i="11" s="1"/>
  <c r="O103" i="15"/>
  <c r="N135" i="11"/>
  <c r="R135" i="11" s="1"/>
  <c r="T2" i="15"/>
  <c r="U2" i="15" s="1"/>
  <c r="Q2" i="15"/>
  <c r="S2" i="15"/>
  <c r="C142" i="15"/>
  <c r="M141" i="15"/>
  <c r="F141" i="15"/>
  <c r="D141" i="15" s="1"/>
  <c r="K141" i="15" s="1"/>
  <c r="N3" i="15"/>
  <c r="O3" i="15"/>
  <c r="O110" i="11"/>
  <c r="Q110" i="11" s="1"/>
  <c r="D5" i="15"/>
  <c r="K4" i="15"/>
  <c r="F4" i="15"/>
  <c r="N103" i="15"/>
  <c r="P2" i="15"/>
  <c r="R2" i="15"/>
  <c r="N121" i="11"/>
  <c r="R121" i="11" s="1"/>
  <c r="R133" i="15"/>
  <c r="O105" i="11"/>
  <c r="Q105" i="11" s="1"/>
  <c r="O108" i="11"/>
  <c r="S108" i="11" s="1"/>
  <c r="O106" i="11"/>
  <c r="Q106" i="11" s="1"/>
  <c r="N103" i="11"/>
  <c r="R103" i="11" s="1"/>
  <c r="V140" i="11"/>
  <c r="V140" i="15"/>
  <c r="V139" i="11"/>
  <c r="V139" i="15"/>
  <c r="V4" i="11"/>
  <c r="V4" i="15"/>
  <c r="V104" i="11"/>
  <c r="V104" i="15"/>
  <c r="V105" i="11"/>
  <c r="V105" i="15"/>
  <c r="V103" i="11"/>
  <c r="V103" i="15"/>
  <c r="B252" i="15"/>
  <c r="F251" i="15"/>
  <c r="D250" i="15"/>
  <c r="K250" i="15" s="1"/>
  <c r="C250" i="15"/>
  <c r="M250" i="15" s="1"/>
  <c r="E250" i="15"/>
  <c r="O109" i="11"/>
  <c r="Q109" i="11" s="1"/>
  <c r="G3" i="10"/>
  <c r="N2" i="11"/>
  <c r="T2" i="11" s="1"/>
  <c r="U2" i="11" s="1"/>
  <c r="O117" i="11"/>
  <c r="Q117" i="11" s="1"/>
  <c r="R3" i="11"/>
  <c r="P3" i="11"/>
  <c r="G4" i="10"/>
  <c r="O3" i="11"/>
  <c r="Q3" i="11" s="1"/>
  <c r="O113" i="11"/>
  <c r="Q113" i="11" s="1"/>
  <c r="O112" i="11"/>
  <c r="Q112" i="11" s="1"/>
  <c r="O116" i="11"/>
  <c r="O121" i="11"/>
  <c r="N123" i="11"/>
  <c r="O111" i="11"/>
  <c r="O119" i="11"/>
  <c r="O107" i="11"/>
  <c r="N122" i="11"/>
  <c r="O104" i="11"/>
  <c r="J132" i="11"/>
  <c r="O132" i="11" s="1"/>
  <c r="O115" i="11"/>
  <c r="S2" i="11"/>
  <c r="G239" i="11"/>
  <c r="G237" i="11"/>
  <c r="I237" i="11" s="1"/>
  <c r="G235" i="11"/>
  <c r="I235" i="11" s="1"/>
  <c r="G233" i="11"/>
  <c r="I233" i="11" s="1"/>
  <c r="G231" i="11"/>
  <c r="I231" i="11" s="1"/>
  <c r="G229" i="11"/>
  <c r="I229" i="11" s="1"/>
  <c r="G227" i="11"/>
  <c r="I227" i="11" s="1"/>
  <c r="G238" i="11"/>
  <c r="I238" i="11" s="1"/>
  <c r="G234" i="11"/>
  <c r="I234" i="11" s="1"/>
  <c r="G228" i="11"/>
  <c r="I228" i="11" s="1"/>
  <c r="G225" i="11"/>
  <c r="I225" i="11" s="1"/>
  <c r="G223" i="11"/>
  <c r="I223" i="11" s="1"/>
  <c r="G221" i="11"/>
  <c r="I221" i="11" s="1"/>
  <c r="G236" i="11"/>
  <c r="I236" i="11" s="1"/>
  <c r="G230" i="11"/>
  <c r="I230" i="11" s="1"/>
  <c r="G232" i="11"/>
  <c r="I232" i="11" s="1"/>
  <c r="G226" i="11"/>
  <c r="I226" i="11" s="1"/>
  <c r="G222" i="11"/>
  <c r="I222" i="11" s="1"/>
  <c r="G219" i="11"/>
  <c r="I219" i="11" s="1"/>
  <c r="G215" i="11"/>
  <c r="I215" i="11" s="1"/>
  <c r="G213" i="11"/>
  <c r="I213" i="11" s="1"/>
  <c r="G218" i="11"/>
  <c r="I218" i="11" s="1"/>
  <c r="G214" i="11"/>
  <c r="I214" i="11" s="1"/>
  <c r="G209" i="11"/>
  <c r="I209" i="11" s="1"/>
  <c r="G207" i="11"/>
  <c r="I207" i="11" s="1"/>
  <c r="G205" i="11"/>
  <c r="I205" i="11" s="1"/>
  <c r="G203" i="11"/>
  <c r="I203" i="11" s="1"/>
  <c r="G201" i="11"/>
  <c r="I201" i="11" s="1"/>
  <c r="G199" i="11"/>
  <c r="I199" i="11" s="1"/>
  <c r="G197" i="11"/>
  <c r="I197" i="11" s="1"/>
  <c r="G195" i="11"/>
  <c r="I195" i="11" s="1"/>
  <c r="G193" i="11"/>
  <c r="I193" i="11" s="1"/>
  <c r="G224" i="11"/>
  <c r="I224" i="11" s="1"/>
  <c r="G220" i="11"/>
  <c r="I220" i="11" s="1"/>
  <c r="G217" i="11"/>
  <c r="I217" i="11" s="1"/>
  <c r="G212" i="11"/>
  <c r="I212" i="11" s="1"/>
  <c r="G216" i="11"/>
  <c r="I216" i="11" s="1"/>
  <c r="G211" i="11"/>
  <c r="I211" i="11" s="1"/>
  <c r="G210" i="11"/>
  <c r="I210" i="11" s="1"/>
  <c r="G208" i="11"/>
  <c r="I208" i="11" s="1"/>
  <c r="G206" i="11"/>
  <c r="I206" i="11" s="1"/>
  <c r="G204" i="11"/>
  <c r="I204" i="11" s="1"/>
  <c r="G202" i="11"/>
  <c r="I202" i="11" s="1"/>
  <c r="G200" i="11"/>
  <c r="I200" i="11" s="1"/>
  <c r="G198" i="11"/>
  <c r="I198" i="11" s="1"/>
  <c r="G196" i="11"/>
  <c r="I196" i="11" s="1"/>
  <c r="G191" i="11"/>
  <c r="I191" i="11" s="1"/>
  <c r="G189" i="11"/>
  <c r="I189" i="11" s="1"/>
  <c r="G187" i="11"/>
  <c r="I187" i="11" s="1"/>
  <c r="G185" i="11"/>
  <c r="I185" i="11" s="1"/>
  <c r="G183" i="11"/>
  <c r="I183" i="11" s="1"/>
  <c r="G181" i="11"/>
  <c r="I181" i="11" s="1"/>
  <c r="G179" i="11"/>
  <c r="I179" i="11" s="1"/>
  <c r="G177" i="11"/>
  <c r="I177" i="11" s="1"/>
  <c r="G175" i="11"/>
  <c r="I175" i="11" s="1"/>
  <c r="G173" i="11"/>
  <c r="I173" i="11" s="1"/>
  <c r="G171" i="11"/>
  <c r="I171" i="11" s="1"/>
  <c r="G169" i="11"/>
  <c r="I169" i="11" s="1"/>
  <c r="G167" i="11"/>
  <c r="I167" i="11" s="1"/>
  <c r="G165" i="11"/>
  <c r="I165" i="11" s="1"/>
  <c r="G163" i="11"/>
  <c r="I163" i="11" s="1"/>
  <c r="G161" i="11"/>
  <c r="I161" i="11" s="1"/>
  <c r="G159" i="11"/>
  <c r="I159" i="11" s="1"/>
  <c r="G157" i="11"/>
  <c r="I157" i="11" s="1"/>
  <c r="G155" i="11"/>
  <c r="I155" i="11" s="1"/>
  <c r="G153" i="11"/>
  <c r="I153" i="11" s="1"/>
  <c r="G151" i="11"/>
  <c r="I151" i="11" s="1"/>
  <c r="G194" i="11"/>
  <c r="I194" i="11" s="1"/>
  <c r="G192" i="11"/>
  <c r="I192" i="11" s="1"/>
  <c r="G190" i="11"/>
  <c r="I190" i="11" s="1"/>
  <c r="G188" i="11"/>
  <c r="I188" i="11" s="1"/>
  <c r="G186" i="11"/>
  <c r="I186" i="11" s="1"/>
  <c r="G184" i="11"/>
  <c r="I184" i="11" s="1"/>
  <c r="G182" i="11"/>
  <c r="I182" i="11" s="1"/>
  <c r="G180" i="11"/>
  <c r="I180" i="11" s="1"/>
  <c r="G178" i="11"/>
  <c r="I178" i="11" s="1"/>
  <c r="G176" i="11"/>
  <c r="I176" i="11" s="1"/>
  <c r="G174" i="11"/>
  <c r="I174" i="11" s="1"/>
  <c r="G172" i="11"/>
  <c r="I172" i="11" s="1"/>
  <c r="G170" i="11"/>
  <c r="I170" i="11" s="1"/>
  <c r="G168" i="11"/>
  <c r="I168" i="11" s="1"/>
  <c r="G166" i="11"/>
  <c r="I166" i="11" s="1"/>
  <c r="G164" i="11"/>
  <c r="I164" i="11" s="1"/>
  <c r="G162" i="11"/>
  <c r="I162" i="11" s="1"/>
  <c r="G160" i="11"/>
  <c r="I160" i="11" s="1"/>
  <c r="G158" i="11"/>
  <c r="I158" i="11" s="1"/>
  <c r="G156" i="11"/>
  <c r="I156" i="11" s="1"/>
  <c r="G154" i="11"/>
  <c r="I154" i="11" s="1"/>
  <c r="G150" i="11"/>
  <c r="I150" i="11" s="1"/>
  <c r="G148" i="11"/>
  <c r="I148" i="11" s="1"/>
  <c r="G146" i="11"/>
  <c r="I146" i="11" s="1"/>
  <c r="G144" i="11"/>
  <c r="I144" i="11" s="1"/>
  <c r="G142" i="11"/>
  <c r="I142" i="11" s="1"/>
  <c r="L142" i="11" s="1"/>
  <c r="G140" i="11"/>
  <c r="I140" i="11" s="1"/>
  <c r="L140" i="11" s="1"/>
  <c r="G152" i="11"/>
  <c r="I152" i="11" s="1"/>
  <c r="G149" i="11"/>
  <c r="I149" i="11" s="1"/>
  <c r="G147" i="11"/>
  <c r="I147" i="11" s="1"/>
  <c r="G145" i="11"/>
  <c r="I145" i="11" s="1"/>
  <c r="G143" i="11"/>
  <c r="I143" i="11" s="1"/>
  <c r="G141" i="11"/>
  <c r="I141" i="11" s="1"/>
  <c r="L141" i="11" s="1"/>
  <c r="G139" i="11"/>
  <c r="I139" i="11" s="1"/>
  <c r="L139" i="11" s="1"/>
  <c r="I138" i="11"/>
  <c r="L138" i="11" s="1"/>
  <c r="J130" i="11"/>
  <c r="O130" i="11" s="1"/>
  <c r="Q130" i="11" s="1"/>
  <c r="J131" i="11"/>
  <c r="O131" i="11" s="1"/>
  <c r="Q131" i="11" s="1"/>
  <c r="D247" i="11"/>
  <c r="K247" i="11" s="1"/>
  <c r="C247" i="11"/>
  <c r="M247" i="11" s="1"/>
  <c r="E247" i="11"/>
  <c r="N132" i="11"/>
  <c r="J134" i="11"/>
  <c r="J133" i="11"/>
  <c r="O133" i="11" s="1"/>
  <c r="Q133" i="11" s="1"/>
  <c r="O4" i="11"/>
  <c r="Q4" i="11" s="1"/>
  <c r="N4" i="11"/>
  <c r="N131" i="11"/>
  <c r="N112" i="11"/>
  <c r="J124" i="11"/>
  <c r="O124" i="11" s="1"/>
  <c r="Q124" i="11" s="1"/>
  <c r="J125" i="11"/>
  <c r="O125" i="11" s="1"/>
  <c r="Q125" i="11" s="1"/>
  <c r="H239" i="11"/>
  <c r="H246" i="11" s="1"/>
  <c r="H237" i="11"/>
  <c r="H235" i="11"/>
  <c r="H233" i="11"/>
  <c r="H231" i="11"/>
  <c r="H229" i="11"/>
  <c r="H227" i="11"/>
  <c r="H238" i="11"/>
  <c r="H236" i="11"/>
  <c r="H234" i="11"/>
  <c r="H228" i="11"/>
  <c r="H225" i="11"/>
  <c r="H223" i="11"/>
  <c r="H221" i="11"/>
  <c r="H219" i="11"/>
  <c r="H217" i="11"/>
  <c r="H215" i="11"/>
  <c r="H213" i="11"/>
  <c r="H211" i="11"/>
  <c r="H230" i="11"/>
  <c r="H232" i="11"/>
  <c r="H226" i="11"/>
  <c r="H224" i="11"/>
  <c r="H222" i="11"/>
  <c r="H220" i="11"/>
  <c r="H218" i="11"/>
  <c r="H216" i="11"/>
  <c r="H214" i="11"/>
  <c r="H209" i="11"/>
  <c r="H207" i="11"/>
  <c r="H205" i="11"/>
  <c r="H203" i="11"/>
  <c r="H201" i="11"/>
  <c r="H199" i="11"/>
  <c r="H197" i="11"/>
  <c r="H195" i="11"/>
  <c r="H193" i="11"/>
  <c r="H212" i="11"/>
  <c r="H210" i="11"/>
  <c r="H208" i="11"/>
  <c r="H206" i="11"/>
  <c r="H204" i="11"/>
  <c r="H202" i="11"/>
  <c r="H200" i="11"/>
  <c r="H198" i="11"/>
  <c r="H196" i="11"/>
  <c r="H194" i="11"/>
  <c r="H192" i="11"/>
  <c r="H190" i="11"/>
  <c r="H188" i="11"/>
  <c r="H186" i="11"/>
  <c r="H184" i="11"/>
  <c r="H182" i="11"/>
  <c r="H180" i="11"/>
  <c r="H178" i="11"/>
  <c r="H176" i="11"/>
  <c r="H174" i="11"/>
  <c r="H172" i="11"/>
  <c r="H170" i="11"/>
  <c r="H168" i="11"/>
  <c r="H166" i="11"/>
  <c r="H164" i="11"/>
  <c r="H162" i="11"/>
  <c r="H191" i="11"/>
  <c r="H189" i="11"/>
  <c r="H187" i="11"/>
  <c r="H185" i="11"/>
  <c r="H183" i="11"/>
  <c r="H181" i="11"/>
  <c r="H179" i="11"/>
  <c r="H177" i="11"/>
  <c r="H175" i="11"/>
  <c r="H173" i="11"/>
  <c r="H171" i="11"/>
  <c r="H169" i="11"/>
  <c r="H161" i="11"/>
  <c r="H159" i="11"/>
  <c r="H157" i="11"/>
  <c r="H155" i="11"/>
  <c r="H152" i="11"/>
  <c r="H163" i="11"/>
  <c r="H149" i="11"/>
  <c r="H147" i="11"/>
  <c r="H145" i="11"/>
  <c r="H143" i="11"/>
  <c r="H141" i="11"/>
  <c r="H139" i="11"/>
  <c r="J138" i="11"/>
  <c r="H165" i="11"/>
  <c r="H160" i="11"/>
  <c r="H158" i="11"/>
  <c r="H156" i="11"/>
  <c r="H154" i="11"/>
  <c r="H153" i="11"/>
  <c r="H151" i="11"/>
  <c r="H167" i="11"/>
  <c r="H150" i="11"/>
  <c r="H148" i="11"/>
  <c r="H140" i="11"/>
  <c r="H142" i="11"/>
  <c r="H144" i="11"/>
  <c r="H146" i="11"/>
  <c r="J135" i="11"/>
  <c r="O135" i="11" s="1"/>
  <c r="Q135" i="11" s="1"/>
  <c r="B249" i="11"/>
  <c r="F248" i="11"/>
  <c r="M143" i="11"/>
  <c r="F143" i="11"/>
  <c r="D143" i="11" s="1"/>
  <c r="K143" i="11" s="1"/>
  <c r="C144" i="11"/>
  <c r="F5" i="11"/>
  <c r="D6" i="11"/>
  <c r="K5" i="11"/>
  <c r="G6" i="10" s="1"/>
  <c r="N104" i="11"/>
  <c r="J128" i="11"/>
  <c r="O128" i="11" s="1"/>
  <c r="Q128" i="11" s="1"/>
  <c r="J126" i="11"/>
  <c r="O126" i="11" s="1"/>
  <c r="Q126" i="11" s="1"/>
  <c r="J137" i="11"/>
  <c r="O137" i="11" s="1"/>
  <c r="Q137" i="11" s="1"/>
  <c r="G244" i="10"/>
  <c r="F3" i="10"/>
  <c r="G142" i="10"/>
  <c r="G245" i="10"/>
  <c r="G107" i="10"/>
  <c r="O134" i="11" l="1"/>
  <c r="Q134" i="11" s="1"/>
  <c r="J127" i="11"/>
  <c r="O127" i="11" s="1"/>
  <c r="Q127" i="11" s="1"/>
  <c r="J129" i="11"/>
  <c r="O129" i="11" s="1"/>
  <c r="Q129" i="11" s="1"/>
  <c r="T122" i="15"/>
  <c r="U122" i="15" s="1"/>
  <c r="J136" i="11"/>
  <c r="O136" i="11" s="1"/>
  <c r="Q136" i="11" s="1"/>
  <c r="T117" i="15"/>
  <c r="U117" i="15" s="1"/>
  <c r="S108" i="15"/>
  <c r="T110" i="15"/>
  <c r="U110" i="15" s="1"/>
  <c r="T108" i="15"/>
  <c r="U108" i="15" s="1"/>
  <c r="P108" i="11"/>
  <c r="Q110" i="15"/>
  <c r="S122" i="15"/>
  <c r="T111" i="15"/>
  <c r="U111" i="15" s="1"/>
  <c r="S111" i="15"/>
  <c r="T114" i="15"/>
  <c r="U114" i="15" s="1"/>
  <c r="Q114" i="15"/>
  <c r="S120" i="15"/>
  <c r="T120" i="15"/>
  <c r="U120" i="15" s="1"/>
  <c r="Q115" i="15"/>
  <c r="S115" i="15"/>
  <c r="T112" i="15"/>
  <c r="U112" i="15" s="1"/>
  <c r="R132" i="15"/>
  <c r="Q104" i="15"/>
  <c r="T105" i="15"/>
  <c r="U105" i="15" s="1"/>
  <c r="Q105" i="15"/>
  <c r="P130" i="15"/>
  <c r="T113" i="15"/>
  <c r="U113" i="15" s="1"/>
  <c r="P131" i="15"/>
  <c r="P126" i="15"/>
  <c r="T109" i="15"/>
  <c r="U109" i="15" s="1"/>
  <c r="P110" i="11"/>
  <c r="P128" i="15"/>
  <c r="S113" i="15"/>
  <c r="Q109" i="15"/>
  <c r="Q112" i="15"/>
  <c r="T104" i="15"/>
  <c r="U104" i="15" s="1"/>
  <c r="J135" i="15"/>
  <c r="O135" i="15" s="1"/>
  <c r="J124" i="15"/>
  <c r="O124" i="15" s="1"/>
  <c r="S124" i="15" s="1"/>
  <c r="Q103" i="11"/>
  <c r="R127" i="15"/>
  <c r="R129" i="15"/>
  <c r="S117" i="15"/>
  <c r="P134" i="15"/>
  <c r="S119" i="15"/>
  <c r="Q119" i="15"/>
  <c r="T119" i="15"/>
  <c r="U119" i="15" s="1"/>
  <c r="Q106" i="15"/>
  <c r="T106" i="15"/>
  <c r="U106" i="15" s="1"/>
  <c r="S106" i="15"/>
  <c r="P137" i="15"/>
  <c r="R137" i="15"/>
  <c r="J125" i="15"/>
  <c r="O125" i="15" s="1"/>
  <c r="Q116" i="15"/>
  <c r="N136" i="15"/>
  <c r="J136" i="15"/>
  <c r="O136" i="15" s="1"/>
  <c r="J127" i="15"/>
  <c r="O127" i="15" s="1"/>
  <c r="J126" i="15"/>
  <c r="O126" i="15" s="1"/>
  <c r="J130" i="15"/>
  <c r="O130" i="15" s="1"/>
  <c r="Q118" i="15"/>
  <c r="T118" i="15"/>
  <c r="U118" i="15" s="1"/>
  <c r="S118" i="15"/>
  <c r="P125" i="15"/>
  <c r="N135" i="15"/>
  <c r="O123" i="15"/>
  <c r="N123" i="15"/>
  <c r="P124" i="15"/>
  <c r="R124" i="15"/>
  <c r="J137" i="15"/>
  <c r="O137" i="15" s="1"/>
  <c r="J134" i="15"/>
  <c r="O134" i="15" s="1"/>
  <c r="J129" i="15"/>
  <c r="O129" i="15" s="1"/>
  <c r="J132" i="15"/>
  <c r="O132" i="15" s="1"/>
  <c r="G234" i="15"/>
  <c r="I234" i="15" s="1"/>
  <c r="G215" i="15"/>
  <c r="I215" i="15" s="1"/>
  <c r="G200" i="15"/>
  <c r="I200" i="15" s="1"/>
  <c r="G184" i="15"/>
  <c r="I184" i="15" s="1"/>
  <c r="G185" i="15"/>
  <c r="I185" i="15" s="1"/>
  <c r="G153" i="15"/>
  <c r="I153" i="15" s="1"/>
  <c r="G154" i="15"/>
  <c r="I154" i="15" s="1"/>
  <c r="G221" i="15"/>
  <c r="I221" i="15" s="1"/>
  <c r="G206" i="15"/>
  <c r="I206" i="15" s="1"/>
  <c r="G190" i="15"/>
  <c r="I190" i="15" s="1"/>
  <c r="G191" i="15"/>
  <c r="I191" i="15" s="1"/>
  <c r="G159" i="15"/>
  <c r="I159" i="15" s="1"/>
  <c r="G144" i="15"/>
  <c r="I144" i="15" s="1"/>
  <c r="G235" i="15"/>
  <c r="I235" i="15" s="1"/>
  <c r="G220" i="15"/>
  <c r="I220" i="15" s="1"/>
  <c r="G205" i="15"/>
  <c r="I205" i="15" s="1"/>
  <c r="G172" i="15"/>
  <c r="I172" i="15" s="1"/>
  <c r="G173" i="15"/>
  <c r="I173" i="15" s="1"/>
  <c r="G141" i="15"/>
  <c r="I141" i="15" s="1"/>
  <c r="L141" i="15" s="1"/>
  <c r="G228" i="15"/>
  <c r="I228" i="15" s="1"/>
  <c r="G179" i="15"/>
  <c r="I179" i="15" s="1"/>
  <c r="G155" i="15"/>
  <c r="I155" i="15" s="1"/>
  <c r="G170" i="15"/>
  <c r="I170" i="15" s="1"/>
  <c r="G217" i="15"/>
  <c r="I217" i="15" s="1"/>
  <c r="G225" i="15"/>
  <c r="I225" i="15" s="1"/>
  <c r="G163" i="15"/>
  <c r="I163" i="15" s="1"/>
  <c r="G239" i="15"/>
  <c r="G250" i="15" s="1"/>
  <c r="I250" i="15" s="1"/>
  <c r="L250" i="15" s="1"/>
  <c r="G224" i="15"/>
  <c r="I224" i="15" s="1"/>
  <c r="G209" i="15"/>
  <c r="I209" i="15" s="1"/>
  <c r="G176" i="15"/>
  <c r="I176" i="15" s="1"/>
  <c r="G177" i="15"/>
  <c r="I177" i="15" s="1"/>
  <c r="G145" i="15"/>
  <c r="I145" i="15" s="1"/>
  <c r="G232" i="15"/>
  <c r="I232" i="15" s="1"/>
  <c r="G213" i="15"/>
  <c r="I213" i="15" s="1"/>
  <c r="G198" i="15"/>
  <c r="I198" i="15" s="1"/>
  <c r="G182" i="15"/>
  <c r="I182" i="15" s="1"/>
  <c r="G183" i="15"/>
  <c r="I183" i="15" s="1"/>
  <c r="G151" i="15"/>
  <c r="I151" i="15" s="1"/>
  <c r="G150" i="15"/>
  <c r="I150" i="15" s="1"/>
  <c r="G227" i="15"/>
  <c r="I227" i="15" s="1"/>
  <c r="G212" i="15"/>
  <c r="I212" i="15" s="1"/>
  <c r="G197" i="15"/>
  <c r="I197" i="15" s="1"/>
  <c r="G164" i="15"/>
  <c r="I164" i="15" s="1"/>
  <c r="G165" i="15"/>
  <c r="I165" i="15" s="1"/>
  <c r="G156" i="15"/>
  <c r="I156" i="15" s="1"/>
  <c r="G226" i="15"/>
  <c r="I226" i="15" s="1"/>
  <c r="G147" i="15"/>
  <c r="I147" i="15" s="1"/>
  <c r="G233" i="15"/>
  <c r="I233" i="15" s="1"/>
  <c r="G171" i="15"/>
  <c r="I171" i="15" s="1"/>
  <c r="G202" i="15"/>
  <c r="I202" i="15" s="1"/>
  <c r="G210" i="15"/>
  <c r="I210" i="15" s="1"/>
  <c r="G152" i="15"/>
  <c r="I152" i="15" s="1"/>
  <c r="G231" i="15"/>
  <c r="I231" i="15" s="1"/>
  <c r="G216" i="15"/>
  <c r="I216" i="15" s="1"/>
  <c r="G201" i="15"/>
  <c r="I201" i="15" s="1"/>
  <c r="G168" i="15"/>
  <c r="I168" i="15" s="1"/>
  <c r="G169" i="15"/>
  <c r="I169" i="15" s="1"/>
  <c r="I138" i="15"/>
  <c r="L138" i="15" s="1"/>
  <c r="G237" i="15"/>
  <c r="I237" i="15" s="1"/>
  <c r="G222" i="15"/>
  <c r="I222" i="15" s="1"/>
  <c r="G207" i="15"/>
  <c r="I207" i="15" s="1"/>
  <c r="G174" i="15"/>
  <c r="I174" i="15" s="1"/>
  <c r="G175" i="15"/>
  <c r="I175" i="15" s="1"/>
  <c r="G143" i="15"/>
  <c r="I143" i="15" s="1"/>
  <c r="G238" i="15"/>
  <c r="I238" i="15" s="1"/>
  <c r="G219" i="15"/>
  <c r="I219" i="15" s="1"/>
  <c r="G204" i="15"/>
  <c r="I204" i="15" s="1"/>
  <c r="G188" i="15"/>
  <c r="I188" i="15" s="1"/>
  <c r="G189" i="15"/>
  <c r="I189" i="15" s="1"/>
  <c r="G157" i="15"/>
  <c r="I157" i="15" s="1"/>
  <c r="G140" i="15"/>
  <c r="I140" i="15" s="1"/>
  <c r="L140" i="15" s="1"/>
  <c r="G194" i="15"/>
  <c r="I194" i="15" s="1"/>
  <c r="G142" i="15"/>
  <c r="I142" i="15" s="1"/>
  <c r="G218" i="15"/>
  <c r="I218" i="15" s="1"/>
  <c r="G139" i="15"/>
  <c r="I139" i="15" s="1"/>
  <c r="L139" i="15" s="1"/>
  <c r="N139" i="15" s="1"/>
  <c r="G187" i="15"/>
  <c r="I187" i="15" s="1"/>
  <c r="G195" i="15"/>
  <c r="I195" i="15" s="1"/>
  <c r="G192" i="15"/>
  <c r="I192" i="15" s="1"/>
  <c r="G229" i="15"/>
  <c r="I229" i="15" s="1"/>
  <c r="G167" i="15"/>
  <c r="I167" i="15" s="1"/>
  <c r="G196" i="15"/>
  <c r="I196" i="15" s="1"/>
  <c r="G146" i="15"/>
  <c r="I146" i="15" s="1"/>
  <c r="G236" i="15"/>
  <c r="I236" i="15" s="1"/>
  <c r="G208" i="15"/>
  <c r="I208" i="15" s="1"/>
  <c r="G211" i="15"/>
  <c r="I211" i="15" s="1"/>
  <c r="G193" i="15"/>
  <c r="I193" i="15" s="1"/>
  <c r="G214" i="15"/>
  <c r="I214" i="15" s="1"/>
  <c r="G160" i="15"/>
  <c r="I160" i="15" s="1"/>
  <c r="G180" i="15"/>
  <c r="I180" i="15" s="1"/>
  <c r="G178" i="15"/>
  <c r="I178" i="15" s="1"/>
  <c r="G158" i="15"/>
  <c r="I158" i="15" s="1"/>
  <c r="G166" i="15"/>
  <c r="I166" i="15" s="1"/>
  <c r="G203" i="15"/>
  <c r="I203" i="15" s="1"/>
  <c r="G223" i="15"/>
  <c r="I223" i="15" s="1"/>
  <c r="G161" i="15"/>
  <c r="I161" i="15" s="1"/>
  <c r="G199" i="15"/>
  <c r="I199" i="15" s="1"/>
  <c r="G230" i="15"/>
  <c r="I230" i="15" s="1"/>
  <c r="G181" i="15"/>
  <c r="I181" i="15" s="1"/>
  <c r="G186" i="15"/>
  <c r="I186" i="15" s="1"/>
  <c r="G162" i="15"/>
  <c r="I162" i="15" s="1"/>
  <c r="G148" i="15"/>
  <c r="I148" i="15" s="1"/>
  <c r="G149" i="15"/>
  <c r="I149" i="15" s="1"/>
  <c r="H230" i="15"/>
  <c r="H210" i="15"/>
  <c r="H197" i="15"/>
  <c r="H164" i="15"/>
  <c r="H167" i="15"/>
  <c r="H156" i="15"/>
  <c r="H236" i="15"/>
  <c r="H220" i="15"/>
  <c r="H203" i="15"/>
  <c r="H170" i="15"/>
  <c r="H173" i="15"/>
  <c r="J138" i="15"/>
  <c r="H239" i="15"/>
  <c r="H250" i="15" s="1"/>
  <c r="H219" i="15"/>
  <c r="H198" i="15"/>
  <c r="H184" i="15"/>
  <c r="H187" i="15"/>
  <c r="H151" i="15"/>
  <c r="H144" i="15"/>
  <c r="J144" i="15" s="1"/>
  <c r="H190" i="15"/>
  <c r="J190" i="15" s="1"/>
  <c r="H232" i="15"/>
  <c r="H182" i="15"/>
  <c r="J182" i="15" s="1"/>
  <c r="H216" i="15"/>
  <c r="H158" i="15"/>
  <c r="H174" i="15"/>
  <c r="H238" i="15"/>
  <c r="H139" i="15"/>
  <c r="H212" i="15"/>
  <c r="H223" i="15"/>
  <c r="H202" i="15"/>
  <c r="H188" i="15"/>
  <c r="H191" i="15"/>
  <c r="H155" i="15"/>
  <c r="H148" i="15"/>
  <c r="H228" i="15"/>
  <c r="H208" i="15"/>
  <c r="H211" i="15"/>
  <c r="H195" i="15"/>
  <c r="H165" i="15"/>
  <c r="H154" i="15"/>
  <c r="H231" i="15"/>
  <c r="H226" i="15"/>
  <c r="H209" i="15"/>
  <c r="J209" i="15" s="1"/>
  <c r="H176" i="15"/>
  <c r="J176" i="15" s="1"/>
  <c r="H179" i="15"/>
  <c r="H143" i="15"/>
  <c r="J143" i="15" s="1"/>
  <c r="H161" i="15"/>
  <c r="H193" i="15"/>
  <c r="J193" i="15" s="1"/>
  <c r="H237" i="15"/>
  <c r="J237" i="15" s="1"/>
  <c r="H185" i="15"/>
  <c r="H199" i="15"/>
  <c r="H229" i="15"/>
  <c r="H177" i="15"/>
  <c r="J177" i="15" s="1"/>
  <c r="H205" i="15"/>
  <c r="J205" i="15" s="1"/>
  <c r="H175" i="15"/>
  <c r="H213" i="15"/>
  <c r="J213" i="15" s="1"/>
  <c r="H235" i="15"/>
  <c r="H215" i="15"/>
  <c r="H214" i="15"/>
  <c r="H180" i="15"/>
  <c r="H183" i="15"/>
  <c r="H147" i="15"/>
  <c r="H140" i="15"/>
  <c r="H221" i="15"/>
  <c r="H200" i="15"/>
  <c r="J200" i="15" s="1"/>
  <c r="H186" i="15"/>
  <c r="H189" i="15"/>
  <c r="J189" i="15" s="1"/>
  <c r="H153" i="15"/>
  <c r="J153" i="15" s="1"/>
  <c r="H146" i="15"/>
  <c r="H234" i="15"/>
  <c r="H218" i="15"/>
  <c r="H201" i="15"/>
  <c r="H168" i="15"/>
  <c r="H171" i="15"/>
  <c r="H160" i="15"/>
  <c r="H225" i="15"/>
  <c r="H157" i="15"/>
  <c r="H217" i="15"/>
  <c r="J217" i="15" s="1"/>
  <c r="H149" i="15"/>
  <c r="H166" i="15"/>
  <c r="H224" i="15"/>
  <c r="H141" i="15"/>
  <c r="H222" i="15"/>
  <c r="H172" i="15"/>
  <c r="H233" i="15"/>
  <c r="H145" i="15"/>
  <c r="J145" i="15" s="1"/>
  <c r="H192" i="15"/>
  <c r="H204" i="15"/>
  <c r="H169" i="15"/>
  <c r="H206" i="15"/>
  <c r="H162" i="15"/>
  <c r="H194" i="15"/>
  <c r="H150" i="15"/>
  <c r="J150" i="15" s="1"/>
  <c r="H207" i="15"/>
  <c r="H181" i="15"/>
  <c r="H142" i="15"/>
  <c r="H178" i="15"/>
  <c r="H227" i="15"/>
  <c r="J227" i="15" s="1"/>
  <c r="H159" i="15"/>
  <c r="H196" i="15"/>
  <c r="H163" i="15"/>
  <c r="H152" i="15"/>
  <c r="J152" i="15" s="1"/>
  <c r="S116" i="15"/>
  <c r="Q107" i="15"/>
  <c r="S107" i="15"/>
  <c r="J128" i="15"/>
  <c r="O128" i="15" s="1"/>
  <c r="J133" i="15"/>
  <c r="O133" i="15" s="1"/>
  <c r="J131" i="15"/>
  <c r="O131" i="15" s="1"/>
  <c r="P105" i="11"/>
  <c r="T111" i="11"/>
  <c r="U111" i="11" s="1"/>
  <c r="P111" i="11"/>
  <c r="P106" i="11"/>
  <c r="P114" i="11"/>
  <c r="P115" i="11"/>
  <c r="P109" i="11"/>
  <c r="F104" i="10"/>
  <c r="P107" i="11"/>
  <c r="P113" i="11"/>
  <c r="R130" i="11"/>
  <c r="R129" i="11"/>
  <c r="R136" i="11"/>
  <c r="R116" i="11"/>
  <c r="R124" i="11"/>
  <c r="P119" i="11"/>
  <c r="P128" i="11"/>
  <c r="P120" i="11"/>
  <c r="P137" i="11"/>
  <c r="P135" i="11"/>
  <c r="Q122" i="11"/>
  <c r="P121" i="11"/>
  <c r="P133" i="11"/>
  <c r="T106" i="11"/>
  <c r="U106" i="11" s="1"/>
  <c r="P125" i="11"/>
  <c r="S110" i="11"/>
  <c r="T110" i="11"/>
  <c r="U110" i="11" s="1"/>
  <c r="P126" i="11"/>
  <c r="P117" i="11"/>
  <c r="P127" i="11"/>
  <c r="S114" i="11"/>
  <c r="S123" i="11"/>
  <c r="P118" i="11"/>
  <c r="P134" i="11"/>
  <c r="Q103" i="15"/>
  <c r="S103" i="15"/>
  <c r="T114" i="11"/>
  <c r="U114" i="11" s="1"/>
  <c r="S106" i="11"/>
  <c r="C143" i="15"/>
  <c r="F142" i="15"/>
  <c r="M142" i="15"/>
  <c r="O4" i="15"/>
  <c r="N4" i="15"/>
  <c r="R3" i="15"/>
  <c r="P3" i="15"/>
  <c r="T103" i="15"/>
  <c r="U103" i="15" s="1"/>
  <c r="R103" i="15"/>
  <c r="P103" i="15"/>
  <c r="Q3" i="15"/>
  <c r="T3" i="15"/>
  <c r="U3" i="15" s="1"/>
  <c r="S3" i="15"/>
  <c r="F5" i="15"/>
  <c r="K5" i="15"/>
  <c r="D6" i="15"/>
  <c r="R2" i="11"/>
  <c r="S105" i="11"/>
  <c r="C106" i="10" s="1"/>
  <c r="F106" i="10"/>
  <c r="T105" i="11"/>
  <c r="U105" i="11" s="1"/>
  <c r="T103" i="11"/>
  <c r="U103" i="11" s="1"/>
  <c r="P103" i="11"/>
  <c r="S120" i="11"/>
  <c r="T108" i="11"/>
  <c r="U108" i="11" s="1"/>
  <c r="Q108" i="11"/>
  <c r="T120" i="11"/>
  <c r="U120" i="11" s="1"/>
  <c r="V243" i="11"/>
  <c r="V243" i="15"/>
  <c r="S118" i="11"/>
  <c r="V3" i="11"/>
  <c r="V3" i="15"/>
  <c r="V2" i="11"/>
  <c r="V2" i="15"/>
  <c r="V106" i="11"/>
  <c r="V106" i="15"/>
  <c r="T118" i="11"/>
  <c r="U118" i="11" s="1"/>
  <c r="V141" i="11"/>
  <c r="V141" i="15"/>
  <c r="V244" i="11"/>
  <c r="V244" i="15"/>
  <c r="V5" i="11"/>
  <c r="V5" i="15"/>
  <c r="E251" i="15"/>
  <c r="D251" i="15"/>
  <c r="K251" i="15" s="1"/>
  <c r="C251" i="15"/>
  <c r="M251" i="15" s="1"/>
  <c r="F252" i="15"/>
  <c r="B253" i="15"/>
  <c r="T109" i="11"/>
  <c r="U109" i="11" s="1"/>
  <c r="S109" i="11"/>
  <c r="P2" i="11"/>
  <c r="T117" i="11"/>
  <c r="U117" i="11" s="1"/>
  <c r="S117" i="11"/>
  <c r="S112" i="11"/>
  <c r="C3" i="10"/>
  <c r="S113" i="11"/>
  <c r="T113" i="11"/>
  <c r="U113" i="11" s="1"/>
  <c r="S3" i="11"/>
  <c r="F4" i="10"/>
  <c r="S121" i="11"/>
  <c r="Q121" i="11"/>
  <c r="T3" i="11"/>
  <c r="U3" i="11" s="1"/>
  <c r="S132" i="11"/>
  <c r="Q132" i="11"/>
  <c r="S119" i="11"/>
  <c r="Q119" i="11"/>
  <c r="S116" i="11"/>
  <c r="Q116" i="11"/>
  <c r="R4" i="11"/>
  <c r="P4" i="11"/>
  <c r="R112" i="11"/>
  <c r="P112" i="11"/>
  <c r="S104" i="11"/>
  <c r="Q104" i="11"/>
  <c r="S111" i="11"/>
  <c r="Q111" i="11"/>
  <c r="T107" i="11"/>
  <c r="U107" i="11" s="1"/>
  <c r="Q107" i="11"/>
  <c r="R104" i="11"/>
  <c r="P104" i="11"/>
  <c r="R131" i="11"/>
  <c r="P131" i="11"/>
  <c r="R132" i="11"/>
  <c r="P132" i="11"/>
  <c r="S115" i="11"/>
  <c r="Q115" i="11"/>
  <c r="R122" i="11"/>
  <c r="P122" i="11"/>
  <c r="R123" i="11"/>
  <c r="P123" i="11"/>
  <c r="T116" i="11"/>
  <c r="U116" i="11" s="1"/>
  <c r="S107" i="11"/>
  <c r="T122" i="11"/>
  <c r="U122" i="11" s="1"/>
  <c r="T121" i="11"/>
  <c r="U121" i="11" s="1"/>
  <c r="J161" i="11"/>
  <c r="J222" i="11"/>
  <c r="T123" i="11"/>
  <c r="U123" i="11" s="1"/>
  <c r="J145" i="11"/>
  <c r="J216" i="11"/>
  <c r="J147" i="11"/>
  <c r="T119" i="11"/>
  <c r="U119" i="11" s="1"/>
  <c r="J139" i="11"/>
  <c r="O139" i="11" s="1"/>
  <c r="Q139" i="11" s="1"/>
  <c r="J155" i="11"/>
  <c r="J224" i="11"/>
  <c r="F105" i="10"/>
  <c r="J142" i="11"/>
  <c r="O142" i="11" s="1"/>
  <c r="Q142" i="11" s="1"/>
  <c r="J168" i="11"/>
  <c r="J176" i="11"/>
  <c r="J184" i="11"/>
  <c r="J192" i="11"/>
  <c r="J195" i="11"/>
  <c r="J214" i="11"/>
  <c r="J230" i="11"/>
  <c r="J217" i="11"/>
  <c r="J225" i="11"/>
  <c r="J156" i="11"/>
  <c r="J175" i="11"/>
  <c r="J191" i="11"/>
  <c r="J167" i="11"/>
  <c r="J152" i="11"/>
  <c r="J183" i="11"/>
  <c r="J203" i="11"/>
  <c r="T115" i="11"/>
  <c r="U115" i="11" s="1"/>
  <c r="J173" i="11"/>
  <c r="J181" i="11"/>
  <c r="J189" i="11"/>
  <c r="J193" i="11"/>
  <c r="J201" i="11"/>
  <c r="J209" i="11"/>
  <c r="J232" i="11"/>
  <c r="J215" i="11"/>
  <c r="J223" i="11"/>
  <c r="J200" i="11"/>
  <c r="J208" i="11"/>
  <c r="J238" i="11"/>
  <c r="J233" i="11"/>
  <c r="J162" i="11"/>
  <c r="J170" i="11"/>
  <c r="J178" i="11"/>
  <c r="J186" i="11"/>
  <c r="J194" i="11"/>
  <c r="J158" i="11"/>
  <c r="J169" i="11"/>
  <c r="J140" i="11"/>
  <c r="O140" i="11" s="1"/>
  <c r="Q140" i="11" s="1"/>
  <c r="J177" i="11"/>
  <c r="J185" i="11"/>
  <c r="J197" i="11"/>
  <c r="J205" i="11"/>
  <c r="J211" i="11"/>
  <c r="J228" i="11"/>
  <c r="J148" i="11"/>
  <c r="J153" i="11"/>
  <c r="J196" i="11"/>
  <c r="J204" i="11"/>
  <c r="J218" i="11"/>
  <c r="J229" i="11"/>
  <c r="J237" i="11"/>
  <c r="J166" i="11"/>
  <c r="J174" i="11"/>
  <c r="J182" i="11"/>
  <c r="J190" i="11"/>
  <c r="J220" i="11"/>
  <c r="J236" i="11"/>
  <c r="J202" i="11"/>
  <c r="J210" i="11"/>
  <c r="J219" i="11"/>
  <c r="J227" i="11"/>
  <c r="J235" i="11"/>
  <c r="H3" i="10"/>
  <c r="J151" i="11"/>
  <c r="J146" i="11"/>
  <c r="J164" i="11"/>
  <c r="J172" i="11"/>
  <c r="J180" i="11"/>
  <c r="J188" i="11"/>
  <c r="J143" i="11"/>
  <c r="J159" i="11"/>
  <c r="S137" i="11"/>
  <c r="T137" i="11"/>
  <c r="U137" i="11" s="1"/>
  <c r="S125" i="11"/>
  <c r="T125" i="11"/>
  <c r="U125" i="11" s="1"/>
  <c r="S133" i="11"/>
  <c r="T133" i="11"/>
  <c r="U133" i="11" s="1"/>
  <c r="S129" i="11"/>
  <c r="T129" i="11"/>
  <c r="U129" i="11" s="1"/>
  <c r="S124" i="11"/>
  <c r="T124" i="11"/>
  <c r="U124" i="11" s="1"/>
  <c r="T134" i="11"/>
  <c r="U134" i="11" s="1"/>
  <c r="S134" i="11"/>
  <c r="S131" i="11"/>
  <c r="T131" i="11"/>
  <c r="U131" i="11" s="1"/>
  <c r="S135" i="11"/>
  <c r="T135" i="11"/>
  <c r="U135" i="11" s="1"/>
  <c r="S126" i="11"/>
  <c r="T126" i="11"/>
  <c r="U126" i="11" s="1"/>
  <c r="T4" i="11"/>
  <c r="S4" i="11"/>
  <c r="N139" i="11"/>
  <c r="I239" i="11"/>
  <c r="G243" i="11"/>
  <c r="I243" i="11" s="1"/>
  <c r="L243" i="11" s="1"/>
  <c r="G244" i="11"/>
  <c r="I244" i="11" s="1"/>
  <c r="L244" i="11" s="1"/>
  <c r="G245" i="11"/>
  <c r="I245" i="11" s="1"/>
  <c r="L245" i="11" s="1"/>
  <c r="T130" i="11"/>
  <c r="U130" i="11" s="1"/>
  <c r="S130" i="11"/>
  <c r="T128" i="11"/>
  <c r="U128" i="11" s="1"/>
  <c r="S128" i="11"/>
  <c r="F5" i="10"/>
  <c r="E248" i="11"/>
  <c r="D248" i="11"/>
  <c r="K248" i="11" s="1"/>
  <c r="C248" i="11"/>
  <c r="M248" i="11" s="1"/>
  <c r="J160" i="11"/>
  <c r="J141" i="11"/>
  <c r="O141" i="11" s="1"/>
  <c r="Q141" i="11" s="1"/>
  <c r="J149" i="11"/>
  <c r="J157" i="11"/>
  <c r="J171" i="11"/>
  <c r="J179" i="11"/>
  <c r="J187" i="11"/>
  <c r="J212" i="11"/>
  <c r="J199" i="11"/>
  <c r="J207" i="11"/>
  <c r="J226" i="11"/>
  <c r="J213" i="11"/>
  <c r="J221" i="11"/>
  <c r="J234" i="11"/>
  <c r="S127" i="11"/>
  <c r="T127" i="11"/>
  <c r="U127" i="11" s="1"/>
  <c r="T112" i="11"/>
  <c r="U112" i="11" s="1"/>
  <c r="L143" i="11"/>
  <c r="G246" i="11"/>
  <c r="I246" i="11" s="1"/>
  <c r="L246" i="11" s="1"/>
  <c r="O5" i="11"/>
  <c r="N5" i="11"/>
  <c r="P5" i="11" s="1"/>
  <c r="F6" i="11"/>
  <c r="D7" i="11"/>
  <c r="K6" i="11"/>
  <c r="T104" i="11"/>
  <c r="N141" i="11"/>
  <c r="T132" i="11"/>
  <c r="U132" i="11" s="1"/>
  <c r="C145" i="11"/>
  <c r="F144" i="11"/>
  <c r="D144" i="11" s="1"/>
  <c r="K144" i="11" s="1"/>
  <c r="M144" i="11"/>
  <c r="F249" i="11"/>
  <c r="B250" i="11"/>
  <c r="J144" i="11"/>
  <c r="J150" i="11"/>
  <c r="J154" i="11"/>
  <c r="J165" i="11"/>
  <c r="J163" i="11"/>
  <c r="J198" i="11"/>
  <c r="J206" i="11"/>
  <c r="J231" i="11"/>
  <c r="J239" i="11"/>
  <c r="H245" i="11"/>
  <c r="H244" i="11"/>
  <c r="N142" i="11"/>
  <c r="H247" i="11"/>
  <c r="G247" i="11"/>
  <c r="I247" i="11" s="1"/>
  <c r="L247" i="11" s="1"/>
  <c r="O138" i="11"/>
  <c r="Q138" i="11" s="1"/>
  <c r="N138" i="11"/>
  <c r="N140" i="11"/>
  <c r="G143" i="10"/>
  <c r="G246" i="10"/>
  <c r="G108" i="10"/>
  <c r="S136" i="11" l="1"/>
  <c r="T136" i="11"/>
  <c r="U136" i="11" s="1"/>
  <c r="J204" i="15"/>
  <c r="J201" i="15"/>
  <c r="J229" i="15"/>
  <c r="J154" i="15"/>
  <c r="J191" i="15"/>
  <c r="J158" i="15"/>
  <c r="J220" i="15"/>
  <c r="J164" i="15"/>
  <c r="J140" i="15"/>
  <c r="J214" i="15"/>
  <c r="J175" i="15"/>
  <c r="J161" i="15"/>
  <c r="J139" i="15"/>
  <c r="J198" i="15"/>
  <c r="J236" i="15"/>
  <c r="J141" i="15"/>
  <c r="O141" i="15" s="1"/>
  <c r="J186" i="15"/>
  <c r="J147" i="15"/>
  <c r="J170" i="15"/>
  <c r="J210" i="15"/>
  <c r="O139" i="15"/>
  <c r="T139" i="15" s="1"/>
  <c r="U139" i="15" s="1"/>
  <c r="J233" i="15"/>
  <c r="J224" i="15"/>
  <c r="J168" i="15"/>
  <c r="J187" i="15"/>
  <c r="T124" i="15"/>
  <c r="U124" i="15" s="1"/>
  <c r="Q124" i="15"/>
  <c r="J194" i="15"/>
  <c r="J166" i="15"/>
  <c r="J221" i="15"/>
  <c r="J208" i="15"/>
  <c r="J184" i="15"/>
  <c r="J159" i="15"/>
  <c r="J162" i="15"/>
  <c r="J222" i="15"/>
  <c r="J160" i="15"/>
  <c r="J199" i="15"/>
  <c r="J165" i="15"/>
  <c r="J228" i="15"/>
  <c r="J188" i="15"/>
  <c r="J181" i="15"/>
  <c r="J192" i="15"/>
  <c r="J149" i="15"/>
  <c r="J218" i="15"/>
  <c r="J216" i="15"/>
  <c r="J173" i="15"/>
  <c r="J197" i="15"/>
  <c r="J215" i="15"/>
  <c r="J226" i="15"/>
  <c r="J202" i="15"/>
  <c r="J151" i="15"/>
  <c r="J219" i="15"/>
  <c r="J163" i="15"/>
  <c r="J178" i="15"/>
  <c r="J157" i="15"/>
  <c r="J146" i="15"/>
  <c r="J235" i="15"/>
  <c r="J155" i="15"/>
  <c r="J223" i="15"/>
  <c r="J174" i="15"/>
  <c r="J167" i="15"/>
  <c r="S137" i="15"/>
  <c r="T137" i="15"/>
  <c r="U137" i="15" s="1"/>
  <c r="Q137" i="15"/>
  <c r="T123" i="15"/>
  <c r="U123" i="15" s="1"/>
  <c r="Q123" i="15"/>
  <c r="S123" i="15"/>
  <c r="T126" i="15"/>
  <c r="U126" i="15" s="1"/>
  <c r="S126" i="15"/>
  <c r="Q126" i="15"/>
  <c r="J207" i="15"/>
  <c r="J206" i="15"/>
  <c r="J171" i="15"/>
  <c r="J234" i="15"/>
  <c r="J185" i="15"/>
  <c r="J195" i="15"/>
  <c r="J148" i="15"/>
  <c r="J238" i="15"/>
  <c r="J156" i="15"/>
  <c r="T132" i="15"/>
  <c r="U132" i="15" s="1"/>
  <c r="S132" i="15"/>
  <c r="Q132" i="15"/>
  <c r="P135" i="15"/>
  <c r="R135" i="15"/>
  <c r="Q127" i="15"/>
  <c r="S127" i="15"/>
  <c r="T127" i="15"/>
  <c r="U127" i="15" s="1"/>
  <c r="R136" i="15"/>
  <c r="P136" i="15"/>
  <c r="S131" i="15"/>
  <c r="Q131" i="15"/>
  <c r="T131" i="15"/>
  <c r="U131" i="15" s="1"/>
  <c r="J169" i="15"/>
  <c r="J183" i="15"/>
  <c r="J179" i="15"/>
  <c r="J231" i="15"/>
  <c r="J211" i="15"/>
  <c r="J232" i="15"/>
  <c r="H248" i="15"/>
  <c r="H244" i="15"/>
  <c r="H246" i="15"/>
  <c r="J239" i="15"/>
  <c r="H247" i="15"/>
  <c r="H245" i="15"/>
  <c r="H249" i="15"/>
  <c r="J203" i="15"/>
  <c r="J230" i="15"/>
  <c r="R139" i="15"/>
  <c r="P139" i="15"/>
  <c r="N140" i="15"/>
  <c r="O140" i="15"/>
  <c r="G248" i="15"/>
  <c r="I248" i="15" s="1"/>
  <c r="L248" i="15" s="1"/>
  <c r="N248" i="15" s="1"/>
  <c r="G243" i="15"/>
  <c r="I243" i="15" s="1"/>
  <c r="L243" i="15" s="1"/>
  <c r="N243" i="15" s="1"/>
  <c r="G247" i="15"/>
  <c r="I247" i="15" s="1"/>
  <c r="L247" i="15" s="1"/>
  <c r="N247" i="15" s="1"/>
  <c r="I239" i="15"/>
  <c r="G245" i="15"/>
  <c r="I245" i="15" s="1"/>
  <c r="L245" i="15" s="1"/>
  <c r="N245" i="15" s="1"/>
  <c r="G249" i="15"/>
  <c r="I249" i="15" s="1"/>
  <c r="L249" i="15" s="1"/>
  <c r="N249" i="15" s="1"/>
  <c r="R249" i="15" s="1"/>
  <c r="G244" i="15"/>
  <c r="I244" i="15" s="1"/>
  <c r="L244" i="15" s="1"/>
  <c r="N244" i="15" s="1"/>
  <c r="G246" i="15"/>
  <c r="I246" i="15" s="1"/>
  <c r="L246" i="15" s="1"/>
  <c r="N246" i="15" s="1"/>
  <c r="P246" i="15" s="1"/>
  <c r="T129" i="15"/>
  <c r="U129" i="15" s="1"/>
  <c r="Q129" i="15"/>
  <c r="S129" i="15"/>
  <c r="Q135" i="15"/>
  <c r="T135" i="15"/>
  <c r="U135" i="15" s="1"/>
  <c r="S135" i="15"/>
  <c r="T128" i="15"/>
  <c r="U128" i="15" s="1"/>
  <c r="S128" i="15"/>
  <c r="Q128" i="15"/>
  <c r="S133" i="15"/>
  <c r="T133" i="15"/>
  <c r="U133" i="15" s="1"/>
  <c r="Q133" i="15"/>
  <c r="J196" i="15"/>
  <c r="J142" i="15"/>
  <c r="J172" i="15"/>
  <c r="J225" i="15"/>
  <c r="J180" i="15"/>
  <c r="J212" i="15"/>
  <c r="O138" i="15"/>
  <c r="N138" i="15"/>
  <c r="Q134" i="15"/>
  <c r="S134" i="15"/>
  <c r="T134" i="15"/>
  <c r="U134" i="15" s="1"/>
  <c r="R123" i="15"/>
  <c r="P123" i="15"/>
  <c r="T130" i="15"/>
  <c r="U130" i="15" s="1"/>
  <c r="Q130" i="15"/>
  <c r="S130" i="15"/>
  <c r="S136" i="15"/>
  <c r="Q136" i="15"/>
  <c r="T136" i="15"/>
  <c r="U136" i="15" s="1"/>
  <c r="S125" i="15"/>
  <c r="Q125" i="15"/>
  <c r="T125" i="15"/>
  <c r="U125" i="15" s="1"/>
  <c r="H106" i="10"/>
  <c r="N141" i="15"/>
  <c r="H104" i="10"/>
  <c r="K6" i="15"/>
  <c r="F6" i="15"/>
  <c r="D7" i="15"/>
  <c r="P4" i="15"/>
  <c r="R4" i="15"/>
  <c r="C144" i="15"/>
  <c r="F143" i="15"/>
  <c r="M143" i="15"/>
  <c r="O5" i="15"/>
  <c r="N5" i="15"/>
  <c r="S4" i="15"/>
  <c r="Q4" i="15"/>
  <c r="T4" i="15"/>
  <c r="U4" i="15" s="1"/>
  <c r="D142" i="15"/>
  <c r="K142" i="15" s="1"/>
  <c r="L142" i="15"/>
  <c r="V142" i="11"/>
  <c r="V142" i="15"/>
  <c r="C5" i="10"/>
  <c r="C105" i="10"/>
  <c r="V107" i="11"/>
  <c r="V107" i="15"/>
  <c r="V245" i="11"/>
  <c r="V245" i="15"/>
  <c r="H251" i="15"/>
  <c r="G251" i="15"/>
  <c r="I251" i="15" s="1"/>
  <c r="L251" i="15" s="1"/>
  <c r="J250" i="15"/>
  <c r="O250" i="15" s="1"/>
  <c r="F253" i="15"/>
  <c r="B254" i="15"/>
  <c r="N250" i="15"/>
  <c r="E252" i="15"/>
  <c r="D252" i="15"/>
  <c r="K252" i="15" s="1"/>
  <c r="C252" i="15"/>
  <c r="M252" i="15" s="1"/>
  <c r="C4" i="10"/>
  <c r="H4" i="10"/>
  <c r="R138" i="11"/>
  <c r="P138" i="11"/>
  <c r="F6" i="10"/>
  <c r="Q5" i="11"/>
  <c r="R141" i="11"/>
  <c r="P141" i="11"/>
  <c r="R139" i="11"/>
  <c r="P139" i="11"/>
  <c r="R142" i="11"/>
  <c r="P142" i="11"/>
  <c r="R140" i="11"/>
  <c r="P140" i="11"/>
  <c r="J245" i="11"/>
  <c r="J244" i="11"/>
  <c r="O143" i="11"/>
  <c r="Q143" i="11" s="1"/>
  <c r="J247" i="11"/>
  <c r="O247" i="11" s="1"/>
  <c r="Q247" i="11" s="1"/>
  <c r="E249" i="11"/>
  <c r="D249" i="11"/>
  <c r="K249" i="11" s="1"/>
  <c r="C249" i="11"/>
  <c r="M249" i="11" s="1"/>
  <c r="U104" i="11"/>
  <c r="H105" i="10"/>
  <c r="R5" i="11"/>
  <c r="N247" i="11"/>
  <c r="H248" i="11"/>
  <c r="G248" i="11"/>
  <c r="I248" i="11" s="1"/>
  <c r="L248" i="11" s="1"/>
  <c r="O244" i="11"/>
  <c r="Q244" i="11" s="1"/>
  <c r="N244" i="11"/>
  <c r="S139" i="11"/>
  <c r="T139" i="11"/>
  <c r="U139" i="11" s="1"/>
  <c r="T140" i="11"/>
  <c r="U140" i="11" s="1"/>
  <c r="S140" i="11"/>
  <c r="O6" i="11"/>
  <c r="Q6" i="11" s="1"/>
  <c r="N6" i="11"/>
  <c r="P6" i="11" s="1"/>
  <c r="G7" i="10"/>
  <c r="T5" i="11"/>
  <c r="S5" i="11"/>
  <c r="L144" i="11"/>
  <c r="O144" i="11" s="1"/>
  <c r="Q144" i="11" s="1"/>
  <c r="N243" i="11"/>
  <c r="T142" i="11"/>
  <c r="U142" i="11" s="1"/>
  <c r="S142" i="11"/>
  <c r="T138" i="11"/>
  <c r="U138" i="11" s="1"/>
  <c r="S138" i="11"/>
  <c r="F7" i="11"/>
  <c r="D8" i="11"/>
  <c r="K7" i="11"/>
  <c r="N246" i="11"/>
  <c r="N143" i="11"/>
  <c r="U4" i="11"/>
  <c r="H5" i="10"/>
  <c r="F250" i="11"/>
  <c r="B251" i="11"/>
  <c r="M145" i="11"/>
  <c r="C146" i="11"/>
  <c r="F145" i="11"/>
  <c r="S141" i="11"/>
  <c r="T141" i="11"/>
  <c r="U141" i="11" s="1"/>
  <c r="O245" i="11"/>
  <c r="Q245" i="11" s="1"/>
  <c r="N245" i="11"/>
  <c r="J246" i="11"/>
  <c r="O246" i="11" s="1"/>
  <c r="Q246" i="11" s="1"/>
  <c r="G144" i="10"/>
  <c r="C107" i="10"/>
  <c r="F107" i="10"/>
  <c r="G109" i="10"/>
  <c r="H107" i="10"/>
  <c r="P249" i="15" l="1"/>
  <c r="Q139" i="15"/>
  <c r="S139" i="15"/>
  <c r="J247" i="15"/>
  <c r="O247" i="15" s="1"/>
  <c r="T247" i="15" s="1"/>
  <c r="U247" i="15" s="1"/>
  <c r="J244" i="15"/>
  <c r="O244" i="15" s="1"/>
  <c r="S244" i="15" s="1"/>
  <c r="S140" i="15"/>
  <c r="T140" i="15"/>
  <c r="U140" i="15" s="1"/>
  <c r="Q140" i="15"/>
  <c r="R138" i="15"/>
  <c r="P138" i="15"/>
  <c r="T138" i="15"/>
  <c r="U138" i="15" s="1"/>
  <c r="S138" i="15"/>
  <c r="Q138" i="15"/>
  <c r="R244" i="15"/>
  <c r="P244" i="15"/>
  <c r="P247" i="15"/>
  <c r="R247" i="15"/>
  <c r="R140" i="15"/>
  <c r="P140" i="15"/>
  <c r="J248" i="15"/>
  <c r="O248" i="15" s="1"/>
  <c r="R246" i="15"/>
  <c r="R243" i="15"/>
  <c r="P243" i="15"/>
  <c r="J249" i="15"/>
  <c r="O249" i="15" s="1"/>
  <c r="R245" i="15"/>
  <c r="P245" i="15"/>
  <c r="R248" i="15"/>
  <c r="P248" i="15"/>
  <c r="J245" i="15"/>
  <c r="O245" i="15" s="1"/>
  <c r="J246" i="15"/>
  <c r="O246" i="15" s="1"/>
  <c r="N142" i="15"/>
  <c r="P142" i="15" s="1"/>
  <c r="Q5" i="15"/>
  <c r="T5" i="15"/>
  <c r="U5" i="15" s="1"/>
  <c r="S5" i="15"/>
  <c r="O6" i="15"/>
  <c r="N6" i="15"/>
  <c r="O142" i="15"/>
  <c r="D143" i="15"/>
  <c r="K143" i="15" s="1"/>
  <c r="L143" i="15"/>
  <c r="F7" i="15"/>
  <c r="K7" i="15"/>
  <c r="D8" i="15"/>
  <c r="T141" i="15"/>
  <c r="U141" i="15" s="1"/>
  <c r="Q141" i="15"/>
  <c r="S141" i="15"/>
  <c r="R5" i="15"/>
  <c r="P5" i="15"/>
  <c r="M144" i="15"/>
  <c r="F144" i="15"/>
  <c r="C145" i="15"/>
  <c r="R141" i="15"/>
  <c r="P141" i="15"/>
  <c r="J251" i="15"/>
  <c r="O251" i="15" s="1"/>
  <c r="N251" i="15"/>
  <c r="P251" i="15" s="1"/>
  <c r="V143" i="11"/>
  <c r="V143" i="15"/>
  <c r="C6" i="10"/>
  <c r="V108" i="11"/>
  <c r="V108" i="15"/>
  <c r="V6" i="11"/>
  <c r="V6" i="15"/>
  <c r="T250" i="15"/>
  <c r="U250" i="15" s="1"/>
  <c r="S250" i="15"/>
  <c r="Q250" i="15"/>
  <c r="F254" i="15"/>
  <c r="B255" i="15"/>
  <c r="C253" i="15"/>
  <c r="M253" i="15" s="1"/>
  <c r="E253" i="15"/>
  <c r="D253" i="15"/>
  <c r="K253" i="15" s="1"/>
  <c r="H252" i="15"/>
  <c r="G252" i="15"/>
  <c r="I252" i="15" s="1"/>
  <c r="L252" i="15" s="1"/>
  <c r="P250" i="15"/>
  <c r="R250" i="15"/>
  <c r="S143" i="11"/>
  <c r="R245" i="11"/>
  <c r="P245" i="11"/>
  <c r="R143" i="11"/>
  <c r="P143" i="11"/>
  <c r="R244" i="11"/>
  <c r="P244" i="11"/>
  <c r="R247" i="11"/>
  <c r="P247" i="11"/>
  <c r="R246" i="11"/>
  <c r="P246" i="11"/>
  <c r="R243" i="11"/>
  <c r="P243" i="11"/>
  <c r="T143" i="11"/>
  <c r="U143" i="11" s="1"/>
  <c r="N144" i="11"/>
  <c r="S247" i="11"/>
  <c r="T247" i="11"/>
  <c r="U247" i="11" s="1"/>
  <c r="T246" i="11"/>
  <c r="U246" i="11" s="1"/>
  <c r="S246" i="11"/>
  <c r="D145" i="11"/>
  <c r="K145" i="11" s="1"/>
  <c r="L145" i="11"/>
  <c r="F8" i="11"/>
  <c r="D9" i="11"/>
  <c r="K8" i="11"/>
  <c r="J248" i="11"/>
  <c r="O248" i="11" s="1"/>
  <c r="Q248" i="11" s="1"/>
  <c r="C250" i="11"/>
  <c r="M250" i="11" s="1"/>
  <c r="E250" i="11"/>
  <c r="D250" i="11"/>
  <c r="K250" i="11" s="1"/>
  <c r="U5" i="11"/>
  <c r="H6" i="10"/>
  <c r="T144" i="11"/>
  <c r="U144" i="11" s="1"/>
  <c r="S144" i="11"/>
  <c r="R6" i="11"/>
  <c r="O7" i="11"/>
  <c r="Q7" i="11" s="1"/>
  <c r="N7" i="11"/>
  <c r="P7" i="11" s="1"/>
  <c r="G8" i="10"/>
  <c r="C147" i="11"/>
  <c r="F146" i="11"/>
  <c r="M146" i="11"/>
  <c r="N248" i="11"/>
  <c r="T245" i="11"/>
  <c r="U245" i="11" s="1"/>
  <c r="S245" i="11"/>
  <c r="F251" i="11"/>
  <c r="B252" i="11"/>
  <c r="T6" i="11"/>
  <c r="S6" i="11"/>
  <c r="F7" i="10"/>
  <c r="S244" i="11"/>
  <c r="T244" i="11"/>
  <c r="U244" i="11" s="1"/>
  <c r="H249" i="11"/>
  <c r="G249" i="11"/>
  <c r="I249" i="11" s="1"/>
  <c r="L249" i="11" s="1"/>
  <c r="N249" i="11" s="1"/>
  <c r="C108" i="10"/>
  <c r="F108" i="10"/>
  <c r="G247" i="10"/>
  <c r="G145" i="10"/>
  <c r="G110" i="10"/>
  <c r="H108" i="10"/>
  <c r="S247" i="15" l="1"/>
  <c r="Q247" i="15"/>
  <c r="Q244" i="15"/>
  <c r="T244" i="15"/>
  <c r="U244" i="15" s="1"/>
  <c r="R142" i="15"/>
  <c r="T248" i="15"/>
  <c r="U248" i="15" s="1"/>
  <c r="Q248" i="15"/>
  <c r="S248" i="15"/>
  <c r="S246" i="15"/>
  <c r="Q246" i="15"/>
  <c r="T246" i="15"/>
  <c r="U246" i="15" s="1"/>
  <c r="S245" i="15"/>
  <c r="T245" i="15"/>
  <c r="U245" i="15" s="1"/>
  <c r="Q245" i="15"/>
  <c r="T249" i="15"/>
  <c r="U249" i="15" s="1"/>
  <c r="S249" i="15"/>
  <c r="Q249" i="15"/>
  <c r="N143" i="15"/>
  <c r="P143" i="15" s="1"/>
  <c r="D144" i="15"/>
  <c r="K144" i="15" s="1"/>
  <c r="L144" i="15"/>
  <c r="O143" i="15"/>
  <c r="T6" i="15"/>
  <c r="U6" i="15" s="1"/>
  <c r="S6" i="15"/>
  <c r="Q6" i="15"/>
  <c r="F8" i="15"/>
  <c r="D9" i="15"/>
  <c r="K8" i="15"/>
  <c r="O7" i="15"/>
  <c r="N7" i="15"/>
  <c r="T142" i="15"/>
  <c r="U142" i="15" s="1"/>
  <c r="S142" i="15"/>
  <c r="Q142" i="15"/>
  <c r="C146" i="15"/>
  <c r="F145" i="15"/>
  <c r="M145" i="15"/>
  <c r="R6" i="15"/>
  <c r="P6" i="15"/>
  <c r="J252" i="15"/>
  <c r="O252" i="15" s="1"/>
  <c r="S252" i="15" s="1"/>
  <c r="T251" i="15"/>
  <c r="U251" i="15" s="1"/>
  <c r="S251" i="15"/>
  <c r="Q251" i="15"/>
  <c r="R251" i="15"/>
  <c r="V109" i="11"/>
  <c r="V109" i="15"/>
  <c r="V7" i="11"/>
  <c r="V7" i="15"/>
  <c r="V144" i="11"/>
  <c r="V144" i="15"/>
  <c r="V246" i="11"/>
  <c r="V246" i="15"/>
  <c r="C7" i="10"/>
  <c r="N252" i="15"/>
  <c r="G253" i="15"/>
  <c r="I253" i="15" s="1"/>
  <c r="L253" i="15" s="1"/>
  <c r="N253" i="15" s="1"/>
  <c r="H253" i="15"/>
  <c r="B256" i="15"/>
  <c r="F255" i="15"/>
  <c r="D254" i="15"/>
  <c r="K254" i="15" s="1"/>
  <c r="C254" i="15"/>
  <c r="M254" i="15" s="1"/>
  <c r="E254" i="15"/>
  <c r="R248" i="11"/>
  <c r="P248" i="11"/>
  <c r="R249" i="11"/>
  <c r="P249" i="11"/>
  <c r="R144" i="11"/>
  <c r="P144" i="11"/>
  <c r="O145" i="11"/>
  <c r="Q145" i="11" s="1"/>
  <c r="S248" i="11"/>
  <c r="T248" i="11"/>
  <c r="U248" i="11" s="1"/>
  <c r="J249" i="11"/>
  <c r="D251" i="11"/>
  <c r="K251" i="11" s="1"/>
  <c r="C251" i="11"/>
  <c r="M251" i="11" s="1"/>
  <c r="E251" i="11"/>
  <c r="R7" i="11"/>
  <c r="F9" i="11"/>
  <c r="D10" i="11"/>
  <c r="K9" i="11"/>
  <c r="N145" i="11"/>
  <c r="B253" i="11"/>
  <c r="F252" i="11"/>
  <c r="D146" i="11"/>
  <c r="K146" i="11" s="1"/>
  <c r="L146" i="11"/>
  <c r="T7" i="11"/>
  <c r="S7" i="11"/>
  <c r="F8" i="10"/>
  <c r="O249" i="11"/>
  <c r="Q249" i="11" s="1"/>
  <c r="O8" i="11"/>
  <c r="Q8" i="11" s="1"/>
  <c r="N8" i="11"/>
  <c r="P8" i="11" s="1"/>
  <c r="G9" i="10"/>
  <c r="U6" i="11"/>
  <c r="H7" i="10"/>
  <c r="M147" i="11"/>
  <c r="C148" i="11"/>
  <c r="F147" i="11"/>
  <c r="G250" i="11"/>
  <c r="I250" i="11" s="1"/>
  <c r="L250" i="11" s="1"/>
  <c r="H250" i="11"/>
  <c r="G248" i="10"/>
  <c r="G146" i="10"/>
  <c r="C109" i="10"/>
  <c r="F109" i="10"/>
  <c r="G111" i="10"/>
  <c r="H109" i="10"/>
  <c r="R143" i="15" l="1"/>
  <c r="N144" i="15"/>
  <c r="P144" i="15" s="1"/>
  <c r="T7" i="15"/>
  <c r="U7" i="15" s="1"/>
  <c r="S7" i="15"/>
  <c r="Q7" i="15"/>
  <c r="K9" i="15"/>
  <c r="F9" i="15"/>
  <c r="D10" i="15"/>
  <c r="T143" i="15"/>
  <c r="U143" i="15" s="1"/>
  <c r="S143" i="15"/>
  <c r="Q143" i="15"/>
  <c r="D145" i="15"/>
  <c r="K145" i="15" s="1"/>
  <c r="L145" i="15"/>
  <c r="O144" i="15"/>
  <c r="C147" i="15"/>
  <c r="F146" i="15"/>
  <c r="M146" i="15"/>
  <c r="P7" i="15"/>
  <c r="R7" i="15"/>
  <c r="O8" i="15"/>
  <c r="N8" i="15"/>
  <c r="R144" i="15"/>
  <c r="Q252" i="15"/>
  <c r="C8" i="10"/>
  <c r="V145" i="11"/>
  <c r="V145" i="15"/>
  <c r="V110" i="11"/>
  <c r="V110" i="15"/>
  <c r="V247" i="11"/>
  <c r="V247" i="15"/>
  <c r="V8" i="11"/>
  <c r="V8" i="15"/>
  <c r="R253" i="15"/>
  <c r="P253" i="15"/>
  <c r="E255" i="15"/>
  <c r="D255" i="15"/>
  <c r="K255" i="15" s="1"/>
  <c r="C255" i="15"/>
  <c r="M255" i="15" s="1"/>
  <c r="J253" i="15"/>
  <c r="O253" i="15" s="1"/>
  <c r="F256" i="15"/>
  <c r="B257" i="15"/>
  <c r="H254" i="15"/>
  <c r="G254" i="15"/>
  <c r="I254" i="15" s="1"/>
  <c r="L254" i="15" s="1"/>
  <c r="R252" i="15"/>
  <c r="P252" i="15"/>
  <c r="T252" i="15"/>
  <c r="U252" i="15" s="1"/>
  <c r="T145" i="11"/>
  <c r="U145" i="11" s="1"/>
  <c r="S145" i="11"/>
  <c r="R145" i="11"/>
  <c r="P145" i="11"/>
  <c r="O146" i="11"/>
  <c r="Q146" i="11" s="1"/>
  <c r="J250" i="11"/>
  <c r="O250" i="11" s="1"/>
  <c r="Q250" i="11" s="1"/>
  <c r="R8" i="11"/>
  <c r="E252" i="11"/>
  <c r="D252" i="11"/>
  <c r="K252" i="11" s="1"/>
  <c r="C252" i="11"/>
  <c r="M252" i="11" s="1"/>
  <c r="F10" i="11"/>
  <c r="D11" i="11"/>
  <c r="K10" i="11"/>
  <c r="H251" i="11"/>
  <c r="G251" i="11"/>
  <c r="I251" i="11" s="1"/>
  <c r="L251" i="11" s="1"/>
  <c r="N251" i="11" s="1"/>
  <c r="T8" i="11"/>
  <c r="S8" i="11"/>
  <c r="F9" i="10"/>
  <c r="N146" i="11"/>
  <c r="F253" i="11"/>
  <c r="B254" i="11"/>
  <c r="D147" i="11"/>
  <c r="K147" i="11" s="1"/>
  <c r="G148" i="10" s="1"/>
  <c r="L147" i="11"/>
  <c r="T249" i="11"/>
  <c r="U249" i="11" s="1"/>
  <c r="S249" i="11"/>
  <c r="C149" i="11"/>
  <c r="F148" i="11"/>
  <c r="M148" i="11"/>
  <c r="N250" i="11"/>
  <c r="U7" i="11"/>
  <c r="H8" i="10"/>
  <c r="O9" i="11"/>
  <c r="Q9" i="11" s="1"/>
  <c r="N9" i="11"/>
  <c r="P9" i="11" s="1"/>
  <c r="G10" i="10"/>
  <c r="F110" i="10"/>
  <c r="G249" i="10"/>
  <c r="G147" i="10"/>
  <c r="C110" i="10"/>
  <c r="G112" i="10"/>
  <c r="H110" i="10"/>
  <c r="O145" i="15" l="1"/>
  <c r="S145" i="15" s="1"/>
  <c r="T144" i="15"/>
  <c r="U144" i="15" s="1"/>
  <c r="Q144" i="15"/>
  <c r="S144" i="15"/>
  <c r="O9" i="15"/>
  <c r="N9" i="15"/>
  <c r="R8" i="15"/>
  <c r="P8" i="15"/>
  <c r="Q145" i="15"/>
  <c r="Q8" i="15"/>
  <c r="S8" i="15"/>
  <c r="T8" i="15"/>
  <c r="U8" i="15" s="1"/>
  <c r="D146" i="15"/>
  <c r="K146" i="15" s="1"/>
  <c r="L146" i="15"/>
  <c r="N145" i="15"/>
  <c r="F10" i="15"/>
  <c r="D11" i="15"/>
  <c r="K10" i="15"/>
  <c r="C148" i="15"/>
  <c r="M147" i="15"/>
  <c r="F147" i="15"/>
  <c r="S146" i="11"/>
  <c r="J254" i="15"/>
  <c r="O254" i="15" s="1"/>
  <c r="V146" i="11"/>
  <c r="V146" i="15"/>
  <c r="C9" i="10"/>
  <c r="V248" i="11"/>
  <c r="V248" i="15"/>
  <c r="V111" i="11"/>
  <c r="V111" i="15"/>
  <c r="V9" i="11"/>
  <c r="V9" i="15"/>
  <c r="V147" i="11"/>
  <c r="V147" i="15"/>
  <c r="S253" i="15"/>
  <c r="Q253" i="15"/>
  <c r="T253" i="15"/>
  <c r="U253" i="15" s="1"/>
  <c r="F257" i="15"/>
  <c r="B258" i="15"/>
  <c r="F258" i="15" s="1"/>
  <c r="E256" i="15"/>
  <c r="D256" i="15"/>
  <c r="K256" i="15" s="1"/>
  <c r="C256" i="15"/>
  <c r="M256" i="15" s="1"/>
  <c r="N254" i="15"/>
  <c r="H255" i="15"/>
  <c r="G255" i="15"/>
  <c r="I255" i="15" s="1"/>
  <c r="L255" i="15" s="1"/>
  <c r="J251" i="11"/>
  <c r="R146" i="11"/>
  <c r="P146" i="11"/>
  <c r="R251" i="11"/>
  <c r="P251" i="11"/>
  <c r="R250" i="11"/>
  <c r="P250" i="11"/>
  <c r="O147" i="11"/>
  <c r="U8" i="11"/>
  <c r="H9" i="10"/>
  <c r="O10" i="11"/>
  <c r="Q10" i="11" s="1"/>
  <c r="N10" i="11"/>
  <c r="P10" i="11" s="1"/>
  <c r="G11" i="10"/>
  <c r="D148" i="11"/>
  <c r="K148" i="11" s="1"/>
  <c r="L148" i="11"/>
  <c r="M149" i="11"/>
  <c r="C150" i="11"/>
  <c r="F149" i="11"/>
  <c r="T250" i="11"/>
  <c r="U250" i="11" s="1"/>
  <c r="S250" i="11"/>
  <c r="F11" i="11"/>
  <c r="K11" i="11"/>
  <c r="D12" i="11"/>
  <c r="T146" i="11"/>
  <c r="U146" i="11" s="1"/>
  <c r="N147" i="11"/>
  <c r="R9" i="11"/>
  <c r="F254" i="11"/>
  <c r="B255" i="11"/>
  <c r="O251" i="11"/>
  <c r="Q251" i="11" s="1"/>
  <c r="T9" i="11"/>
  <c r="S9" i="11"/>
  <c r="F10" i="10"/>
  <c r="E253" i="11"/>
  <c r="D253" i="11"/>
  <c r="K253" i="11" s="1"/>
  <c r="C253" i="11"/>
  <c r="M253" i="11" s="1"/>
  <c r="H252" i="11"/>
  <c r="G252" i="11"/>
  <c r="I252" i="11" s="1"/>
  <c r="L252" i="11" s="1"/>
  <c r="G250" i="10"/>
  <c r="C111" i="10"/>
  <c r="F111" i="10"/>
  <c r="G251" i="10"/>
  <c r="G113" i="10"/>
  <c r="O146" i="15" l="1"/>
  <c r="Q146" i="15" s="1"/>
  <c r="P9" i="15"/>
  <c r="R9" i="15"/>
  <c r="M148" i="15"/>
  <c r="F148" i="15"/>
  <c r="C149" i="15"/>
  <c r="P145" i="15"/>
  <c r="R145" i="15"/>
  <c r="Q9" i="15"/>
  <c r="T9" i="15"/>
  <c r="U9" i="15" s="1"/>
  <c r="S9" i="15"/>
  <c r="N10" i="15"/>
  <c r="O10" i="15"/>
  <c r="D147" i="15"/>
  <c r="K147" i="15" s="1"/>
  <c r="L147" i="15"/>
  <c r="K11" i="15"/>
  <c r="F11" i="15"/>
  <c r="D12" i="15"/>
  <c r="N146" i="15"/>
  <c r="T145" i="15"/>
  <c r="U145" i="15" s="1"/>
  <c r="V112" i="11"/>
  <c r="V112" i="15"/>
  <c r="V250" i="11"/>
  <c r="V250" i="15"/>
  <c r="V10" i="11"/>
  <c r="V10" i="15"/>
  <c r="V249" i="11"/>
  <c r="V249" i="15"/>
  <c r="C10" i="10"/>
  <c r="H256" i="15"/>
  <c r="G256" i="15"/>
  <c r="I256" i="15" s="1"/>
  <c r="L256" i="15" s="1"/>
  <c r="N256" i="15" s="1"/>
  <c r="N255" i="15"/>
  <c r="D258" i="15"/>
  <c r="K258" i="15" s="1"/>
  <c r="C258" i="15"/>
  <c r="M258" i="15" s="1"/>
  <c r="E258" i="15"/>
  <c r="J255" i="15"/>
  <c r="O255" i="15" s="1"/>
  <c r="P254" i="15"/>
  <c r="R254" i="15"/>
  <c r="T254" i="15"/>
  <c r="U254" i="15" s="1"/>
  <c r="S254" i="15"/>
  <c r="Q254" i="15"/>
  <c r="C257" i="15"/>
  <c r="M257" i="15" s="1"/>
  <c r="E257" i="15"/>
  <c r="D257" i="15"/>
  <c r="K257" i="15" s="1"/>
  <c r="S147" i="11"/>
  <c r="Q147" i="11"/>
  <c r="R147" i="11"/>
  <c r="P147" i="11"/>
  <c r="J252" i="11"/>
  <c r="O252" i="11" s="1"/>
  <c r="Q252" i="11" s="1"/>
  <c r="N148" i="11"/>
  <c r="T147" i="11"/>
  <c r="U147" i="11" s="1"/>
  <c r="B256" i="11"/>
  <c r="F255" i="11"/>
  <c r="O11" i="11"/>
  <c r="Q11" i="11" s="1"/>
  <c r="N11" i="11"/>
  <c r="P11" i="11" s="1"/>
  <c r="G12" i="10"/>
  <c r="D149" i="11"/>
  <c r="K149" i="11" s="1"/>
  <c r="L149" i="11"/>
  <c r="C254" i="11"/>
  <c r="M254" i="11" s="1"/>
  <c r="E254" i="11"/>
  <c r="D254" i="11"/>
  <c r="K254" i="11" s="1"/>
  <c r="C151" i="11"/>
  <c r="F150" i="11"/>
  <c r="M150" i="11"/>
  <c r="H253" i="11"/>
  <c r="G253" i="11"/>
  <c r="I253" i="11" s="1"/>
  <c r="L253" i="11" s="1"/>
  <c r="U9" i="11"/>
  <c r="H10" i="10"/>
  <c r="N252" i="11"/>
  <c r="R10" i="11"/>
  <c r="T251" i="11"/>
  <c r="U251" i="11" s="1"/>
  <c r="S251" i="11"/>
  <c r="F12" i="11"/>
  <c r="D13" i="11"/>
  <c r="K12" i="11"/>
  <c r="O148" i="11"/>
  <c r="Q148" i="11" s="1"/>
  <c r="T10" i="11"/>
  <c r="S10" i="11"/>
  <c r="F11" i="10"/>
  <c r="H111" i="10"/>
  <c r="F112" i="10"/>
  <c r="G149" i="10"/>
  <c r="C112" i="10"/>
  <c r="G252" i="10"/>
  <c r="G114" i="10"/>
  <c r="H112" i="10"/>
  <c r="T146" i="15" l="1"/>
  <c r="U146" i="15" s="1"/>
  <c r="S146" i="15"/>
  <c r="N147" i="15"/>
  <c r="P147" i="15" s="1"/>
  <c r="F12" i="15"/>
  <c r="D13" i="15"/>
  <c r="K12" i="15"/>
  <c r="Q10" i="15"/>
  <c r="T10" i="15"/>
  <c r="U10" i="15" s="1"/>
  <c r="S10" i="15"/>
  <c r="D148" i="15"/>
  <c r="K148" i="15" s="1"/>
  <c r="L148" i="15"/>
  <c r="P10" i="15"/>
  <c r="R10" i="15"/>
  <c r="N11" i="15"/>
  <c r="O11" i="15"/>
  <c r="P146" i="15"/>
  <c r="R146" i="15"/>
  <c r="O147" i="15"/>
  <c r="F149" i="15"/>
  <c r="M149" i="15"/>
  <c r="C150" i="15"/>
  <c r="V11" i="11"/>
  <c r="V11" i="15"/>
  <c r="V251" i="11"/>
  <c r="V251" i="15"/>
  <c r="C11" i="10"/>
  <c r="V148" i="11"/>
  <c r="V148" i="15"/>
  <c r="V113" i="11"/>
  <c r="V113" i="15"/>
  <c r="Q255" i="15"/>
  <c r="T255" i="15"/>
  <c r="U255" i="15" s="1"/>
  <c r="S255" i="15"/>
  <c r="P255" i="15"/>
  <c r="R255" i="15"/>
  <c r="R256" i="15"/>
  <c r="P256" i="15"/>
  <c r="G257" i="15"/>
  <c r="I257" i="15" s="1"/>
  <c r="L257" i="15" s="1"/>
  <c r="N257" i="15" s="1"/>
  <c r="H257" i="15"/>
  <c r="H258" i="15"/>
  <c r="G258" i="15"/>
  <c r="I258" i="15" s="1"/>
  <c r="L258" i="15" s="1"/>
  <c r="N258" i="15" s="1"/>
  <c r="J256" i="15"/>
  <c r="O256" i="15" s="1"/>
  <c r="R148" i="11"/>
  <c r="P148" i="11"/>
  <c r="R252" i="11"/>
  <c r="P252" i="11"/>
  <c r="J253" i="11"/>
  <c r="O253" i="11" s="1"/>
  <c r="N149" i="11"/>
  <c r="F13" i="11"/>
  <c r="D14" i="11"/>
  <c r="K13" i="11"/>
  <c r="D150" i="11"/>
  <c r="K150" i="11" s="1"/>
  <c r="L150" i="11"/>
  <c r="G254" i="11"/>
  <c r="I254" i="11" s="1"/>
  <c r="L254" i="11" s="1"/>
  <c r="N254" i="11" s="1"/>
  <c r="H254" i="11"/>
  <c r="E255" i="11"/>
  <c r="D255" i="11"/>
  <c r="K255" i="11" s="1"/>
  <c r="C255" i="11"/>
  <c r="M255" i="11" s="1"/>
  <c r="U10" i="11"/>
  <c r="H11" i="10"/>
  <c r="M151" i="11"/>
  <c r="C152" i="11"/>
  <c r="F151" i="11"/>
  <c r="F256" i="11"/>
  <c r="B257" i="11"/>
  <c r="T148" i="11"/>
  <c r="U148" i="11" s="1"/>
  <c r="S148" i="11"/>
  <c r="R11" i="11"/>
  <c r="N253" i="11"/>
  <c r="O12" i="11"/>
  <c r="Q12" i="11" s="1"/>
  <c r="N12" i="11"/>
  <c r="P12" i="11" s="1"/>
  <c r="G13" i="10"/>
  <c r="O149" i="11"/>
  <c r="Q149" i="11" s="1"/>
  <c r="T11" i="11"/>
  <c r="S11" i="11"/>
  <c r="F12" i="10"/>
  <c r="S252" i="11"/>
  <c r="T252" i="11"/>
  <c r="U252" i="11" s="1"/>
  <c r="C113" i="10"/>
  <c r="F113" i="10"/>
  <c r="G150" i="10"/>
  <c r="G115" i="10"/>
  <c r="H113" i="10"/>
  <c r="R147" i="15" l="1"/>
  <c r="N148" i="15"/>
  <c r="R148" i="15" s="1"/>
  <c r="C151" i="15"/>
  <c r="F150" i="15"/>
  <c r="M150" i="15"/>
  <c r="O148" i="15"/>
  <c r="O12" i="15"/>
  <c r="N12" i="15"/>
  <c r="D149" i="15"/>
  <c r="K149" i="15" s="1"/>
  <c r="L149" i="15"/>
  <c r="T11" i="15"/>
  <c r="U11" i="15" s="1"/>
  <c r="S11" i="15"/>
  <c r="Q11" i="15"/>
  <c r="D14" i="15"/>
  <c r="K13" i="15"/>
  <c r="F13" i="15"/>
  <c r="Q147" i="15"/>
  <c r="T147" i="15"/>
  <c r="U147" i="15" s="1"/>
  <c r="S147" i="15"/>
  <c r="R11" i="15"/>
  <c r="P11" i="15"/>
  <c r="J258" i="15"/>
  <c r="O258" i="15" s="1"/>
  <c r="J257" i="15"/>
  <c r="O257" i="15" s="1"/>
  <c r="C12" i="10"/>
  <c r="V114" i="11"/>
  <c r="V114" i="15"/>
  <c r="V149" i="11"/>
  <c r="V149" i="15"/>
  <c r="V12" i="11"/>
  <c r="V12" i="15"/>
  <c r="R257" i="15"/>
  <c r="P257" i="15"/>
  <c r="P258" i="15"/>
  <c r="R258" i="15"/>
  <c r="Q256" i="15"/>
  <c r="T256" i="15"/>
  <c r="U256" i="15" s="1"/>
  <c r="S256" i="15"/>
  <c r="J254" i="11"/>
  <c r="O254" i="11" s="1"/>
  <c r="Q254" i="11" s="1"/>
  <c r="S253" i="11"/>
  <c r="Q253" i="11"/>
  <c r="R253" i="11"/>
  <c r="P253" i="11"/>
  <c r="R149" i="11"/>
  <c r="P149" i="11"/>
  <c r="R254" i="11"/>
  <c r="P254" i="11"/>
  <c r="N150" i="11"/>
  <c r="U11" i="11"/>
  <c r="H12" i="10"/>
  <c r="G151" i="10"/>
  <c r="S149" i="11"/>
  <c r="T149" i="11"/>
  <c r="U149" i="11" s="1"/>
  <c r="D151" i="11"/>
  <c r="K151" i="11" s="1"/>
  <c r="G152" i="10" s="1"/>
  <c r="L151" i="11"/>
  <c r="T253" i="11"/>
  <c r="U253" i="11" s="1"/>
  <c r="O13" i="11"/>
  <c r="Q13" i="11" s="1"/>
  <c r="N13" i="11"/>
  <c r="P13" i="11" s="1"/>
  <c r="G14" i="10"/>
  <c r="T12" i="11"/>
  <c r="S12" i="11"/>
  <c r="F13" i="10"/>
  <c r="M152" i="11"/>
  <c r="C153" i="11"/>
  <c r="F152" i="11"/>
  <c r="F14" i="11"/>
  <c r="D15" i="11"/>
  <c r="K14" i="11"/>
  <c r="E256" i="11"/>
  <c r="D256" i="11"/>
  <c r="K256" i="11" s="1"/>
  <c r="C256" i="11"/>
  <c r="M256" i="11" s="1"/>
  <c r="H255" i="11"/>
  <c r="G255" i="11"/>
  <c r="I255" i="11" s="1"/>
  <c r="L255" i="11" s="1"/>
  <c r="N255" i="11" s="1"/>
  <c r="R12" i="11"/>
  <c r="F257" i="11"/>
  <c r="B258" i="11"/>
  <c r="F258" i="11" s="1"/>
  <c r="O150" i="11"/>
  <c r="Q150" i="11" s="1"/>
  <c r="G253" i="10"/>
  <c r="C114" i="10"/>
  <c r="F114" i="10"/>
  <c r="H114" i="10"/>
  <c r="G116" i="10"/>
  <c r="P148" i="15" l="1"/>
  <c r="N149" i="15"/>
  <c r="P149" i="15" s="1"/>
  <c r="R12" i="15"/>
  <c r="P12" i="15"/>
  <c r="S148" i="15"/>
  <c r="T148" i="15"/>
  <c r="U148" i="15" s="1"/>
  <c r="Q148" i="15"/>
  <c r="O13" i="15"/>
  <c r="N13" i="15"/>
  <c r="Q12" i="15"/>
  <c r="T12" i="15"/>
  <c r="U12" i="15" s="1"/>
  <c r="S12" i="15"/>
  <c r="D15" i="15"/>
  <c r="K14" i="15"/>
  <c r="F14" i="15"/>
  <c r="O149" i="15"/>
  <c r="D150" i="15"/>
  <c r="K150" i="15" s="1"/>
  <c r="L150" i="15"/>
  <c r="C152" i="15"/>
  <c r="F151" i="15"/>
  <c r="M151" i="15"/>
  <c r="V150" i="11"/>
  <c r="V150" i="15"/>
  <c r="V151" i="11"/>
  <c r="V151" i="15"/>
  <c r="C13" i="10"/>
  <c r="V252" i="11"/>
  <c r="V252" i="15"/>
  <c r="V13" i="11"/>
  <c r="V13" i="15"/>
  <c r="V115" i="11"/>
  <c r="V115" i="15"/>
  <c r="S257" i="15"/>
  <c r="Q257" i="15"/>
  <c r="T257" i="15"/>
  <c r="U257" i="15" s="1"/>
  <c r="T258" i="15"/>
  <c r="U258" i="15" s="1"/>
  <c r="S258" i="15"/>
  <c r="Q258" i="15"/>
  <c r="R255" i="11"/>
  <c r="P255" i="11"/>
  <c r="R150" i="11"/>
  <c r="P150" i="11"/>
  <c r="O151" i="11"/>
  <c r="Q151" i="11" s="1"/>
  <c r="H256" i="11"/>
  <c r="G256" i="11"/>
  <c r="I256" i="11" s="1"/>
  <c r="L256" i="11" s="1"/>
  <c r="N256" i="11" s="1"/>
  <c r="T254" i="11"/>
  <c r="U254" i="11" s="1"/>
  <c r="S254" i="11"/>
  <c r="U12" i="11"/>
  <c r="H13" i="10"/>
  <c r="T150" i="11"/>
  <c r="U150" i="11" s="1"/>
  <c r="S150" i="11"/>
  <c r="O14" i="11"/>
  <c r="Q14" i="11" s="1"/>
  <c r="N14" i="11"/>
  <c r="P14" i="11" s="1"/>
  <c r="G15" i="10"/>
  <c r="F15" i="11"/>
  <c r="K15" i="11"/>
  <c r="D16" i="11"/>
  <c r="D152" i="11"/>
  <c r="K152" i="11" s="1"/>
  <c r="L152" i="11"/>
  <c r="R13" i="11"/>
  <c r="N151" i="11"/>
  <c r="D258" i="11"/>
  <c r="K258" i="11" s="1"/>
  <c r="C258" i="11"/>
  <c r="M258" i="11" s="1"/>
  <c r="E258" i="11"/>
  <c r="C257" i="11"/>
  <c r="M257" i="11" s="1"/>
  <c r="E257" i="11"/>
  <c r="D257" i="11"/>
  <c r="K257" i="11" s="1"/>
  <c r="J255" i="11"/>
  <c r="O255" i="11" s="1"/>
  <c r="Q255" i="11" s="1"/>
  <c r="C154" i="11"/>
  <c r="M153" i="11"/>
  <c r="F153" i="11"/>
  <c r="S13" i="11"/>
  <c r="T13" i="11"/>
  <c r="F14" i="10"/>
  <c r="G254" i="10"/>
  <c r="C115" i="10"/>
  <c r="F115" i="10"/>
  <c r="H115" i="10"/>
  <c r="G117" i="10"/>
  <c r="T149" i="15" l="1"/>
  <c r="U149" i="15" s="1"/>
  <c r="R149" i="15"/>
  <c r="N150" i="15"/>
  <c r="R150" i="15" s="1"/>
  <c r="C153" i="15"/>
  <c r="F152" i="15"/>
  <c r="M152" i="15"/>
  <c r="O150" i="15"/>
  <c r="O14" i="15"/>
  <c r="N14" i="15"/>
  <c r="D16" i="15"/>
  <c r="K15" i="15"/>
  <c r="F15" i="15"/>
  <c r="P13" i="15"/>
  <c r="R13" i="15"/>
  <c r="Q149" i="15"/>
  <c r="S149" i="15"/>
  <c r="T13" i="15"/>
  <c r="U13" i="15" s="1"/>
  <c r="S13" i="15"/>
  <c r="Q13" i="15"/>
  <c r="D151" i="15"/>
  <c r="K151" i="15" s="1"/>
  <c r="L151" i="15"/>
  <c r="S151" i="11"/>
  <c r="C14" i="10"/>
  <c r="V14" i="11"/>
  <c r="V14" i="15"/>
  <c r="V116" i="11"/>
  <c r="V116" i="15"/>
  <c r="V253" i="11"/>
  <c r="V253" i="15"/>
  <c r="R256" i="11"/>
  <c r="P256" i="11"/>
  <c r="R151" i="11"/>
  <c r="P151" i="11"/>
  <c r="N152" i="11"/>
  <c r="J256" i="11"/>
  <c r="O256" i="11" s="1"/>
  <c r="Q256" i="11" s="1"/>
  <c r="S255" i="11"/>
  <c r="T255" i="11"/>
  <c r="U255" i="11" s="1"/>
  <c r="D153" i="11"/>
  <c r="K153" i="11" s="1"/>
  <c r="G154" i="10" s="1"/>
  <c r="L153" i="11"/>
  <c r="O15" i="11"/>
  <c r="Q15" i="11" s="1"/>
  <c r="N15" i="11"/>
  <c r="P15" i="11" s="1"/>
  <c r="G16" i="10"/>
  <c r="S14" i="11"/>
  <c r="T14" i="11"/>
  <c r="F15" i="10"/>
  <c r="H258" i="11"/>
  <c r="G258" i="11"/>
  <c r="I258" i="11" s="1"/>
  <c r="L258" i="11" s="1"/>
  <c r="O152" i="11"/>
  <c r="Q152" i="11" s="1"/>
  <c r="T151" i="11"/>
  <c r="U151" i="11" s="1"/>
  <c r="U13" i="11"/>
  <c r="H14" i="10"/>
  <c r="M154" i="11"/>
  <c r="C155" i="11"/>
  <c r="F154" i="11"/>
  <c r="F16" i="11"/>
  <c r="K16" i="11"/>
  <c r="D17" i="11"/>
  <c r="R14" i="11"/>
  <c r="G257" i="11"/>
  <c r="I257" i="11" s="1"/>
  <c r="L257" i="11" s="1"/>
  <c r="H257" i="11"/>
  <c r="G255" i="10"/>
  <c r="G153" i="10"/>
  <c r="C116" i="10"/>
  <c r="F116" i="10"/>
  <c r="G118" i="10"/>
  <c r="H116" i="10"/>
  <c r="P150" i="15" l="1"/>
  <c r="N151" i="15"/>
  <c r="R151" i="15" s="1"/>
  <c r="O151" i="15"/>
  <c r="T150" i="15"/>
  <c r="U150" i="15" s="1"/>
  <c r="S150" i="15"/>
  <c r="Q150" i="15"/>
  <c r="N15" i="15"/>
  <c r="O15" i="15"/>
  <c r="P14" i="15"/>
  <c r="R14" i="15"/>
  <c r="D152" i="15"/>
  <c r="K152" i="15" s="1"/>
  <c r="L152" i="15"/>
  <c r="F16" i="15"/>
  <c r="D17" i="15"/>
  <c r="K16" i="15"/>
  <c r="S14" i="15"/>
  <c r="Q14" i="15"/>
  <c r="T14" i="15"/>
  <c r="U14" i="15" s="1"/>
  <c r="C154" i="15"/>
  <c r="F153" i="15"/>
  <c r="M153" i="15"/>
  <c r="C15" i="10"/>
  <c r="V15" i="11"/>
  <c r="V15" i="15"/>
  <c r="V117" i="11"/>
  <c r="V117" i="15"/>
  <c r="V152" i="11"/>
  <c r="V152" i="15"/>
  <c r="V153" i="11"/>
  <c r="V153" i="15"/>
  <c r="V254" i="11"/>
  <c r="V254" i="15"/>
  <c r="R152" i="11"/>
  <c r="P152" i="11"/>
  <c r="J258" i="11"/>
  <c r="O258" i="11" s="1"/>
  <c r="O153" i="11"/>
  <c r="Q153" i="11" s="1"/>
  <c r="T256" i="11"/>
  <c r="U256" i="11" s="1"/>
  <c r="S256" i="11"/>
  <c r="O16" i="11"/>
  <c r="Q16" i="11" s="1"/>
  <c r="N16" i="11"/>
  <c r="P16" i="11" s="1"/>
  <c r="G17" i="10"/>
  <c r="S152" i="11"/>
  <c r="T152" i="11"/>
  <c r="U152" i="11" s="1"/>
  <c r="R15" i="11"/>
  <c r="N153" i="11"/>
  <c r="K17" i="11"/>
  <c r="F17" i="11"/>
  <c r="D18" i="11"/>
  <c r="M155" i="11"/>
  <c r="C156" i="11"/>
  <c r="F155" i="11"/>
  <c r="N257" i="11"/>
  <c r="U14" i="11"/>
  <c r="H15" i="10"/>
  <c r="S15" i="11"/>
  <c r="T15" i="11"/>
  <c r="F16" i="10"/>
  <c r="J257" i="11"/>
  <c r="O257" i="11" s="1"/>
  <c r="Q257" i="11" s="1"/>
  <c r="D154" i="11"/>
  <c r="K154" i="11" s="1"/>
  <c r="G155" i="10" s="1"/>
  <c r="L154" i="11"/>
  <c r="N258" i="11"/>
  <c r="G256" i="10"/>
  <c r="F117" i="10"/>
  <c r="C117" i="10"/>
  <c r="G119" i="10"/>
  <c r="H117" i="10"/>
  <c r="P151" i="15" l="1"/>
  <c r="N152" i="15"/>
  <c r="R152" i="15" s="1"/>
  <c r="T151" i="15"/>
  <c r="U151" i="15" s="1"/>
  <c r="S151" i="15"/>
  <c r="Q151" i="15"/>
  <c r="D153" i="15"/>
  <c r="K153" i="15" s="1"/>
  <c r="L153" i="15"/>
  <c r="O152" i="15"/>
  <c r="T15" i="15"/>
  <c r="U15" i="15" s="1"/>
  <c r="S15" i="15"/>
  <c r="Q15" i="15"/>
  <c r="F154" i="15"/>
  <c r="M154" i="15"/>
  <c r="C155" i="15"/>
  <c r="O16" i="15"/>
  <c r="N16" i="15"/>
  <c r="P15" i="15"/>
  <c r="R15" i="15"/>
  <c r="K17" i="15"/>
  <c r="F17" i="15"/>
  <c r="D18" i="15"/>
  <c r="S153" i="11"/>
  <c r="V16" i="11"/>
  <c r="V16" i="15"/>
  <c r="V118" i="11"/>
  <c r="V118" i="15"/>
  <c r="V154" i="11"/>
  <c r="V154" i="15"/>
  <c r="C16" i="10"/>
  <c r="V255" i="11"/>
  <c r="V255" i="15"/>
  <c r="S258" i="11"/>
  <c r="Q258" i="11"/>
  <c r="R258" i="11"/>
  <c r="P258" i="11"/>
  <c r="R257" i="11"/>
  <c r="P257" i="11"/>
  <c r="R153" i="11"/>
  <c r="P153" i="11"/>
  <c r="T153" i="11"/>
  <c r="U153" i="11" s="1"/>
  <c r="N154" i="11"/>
  <c r="T257" i="11"/>
  <c r="U257" i="11" s="1"/>
  <c r="S257" i="11"/>
  <c r="S16" i="11"/>
  <c r="T16" i="11"/>
  <c r="F17" i="10"/>
  <c r="O154" i="11"/>
  <c r="Q154" i="11" s="1"/>
  <c r="O17" i="11"/>
  <c r="Q17" i="11" s="1"/>
  <c r="N17" i="11"/>
  <c r="P17" i="11" s="1"/>
  <c r="G18" i="10"/>
  <c r="U15" i="11"/>
  <c r="H16" i="10"/>
  <c r="K18" i="11"/>
  <c r="F18" i="11"/>
  <c r="D19" i="11"/>
  <c r="M156" i="11"/>
  <c r="C157" i="11"/>
  <c r="F156" i="11"/>
  <c r="T258" i="11"/>
  <c r="U258" i="11" s="1"/>
  <c r="D155" i="11"/>
  <c r="K155" i="11" s="1"/>
  <c r="L155" i="11"/>
  <c r="R16" i="11"/>
  <c r="G257" i="10"/>
  <c r="F118" i="10"/>
  <c r="C118" i="10"/>
  <c r="G120" i="10"/>
  <c r="H118" i="10"/>
  <c r="P152" i="15" l="1"/>
  <c r="O153" i="15"/>
  <c r="S153" i="15" s="1"/>
  <c r="C156" i="15"/>
  <c r="F155" i="15"/>
  <c r="M155" i="15"/>
  <c r="N153" i="15"/>
  <c r="T153" i="15" s="1"/>
  <c r="U153" i="15" s="1"/>
  <c r="O17" i="15"/>
  <c r="N17" i="15"/>
  <c r="P16" i="15"/>
  <c r="R16" i="15"/>
  <c r="D154" i="15"/>
  <c r="K154" i="15" s="1"/>
  <c r="L154" i="15"/>
  <c r="S152" i="15"/>
  <c r="Q152" i="15"/>
  <c r="T152" i="15"/>
  <c r="U152" i="15" s="1"/>
  <c r="D19" i="15"/>
  <c r="K18" i="15"/>
  <c r="F18" i="15"/>
  <c r="Q16" i="15"/>
  <c r="T16" i="15"/>
  <c r="U16" i="15" s="1"/>
  <c r="S16" i="15"/>
  <c r="Q153" i="15"/>
  <c r="V119" i="11"/>
  <c r="V119" i="15"/>
  <c r="V17" i="11"/>
  <c r="V17" i="15"/>
  <c r="C17" i="10"/>
  <c r="V256" i="11"/>
  <c r="V256" i="15"/>
  <c r="R154" i="11"/>
  <c r="P154" i="11"/>
  <c r="N155" i="11"/>
  <c r="S17" i="11"/>
  <c r="T17" i="11"/>
  <c r="F18" i="10"/>
  <c r="K19" i="11"/>
  <c r="F19" i="11"/>
  <c r="D20" i="11"/>
  <c r="U16" i="11"/>
  <c r="H17" i="10"/>
  <c r="S154" i="11"/>
  <c r="T154" i="11"/>
  <c r="U154" i="11" s="1"/>
  <c r="D156" i="11"/>
  <c r="K156" i="11" s="1"/>
  <c r="L156" i="11"/>
  <c r="O155" i="11"/>
  <c r="Q155" i="11" s="1"/>
  <c r="M157" i="11"/>
  <c r="C158" i="11"/>
  <c r="F157" i="11"/>
  <c r="O18" i="11"/>
  <c r="Q18" i="11" s="1"/>
  <c r="N18" i="11"/>
  <c r="P18" i="11" s="1"/>
  <c r="G19" i="10"/>
  <c r="R17" i="11"/>
  <c r="G259" i="10"/>
  <c r="G258" i="10"/>
  <c r="G156" i="10"/>
  <c r="F119" i="10"/>
  <c r="C119" i="10"/>
  <c r="H119" i="10"/>
  <c r="G121" i="10"/>
  <c r="N154" i="15" l="1"/>
  <c r="P154" i="15" s="1"/>
  <c r="S17" i="15"/>
  <c r="Q17" i="15"/>
  <c r="T17" i="15"/>
  <c r="U17" i="15" s="1"/>
  <c r="F156" i="15"/>
  <c r="M156" i="15"/>
  <c r="C157" i="15"/>
  <c r="P153" i="15"/>
  <c r="R153" i="15"/>
  <c r="O18" i="15"/>
  <c r="N18" i="15"/>
  <c r="F19" i="15"/>
  <c r="D20" i="15"/>
  <c r="K19" i="15"/>
  <c r="O154" i="15"/>
  <c r="P17" i="15"/>
  <c r="R17" i="15"/>
  <c r="L155" i="15"/>
  <c r="D155" i="15"/>
  <c r="K155" i="15" s="1"/>
  <c r="V258" i="11"/>
  <c r="V258" i="15"/>
  <c r="C18" i="10"/>
  <c r="V257" i="11"/>
  <c r="V257" i="15"/>
  <c r="V120" i="11"/>
  <c r="V120" i="15"/>
  <c r="V155" i="11"/>
  <c r="V155" i="15"/>
  <c r="V18" i="11"/>
  <c r="V18" i="15"/>
  <c r="R155" i="11"/>
  <c r="P155" i="11"/>
  <c r="N156" i="11"/>
  <c r="K20" i="11"/>
  <c r="F20" i="11"/>
  <c r="D21" i="11"/>
  <c r="R18" i="11"/>
  <c r="S18" i="11"/>
  <c r="T18" i="11"/>
  <c r="F19" i="10"/>
  <c r="S155" i="11"/>
  <c r="T155" i="11"/>
  <c r="U155" i="11" s="1"/>
  <c r="U17" i="11"/>
  <c r="H18" i="10"/>
  <c r="M158" i="11"/>
  <c r="C159" i="11"/>
  <c r="F158" i="11"/>
  <c r="D157" i="11"/>
  <c r="K157" i="11" s="1"/>
  <c r="L157" i="11"/>
  <c r="O156" i="11"/>
  <c r="Q156" i="11" s="1"/>
  <c r="O19" i="11"/>
  <c r="Q19" i="11" s="1"/>
  <c r="N19" i="11"/>
  <c r="P19" i="11" s="1"/>
  <c r="G20" i="10"/>
  <c r="C120" i="10"/>
  <c r="F120" i="10"/>
  <c r="G157" i="10"/>
  <c r="H120" i="10"/>
  <c r="G122" i="10"/>
  <c r="R154" i="15" l="1"/>
  <c r="O155" i="15"/>
  <c r="Q155" i="15" s="1"/>
  <c r="N155" i="15"/>
  <c r="T154" i="15"/>
  <c r="U154" i="15" s="1"/>
  <c r="S154" i="15"/>
  <c r="Q154" i="15"/>
  <c r="P18" i="15"/>
  <c r="R18" i="15"/>
  <c r="C158" i="15"/>
  <c r="F157" i="15"/>
  <c r="M157" i="15"/>
  <c r="O19" i="15"/>
  <c r="N19" i="15"/>
  <c r="Q18" i="15"/>
  <c r="T18" i="15"/>
  <c r="U18" i="15" s="1"/>
  <c r="S18" i="15"/>
  <c r="D21" i="15"/>
  <c r="K20" i="15"/>
  <c r="F20" i="15"/>
  <c r="D156" i="15"/>
  <c r="K156" i="15" s="1"/>
  <c r="L156" i="15"/>
  <c r="V156" i="11"/>
  <c r="V156" i="15"/>
  <c r="C19" i="10"/>
  <c r="V121" i="11"/>
  <c r="V121" i="15"/>
  <c r="V19" i="11"/>
  <c r="V19" i="15"/>
  <c r="R156" i="11"/>
  <c r="P156" i="11"/>
  <c r="O157" i="11"/>
  <c r="Q157" i="11" s="1"/>
  <c r="S19" i="11"/>
  <c r="T19" i="11"/>
  <c r="F20" i="10"/>
  <c r="U18" i="11"/>
  <c r="H19" i="10"/>
  <c r="K21" i="11"/>
  <c r="F21" i="11"/>
  <c r="D22" i="11"/>
  <c r="D158" i="11"/>
  <c r="K158" i="11" s="1"/>
  <c r="L158" i="11"/>
  <c r="M159" i="11"/>
  <c r="C160" i="11"/>
  <c r="F159" i="11"/>
  <c r="S156" i="11"/>
  <c r="T156" i="11"/>
  <c r="U156" i="11" s="1"/>
  <c r="R19" i="11"/>
  <c r="N157" i="11"/>
  <c r="O20" i="11"/>
  <c r="Q20" i="11" s="1"/>
  <c r="N20" i="11"/>
  <c r="P20" i="11" s="1"/>
  <c r="G21" i="10"/>
  <c r="G158" i="10"/>
  <c r="C121" i="10"/>
  <c r="F121" i="10"/>
  <c r="H121" i="10"/>
  <c r="G123" i="10"/>
  <c r="S155" i="15" l="1"/>
  <c r="T155" i="15"/>
  <c r="U155" i="15" s="1"/>
  <c r="N156" i="15"/>
  <c r="R156" i="15" s="1"/>
  <c r="D157" i="15"/>
  <c r="K157" i="15" s="1"/>
  <c r="L157" i="15"/>
  <c r="O20" i="15"/>
  <c r="N20" i="15"/>
  <c r="C159" i="15"/>
  <c r="F158" i="15"/>
  <c r="M158" i="15"/>
  <c r="O156" i="15"/>
  <c r="K21" i="15"/>
  <c r="F21" i="15"/>
  <c r="D22" i="15"/>
  <c r="P19" i="15"/>
  <c r="R19" i="15"/>
  <c r="S19" i="15"/>
  <c r="Q19" i="15"/>
  <c r="T19" i="15"/>
  <c r="U19" i="15" s="1"/>
  <c r="R155" i="15"/>
  <c r="P155" i="15"/>
  <c r="S157" i="11"/>
  <c r="V157" i="11"/>
  <c r="V157" i="15"/>
  <c r="V122" i="11"/>
  <c r="V122" i="15"/>
  <c r="V20" i="11"/>
  <c r="V20" i="15"/>
  <c r="C20" i="10"/>
  <c r="R157" i="11"/>
  <c r="P157" i="11"/>
  <c r="N158" i="11"/>
  <c r="R20" i="11"/>
  <c r="O158" i="11"/>
  <c r="Q158" i="11" s="1"/>
  <c r="O21" i="11"/>
  <c r="Q21" i="11" s="1"/>
  <c r="N21" i="11"/>
  <c r="P21" i="11" s="1"/>
  <c r="G22" i="10"/>
  <c r="S20" i="11"/>
  <c r="T20" i="11"/>
  <c r="F21" i="10"/>
  <c r="T157" i="11"/>
  <c r="U157" i="11" s="1"/>
  <c r="D159" i="11"/>
  <c r="K159" i="11" s="1"/>
  <c r="L159" i="11"/>
  <c r="U19" i="11"/>
  <c r="H20" i="10"/>
  <c r="M160" i="11"/>
  <c r="C161" i="11"/>
  <c r="F160" i="11"/>
  <c r="K22" i="11"/>
  <c r="F22" i="11"/>
  <c r="D23" i="11"/>
  <c r="C122" i="10"/>
  <c r="F122" i="10"/>
  <c r="G159" i="10"/>
  <c r="G124" i="10"/>
  <c r="H122" i="10"/>
  <c r="P156" i="15" l="1"/>
  <c r="N157" i="15"/>
  <c r="P157" i="15" s="1"/>
  <c r="Q156" i="15"/>
  <c r="T156" i="15"/>
  <c r="U156" i="15" s="1"/>
  <c r="S156" i="15"/>
  <c r="R20" i="15"/>
  <c r="P20" i="15"/>
  <c r="D23" i="15"/>
  <c r="K22" i="15"/>
  <c r="F22" i="15"/>
  <c r="S20" i="15"/>
  <c r="Q20" i="15"/>
  <c r="T20" i="15"/>
  <c r="U20" i="15" s="1"/>
  <c r="D158" i="15"/>
  <c r="K158" i="15" s="1"/>
  <c r="L158" i="15"/>
  <c r="O157" i="15"/>
  <c r="O21" i="15"/>
  <c r="N21" i="15"/>
  <c r="M159" i="15"/>
  <c r="C160" i="15"/>
  <c r="F159" i="15"/>
  <c r="R157" i="15"/>
  <c r="V21" i="11"/>
  <c r="V21" i="15"/>
  <c r="V123" i="11"/>
  <c r="V123" i="15"/>
  <c r="V158" i="11"/>
  <c r="V158" i="15"/>
  <c r="C21" i="10"/>
  <c r="R158" i="11"/>
  <c r="P158" i="11"/>
  <c r="N159" i="11"/>
  <c r="O22" i="11"/>
  <c r="Q22" i="11" s="1"/>
  <c r="N22" i="11"/>
  <c r="P22" i="11" s="1"/>
  <c r="G23" i="10"/>
  <c r="S158" i="11"/>
  <c r="T158" i="11"/>
  <c r="U158" i="11" s="1"/>
  <c r="U20" i="11"/>
  <c r="H21" i="10"/>
  <c r="D160" i="11"/>
  <c r="K160" i="11" s="1"/>
  <c r="L160" i="11"/>
  <c r="S21" i="11"/>
  <c r="T21" i="11"/>
  <c r="F22" i="10"/>
  <c r="K23" i="11"/>
  <c r="F23" i="11"/>
  <c r="D24" i="11"/>
  <c r="M161" i="11"/>
  <c r="C162" i="11"/>
  <c r="F161" i="11"/>
  <c r="O159" i="11"/>
  <c r="Q159" i="11" s="1"/>
  <c r="R21" i="11"/>
  <c r="G160" i="10"/>
  <c r="F123" i="10"/>
  <c r="C123" i="10"/>
  <c r="G125" i="10"/>
  <c r="H123" i="10"/>
  <c r="N158" i="15" l="1"/>
  <c r="R158" i="15" s="1"/>
  <c r="R21" i="15"/>
  <c r="P21" i="15"/>
  <c r="D159" i="15"/>
  <c r="K159" i="15" s="1"/>
  <c r="L159" i="15"/>
  <c r="Q21" i="15"/>
  <c r="T21" i="15"/>
  <c r="U21" i="15" s="1"/>
  <c r="S21" i="15"/>
  <c r="O22" i="15"/>
  <c r="N22" i="15"/>
  <c r="F160" i="15"/>
  <c r="C161" i="15"/>
  <c r="M160" i="15"/>
  <c r="T157" i="15"/>
  <c r="U157" i="15" s="1"/>
  <c r="S157" i="15"/>
  <c r="Q157" i="15"/>
  <c r="K23" i="15"/>
  <c r="F23" i="15"/>
  <c r="D24" i="15"/>
  <c r="O158" i="15"/>
  <c r="C22" i="10"/>
  <c r="V159" i="11"/>
  <c r="V159" i="15"/>
  <c r="V124" i="11"/>
  <c r="V124" i="15"/>
  <c r="V22" i="11"/>
  <c r="V22" i="15"/>
  <c r="R159" i="11"/>
  <c r="P159" i="11"/>
  <c r="N160" i="11"/>
  <c r="G161" i="10"/>
  <c r="S159" i="11"/>
  <c r="T159" i="11"/>
  <c r="U159" i="11" s="1"/>
  <c r="D161" i="11"/>
  <c r="K161" i="11" s="1"/>
  <c r="G162" i="10" s="1"/>
  <c r="L161" i="11"/>
  <c r="U21" i="11"/>
  <c r="H22" i="10"/>
  <c r="M162" i="11"/>
  <c r="C163" i="11"/>
  <c r="F162" i="11"/>
  <c r="O23" i="11"/>
  <c r="Q23" i="11" s="1"/>
  <c r="N23" i="11"/>
  <c r="P23" i="11" s="1"/>
  <c r="G24" i="10"/>
  <c r="R22" i="11"/>
  <c r="K24" i="11"/>
  <c r="F24" i="11"/>
  <c r="D25" i="11"/>
  <c r="O160" i="11"/>
  <c r="Q160" i="11" s="1"/>
  <c r="S22" i="11"/>
  <c r="T22" i="11"/>
  <c r="F23" i="10"/>
  <c r="F124" i="10"/>
  <c r="C124" i="10"/>
  <c r="G126" i="10"/>
  <c r="H124" i="10"/>
  <c r="P158" i="15" l="1"/>
  <c r="N159" i="15"/>
  <c r="P159" i="15" s="1"/>
  <c r="K24" i="15"/>
  <c r="F24" i="15"/>
  <c r="D25" i="15"/>
  <c r="L160" i="15"/>
  <c r="D160" i="15"/>
  <c r="K160" i="15" s="1"/>
  <c r="P22" i="15"/>
  <c r="R22" i="15"/>
  <c r="O23" i="15"/>
  <c r="N23" i="15"/>
  <c r="S22" i="15"/>
  <c r="Q22" i="15"/>
  <c r="T22" i="15"/>
  <c r="U22" i="15" s="1"/>
  <c r="O159" i="15"/>
  <c r="Q158" i="15"/>
  <c r="T158" i="15"/>
  <c r="U158" i="15" s="1"/>
  <c r="S158" i="15"/>
  <c r="M161" i="15"/>
  <c r="F161" i="15"/>
  <c r="C162" i="15"/>
  <c r="R159" i="15"/>
  <c r="V125" i="11"/>
  <c r="V125" i="15"/>
  <c r="V160" i="11"/>
  <c r="V160" i="15"/>
  <c r="V161" i="11"/>
  <c r="V161" i="15"/>
  <c r="C23" i="10"/>
  <c r="V23" i="11"/>
  <c r="V23" i="15"/>
  <c r="R160" i="11"/>
  <c r="P160" i="11"/>
  <c r="O161" i="11"/>
  <c r="Q161" i="11" s="1"/>
  <c r="N161" i="11"/>
  <c r="C164" i="11"/>
  <c r="F163" i="11"/>
  <c r="M163" i="11"/>
  <c r="R23" i="11"/>
  <c r="S160" i="11"/>
  <c r="T160" i="11"/>
  <c r="U160" i="11" s="1"/>
  <c r="S23" i="11"/>
  <c r="T23" i="11"/>
  <c r="F24" i="10"/>
  <c r="U22" i="11"/>
  <c r="H23" i="10"/>
  <c r="O24" i="11"/>
  <c r="Q24" i="11" s="1"/>
  <c r="N24" i="11"/>
  <c r="P24" i="11" s="1"/>
  <c r="G25" i="10"/>
  <c r="K25" i="11"/>
  <c r="F25" i="11"/>
  <c r="D26" i="11"/>
  <c r="D162" i="11"/>
  <c r="K162" i="11" s="1"/>
  <c r="G163" i="10" s="1"/>
  <c r="L162" i="11"/>
  <c r="C125" i="10"/>
  <c r="F125" i="10"/>
  <c r="G127" i="10"/>
  <c r="H125" i="10"/>
  <c r="N160" i="15" l="1"/>
  <c r="P160" i="15" s="1"/>
  <c r="S159" i="15"/>
  <c r="T159" i="15"/>
  <c r="U159" i="15" s="1"/>
  <c r="Q159" i="15"/>
  <c r="P23" i="15"/>
  <c r="R23" i="15"/>
  <c r="N24" i="15"/>
  <c r="O24" i="15"/>
  <c r="T23" i="15"/>
  <c r="U23" i="15" s="1"/>
  <c r="S23" i="15"/>
  <c r="Q23" i="15"/>
  <c r="O160" i="15"/>
  <c r="F162" i="15"/>
  <c r="C163" i="15"/>
  <c r="M162" i="15"/>
  <c r="D26" i="15"/>
  <c r="K25" i="15"/>
  <c r="F25" i="15"/>
  <c r="L161" i="15"/>
  <c r="D161" i="15"/>
  <c r="K161" i="15" s="1"/>
  <c r="R160" i="15"/>
  <c r="V126" i="11"/>
  <c r="V126" i="15"/>
  <c r="V24" i="11"/>
  <c r="V24" i="15"/>
  <c r="V162" i="11"/>
  <c r="V162" i="15"/>
  <c r="C24" i="10"/>
  <c r="S161" i="11"/>
  <c r="R161" i="11"/>
  <c r="P161" i="11"/>
  <c r="T161" i="11"/>
  <c r="U161" i="11" s="1"/>
  <c r="O162" i="11"/>
  <c r="R24" i="11"/>
  <c r="S24" i="11"/>
  <c r="T24" i="11"/>
  <c r="F25" i="10"/>
  <c r="U23" i="11"/>
  <c r="H24" i="10"/>
  <c r="N162" i="11"/>
  <c r="D163" i="11"/>
  <c r="K163" i="11" s="1"/>
  <c r="L163" i="11"/>
  <c r="O25" i="11"/>
  <c r="Q25" i="11" s="1"/>
  <c r="N25" i="11"/>
  <c r="P25" i="11" s="1"/>
  <c r="G26" i="10"/>
  <c r="K26" i="11"/>
  <c r="F26" i="11"/>
  <c r="D27" i="11"/>
  <c r="M164" i="11"/>
  <c r="F164" i="11"/>
  <c r="C165" i="11"/>
  <c r="C126" i="10"/>
  <c r="F126" i="10"/>
  <c r="G128" i="10"/>
  <c r="H126" i="10"/>
  <c r="N161" i="15" l="1"/>
  <c r="R161" i="15" s="1"/>
  <c r="O25" i="15"/>
  <c r="N25" i="15"/>
  <c r="D162" i="15"/>
  <c r="K162" i="15" s="1"/>
  <c r="L162" i="15"/>
  <c r="K26" i="15"/>
  <c r="F26" i="15"/>
  <c r="D27" i="15"/>
  <c r="Q160" i="15"/>
  <c r="T160" i="15"/>
  <c r="U160" i="15" s="1"/>
  <c r="S160" i="15"/>
  <c r="Q24" i="15"/>
  <c r="T24" i="15"/>
  <c r="U24" i="15" s="1"/>
  <c r="S24" i="15"/>
  <c r="O161" i="15"/>
  <c r="R24" i="15"/>
  <c r="P24" i="15"/>
  <c r="F163" i="15"/>
  <c r="C164" i="15"/>
  <c r="M163" i="15"/>
  <c r="C25" i="10"/>
  <c r="V127" i="11"/>
  <c r="V127" i="15"/>
  <c r="V25" i="11"/>
  <c r="V25" i="15"/>
  <c r="S162" i="11"/>
  <c r="Q162" i="11"/>
  <c r="R162" i="11"/>
  <c r="P162" i="11"/>
  <c r="N163" i="11"/>
  <c r="T162" i="11"/>
  <c r="U162" i="11" s="1"/>
  <c r="K27" i="11"/>
  <c r="F27" i="11"/>
  <c r="D28" i="11"/>
  <c r="R25" i="11"/>
  <c r="S25" i="11"/>
  <c r="T25" i="11"/>
  <c r="F26" i="10"/>
  <c r="U24" i="11"/>
  <c r="H25" i="10"/>
  <c r="C166" i="11"/>
  <c r="F165" i="11"/>
  <c r="M165" i="11"/>
  <c r="D164" i="11"/>
  <c r="K164" i="11" s="1"/>
  <c r="L164" i="11"/>
  <c r="O26" i="11"/>
  <c r="Q26" i="11" s="1"/>
  <c r="N26" i="11"/>
  <c r="P26" i="11" s="1"/>
  <c r="G27" i="10"/>
  <c r="O163" i="11"/>
  <c r="Q163" i="11" s="1"/>
  <c r="G164" i="10"/>
  <c r="C127" i="10"/>
  <c r="F127" i="10"/>
  <c r="H127" i="10"/>
  <c r="G129" i="10"/>
  <c r="N162" i="15" l="1"/>
  <c r="P162" i="15" s="1"/>
  <c r="P161" i="15"/>
  <c r="M164" i="15"/>
  <c r="F164" i="15"/>
  <c r="C165" i="15"/>
  <c r="S161" i="15"/>
  <c r="Q161" i="15"/>
  <c r="T161" i="15"/>
  <c r="U161" i="15" s="1"/>
  <c r="O162" i="15"/>
  <c r="D163" i="15"/>
  <c r="K163" i="15" s="1"/>
  <c r="L163" i="15"/>
  <c r="O26" i="15"/>
  <c r="N26" i="15"/>
  <c r="P25" i="15"/>
  <c r="R25" i="15"/>
  <c r="F27" i="15"/>
  <c r="D28" i="15"/>
  <c r="K27" i="15"/>
  <c r="T25" i="15"/>
  <c r="U25" i="15" s="1"/>
  <c r="S25" i="15"/>
  <c r="Q25" i="15"/>
  <c r="V128" i="11"/>
  <c r="V128" i="15"/>
  <c r="V163" i="11"/>
  <c r="V163" i="15"/>
  <c r="V26" i="11"/>
  <c r="V26" i="15"/>
  <c r="C26" i="10"/>
  <c r="R163" i="11"/>
  <c r="P163" i="11"/>
  <c r="O164" i="11"/>
  <c r="N164" i="11"/>
  <c r="U25" i="11"/>
  <c r="H26" i="10"/>
  <c r="K28" i="11"/>
  <c r="F28" i="11"/>
  <c r="D29" i="11"/>
  <c r="T163" i="11"/>
  <c r="U163" i="11" s="1"/>
  <c r="S163" i="11"/>
  <c r="M166" i="11"/>
  <c r="C167" i="11"/>
  <c r="F166" i="11"/>
  <c r="R26" i="11"/>
  <c r="S26" i="11"/>
  <c r="T26" i="11"/>
  <c r="F27" i="10"/>
  <c r="D165" i="11"/>
  <c r="K165" i="11" s="1"/>
  <c r="L165" i="11"/>
  <c r="O27" i="11"/>
  <c r="Q27" i="11" s="1"/>
  <c r="N27" i="11"/>
  <c r="P27" i="11" s="1"/>
  <c r="G28" i="10"/>
  <c r="G165" i="10"/>
  <c r="F128" i="10"/>
  <c r="C128" i="10"/>
  <c r="G130" i="10"/>
  <c r="R162" i="15" l="1"/>
  <c r="N163" i="15"/>
  <c r="R163" i="15" s="1"/>
  <c r="P26" i="15"/>
  <c r="R26" i="15"/>
  <c r="T162" i="15"/>
  <c r="U162" i="15" s="1"/>
  <c r="S162" i="15"/>
  <c r="Q162" i="15"/>
  <c r="F165" i="15"/>
  <c r="M165" i="15"/>
  <c r="C166" i="15"/>
  <c r="O27" i="15"/>
  <c r="N27" i="15"/>
  <c r="Q26" i="15"/>
  <c r="T26" i="15"/>
  <c r="U26" i="15" s="1"/>
  <c r="S26" i="15"/>
  <c r="D164" i="15"/>
  <c r="K164" i="15" s="1"/>
  <c r="L164" i="15"/>
  <c r="D29" i="15"/>
  <c r="K28" i="15"/>
  <c r="F28" i="15"/>
  <c r="O163" i="15"/>
  <c r="C27" i="10"/>
  <c r="V164" i="11"/>
  <c r="V164" i="15"/>
  <c r="V129" i="11"/>
  <c r="V129" i="15"/>
  <c r="V27" i="11"/>
  <c r="V27" i="15"/>
  <c r="S164" i="11"/>
  <c r="Q164" i="11"/>
  <c r="R164" i="11"/>
  <c r="P164" i="11"/>
  <c r="N165" i="11"/>
  <c r="C168" i="11"/>
  <c r="F167" i="11"/>
  <c r="M167" i="11"/>
  <c r="R27" i="11"/>
  <c r="S27" i="11"/>
  <c r="T27" i="11"/>
  <c r="F28" i="10"/>
  <c r="O28" i="11"/>
  <c r="Q28" i="11" s="1"/>
  <c r="N28" i="11"/>
  <c r="P28" i="11" s="1"/>
  <c r="G29" i="10"/>
  <c r="T164" i="11"/>
  <c r="U164" i="11" s="1"/>
  <c r="K29" i="11"/>
  <c r="F29" i="11"/>
  <c r="D30" i="11"/>
  <c r="G166" i="10"/>
  <c r="O165" i="11"/>
  <c r="Q165" i="11" s="1"/>
  <c r="U26" i="11"/>
  <c r="H27" i="10"/>
  <c r="D166" i="11"/>
  <c r="K166" i="11" s="1"/>
  <c r="L166" i="11"/>
  <c r="C129" i="10"/>
  <c r="F129" i="10"/>
  <c r="H128" i="10"/>
  <c r="G131" i="10"/>
  <c r="H129" i="10"/>
  <c r="N164" i="15" l="1"/>
  <c r="P164" i="15" s="1"/>
  <c r="P163" i="15"/>
  <c r="O164" i="15"/>
  <c r="Q164" i="15" s="1"/>
  <c r="P27" i="15"/>
  <c r="R27" i="15"/>
  <c r="D165" i="15"/>
  <c r="K165" i="15" s="1"/>
  <c r="L165" i="15"/>
  <c r="N28" i="15"/>
  <c r="O28" i="15"/>
  <c r="Q27" i="15"/>
  <c r="T27" i="15"/>
  <c r="U27" i="15" s="1"/>
  <c r="S27" i="15"/>
  <c r="K29" i="15"/>
  <c r="F29" i="15"/>
  <c r="D30" i="15"/>
  <c r="C167" i="15"/>
  <c r="F166" i="15"/>
  <c r="M166" i="15"/>
  <c r="S163" i="15"/>
  <c r="T163" i="15"/>
  <c r="U163" i="15" s="1"/>
  <c r="Q163" i="15"/>
  <c r="V28" i="11"/>
  <c r="V28" i="15"/>
  <c r="C28" i="10"/>
  <c r="V130" i="11"/>
  <c r="V130" i="15"/>
  <c r="V165" i="11"/>
  <c r="V165" i="15"/>
  <c r="R165" i="11"/>
  <c r="P165" i="11"/>
  <c r="O166" i="11"/>
  <c r="N166" i="11"/>
  <c r="G167" i="10"/>
  <c r="K30" i="11"/>
  <c r="F30" i="11"/>
  <c r="D31" i="11"/>
  <c r="R28" i="11"/>
  <c r="U27" i="11"/>
  <c r="H28" i="10"/>
  <c r="T165" i="11"/>
  <c r="U165" i="11" s="1"/>
  <c r="S165" i="11"/>
  <c r="O29" i="11"/>
  <c r="Q29" i="11" s="1"/>
  <c r="N29" i="11"/>
  <c r="P29" i="11" s="1"/>
  <c r="G30" i="10"/>
  <c r="S28" i="11"/>
  <c r="T28" i="11"/>
  <c r="F29" i="10"/>
  <c r="D167" i="11"/>
  <c r="K167" i="11" s="1"/>
  <c r="G168" i="10" s="1"/>
  <c r="L167" i="11"/>
  <c r="M168" i="11"/>
  <c r="C169" i="11"/>
  <c r="F168" i="11"/>
  <c r="C130" i="10"/>
  <c r="F130" i="10"/>
  <c r="H130" i="10"/>
  <c r="G132" i="10"/>
  <c r="S164" i="15" l="1"/>
  <c r="R164" i="15"/>
  <c r="T164" i="15"/>
  <c r="U164" i="15" s="1"/>
  <c r="N165" i="15"/>
  <c r="P165" i="15" s="1"/>
  <c r="D166" i="15"/>
  <c r="K166" i="15" s="1"/>
  <c r="L166" i="15"/>
  <c r="N29" i="15"/>
  <c r="O29" i="15"/>
  <c r="T28" i="15"/>
  <c r="U28" i="15" s="1"/>
  <c r="S28" i="15"/>
  <c r="Q28" i="15"/>
  <c r="M167" i="15"/>
  <c r="C168" i="15"/>
  <c r="F167" i="15"/>
  <c r="P28" i="15"/>
  <c r="R28" i="15"/>
  <c r="K30" i="15"/>
  <c r="F30" i="15"/>
  <c r="D31" i="15"/>
  <c r="O165" i="15"/>
  <c r="C29" i="10"/>
  <c r="V166" i="11"/>
  <c r="V166" i="15"/>
  <c r="V131" i="11"/>
  <c r="V131" i="15"/>
  <c r="V167" i="11"/>
  <c r="V167" i="15"/>
  <c r="V29" i="11"/>
  <c r="V29" i="15"/>
  <c r="S166" i="11"/>
  <c r="Q166" i="11"/>
  <c r="R166" i="11"/>
  <c r="P166" i="11"/>
  <c r="T166" i="11"/>
  <c r="U166" i="11" s="1"/>
  <c r="O167" i="11"/>
  <c r="S29" i="11"/>
  <c r="T29" i="11"/>
  <c r="F30" i="10"/>
  <c r="N167" i="11"/>
  <c r="K31" i="11"/>
  <c r="F31" i="11"/>
  <c r="D32" i="11"/>
  <c r="U28" i="11"/>
  <c r="H29" i="10"/>
  <c r="C170" i="11"/>
  <c r="F169" i="11"/>
  <c r="M169" i="11"/>
  <c r="D168" i="11"/>
  <c r="K168" i="11" s="1"/>
  <c r="L168" i="11"/>
  <c r="R29" i="11"/>
  <c r="O30" i="11"/>
  <c r="Q30" i="11" s="1"/>
  <c r="N30" i="11"/>
  <c r="P30" i="11" s="1"/>
  <c r="G31" i="10"/>
  <c r="C131" i="10"/>
  <c r="F131" i="10"/>
  <c r="H131" i="10"/>
  <c r="G133" i="10"/>
  <c r="R165" i="15" l="1"/>
  <c r="N166" i="15"/>
  <c r="P166" i="15" s="1"/>
  <c r="Q165" i="15"/>
  <c r="T165" i="15"/>
  <c r="U165" i="15" s="1"/>
  <c r="S165" i="15"/>
  <c r="T29" i="15"/>
  <c r="U29" i="15" s="1"/>
  <c r="S29" i="15"/>
  <c r="Q29" i="15"/>
  <c r="F31" i="15"/>
  <c r="D32" i="15"/>
  <c r="K31" i="15"/>
  <c r="P29" i="15"/>
  <c r="R29" i="15"/>
  <c r="D167" i="15"/>
  <c r="K167" i="15" s="1"/>
  <c r="L167" i="15"/>
  <c r="O166" i="15"/>
  <c r="N30" i="15"/>
  <c r="O30" i="15"/>
  <c r="C169" i="15"/>
  <c r="F168" i="15"/>
  <c r="M168" i="15"/>
  <c r="R166" i="15"/>
  <c r="V132" i="11"/>
  <c r="V132" i="15"/>
  <c r="V30" i="11"/>
  <c r="V30" i="15"/>
  <c r="C30" i="10"/>
  <c r="R167" i="11"/>
  <c r="P167" i="11"/>
  <c r="S167" i="11"/>
  <c r="Q167" i="11"/>
  <c r="T167" i="11"/>
  <c r="U167" i="11" s="1"/>
  <c r="N168" i="11"/>
  <c r="D169" i="11"/>
  <c r="K169" i="11" s="1"/>
  <c r="L169" i="11"/>
  <c r="K32" i="11"/>
  <c r="F32" i="11"/>
  <c r="D33" i="11"/>
  <c r="M170" i="11"/>
  <c r="C171" i="11"/>
  <c r="F170" i="11"/>
  <c r="O31" i="11"/>
  <c r="Q31" i="11" s="1"/>
  <c r="N31" i="11"/>
  <c r="P31" i="11" s="1"/>
  <c r="G32" i="10"/>
  <c r="U29" i="11"/>
  <c r="H30" i="10"/>
  <c r="S30" i="11"/>
  <c r="T30" i="11"/>
  <c r="F31" i="10"/>
  <c r="R30" i="11"/>
  <c r="O168" i="11"/>
  <c r="Q168" i="11" s="1"/>
  <c r="C132" i="10"/>
  <c r="F132" i="10"/>
  <c r="G169" i="10"/>
  <c r="G134" i="10"/>
  <c r="H132" i="10"/>
  <c r="N167" i="15" l="1"/>
  <c r="P167" i="15" s="1"/>
  <c r="T30" i="15"/>
  <c r="U30" i="15" s="1"/>
  <c r="S30" i="15"/>
  <c r="Q30" i="15"/>
  <c r="D33" i="15"/>
  <c r="K32" i="15"/>
  <c r="F32" i="15"/>
  <c r="P30" i="15"/>
  <c r="R30" i="15"/>
  <c r="D168" i="15"/>
  <c r="K168" i="15" s="1"/>
  <c r="L168" i="15"/>
  <c r="S166" i="15"/>
  <c r="Q166" i="15"/>
  <c r="T166" i="15"/>
  <c r="U166" i="15" s="1"/>
  <c r="F169" i="15"/>
  <c r="M169" i="15"/>
  <c r="C170" i="15"/>
  <c r="O167" i="15"/>
  <c r="O31" i="15"/>
  <c r="N31" i="15"/>
  <c r="V31" i="11"/>
  <c r="V31" i="15"/>
  <c r="V133" i="11"/>
  <c r="V133" i="15"/>
  <c r="C31" i="10"/>
  <c r="V168" i="11"/>
  <c r="V168" i="15"/>
  <c r="R168" i="11"/>
  <c r="P168" i="11"/>
  <c r="N169" i="11"/>
  <c r="D170" i="11"/>
  <c r="K170" i="11" s="1"/>
  <c r="L170" i="11"/>
  <c r="U30" i="11"/>
  <c r="H31" i="10"/>
  <c r="C172" i="11"/>
  <c r="F171" i="11"/>
  <c r="M171" i="11"/>
  <c r="O32" i="11"/>
  <c r="Q32" i="11" s="1"/>
  <c r="N32" i="11"/>
  <c r="P32" i="11" s="1"/>
  <c r="G33" i="10"/>
  <c r="S168" i="11"/>
  <c r="T168" i="11"/>
  <c r="U168" i="11" s="1"/>
  <c r="R31" i="11"/>
  <c r="O169" i="11"/>
  <c r="Q169" i="11" s="1"/>
  <c r="S31" i="11"/>
  <c r="T31" i="11"/>
  <c r="F32" i="10"/>
  <c r="K33" i="11"/>
  <c r="F33" i="11"/>
  <c r="D34" i="11"/>
  <c r="G170" i="10"/>
  <c r="C133" i="10"/>
  <c r="F133" i="10"/>
  <c r="H133" i="10"/>
  <c r="G135" i="10"/>
  <c r="R167" i="15" l="1"/>
  <c r="N168" i="15"/>
  <c r="R168" i="15" s="1"/>
  <c r="Q31" i="15"/>
  <c r="T31" i="15"/>
  <c r="U31" i="15" s="1"/>
  <c r="S31" i="15"/>
  <c r="D169" i="15"/>
  <c r="K169" i="15" s="1"/>
  <c r="L169" i="15"/>
  <c r="O168" i="15"/>
  <c r="T167" i="15"/>
  <c r="U167" i="15" s="1"/>
  <c r="S167" i="15"/>
  <c r="Q167" i="15"/>
  <c r="O32" i="15"/>
  <c r="N32" i="15"/>
  <c r="M170" i="15"/>
  <c r="C171" i="15"/>
  <c r="F170" i="15"/>
  <c r="F33" i="15"/>
  <c r="D34" i="15"/>
  <c r="K33" i="15"/>
  <c r="P31" i="15"/>
  <c r="R31" i="15"/>
  <c r="V134" i="11"/>
  <c r="V134" i="15"/>
  <c r="V169" i="11"/>
  <c r="V169" i="15"/>
  <c r="C32" i="10"/>
  <c r="V32" i="11"/>
  <c r="V32" i="15"/>
  <c r="R169" i="11"/>
  <c r="P169" i="11"/>
  <c r="N170" i="11"/>
  <c r="O33" i="11"/>
  <c r="Q33" i="11" s="1"/>
  <c r="N33" i="11"/>
  <c r="P33" i="11" s="1"/>
  <c r="G34" i="10"/>
  <c r="T169" i="11"/>
  <c r="U169" i="11" s="1"/>
  <c r="S169" i="11"/>
  <c r="K34" i="11"/>
  <c r="F34" i="11"/>
  <c r="D35" i="11"/>
  <c r="D171" i="11"/>
  <c r="K171" i="11" s="1"/>
  <c r="L171" i="11"/>
  <c r="O170" i="11"/>
  <c r="Q170" i="11" s="1"/>
  <c r="S32" i="11"/>
  <c r="T32" i="11"/>
  <c r="F33" i="10"/>
  <c r="U31" i="11"/>
  <c r="H32" i="10"/>
  <c r="R32" i="11"/>
  <c r="M172" i="11"/>
  <c r="C173" i="11"/>
  <c r="F172" i="11"/>
  <c r="F134" i="10"/>
  <c r="G171" i="10"/>
  <c r="H134" i="10"/>
  <c r="C134" i="10"/>
  <c r="G136" i="10"/>
  <c r="P168" i="15" l="1"/>
  <c r="N169" i="15"/>
  <c r="P169" i="15" s="1"/>
  <c r="D170" i="15"/>
  <c r="K170" i="15" s="1"/>
  <c r="L170" i="15"/>
  <c r="S32" i="15"/>
  <c r="Q32" i="15"/>
  <c r="T32" i="15"/>
  <c r="U32" i="15" s="1"/>
  <c r="O33" i="15"/>
  <c r="N33" i="15"/>
  <c r="M171" i="15"/>
  <c r="C172" i="15"/>
  <c r="F171" i="15"/>
  <c r="K34" i="15"/>
  <c r="F34" i="15"/>
  <c r="D35" i="15"/>
  <c r="Q168" i="15"/>
  <c r="T168" i="15"/>
  <c r="U168" i="15" s="1"/>
  <c r="S168" i="15"/>
  <c r="P32" i="15"/>
  <c r="R32" i="15"/>
  <c r="O169" i="15"/>
  <c r="C33" i="10"/>
  <c r="V33" i="11"/>
  <c r="V33" i="15"/>
  <c r="V170" i="11"/>
  <c r="V170" i="15"/>
  <c r="V135" i="11"/>
  <c r="V135" i="15"/>
  <c r="R170" i="11"/>
  <c r="P170" i="11"/>
  <c r="N171" i="11"/>
  <c r="K35" i="11"/>
  <c r="F35" i="11"/>
  <c r="D36" i="11"/>
  <c r="S170" i="11"/>
  <c r="T170" i="11"/>
  <c r="U170" i="11" s="1"/>
  <c r="D172" i="11"/>
  <c r="K172" i="11" s="1"/>
  <c r="L172" i="11"/>
  <c r="O171" i="11"/>
  <c r="Q171" i="11" s="1"/>
  <c r="O34" i="11"/>
  <c r="Q34" i="11" s="1"/>
  <c r="N34" i="11"/>
  <c r="P34" i="11" s="1"/>
  <c r="G35" i="10"/>
  <c r="R33" i="11"/>
  <c r="C174" i="11"/>
  <c r="F173" i="11"/>
  <c r="M173" i="11"/>
  <c r="U32" i="11"/>
  <c r="H33" i="10"/>
  <c r="S33" i="11"/>
  <c r="T33" i="11"/>
  <c r="F34" i="10"/>
  <c r="G172" i="10"/>
  <c r="C135" i="10"/>
  <c r="F135" i="10"/>
  <c r="G137" i="10"/>
  <c r="H135" i="10"/>
  <c r="R169" i="15" l="1"/>
  <c r="N170" i="15"/>
  <c r="R170" i="15" s="1"/>
  <c r="D171" i="15"/>
  <c r="K171" i="15" s="1"/>
  <c r="L171" i="15"/>
  <c r="T33" i="15"/>
  <c r="U33" i="15" s="1"/>
  <c r="S33" i="15"/>
  <c r="Q33" i="15"/>
  <c r="K35" i="15"/>
  <c r="F35" i="15"/>
  <c r="D36" i="15"/>
  <c r="F172" i="15"/>
  <c r="M172" i="15"/>
  <c r="C173" i="15"/>
  <c r="O170" i="15"/>
  <c r="S169" i="15"/>
  <c r="Q169" i="15"/>
  <c r="T169" i="15"/>
  <c r="U169" i="15" s="1"/>
  <c r="O34" i="15"/>
  <c r="N34" i="15"/>
  <c r="P33" i="15"/>
  <c r="R33" i="15"/>
  <c r="P170" i="15"/>
  <c r="V136" i="11"/>
  <c r="V136" i="15"/>
  <c r="V171" i="11"/>
  <c r="V171" i="15"/>
  <c r="V34" i="11"/>
  <c r="V34" i="15"/>
  <c r="C34" i="10"/>
  <c r="R171" i="11"/>
  <c r="P171" i="11"/>
  <c r="N172" i="11"/>
  <c r="U33" i="11"/>
  <c r="H34" i="10"/>
  <c r="T171" i="11"/>
  <c r="U171" i="11" s="1"/>
  <c r="S171" i="11"/>
  <c r="D173" i="11"/>
  <c r="K173" i="11" s="1"/>
  <c r="L173" i="11"/>
  <c r="O172" i="11"/>
  <c r="Q172" i="11" s="1"/>
  <c r="K36" i="11"/>
  <c r="F36" i="11"/>
  <c r="D37" i="11"/>
  <c r="M174" i="11"/>
  <c r="C175" i="11"/>
  <c r="F174" i="11"/>
  <c r="R34" i="11"/>
  <c r="S34" i="11"/>
  <c r="T34" i="11"/>
  <c r="F35" i="10"/>
  <c r="O35" i="11"/>
  <c r="Q35" i="11" s="1"/>
  <c r="N35" i="11"/>
  <c r="P35" i="11" s="1"/>
  <c r="G36" i="10"/>
  <c r="G173" i="10"/>
  <c r="C136" i="10"/>
  <c r="F136" i="10"/>
  <c r="H136" i="10"/>
  <c r="G138" i="10"/>
  <c r="N171" i="15" l="1"/>
  <c r="R171" i="15" s="1"/>
  <c r="S34" i="15"/>
  <c r="Q34" i="15"/>
  <c r="T34" i="15"/>
  <c r="U34" i="15" s="1"/>
  <c r="S170" i="15"/>
  <c r="Q170" i="15"/>
  <c r="T170" i="15"/>
  <c r="U170" i="15" s="1"/>
  <c r="D37" i="15"/>
  <c r="K36" i="15"/>
  <c r="F36" i="15"/>
  <c r="M173" i="15"/>
  <c r="C174" i="15"/>
  <c r="F173" i="15"/>
  <c r="N35" i="15"/>
  <c r="O35" i="15"/>
  <c r="O171" i="15"/>
  <c r="P34" i="15"/>
  <c r="R34" i="15"/>
  <c r="D172" i="15"/>
  <c r="K172" i="15" s="1"/>
  <c r="L172" i="15"/>
  <c r="V137" i="11"/>
  <c r="V137" i="15"/>
  <c r="V172" i="11"/>
  <c r="V172" i="15"/>
  <c r="V35" i="11"/>
  <c r="V35" i="15"/>
  <c r="C35" i="10"/>
  <c r="R172" i="11"/>
  <c r="P172" i="11"/>
  <c r="N173" i="11"/>
  <c r="O173" i="11"/>
  <c r="Q173" i="11" s="1"/>
  <c r="S35" i="11"/>
  <c r="T35" i="11"/>
  <c r="F36" i="10"/>
  <c r="C176" i="11"/>
  <c r="F175" i="11"/>
  <c r="M175" i="11"/>
  <c r="O36" i="11"/>
  <c r="Q36" i="11" s="1"/>
  <c r="N36" i="11"/>
  <c r="P36" i="11" s="1"/>
  <c r="G37" i="10"/>
  <c r="S172" i="11"/>
  <c r="T172" i="11"/>
  <c r="U172" i="11" s="1"/>
  <c r="K37" i="11"/>
  <c r="F37" i="11"/>
  <c r="D38" i="11"/>
  <c r="R35" i="11"/>
  <c r="U34" i="11"/>
  <c r="H35" i="10"/>
  <c r="D174" i="11"/>
  <c r="K174" i="11" s="1"/>
  <c r="L174" i="11"/>
  <c r="G174" i="10"/>
  <c r="C137" i="10"/>
  <c r="F137" i="10"/>
  <c r="H137" i="10"/>
  <c r="G139" i="10"/>
  <c r="P171" i="15" l="1"/>
  <c r="O172" i="15"/>
  <c r="S172" i="15" s="1"/>
  <c r="N172" i="15"/>
  <c r="R172" i="15" s="1"/>
  <c r="D173" i="15"/>
  <c r="K173" i="15" s="1"/>
  <c r="L173" i="15"/>
  <c r="N36" i="15"/>
  <c r="O36" i="15"/>
  <c r="Q171" i="15"/>
  <c r="S171" i="15"/>
  <c r="T171" i="15"/>
  <c r="U171" i="15" s="1"/>
  <c r="M174" i="15"/>
  <c r="C175" i="15"/>
  <c r="F174" i="15"/>
  <c r="K37" i="15"/>
  <c r="F37" i="15"/>
  <c r="D38" i="15"/>
  <c r="T35" i="15"/>
  <c r="U35" i="15" s="1"/>
  <c r="S35" i="15"/>
  <c r="Q35" i="15"/>
  <c r="P35" i="15"/>
  <c r="R35" i="15"/>
  <c r="V138" i="11"/>
  <c r="V138" i="15"/>
  <c r="V36" i="11"/>
  <c r="V36" i="15"/>
  <c r="C36" i="10"/>
  <c r="V173" i="11"/>
  <c r="V173" i="15"/>
  <c r="S173" i="11"/>
  <c r="T173" i="11"/>
  <c r="U173" i="11" s="1"/>
  <c r="R173" i="11"/>
  <c r="P173" i="11"/>
  <c r="O174" i="11"/>
  <c r="Q174" i="11" s="1"/>
  <c r="S36" i="11"/>
  <c r="T36" i="11"/>
  <c r="F37" i="10"/>
  <c r="N174" i="11"/>
  <c r="D175" i="11"/>
  <c r="K175" i="11" s="1"/>
  <c r="L175" i="11"/>
  <c r="U35" i="11"/>
  <c r="H36" i="10"/>
  <c r="K38" i="11"/>
  <c r="F38" i="11"/>
  <c r="D39" i="11"/>
  <c r="G175" i="10"/>
  <c r="O37" i="11"/>
  <c r="Q37" i="11" s="1"/>
  <c r="N37" i="11"/>
  <c r="P37" i="11" s="1"/>
  <c r="G38" i="10"/>
  <c r="R36" i="11"/>
  <c r="M176" i="11"/>
  <c r="C177" i="11"/>
  <c r="F176" i="11"/>
  <c r="C138" i="10"/>
  <c r="F138" i="10"/>
  <c r="H138" i="10"/>
  <c r="N173" i="15" l="1"/>
  <c r="R173" i="15" s="1"/>
  <c r="P172" i="15"/>
  <c r="Q172" i="15"/>
  <c r="T172" i="15"/>
  <c r="U172" i="15" s="1"/>
  <c r="D39" i="15"/>
  <c r="K38" i="15"/>
  <c r="F38" i="15"/>
  <c r="M175" i="15"/>
  <c r="C176" i="15"/>
  <c r="F175" i="15"/>
  <c r="Q36" i="15"/>
  <c r="T36" i="15"/>
  <c r="U36" i="15" s="1"/>
  <c r="S36" i="15"/>
  <c r="P36" i="15"/>
  <c r="R36" i="15"/>
  <c r="O37" i="15"/>
  <c r="N37" i="15"/>
  <c r="O173" i="15"/>
  <c r="D174" i="15"/>
  <c r="K174" i="15" s="1"/>
  <c r="L174" i="15"/>
  <c r="V37" i="11"/>
  <c r="V37" i="15"/>
  <c r="C37" i="10"/>
  <c r="V174" i="11"/>
  <c r="V174" i="15"/>
  <c r="R174" i="11"/>
  <c r="P174" i="11"/>
  <c r="S174" i="11"/>
  <c r="C175" i="10" s="1"/>
  <c r="T174" i="11"/>
  <c r="U174" i="11" s="1"/>
  <c r="N175" i="11"/>
  <c r="O175" i="11"/>
  <c r="S37" i="11"/>
  <c r="T37" i="11"/>
  <c r="F38" i="10"/>
  <c r="K39" i="11"/>
  <c r="F39" i="11"/>
  <c r="D40" i="11"/>
  <c r="U36" i="11"/>
  <c r="H37" i="10"/>
  <c r="O38" i="11"/>
  <c r="Q38" i="11" s="1"/>
  <c r="N38" i="11"/>
  <c r="P38" i="11" s="1"/>
  <c r="G39" i="10"/>
  <c r="D176" i="11"/>
  <c r="K176" i="11" s="1"/>
  <c r="L176" i="11"/>
  <c r="C178" i="11"/>
  <c r="F177" i="11"/>
  <c r="M177" i="11"/>
  <c r="R37" i="11"/>
  <c r="C148" i="10"/>
  <c r="F148" i="10"/>
  <c r="C155" i="10"/>
  <c r="F155" i="10"/>
  <c r="C172" i="10"/>
  <c r="F172" i="10"/>
  <c r="C147" i="10"/>
  <c r="F147" i="10"/>
  <c r="C140" i="10"/>
  <c r="F140" i="10"/>
  <c r="C169" i="10"/>
  <c r="F169" i="10"/>
  <c r="C144" i="10"/>
  <c r="F144" i="10"/>
  <c r="C174" i="10"/>
  <c r="F174" i="10"/>
  <c r="C153" i="10"/>
  <c r="F153" i="10"/>
  <c r="C141" i="10"/>
  <c r="F141" i="10"/>
  <c r="C158" i="10"/>
  <c r="F158" i="10"/>
  <c r="C163" i="10"/>
  <c r="F163" i="10"/>
  <c r="C152" i="10"/>
  <c r="F152" i="10"/>
  <c r="C139" i="10"/>
  <c r="F139" i="10"/>
  <c r="C171" i="10"/>
  <c r="F171" i="10"/>
  <c r="C146" i="10"/>
  <c r="F146" i="10"/>
  <c r="C143" i="10"/>
  <c r="F143" i="10"/>
  <c r="C151" i="10"/>
  <c r="F151" i="10"/>
  <c r="F175" i="10"/>
  <c r="C173" i="10"/>
  <c r="F173" i="10"/>
  <c r="C157" i="10"/>
  <c r="F157" i="10"/>
  <c r="C150" i="10"/>
  <c r="F150" i="10"/>
  <c r="C145" i="10"/>
  <c r="F145" i="10"/>
  <c r="C159" i="10"/>
  <c r="F159" i="10"/>
  <c r="C162" i="10"/>
  <c r="F162" i="10"/>
  <c r="C165" i="10"/>
  <c r="F165" i="10"/>
  <c r="C149" i="10"/>
  <c r="F149" i="10"/>
  <c r="C164" i="10"/>
  <c r="F164" i="10"/>
  <c r="C160" i="10"/>
  <c r="F160" i="10"/>
  <c r="C170" i="10"/>
  <c r="F170" i="10"/>
  <c r="C156" i="10"/>
  <c r="F156" i="10"/>
  <c r="C154" i="10"/>
  <c r="F154" i="10"/>
  <c r="C167" i="10"/>
  <c r="F167" i="10"/>
  <c r="C166" i="10"/>
  <c r="F166" i="10"/>
  <c r="C142" i="10"/>
  <c r="F142" i="10"/>
  <c r="C168" i="10"/>
  <c r="F168" i="10"/>
  <c r="C161" i="10"/>
  <c r="F161" i="10"/>
  <c r="G176" i="10"/>
  <c r="H174" i="10"/>
  <c r="H165" i="10"/>
  <c r="H154" i="10"/>
  <c r="H167" i="10"/>
  <c r="H163" i="10"/>
  <c r="H173" i="10"/>
  <c r="H144" i="10"/>
  <c r="H162" i="10"/>
  <c r="H157" i="10"/>
  <c r="H148" i="10"/>
  <c r="H155" i="10"/>
  <c r="H150" i="10"/>
  <c r="H143" i="10"/>
  <c r="H161" i="10"/>
  <c r="H169" i="10"/>
  <c r="H149" i="10"/>
  <c r="H164" i="10"/>
  <c r="H171" i="10"/>
  <c r="H168" i="10"/>
  <c r="H147" i="10"/>
  <c r="H170" i="10"/>
  <c r="H160" i="10"/>
  <c r="H139" i="10"/>
  <c r="H145" i="10"/>
  <c r="H151" i="10"/>
  <c r="H156" i="10"/>
  <c r="H152" i="10"/>
  <c r="H166" i="10"/>
  <c r="H158" i="10"/>
  <c r="H140" i="10"/>
  <c r="H146" i="10"/>
  <c r="H153" i="10"/>
  <c r="H159" i="10"/>
  <c r="H172" i="10"/>
  <c r="H141" i="10"/>
  <c r="H142" i="10"/>
  <c r="P173" i="15" l="1"/>
  <c r="N174" i="15"/>
  <c r="P174" i="15" s="1"/>
  <c r="O174" i="15"/>
  <c r="S37" i="15"/>
  <c r="Q37" i="15"/>
  <c r="T37" i="15"/>
  <c r="U37" i="15" s="1"/>
  <c r="Q173" i="15"/>
  <c r="S173" i="15"/>
  <c r="T173" i="15"/>
  <c r="U173" i="15" s="1"/>
  <c r="D175" i="15"/>
  <c r="K175" i="15" s="1"/>
  <c r="L175" i="15"/>
  <c r="N38" i="15"/>
  <c r="O38" i="15"/>
  <c r="P37" i="15"/>
  <c r="R37" i="15"/>
  <c r="F176" i="15"/>
  <c r="M176" i="15"/>
  <c r="C177" i="15"/>
  <c r="K39" i="15"/>
  <c r="F39" i="15"/>
  <c r="D40" i="15"/>
  <c r="H175" i="10"/>
  <c r="C38" i="10"/>
  <c r="V175" i="11"/>
  <c r="V175" i="15"/>
  <c r="V38" i="11"/>
  <c r="V38" i="15"/>
  <c r="T175" i="11"/>
  <c r="U175" i="11" s="1"/>
  <c r="Q175" i="11"/>
  <c r="R175" i="11"/>
  <c r="P175" i="11"/>
  <c r="S175" i="11"/>
  <c r="C176" i="10" s="1"/>
  <c r="O176" i="11"/>
  <c r="S38" i="11"/>
  <c r="T38" i="11"/>
  <c r="F39" i="10"/>
  <c r="U37" i="11"/>
  <c r="H38" i="10"/>
  <c r="N176" i="11"/>
  <c r="O39" i="11"/>
  <c r="Q39" i="11" s="1"/>
  <c r="N39" i="11"/>
  <c r="P39" i="11" s="1"/>
  <c r="G40" i="10"/>
  <c r="D177" i="11"/>
  <c r="K177" i="11" s="1"/>
  <c r="L177" i="11"/>
  <c r="M178" i="11"/>
  <c r="C179" i="11"/>
  <c r="F178" i="11"/>
  <c r="R38" i="11"/>
  <c r="K40" i="11"/>
  <c r="F40" i="11"/>
  <c r="D41" i="11"/>
  <c r="C258" i="10"/>
  <c r="F258" i="10"/>
  <c r="C256" i="10"/>
  <c r="F256" i="10"/>
  <c r="C249" i="10"/>
  <c r="F249" i="10"/>
  <c r="C257" i="10"/>
  <c r="F257" i="10"/>
  <c r="C255" i="10"/>
  <c r="F255" i="10"/>
  <c r="C246" i="10"/>
  <c r="F246" i="10"/>
  <c r="C248" i="10"/>
  <c r="F248" i="10"/>
  <c r="C252" i="10"/>
  <c r="F252" i="10"/>
  <c r="C259" i="10"/>
  <c r="F259" i="10"/>
  <c r="C254" i="10"/>
  <c r="F254" i="10"/>
  <c r="C251" i="10"/>
  <c r="F251" i="10"/>
  <c r="F176" i="10"/>
  <c r="C250" i="10"/>
  <c r="F250" i="10"/>
  <c r="C247" i="10"/>
  <c r="F247" i="10"/>
  <c r="C245" i="10"/>
  <c r="F245" i="10"/>
  <c r="C253" i="10"/>
  <c r="F253" i="10"/>
  <c r="G177" i="10"/>
  <c r="H255" i="10"/>
  <c r="H257" i="10"/>
  <c r="H246" i="10"/>
  <c r="H247" i="10"/>
  <c r="H252" i="10"/>
  <c r="H245" i="10"/>
  <c r="H253" i="10"/>
  <c r="H250" i="10"/>
  <c r="H258" i="10"/>
  <c r="H251" i="10"/>
  <c r="H259" i="10"/>
  <c r="H248" i="10"/>
  <c r="H256" i="10"/>
  <c r="H249" i="10"/>
  <c r="H254" i="10"/>
  <c r="R174" i="15" l="1"/>
  <c r="N175" i="15"/>
  <c r="P175" i="15" s="1"/>
  <c r="D176" i="15"/>
  <c r="K176" i="15" s="1"/>
  <c r="L176" i="15"/>
  <c r="P38" i="15"/>
  <c r="R38" i="15"/>
  <c r="O39" i="15"/>
  <c r="N39" i="15"/>
  <c r="O175" i="15"/>
  <c r="M177" i="15"/>
  <c r="C178" i="15"/>
  <c r="F177" i="15"/>
  <c r="F40" i="15"/>
  <c r="D41" i="15"/>
  <c r="K40" i="15"/>
  <c r="T38" i="15"/>
  <c r="U38" i="15" s="1"/>
  <c r="S38" i="15"/>
  <c r="Q38" i="15"/>
  <c r="S174" i="15"/>
  <c r="Q174" i="15"/>
  <c r="T174" i="15"/>
  <c r="U174" i="15" s="1"/>
  <c r="H176" i="10"/>
  <c r="V176" i="11"/>
  <c r="V176" i="15"/>
  <c r="V39" i="11"/>
  <c r="V39" i="15"/>
  <c r="C39" i="10"/>
  <c r="R176" i="11"/>
  <c r="P176" i="11"/>
  <c r="S176" i="11"/>
  <c r="Q176" i="11"/>
  <c r="O177" i="11"/>
  <c r="Q177" i="11" s="1"/>
  <c r="T176" i="11"/>
  <c r="U176" i="11" s="1"/>
  <c r="U38" i="11"/>
  <c r="H39" i="10"/>
  <c r="R39" i="11"/>
  <c r="C180" i="11"/>
  <c r="F179" i="11"/>
  <c r="M179" i="11"/>
  <c r="K41" i="11"/>
  <c r="F41" i="11"/>
  <c r="D42" i="11"/>
  <c r="S39" i="11"/>
  <c r="T39" i="11"/>
  <c r="F40" i="10"/>
  <c r="O40" i="11"/>
  <c r="Q40" i="11" s="1"/>
  <c r="N40" i="11"/>
  <c r="P40" i="11" s="1"/>
  <c r="G41" i="10"/>
  <c r="D178" i="11"/>
  <c r="K178" i="11" s="1"/>
  <c r="L178" i="11"/>
  <c r="N177" i="11"/>
  <c r="G178" i="10"/>
  <c r="R175" i="15" l="1"/>
  <c r="N176" i="15"/>
  <c r="P176" i="15" s="1"/>
  <c r="O40" i="15"/>
  <c r="N40" i="15"/>
  <c r="Q175" i="15"/>
  <c r="T175" i="15"/>
  <c r="U175" i="15" s="1"/>
  <c r="S175" i="15"/>
  <c r="D42" i="15"/>
  <c r="K41" i="15"/>
  <c r="F41" i="15"/>
  <c r="D177" i="15"/>
  <c r="K177" i="15" s="1"/>
  <c r="L177" i="15"/>
  <c r="P39" i="15"/>
  <c r="R39" i="15"/>
  <c r="O176" i="15"/>
  <c r="F178" i="15"/>
  <c r="M178" i="15"/>
  <c r="C179" i="15"/>
  <c r="Q39" i="15"/>
  <c r="T39" i="15"/>
  <c r="U39" i="15" s="1"/>
  <c r="S39" i="15"/>
  <c r="R176" i="15"/>
  <c r="C40" i="10"/>
  <c r="V177" i="11"/>
  <c r="V177" i="15"/>
  <c r="V40" i="11"/>
  <c r="V40" i="15"/>
  <c r="S177" i="11"/>
  <c r="R177" i="11"/>
  <c r="P177" i="11"/>
  <c r="N178" i="11"/>
  <c r="O41" i="11"/>
  <c r="Q41" i="11" s="1"/>
  <c r="N41" i="11"/>
  <c r="P41" i="11" s="1"/>
  <c r="G42" i="10"/>
  <c r="T177" i="11"/>
  <c r="U177" i="11" s="1"/>
  <c r="R40" i="11"/>
  <c r="U39" i="11"/>
  <c r="H40" i="10"/>
  <c r="K42" i="11"/>
  <c r="F42" i="11"/>
  <c r="D43" i="11"/>
  <c r="D179" i="11"/>
  <c r="K179" i="11" s="1"/>
  <c r="L179" i="11"/>
  <c r="O178" i="11"/>
  <c r="Q178" i="11" s="1"/>
  <c r="S40" i="11"/>
  <c r="T40" i="11"/>
  <c r="F41" i="10"/>
  <c r="M180" i="11"/>
  <c r="C181" i="11"/>
  <c r="F180" i="11"/>
  <c r="C177" i="10"/>
  <c r="F177" i="10"/>
  <c r="H177" i="10"/>
  <c r="G179" i="10"/>
  <c r="N177" i="15" l="1"/>
  <c r="R177" i="15" s="1"/>
  <c r="F179" i="15"/>
  <c r="M179" i="15"/>
  <c r="C180" i="15"/>
  <c r="O41" i="15"/>
  <c r="N41" i="15"/>
  <c r="D178" i="15"/>
  <c r="K178" i="15" s="1"/>
  <c r="L178" i="15"/>
  <c r="O177" i="15"/>
  <c r="K42" i="15"/>
  <c r="F42" i="15"/>
  <c r="D43" i="15"/>
  <c r="P40" i="15"/>
  <c r="R40" i="15"/>
  <c r="T176" i="15"/>
  <c r="U176" i="15" s="1"/>
  <c r="S176" i="15"/>
  <c r="Q176" i="15"/>
  <c r="Q40" i="15"/>
  <c r="T40" i="15"/>
  <c r="U40" i="15" s="1"/>
  <c r="S40" i="15"/>
  <c r="V178" i="11"/>
  <c r="V178" i="15"/>
  <c r="C41" i="10"/>
  <c r="V41" i="11"/>
  <c r="V41" i="15"/>
  <c r="R178" i="11"/>
  <c r="P178" i="11"/>
  <c r="N179" i="11"/>
  <c r="C182" i="11"/>
  <c r="F181" i="11"/>
  <c r="M181" i="11"/>
  <c r="U40" i="11"/>
  <c r="H41" i="10"/>
  <c r="K43" i="11"/>
  <c r="F43" i="11"/>
  <c r="D44" i="11"/>
  <c r="S178" i="11"/>
  <c r="T178" i="11"/>
  <c r="U178" i="11" s="1"/>
  <c r="R41" i="11"/>
  <c r="D180" i="11"/>
  <c r="K180" i="11" s="1"/>
  <c r="L180" i="11"/>
  <c r="O179" i="11"/>
  <c r="Q179" i="11" s="1"/>
  <c r="O42" i="11"/>
  <c r="Q42" i="11" s="1"/>
  <c r="N42" i="11"/>
  <c r="P42" i="11" s="1"/>
  <c r="G43" i="10"/>
  <c r="S41" i="11"/>
  <c r="T41" i="11"/>
  <c r="F42" i="10"/>
  <c r="C178" i="10"/>
  <c r="F178" i="10"/>
  <c r="G180" i="10"/>
  <c r="P177" i="15" l="1"/>
  <c r="N178" i="15"/>
  <c r="R178" i="15" s="1"/>
  <c r="Q177" i="15"/>
  <c r="T177" i="15"/>
  <c r="U177" i="15" s="1"/>
  <c r="S177" i="15"/>
  <c r="S41" i="15"/>
  <c r="Q41" i="15"/>
  <c r="T41" i="15"/>
  <c r="U41" i="15" s="1"/>
  <c r="F43" i="15"/>
  <c r="K43" i="15"/>
  <c r="D44" i="15"/>
  <c r="O178" i="15"/>
  <c r="C181" i="15"/>
  <c r="F180" i="15"/>
  <c r="M180" i="15"/>
  <c r="O42" i="15"/>
  <c r="N42" i="15"/>
  <c r="P41" i="15"/>
  <c r="R41" i="15"/>
  <c r="D179" i="15"/>
  <c r="K179" i="15" s="1"/>
  <c r="L179" i="15"/>
  <c r="V179" i="11"/>
  <c r="V179" i="15"/>
  <c r="C42" i="10"/>
  <c r="V42" i="11"/>
  <c r="V42" i="15"/>
  <c r="R179" i="11"/>
  <c r="P179" i="11"/>
  <c r="O180" i="11"/>
  <c r="Q180" i="11" s="1"/>
  <c r="S42" i="11"/>
  <c r="T42" i="11"/>
  <c r="F43" i="10"/>
  <c r="T179" i="11"/>
  <c r="U179" i="11" s="1"/>
  <c r="S179" i="11"/>
  <c r="U41" i="11"/>
  <c r="H42" i="10"/>
  <c r="K44" i="11"/>
  <c r="F44" i="11"/>
  <c r="D45" i="11"/>
  <c r="O43" i="11"/>
  <c r="Q43" i="11" s="1"/>
  <c r="N43" i="11"/>
  <c r="P43" i="11" s="1"/>
  <c r="G44" i="10"/>
  <c r="D181" i="11"/>
  <c r="K181" i="11" s="1"/>
  <c r="L181" i="11"/>
  <c r="R42" i="11"/>
  <c r="N180" i="11"/>
  <c r="M182" i="11"/>
  <c r="C183" i="11"/>
  <c r="F182" i="11"/>
  <c r="H178" i="10"/>
  <c r="C179" i="10"/>
  <c r="F179" i="10"/>
  <c r="H179" i="10"/>
  <c r="G181" i="10"/>
  <c r="P178" i="15" l="1"/>
  <c r="N179" i="15"/>
  <c r="R179" i="15" s="1"/>
  <c r="S42" i="15"/>
  <c r="Q42" i="15"/>
  <c r="T42" i="15"/>
  <c r="U42" i="15" s="1"/>
  <c r="L180" i="15"/>
  <c r="D180" i="15"/>
  <c r="K180" i="15" s="1"/>
  <c r="N43" i="15"/>
  <c r="O43" i="15"/>
  <c r="C182" i="15"/>
  <c r="F181" i="15"/>
  <c r="M181" i="15"/>
  <c r="Q178" i="15"/>
  <c r="T178" i="15"/>
  <c r="U178" i="15" s="1"/>
  <c r="S178" i="15"/>
  <c r="O179" i="15"/>
  <c r="R42" i="15"/>
  <c r="P42" i="15"/>
  <c r="K44" i="15"/>
  <c r="F44" i="15"/>
  <c r="D45" i="15"/>
  <c r="V180" i="11"/>
  <c r="V180" i="15"/>
  <c r="V43" i="11"/>
  <c r="V43" i="15"/>
  <c r="C43" i="10"/>
  <c r="S180" i="11"/>
  <c r="R180" i="11"/>
  <c r="P180" i="11"/>
  <c r="N181" i="11"/>
  <c r="D182" i="11"/>
  <c r="K182" i="11" s="1"/>
  <c r="L182" i="11"/>
  <c r="C184" i="11"/>
  <c r="F183" i="11"/>
  <c r="M183" i="11"/>
  <c r="K45" i="11"/>
  <c r="F45" i="11"/>
  <c r="D46" i="11"/>
  <c r="R43" i="11"/>
  <c r="O181" i="11"/>
  <c r="Q181" i="11" s="1"/>
  <c r="S43" i="11"/>
  <c r="T43" i="11"/>
  <c r="F44" i="10"/>
  <c r="U42" i="11"/>
  <c r="H43" i="10"/>
  <c r="T180" i="11"/>
  <c r="U180" i="11" s="1"/>
  <c r="O44" i="11"/>
  <c r="Q44" i="11" s="1"/>
  <c r="N44" i="11"/>
  <c r="P44" i="11" s="1"/>
  <c r="G45" i="10"/>
  <c r="C180" i="10"/>
  <c r="F180" i="10"/>
  <c r="G182" i="10"/>
  <c r="H180" i="10"/>
  <c r="N180" i="15" l="1"/>
  <c r="P180" i="15" s="1"/>
  <c r="P179" i="15"/>
  <c r="Q179" i="15"/>
  <c r="T179" i="15"/>
  <c r="U179" i="15" s="1"/>
  <c r="S179" i="15"/>
  <c r="P43" i="15"/>
  <c r="R43" i="15"/>
  <c r="O44" i="15"/>
  <c r="N44" i="15"/>
  <c r="D181" i="15"/>
  <c r="K181" i="15" s="1"/>
  <c r="L181" i="15"/>
  <c r="C183" i="15"/>
  <c r="F182" i="15"/>
  <c r="M182" i="15"/>
  <c r="O180" i="15"/>
  <c r="K45" i="15"/>
  <c r="F45" i="15"/>
  <c r="D46" i="15"/>
  <c r="T43" i="15"/>
  <c r="U43" i="15" s="1"/>
  <c r="S43" i="15"/>
  <c r="Q43" i="15"/>
  <c r="V44" i="11"/>
  <c r="V44" i="15"/>
  <c r="C44" i="10"/>
  <c r="V181" i="11"/>
  <c r="V181" i="15"/>
  <c r="R181" i="11"/>
  <c r="P181" i="11"/>
  <c r="N182" i="11"/>
  <c r="R44" i="11"/>
  <c r="D183" i="11"/>
  <c r="K183" i="11" s="1"/>
  <c r="L183" i="11"/>
  <c r="S44" i="11"/>
  <c r="T44" i="11"/>
  <c r="F45" i="10"/>
  <c r="T181" i="11"/>
  <c r="U181" i="11" s="1"/>
  <c r="S181" i="11"/>
  <c r="M184" i="11"/>
  <c r="C185" i="11"/>
  <c r="F184" i="11"/>
  <c r="K46" i="11"/>
  <c r="F46" i="11"/>
  <c r="D47" i="11"/>
  <c r="O45" i="11"/>
  <c r="Q45" i="11" s="1"/>
  <c r="N45" i="11"/>
  <c r="P45" i="11" s="1"/>
  <c r="G46" i="10"/>
  <c r="O182" i="11"/>
  <c r="Q182" i="11" s="1"/>
  <c r="U43" i="11"/>
  <c r="H44" i="10"/>
  <c r="C181" i="10"/>
  <c r="F181" i="10"/>
  <c r="G183" i="10"/>
  <c r="H181" i="10"/>
  <c r="R180" i="15" l="1"/>
  <c r="N181" i="15"/>
  <c r="P181" i="15" s="1"/>
  <c r="O45" i="15"/>
  <c r="N45" i="15"/>
  <c r="F183" i="15"/>
  <c r="M183" i="15"/>
  <c r="C184" i="15"/>
  <c r="S180" i="15"/>
  <c r="Q180" i="15"/>
  <c r="T180" i="15"/>
  <c r="U180" i="15" s="1"/>
  <c r="P44" i="15"/>
  <c r="R44" i="15"/>
  <c r="K46" i="15"/>
  <c r="F46" i="15"/>
  <c r="D47" i="15"/>
  <c r="T44" i="15"/>
  <c r="U44" i="15" s="1"/>
  <c r="S44" i="15"/>
  <c r="Q44" i="15"/>
  <c r="D182" i="15"/>
  <c r="K182" i="15" s="1"/>
  <c r="L182" i="15"/>
  <c r="O181" i="15"/>
  <c r="V45" i="11"/>
  <c r="V45" i="15"/>
  <c r="C45" i="10"/>
  <c r="V182" i="11"/>
  <c r="V182" i="15"/>
  <c r="R182" i="11"/>
  <c r="P182" i="11"/>
  <c r="O183" i="11"/>
  <c r="S182" i="11"/>
  <c r="T182" i="11"/>
  <c r="U182" i="11" s="1"/>
  <c r="C186" i="11"/>
  <c r="F185" i="11"/>
  <c r="M185" i="11"/>
  <c r="N183" i="11"/>
  <c r="R45" i="11"/>
  <c r="O46" i="11"/>
  <c r="Q46" i="11" s="1"/>
  <c r="N46" i="11"/>
  <c r="P46" i="11" s="1"/>
  <c r="G47" i="10"/>
  <c r="U44" i="11"/>
  <c r="H45" i="10"/>
  <c r="K47" i="11"/>
  <c r="F47" i="11"/>
  <c r="D48" i="11"/>
  <c r="S45" i="11"/>
  <c r="T45" i="11"/>
  <c r="F46" i="10"/>
  <c r="D184" i="11"/>
  <c r="K184" i="11" s="1"/>
  <c r="L184" i="11"/>
  <c r="F182" i="10"/>
  <c r="C182" i="10"/>
  <c r="G184" i="10"/>
  <c r="H182" i="10"/>
  <c r="R181" i="15" l="1"/>
  <c r="N182" i="15"/>
  <c r="R182" i="15" s="1"/>
  <c r="O182" i="15"/>
  <c r="K47" i="15"/>
  <c r="F47" i="15"/>
  <c r="D48" i="15"/>
  <c r="D183" i="15"/>
  <c r="K183" i="15" s="1"/>
  <c r="L183" i="15"/>
  <c r="R45" i="15"/>
  <c r="P45" i="15"/>
  <c r="S181" i="15"/>
  <c r="Q181" i="15"/>
  <c r="T181" i="15"/>
  <c r="U181" i="15" s="1"/>
  <c r="N46" i="15"/>
  <c r="O46" i="15"/>
  <c r="M184" i="15"/>
  <c r="C185" i="15"/>
  <c r="F184" i="15"/>
  <c r="T45" i="15"/>
  <c r="U45" i="15" s="1"/>
  <c r="S45" i="15"/>
  <c r="Q45" i="15"/>
  <c r="C46" i="10"/>
  <c r="V183" i="11"/>
  <c r="V183" i="15"/>
  <c r="V46" i="11"/>
  <c r="V46" i="15"/>
  <c r="S183" i="11"/>
  <c r="Q183" i="11"/>
  <c r="R183" i="11"/>
  <c r="P183" i="11"/>
  <c r="O184" i="11"/>
  <c r="M186" i="11"/>
  <c r="C187" i="11"/>
  <c r="F186" i="11"/>
  <c r="K48" i="11"/>
  <c r="F48" i="11"/>
  <c r="D49" i="11"/>
  <c r="D185" i="11"/>
  <c r="K185" i="11" s="1"/>
  <c r="L185" i="11"/>
  <c r="O47" i="11"/>
  <c r="Q47" i="11" s="1"/>
  <c r="N47" i="11"/>
  <c r="P47" i="11" s="1"/>
  <c r="G48" i="10"/>
  <c r="R46" i="11"/>
  <c r="U45" i="11"/>
  <c r="H46" i="10"/>
  <c r="N184" i="11"/>
  <c r="T183" i="11"/>
  <c r="U183" i="11" s="1"/>
  <c r="S46" i="11"/>
  <c r="T46" i="11"/>
  <c r="F47" i="10"/>
  <c r="C183" i="10"/>
  <c r="F183" i="10"/>
  <c r="H183" i="10"/>
  <c r="G185" i="10"/>
  <c r="N183" i="15" l="1"/>
  <c r="P183" i="15" s="1"/>
  <c r="P182" i="15"/>
  <c r="O183" i="15"/>
  <c r="N47" i="15"/>
  <c r="O47" i="15"/>
  <c r="S46" i="15"/>
  <c r="Q46" i="15"/>
  <c r="T46" i="15"/>
  <c r="U46" i="15" s="1"/>
  <c r="R183" i="15"/>
  <c r="L184" i="15"/>
  <c r="D184" i="15"/>
  <c r="K184" i="15" s="1"/>
  <c r="P46" i="15"/>
  <c r="R46" i="15"/>
  <c r="K48" i="15"/>
  <c r="F48" i="15"/>
  <c r="D49" i="15"/>
  <c r="C186" i="15"/>
  <c r="F185" i="15"/>
  <c r="M185" i="15"/>
  <c r="T182" i="15"/>
  <c r="U182" i="15" s="1"/>
  <c r="S182" i="15"/>
  <c r="Q182" i="15"/>
  <c r="C47" i="10"/>
  <c r="V184" i="11"/>
  <c r="V184" i="15"/>
  <c r="V47" i="11"/>
  <c r="V47" i="15"/>
  <c r="R184" i="11"/>
  <c r="P184" i="11"/>
  <c r="S184" i="11"/>
  <c r="Q184" i="11"/>
  <c r="N185" i="11"/>
  <c r="O185" i="11"/>
  <c r="C188" i="11"/>
  <c r="F187" i="11"/>
  <c r="M187" i="11"/>
  <c r="K49" i="11"/>
  <c r="F49" i="11"/>
  <c r="D50" i="11"/>
  <c r="S47" i="11"/>
  <c r="T47" i="11"/>
  <c r="F48" i="10"/>
  <c r="R47" i="11"/>
  <c r="O48" i="11"/>
  <c r="Q48" i="11" s="1"/>
  <c r="N48" i="11"/>
  <c r="P48" i="11" s="1"/>
  <c r="G49" i="10"/>
  <c r="T184" i="11"/>
  <c r="U184" i="11" s="1"/>
  <c r="U46" i="11"/>
  <c r="H47" i="10"/>
  <c r="D186" i="11"/>
  <c r="K186" i="11" s="1"/>
  <c r="L186" i="11"/>
  <c r="F184" i="10"/>
  <c r="C184" i="10"/>
  <c r="H184" i="10"/>
  <c r="G186" i="10"/>
  <c r="N184" i="15" l="1"/>
  <c r="R184" i="15" s="1"/>
  <c r="M186" i="15"/>
  <c r="C187" i="15"/>
  <c r="F186" i="15"/>
  <c r="D50" i="15"/>
  <c r="K49" i="15"/>
  <c r="F49" i="15"/>
  <c r="S47" i="15"/>
  <c r="Q47" i="15"/>
  <c r="T47" i="15"/>
  <c r="U47" i="15" s="1"/>
  <c r="P47" i="15"/>
  <c r="R47" i="15"/>
  <c r="L185" i="15"/>
  <c r="D185" i="15"/>
  <c r="K185" i="15" s="1"/>
  <c r="O48" i="15"/>
  <c r="N48" i="15"/>
  <c r="O184" i="15"/>
  <c r="Q183" i="15"/>
  <c r="T183" i="15"/>
  <c r="U183" i="15" s="1"/>
  <c r="S183" i="15"/>
  <c r="C48" i="10"/>
  <c r="V185" i="11"/>
  <c r="V185" i="15"/>
  <c r="V48" i="11"/>
  <c r="V48" i="15"/>
  <c r="S185" i="11"/>
  <c r="Q185" i="11"/>
  <c r="R185" i="11"/>
  <c r="P185" i="11"/>
  <c r="T185" i="11"/>
  <c r="U185" i="11" s="1"/>
  <c r="O186" i="11"/>
  <c r="Q186" i="11" s="1"/>
  <c r="R48" i="11"/>
  <c r="U47" i="11"/>
  <c r="H48" i="10"/>
  <c r="O49" i="11"/>
  <c r="Q49" i="11" s="1"/>
  <c r="N49" i="11"/>
  <c r="P49" i="11" s="1"/>
  <c r="G50" i="10"/>
  <c r="N186" i="11"/>
  <c r="S48" i="11"/>
  <c r="T48" i="11"/>
  <c r="F49" i="10"/>
  <c r="K50" i="11"/>
  <c r="F50" i="11"/>
  <c r="D51" i="11"/>
  <c r="D187" i="11"/>
  <c r="K187" i="11" s="1"/>
  <c r="L187" i="11"/>
  <c r="M188" i="11"/>
  <c r="C189" i="11"/>
  <c r="F188" i="11"/>
  <c r="C185" i="10"/>
  <c r="F185" i="10"/>
  <c r="G187" i="10"/>
  <c r="H185" i="10"/>
  <c r="P184" i="15" l="1"/>
  <c r="N185" i="15"/>
  <c r="R185" i="15" s="1"/>
  <c r="T48" i="15"/>
  <c r="U48" i="15" s="1"/>
  <c r="S48" i="15"/>
  <c r="Q48" i="15"/>
  <c r="D51" i="15"/>
  <c r="K50" i="15"/>
  <c r="F50" i="15"/>
  <c r="D186" i="15"/>
  <c r="K186" i="15" s="1"/>
  <c r="L186" i="15"/>
  <c r="S184" i="15"/>
  <c r="T184" i="15"/>
  <c r="U184" i="15" s="1"/>
  <c r="Q184" i="15"/>
  <c r="O185" i="15"/>
  <c r="M187" i="15"/>
  <c r="C188" i="15"/>
  <c r="F187" i="15"/>
  <c r="R48" i="15"/>
  <c r="P48" i="15"/>
  <c r="O49" i="15"/>
  <c r="N49" i="15"/>
  <c r="V49" i="11"/>
  <c r="V49" i="15"/>
  <c r="V186" i="11"/>
  <c r="V186" i="15"/>
  <c r="C49" i="10"/>
  <c r="S186" i="11"/>
  <c r="R186" i="11"/>
  <c r="P186" i="11"/>
  <c r="O187" i="11"/>
  <c r="Q187" i="11" s="1"/>
  <c r="T186" i="11"/>
  <c r="U186" i="11" s="1"/>
  <c r="O50" i="11"/>
  <c r="Q50" i="11" s="1"/>
  <c r="N50" i="11"/>
  <c r="P50" i="11" s="1"/>
  <c r="G51" i="10"/>
  <c r="U48" i="11"/>
  <c r="H49" i="10"/>
  <c r="D188" i="11"/>
  <c r="K188" i="11" s="1"/>
  <c r="L188" i="11"/>
  <c r="N187" i="11"/>
  <c r="R49" i="11"/>
  <c r="C190" i="11"/>
  <c r="F189" i="11"/>
  <c r="M189" i="11"/>
  <c r="K51" i="11"/>
  <c r="F51" i="11"/>
  <c r="D52" i="11"/>
  <c r="S49" i="11"/>
  <c r="T49" i="11"/>
  <c r="F50" i="10"/>
  <c r="C186" i="10"/>
  <c r="F186" i="10"/>
  <c r="G188" i="10"/>
  <c r="H186" i="10"/>
  <c r="P185" i="15" l="1"/>
  <c r="N186" i="15"/>
  <c r="R186" i="15" s="1"/>
  <c r="T49" i="15"/>
  <c r="U49" i="15" s="1"/>
  <c r="S49" i="15"/>
  <c r="Q49" i="15"/>
  <c r="C189" i="15"/>
  <c r="F188" i="15"/>
  <c r="M188" i="15"/>
  <c r="K51" i="15"/>
  <c r="F51" i="15"/>
  <c r="D52" i="15"/>
  <c r="T185" i="15"/>
  <c r="U185" i="15" s="1"/>
  <c r="S185" i="15"/>
  <c r="Q185" i="15"/>
  <c r="O186" i="15"/>
  <c r="P49" i="15"/>
  <c r="R49" i="15"/>
  <c r="D187" i="15"/>
  <c r="K187" i="15" s="1"/>
  <c r="L187" i="15"/>
  <c r="O50" i="15"/>
  <c r="N50" i="15"/>
  <c r="V50" i="11"/>
  <c r="V50" i="15"/>
  <c r="V187" i="11"/>
  <c r="V187" i="15"/>
  <c r="C50" i="10"/>
  <c r="S187" i="11"/>
  <c r="R187" i="11"/>
  <c r="P187" i="11"/>
  <c r="O188" i="11"/>
  <c r="U49" i="11"/>
  <c r="H50" i="10"/>
  <c r="K52" i="11"/>
  <c r="F52" i="11"/>
  <c r="D53" i="11"/>
  <c r="N188" i="11"/>
  <c r="R50" i="11"/>
  <c r="O51" i="11"/>
  <c r="Q51" i="11" s="1"/>
  <c r="N51" i="11"/>
  <c r="P51" i="11" s="1"/>
  <c r="G52" i="10"/>
  <c r="T187" i="11"/>
  <c r="U187" i="11" s="1"/>
  <c r="D189" i="11"/>
  <c r="K189" i="11" s="1"/>
  <c r="L189" i="11"/>
  <c r="M190" i="11"/>
  <c r="C191" i="11"/>
  <c r="F190" i="11"/>
  <c r="S50" i="11"/>
  <c r="T50" i="11"/>
  <c r="F51" i="10"/>
  <c r="C187" i="10"/>
  <c r="F187" i="10"/>
  <c r="G189" i="10"/>
  <c r="H187" i="10"/>
  <c r="P186" i="15" l="1"/>
  <c r="O187" i="15"/>
  <c r="S187" i="15" s="1"/>
  <c r="T50" i="15"/>
  <c r="U50" i="15" s="1"/>
  <c r="S50" i="15"/>
  <c r="Q50" i="15"/>
  <c r="N187" i="15"/>
  <c r="M189" i="15"/>
  <c r="C190" i="15"/>
  <c r="F189" i="15"/>
  <c r="O51" i="15"/>
  <c r="N51" i="15"/>
  <c r="P50" i="15"/>
  <c r="R50" i="15"/>
  <c r="T186" i="15"/>
  <c r="U186" i="15" s="1"/>
  <c r="S186" i="15"/>
  <c r="Q186" i="15"/>
  <c r="D53" i="15"/>
  <c r="K52" i="15"/>
  <c r="F52" i="15"/>
  <c r="D188" i="15"/>
  <c r="K188" i="15" s="1"/>
  <c r="L188" i="15"/>
  <c r="C51" i="10"/>
  <c r="V188" i="11"/>
  <c r="V188" i="15"/>
  <c r="V51" i="11"/>
  <c r="V51" i="15"/>
  <c r="S188" i="11"/>
  <c r="Q188" i="11"/>
  <c r="R188" i="11"/>
  <c r="P188" i="11"/>
  <c r="O189" i="11"/>
  <c r="R51" i="11"/>
  <c r="D190" i="11"/>
  <c r="K190" i="11" s="1"/>
  <c r="L190" i="11"/>
  <c r="S51" i="11"/>
  <c r="T51" i="11"/>
  <c r="F52" i="10"/>
  <c r="K53" i="11"/>
  <c r="F53" i="11"/>
  <c r="D54" i="11"/>
  <c r="F191" i="11"/>
  <c r="M191" i="11"/>
  <c r="C192" i="11"/>
  <c r="T188" i="11"/>
  <c r="U188" i="11" s="1"/>
  <c r="N189" i="11"/>
  <c r="U50" i="11"/>
  <c r="H51" i="10"/>
  <c r="O52" i="11"/>
  <c r="Q52" i="11" s="1"/>
  <c r="N52" i="11"/>
  <c r="P52" i="11" s="1"/>
  <c r="G53" i="10"/>
  <c r="C188" i="10"/>
  <c r="F188" i="10"/>
  <c r="G190" i="10"/>
  <c r="H188" i="10"/>
  <c r="N188" i="15" l="1"/>
  <c r="P188" i="15" s="1"/>
  <c r="Q187" i="15"/>
  <c r="T187" i="15"/>
  <c r="U187" i="15" s="1"/>
  <c r="S51" i="15"/>
  <c r="Q51" i="15"/>
  <c r="T51" i="15"/>
  <c r="U51" i="15" s="1"/>
  <c r="P187" i="15"/>
  <c r="R187" i="15"/>
  <c r="O52" i="15"/>
  <c r="N52" i="15"/>
  <c r="D189" i="15"/>
  <c r="K189" i="15" s="1"/>
  <c r="L189" i="15"/>
  <c r="O188" i="15"/>
  <c r="K53" i="15"/>
  <c r="F53" i="15"/>
  <c r="D54" i="15"/>
  <c r="F190" i="15"/>
  <c r="M190" i="15"/>
  <c r="C191" i="15"/>
  <c r="R51" i="15"/>
  <c r="P51" i="15"/>
  <c r="C52" i="10"/>
  <c r="V52" i="11"/>
  <c r="V52" i="15"/>
  <c r="V189" i="11"/>
  <c r="V189" i="15"/>
  <c r="R189" i="11"/>
  <c r="P189" i="11"/>
  <c r="S189" i="11"/>
  <c r="Q189" i="11"/>
  <c r="N190" i="11"/>
  <c r="U51" i="11"/>
  <c r="H52" i="10"/>
  <c r="O53" i="11"/>
  <c r="Q53" i="11" s="1"/>
  <c r="N53" i="11"/>
  <c r="P53" i="11" s="1"/>
  <c r="G54" i="10"/>
  <c r="C193" i="11"/>
  <c r="F192" i="11"/>
  <c r="M192" i="11"/>
  <c r="R52" i="11"/>
  <c r="D191" i="11"/>
  <c r="K191" i="11" s="1"/>
  <c r="L191" i="11"/>
  <c r="O190" i="11"/>
  <c r="Q190" i="11" s="1"/>
  <c r="S52" i="11"/>
  <c r="T52" i="11"/>
  <c r="F53" i="10"/>
  <c r="K54" i="11"/>
  <c r="F54" i="11"/>
  <c r="D55" i="11"/>
  <c r="T189" i="11"/>
  <c r="U189" i="11" s="1"/>
  <c r="C189" i="10"/>
  <c r="F189" i="10"/>
  <c r="G191" i="10"/>
  <c r="H189" i="10"/>
  <c r="R188" i="15" l="1"/>
  <c r="N189" i="15"/>
  <c r="R189" i="15" s="1"/>
  <c r="C192" i="15"/>
  <c r="F191" i="15"/>
  <c r="M191" i="15"/>
  <c r="O53" i="15"/>
  <c r="N53" i="15"/>
  <c r="R52" i="15"/>
  <c r="P52" i="15"/>
  <c r="D190" i="15"/>
  <c r="K190" i="15" s="1"/>
  <c r="L190" i="15"/>
  <c r="T188" i="15"/>
  <c r="U188" i="15" s="1"/>
  <c r="S188" i="15"/>
  <c r="Q188" i="15"/>
  <c r="T52" i="15"/>
  <c r="U52" i="15" s="1"/>
  <c r="S52" i="15"/>
  <c r="Q52" i="15"/>
  <c r="K54" i="15"/>
  <c r="F54" i="15"/>
  <c r="D55" i="15"/>
  <c r="O189" i="15"/>
  <c r="V190" i="11"/>
  <c r="V190" i="15"/>
  <c r="C53" i="10"/>
  <c r="V53" i="11"/>
  <c r="V53" i="15"/>
  <c r="R190" i="11"/>
  <c r="P190" i="11"/>
  <c r="N191" i="11"/>
  <c r="K55" i="11"/>
  <c r="F55" i="11"/>
  <c r="D56" i="11"/>
  <c r="O191" i="11"/>
  <c r="Q191" i="11" s="1"/>
  <c r="R53" i="11"/>
  <c r="U52" i="11"/>
  <c r="H53" i="10"/>
  <c r="D192" i="11"/>
  <c r="K192" i="11" s="1"/>
  <c r="L192" i="11"/>
  <c r="S53" i="11"/>
  <c r="T53" i="11"/>
  <c r="F54" i="10"/>
  <c r="O54" i="11"/>
  <c r="Q54" i="11" s="1"/>
  <c r="N54" i="11"/>
  <c r="P54" i="11" s="1"/>
  <c r="G55" i="10"/>
  <c r="C194" i="11"/>
  <c r="F193" i="11"/>
  <c r="M193" i="11"/>
  <c r="S190" i="11"/>
  <c r="T190" i="11"/>
  <c r="U190" i="11" s="1"/>
  <c r="C190" i="10"/>
  <c r="F190" i="10"/>
  <c r="H190" i="10"/>
  <c r="G192" i="10"/>
  <c r="P189" i="15" l="1"/>
  <c r="N190" i="15"/>
  <c r="R190" i="15" s="1"/>
  <c r="F55" i="15"/>
  <c r="D56" i="15"/>
  <c r="K55" i="15"/>
  <c r="O190" i="15"/>
  <c r="P53" i="15"/>
  <c r="R53" i="15"/>
  <c r="N54" i="15"/>
  <c r="O54" i="15"/>
  <c r="T53" i="15"/>
  <c r="U53" i="15" s="1"/>
  <c r="S53" i="15"/>
  <c r="Q53" i="15"/>
  <c r="D191" i="15"/>
  <c r="K191" i="15" s="1"/>
  <c r="L191" i="15"/>
  <c r="Q189" i="15"/>
  <c r="T189" i="15"/>
  <c r="U189" i="15" s="1"/>
  <c r="S189" i="15"/>
  <c r="C193" i="15"/>
  <c r="F192" i="15"/>
  <c r="M192" i="15"/>
  <c r="C54" i="10"/>
  <c r="V191" i="11"/>
  <c r="V191" i="15"/>
  <c r="V54" i="11"/>
  <c r="V54" i="15"/>
  <c r="R191" i="11"/>
  <c r="P191" i="11"/>
  <c r="N192" i="11"/>
  <c r="R54" i="11"/>
  <c r="U53" i="11"/>
  <c r="H54" i="10"/>
  <c r="T191" i="11"/>
  <c r="U191" i="11" s="1"/>
  <c r="S191" i="11"/>
  <c r="D193" i="11"/>
  <c r="K193" i="11" s="1"/>
  <c r="L193" i="11"/>
  <c r="S54" i="11"/>
  <c r="T54" i="11"/>
  <c r="F55" i="10"/>
  <c r="K56" i="11"/>
  <c r="F56" i="11"/>
  <c r="D57" i="11"/>
  <c r="C195" i="11"/>
  <c r="F194" i="11"/>
  <c r="M194" i="11"/>
  <c r="O192" i="11"/>
  <c r="Q192" i="11" s="1"/>
  <c r="O55" i="11"/>
  <c r="Q55" i="11" s="1"/>
  <c r="N55" i="11"/>
  <c r="P55" i="11" s="1"/>
  <c r="G56" i="10"/>
  <c r="F191" i="10"/>
  <c r="C191" i="10"/>
  <c r="G193" i="10"/>
  <c r="H191" i="10"/>
  <c r="P190" i="15" l="1"/>
  <c r="O191" i="15"/>
  <c r="Q191" i="15" s="1"/>
  <c r="N191" i="15"/>
  <c r="R191" i="15" s="1"/>
  <c r="L192" i="15"/>
  <c r="D192" i="15"/>
  <c r="K192" i="15" s="1"/>
  <c r="Q54" i="15"/>
  <c r="T54" i="15"/>
  <c r="U54" i="15" s="1"/>
  <c r="S54" i="15"/>
  <c r="S190" i="15"/>
  <c r="Q190" i="15"/>
  <c r="T190" i="15"/>
  <c r="U190" i="15" s="1"/>
  <c r="F193" i="15"/>
  <c r="M193" i="15"/>
  <c r="C194" i="15"/>
  <c r="P54" i="15"/>
  <c r="R54" i="15"/>
  <c r="O55" i="15"/>
  <c r="N55" i="15"/>
  <c r="P191" i="15"/>
  <c r="F56" i="15"/>
  <c r="D57" i="15"/>
  <c r="K56" i="15"/>
  <c r="V55" i="11"/>
  <c r="V55" i="15"/>
  <c r="V192" i="11"/>
  <c r="V192" i="15"/>
  <c r="C55" i="10"/>
  <c r="R192" i="11"/>
  <c r="P192" i="11"/>
  <c r="O193" i="11"/>
  <c r="C196" i="11"/>
  <c r="F195" i="11"/>
  <c r="M195" i="11"/>
  <c r="N193" i="11"/>
  <c r="T192" i="11"/>
  <c r="U192" i="11" s="1"/>
  <c r="S192" i="11"/>
  <c r="K57" i="11"/>
  <c r="F57" i="11"/>
  <c r="D58" i="11"/>
  <c r="U54" i="11"/>
  <c r="H55" i="10"/>
  <c r="S55" i="11"/>
  <c r="T55" i="11"/>
  <c r="F56" i="10"/>
  <c r="R55" i="11"/>
  <c r="D194" i="11"/>
  <c r="K194" i="11" s="1"/>
  <c r="L194" i="11"/>
  <c r="O56" i="11"/>
  <c r="Q56" i="11" s="1"/>
  <c r="N56" i="11"/>
  <c r="P56" i="11" s="1"/>
  <c r="G57" i="10"/>
  <c r="C192" i="10"/>
  <c r="F192" i="10"/>
  <c r="H192" i="10"/>
  <c r="G194" i="10"/>
  <c r="S191" i="15" l="1"/>
  <c r="T191" i="15"/>
  <c r="U191" i="15" s="1"/>
  <c r="N192" i="15"/>
  <c r="P192" i="15" s="1"/>
  <c r="O56" i="15"/>
  <c r="N56" i="15"/>
  <c r="F194" i="15"/>
  <c r="C195" i="15"/>
  <c r="M194" i="15"/>
  <c r="K57" i="15"/>
  <c r="F57" i="15"/>
  <c r="D58" i="15"/>
  <c r="P55" i="15"/>
  <c r="R55" i="15"/>
  <c r="S55" i="15"/>
  <c r="Q55" i="15"/>
  <c r="T55" i="15"/>
  <c r="U55" i="15" s="1"/>
  <c r="D193" i="15"/>
  <c r="K193" i="15" s="1"/>
  <c r="L193" i="15"/>
  <c r="O192" i="15"/>
  <c r="V193" i="11"/>
  <c r="V193" i="15"/>
  <c r="V56" i="11"/>
  <c r="V56" i="15"/>
  <c r="C56" i="10"/>
  <c r="R193" i="11"/>
  <c r="P193" i="11"/>
  <c r="S193" i="11"/>
  <c r="Q193" i="11"/>
  <c r="N194" i="11"/>
  <c r="R56" i="11"/>
  <c r="U55" i="11"/>
  <c r="H56" i="10"/>
  <c r="K58" i="11"/>
  <c r="F58" i="11"/>
  <c r="D59" i="11"/>
  <c r="S56" i="11"/>
  <c r="T56" i="11"/>
  <c r="F57" i="10"/>
  <c r="D195" i="11"/>
  <c r="K195" i="11" s="1"/>
  <c r="L195" i="11"/>
  <c r="O194" i="11"/>
  <c r="Q194" i="11" s="1"/>
  <c r="O57" i="11"/>
  <c r="Q57" i="11" s="1"/>
  <c r="N57" i="11"/>
  <c r="P57" i="11" s="1"/>
  <c r="G58" i="10"/>
  <c r="T193" i="11"/>
  <c r="U193" i="11" s="1"/>
  <c r="C197" i="11"/>
  <c r="F196" i="11"/>
  <c r="M196" i="11"/>
  <c r="C193" i="10"/>
  <c r="F193" i="10"/>
  <c r="G195" i="10"/>
  <c r="H193" i="10"/>
  <c r="R192" i="15" l="1"/>
  <c r="N193" i="15"/>
  <c r="R193" i="15" s="1"/>
  <c r="F58" i="15"/>
  <c r="D59" i="15"/>
  <c r="K58" i="15"/>
  <c r="C196" i="15"/>
  <c r="M195" i="15"/>
  <c r="F195" i="15"/>
  <c r="D194" i="15"/>
  <c r="K194" i="15" s="1"/>
  <c r="L194" i="15"/>
  <c r="Q192" i="15"/>
  <c r="T192" i="15"/>
  <c r="U192" i="15" s="1"/>
  <c r="S192" i="15"/>
  <c r="O57" i="15"/>
  <c r="N57" i="15"/>
  <c r="P56" i="15"/>
  <c r="R56" i="15"/>
  <c r="O193" i="15"/>
  <c r="Q56" i="15"/>
  <c r="T56" i="15"/>
  <c r="U56" i="15" s="1"/>
  <c r="S56" i="15"/>
  <c r="V57" i="11"/>
  <c r="V57" i="15"/>
  <c r="C57" i="10"/>
  <c r="V194" i="11"/>
  <c r="V194" i="15"/>
  <c r="R194" i="11"/>
  <c r="P194" i="11"/>
  <c r="N195" i="11"/>
  <c r="D196" i="11"/>
  <c r="K196" i="11" s="1"/>
  <c r="L196" i="11"/>
  <c r="R57" i="11"/>
  <c r="C198" i="11"/>
  <c r="F197" i="11"/>
  <c r="M197" i="11"/>
  <c r="S57" i="11"/>
  <c r="T57" i="11"/>
  <c r="F58" i="10"/>
  <c r="K59" i="11"/>
  <c r="F59" i="11"/>
  <c r="D60" i="11"/>
  <c r="T194" i="11"/>
  <c r="U194" i="11" s="1"/>
  <c r="S194" i="11"/>
  <c r="O195" i="11"/>
  <c r="Q195" i="11" s="1"/>
  <c r="U56" i="11"/>
  <c r="H57" i="10"/>
  <c r="O58" i="11"/>
  <c r="Q58" i="11" s="1"/>
  <c r="N58" i="11"/>
  <c r="P58" i="11" s="1"/>
  <c r="G59" i="10"/>
  <c r="C194" i="10"/>
  <c r="F194" i="10"/>
  <c r="H194" i="10"/>
  <c r="G196" i="10"/>
  <c r="P193" i="15" l="1"/>
  <c r="N194" i="15"/>
  <c r="R194" i="15" s="1"/>
  <c r="D195" i="15"/>
  <c r="K195" i="15" s="1"/>
  <c r="L195" i="15"/>
  <c r="K59" i="15"/>
  <c r="F59" i="15"/>
  <c r="D60" i="15"/>
  <c r="R57" i="15"/>
  <c r="P57" i="15"/>
  <c r="T193" i="15"/>
  <c r="U193" i="15" s="1"/>
  <c r="S193" i="15"/>
  <c r="Q193" i="15"/>
  <c r="T57" i="15"/>
  <c r="U57" i="15" s="1"/>
  <c r="S57" i="15"/>
  <c r="Q57" i="15"/>
  <c r="O194" i="15"/>
  <c r="M196" i="15"/>
  <c r="C197" i="15"/>
  <c r="F196" i="15"/>
  <c r="O58" i="15"/>
  <c r="N58" i="15"/>
  <c r="V195" i="11"/>
  <c r="V195" i="15"/>
  <c r="V58" i="11"/>
  <c r="V58" i="15"/>
  <c r="C58" i="10"/>
  <c r="R195" i="11"/>
  <c r="P195" i="11"/>
  <c r="N196" i="11"/>
  <c r="S58" i="11"/>
  <c r="T58" i="11"/>
  <c r="F59" i="10"/>
  <c r="O59" i="11"/>
  <c r="Q59" i="11" s="1"/>
  <c r="N59" i="11"/>
  <c r="P59" i="11" s="1"/>
  <c r="G60" i="10"/>
  <c r="K60" i="11"/>
  <c r="F60" i="11"/>
  <c r="D61" i="11"/>
  <c r="D197" i="11"/>
  <c r="K197" i="11" s="1"/>
  <c r="L197" i="11"/>
  <c r="O196" i="11"/>
  <c r="Q196" i="11" s="1"/>
  <c r="R58" i="11"/>
  <c r="T195" i="11"/>
  <c r="U195" i="11" s="1"/>
  <c r="S195" i="11"/>
  <c r="U57" i="11"/>
  <c r="H58" i="10"/>
  <c r="C199" i="11"/>
  <c r="F198" i="11"/>
  <c r="M198" i="11"/>
  <c r="F195" i="10"/>
  <c r="C195" i="10"/>
  <c r="G197" i="10"/>
  <c r="H195" i="10"/>
  <c r="N195" i="15" l="1"/>
  <c r="R195" i="15" s="1"/>
  <c r="P194" i="15"/>
  <c r="T58" i="15"/>
  <c r="U58" i="15" s="1"/>
  <c r="S58" i="15"/>
  <c r="Q58" i="15"/>
  <c r="C198" i="15"/>
  <c r="F197" i="15"/>
  <c r="M197" i="15"/>
  <c r="O59" i="15"/>
  <c r="N59" i="15"/>
  <c r="S194" i="15"/>
  <c r="Q194" i="15"/>
  <c r="T194" i="15"/>
  <c r="U194" i="15" s="1"/>
  <c r="O195" i="15"/>
  <c r="P58" i="15"/>
  <c r="R58" i="15"/>
  <c r="L196" i="15"/>
  <c r="D196" i="15"/>
  <c r="K196" i="15" s="1"/>
  <c r="K60" i="15"/>
  <c r="F60" i="15"/>
  <c r="D61" i="15"/>
  <c r="V196" i="11"/>
  <c r="V196" i="15"/>
  <c r="V59" i="11"/>
  <c r="V59" i="15"/>
  <c r="C59" i="10"/>
  <c r="R196" i="11"/>
  <c r="P196" i="11"/>
  <c r="N197" i="11"/>
  <c r="C200" i="11"/>
  <c r="F199" i="11"/>
  <c r="M199" i="11"/>
  <c r="O197" i="11"/>
  <c r="Q197" i="11" s="1"/>
  <c r="O60" i="11"/>
  <c r="Q60" i="11" s="1"/>
  <c r="N60" i="11"/>
  <c r="P60" i="11" s="1"/>
  <c r="G61" i="10"/>
  <c r="K61" i="11"/>
  <c r="F61" i="11"/>
  <c r="D62" i="11"/>
  <c r="R59" i="11"/>
  <c r="U58" i="11"/>
  <c r="H59" i="10"/>
  <c r="D198" i="11"/>
  <c r="K198" i="11" s="1"/>
  <c r="L198" i="11"/>
  <c r="T196" i="11"/>
  <c r="U196" i="11" s="1"/>
  <c r="S196" i="11"/>
  <c r="S59" i="11"/>
  <c r="T59" i="11"/>
  <c r="F60" i="10"/>
  <c r="C196" i="10"/>
  <c r="F196" i="10"/>
  <c r="H196" i="10"/>
  <c r="G198" i="10"/>
  <c r="P195" i="15" l="1"/>
  <c r="O196" i="15"/>
  <c r="Q196" i="15" s="1"/>
  <c r="N196" i="15"/>
  <c r="Q195" i="15"/>
  <c r="S195" i="15"/>
  <c r="T195" i="15"/>
  <c r="U195" i="15" s="1"/>
  <c r="P59" i="15"/>
  <c r="R59" i="15"/>
  <c r="C199" i="15"/>
  <c r="F198" i="15"/>
  <c r="M198" i="15"/>
  <c r="D62" i="15"/>
  <c r="K61" i="15"/>
  <c r="F61" i="15"/>
  <c r="T59" i="15"/>
  <c r="U59" i="15" s="1"/>
  <c r="S59" i="15"/>
  <c r="Q59" i="15"/>
  <c r="N60" i="15"/>
  <c r="O60" i="15"/>
  <c r="D197" i="15"/>
  <c r="K197" i="15" s="1"/>
  <c r="L197" i="15"/>
  <c r="C60" i="10"/>
  <c r="V197" i="11"/>
  <c r="V197" i="15"/>
  <c r="V60" i="11"/>
  <c r="V60" i="15"/>
  <c r="R197" i="11"/>
  <c r="P197" i="11"/>
  <c r="N198" i="11"/>
  <c r="U59" i="11"/>
  <c r="H60" i="10"/>
  <c r="O198" i="11"/>
  <c r="Q198" i="11" s="1"/>
  <c r="O61" i="11"/>
  <c r="Q61" i="11" s="1"/>
  <c r="N61" i="11"/>
  <c r="P61" i="11" s="1"/>
  <c r="G62" i="10"/>
  <c r="T197" i="11"/>
  <c r="U197" i="11" s="1"/>
  <c r="S197" i="11"/>
  <c r="D199" i="11"/>
  <c r="K199" i="11" s="1"/>
  <c r="L199" i="11"/>
  <c r="K62" i="11"/>
  <c r="F62" i="11"/>
  <c r="D63" i="11"/>
  <c r="R60" i="11"/>
  <c r="S60" i="11"/>
  <c r="T60" i="11"/>
  <c r="F61" i="10"/>
  <c r="C201" i="11"/>
  <c r="F200" i="11"/>
  <c r="M200" i="11"/>
  <c r="C197" i="10"/>
  <c r="F197" i="10"/>
  <c r="H197" i="10"/>
  <c r="G199" i="10"/>
  <c r="T196" i="15" l="1"/>
  <c r="U196" i="15" s="1"/>
  <c r="S196" i="15"/>
  <c r="O197" i="15"/>
  <c r="Q197" i="15" s="1"/>
  <c r="N197" i="15"/>
  <c r="P197" i="15" s="1"/>
  <c r="T60" i="15"/>
  <c r="U60" i="15" s="1"/>
  <c r="S60" i="15"/>
  <c r="Q60" i="15"/>
  <c r="L198" i="15"/>
  <c r="D198" i="15"/>
  <c r="K198" i="15" s="1"/>
  <c r="R60" i="15"/>
  <c r="P60" i="15"/>
  <c r="N61" i="15"/>
  <c r="O61" i="15"/>
  <c r="C200" i="15"/>
  <c r="F199" i="15"/>
  <c r="M199" i="15"/>
  <c r="K62" i="15"/>
  <c r="F62" i="15"/>
  <c r="D63" i="15"/>
  <c r="R196" i="15"/>
  <c r="P196" i="15"/>
  <c r="C61" i="10"/>
  <c r="V198" i="11"/>
  <c r="V198" i="15"/>
  <c r="V61" i="11"/>
  <c r="V61" i="15"/>
  <c r="R198" i="11"/>
  <c r="P198" i="11"/>
  <c r="O199" i="11"/>
  <c r="C202" i="11"/>
  <c r="F201" i="11"/>
  <c r="M201" i="11"/>
  <c r="O62" i="11"/>
  <c r="Q62" i="11" s="1"/>
  <c r="N62" i="11"/>
  <c r="P62" i="11" s="1"/>
  <c r="G63" i="10"/>
  <c r="T198" i="11"/>
  <c r="U198" i="11" s="1"/>
  <c r="S198" i="11"/>
  <c r="S61" i="11"/>
  <c r="T61" i="11"/>
  <c r="F62" i="10"/>
  <c r="D200" i="11"/>
  <c r="K200" i="11" s="1"/>
  <c r="L200" i="11"/>
  <c r="U60" i="11"/>
  <c r="H61" i="10"/>
  <c r="K63" i="11"/>
  <c r="F63" i="11"/>
  <c r="D64" i="11"/>
  <c r="N199" i="11"/>
  <c r="R61" i="11"/>
  <c r="C198" i="10"/>
  <c r="F198" i="10"/>
  <c r="H198" i="10"/>
  <c r="G200" i="10"/>
  <c r="S197" i="15" l="1"/>
  <c r="R197" i="15"/>
  <c r="N198" i="15"/>
  <c r="R198" i="15" s="1"/>
  <c r="T197" i="15"/>
  <c r="U197" i="15" s="1"/>
  <c r="N62" i="15"/>
  <c r="O62" i="15"/>
  <c r="P61" i="15"/>
  <c r="R61" i="15"/>
  <c r="O198" i="15"/>
  <c r="D199" i="15"/>
  <c r="K199" i="15" s="1"/>
  <c r="L199" i="15"/>
  <c r="K63" i="15"/>
  <c r="F63" i="15"/>
  <c r="D64" i="15"/>
  <c r="C201" i="15"/>
  <c r="F200" i="15"/>
  <c r="M200" i="15"/>
  <c r="T61" i="15"/>
  <c r="U61" i="15" s="1"/>
  <c r="S61" i="15"/>
  <c r="Q61" i="15"/>
  <c r="V62" i="11"/>
  <c r="V62" i="15"/>
  <c r="V199" i="11"/>
  <c r="V199" i="15"/>
  <c r="C62" i="10"/>
  <c r="S199" i="11"/>
  <c r="Q199" i="11"/>
  <c r="R199" i="11"/>
  <c r="P199" i="11"/>
  <c r="N200" i="11"/>
  <c r="U61" i="11"/>
  <c r="H62" i="10"/>
  <c r="D201" i="11"/>
  <c r="K201" i="11" s="1"/>
  <c r="L201" i="11"/>
  <c r="O200" i="11"/>
  <c r="Q200" i="11" s="1"/>
  <c r="S62" i="11"/>
  <c r="T62" i="11"/>
  <c r="F63" i="10"/>
  <c r="O63" i="11"/>
  <c r="Q63" i="11" s="1"/>
  <c r="N63" i="11"/>
  <c r="P63" i="11" s="1"/>
  <c r="G64" i="10"/>
  <c r="K64" i="11"/>
  <c r="F64" i="11"/>
  <c r="D65" i="11"/>
  <c r="T199" i="11"/>
  <c r="U199" i="11" s="1"/>
  <c r="R62" i="11"/>
  <c r="C203" i="11"/>
  <c r="F202" i="11"/>
  <c r="M202" i="11"/>
  <c r="C199" i="10"/>
  <c r="F199" i="10"/>
  <c r="G201" i="10"/>
  <c r="H199" i="10"/>
  <c r="P198" i="15" l="1"/>
  <c r="N199" i="15"/>
  <c r="P199" i="15" s="1"/>
  <c r="L200" i="15"/>
  <c r="D200" i="15"/>
  <c r="K200" i="15" s="1"/>
  <c r="N63" i="15"/>
  <c r="O63" i="15"/>
  <c r="C202" i="15"/>
  <c r="F201" i="15"/>
  <c r="M201" i="15"/>
  <c r="O199" i="15"/>
  <c r="D65" i="15"/>
  <c r="K64" i="15"/>
  <c r="F64" i="15"/>
  <c r="R199" i="15"/>
  <c r="Q62" i="15"/>
  <c r="T62" i="15"/>
  <c r="U62" i="15" s="1"/>
  <c r="S62" i="15"/>
  <c r="T198" i="15"/>
  <c r="U198" i="15" s="1"/>
  <c r="S198" i="15"/>
  <c r="Q198" i="15"/>
  <c r="P62" i="15"/>
  <c r="R62" i="15"/>
  <c r="V63" i="11"/>
  <c r="V63" i="15"/>
  <c r="V200" i="11"/>
  <c r="V200" i="15"/>
  <c r="C63" i="10"/>
  <c r="R200" i="11"/>
  <c r="P200" i="11"/>
  <c r="N201" i="11"/>
  <c r="D202" i="11"/>
  <c r="K202" i="11" s="1"/>
  <c r="L202" i="11"/>
  <c r="O201" i="11"/>
  <c r="Q201" i="11" s="1"/>
  <c r="C204" i="11"/>
  <c r="F203" i="11"/>
  <c r="M203" i="11"/>
  <c r="D66" i="11"/>
  <c r="K65" i="11"/>
  <c r="F65" i="11"/>
  <c r="R63" i="11"/>
  <c r="U62" i="11"/>
  <c r="H63" i="10"/>
  <c r="S63" i="11"/>
  <c r="T63" i="11"/>
  <c r="F64" i="10"/>
  <c r="O64" i="11"/>
  <c r="Q64" i="11" s="1"/>
  <c r="N64" i="11"/>
  <c r="P64" i="11" s="1"/>
  <c r="G65" i="10"/>
  <c r="T200" i="11"/>
  <c r="U200" i="11" s="1"/>
  <c r="S200" i="11"/>
  <c r="F200" i="10"/>
  <c r="C200" i="10"/>
  <c r="H200" i="10"/>
  <c r="G202" i="10"/>
  <c r="N200" i="15" l="1"/>
  <c r="P200" i="15" s="1"/>
  <c r="Q199" i="15"/>
  <c r="T199" i="15"/>
  <c r="U199" i="15" s="1"/>
  <c r="S199" i="15"/>
  <c r="S63" i="15"/>
  <c r="Q63" i="15"/>
  <c r="T63" i="15"/>
  <c r="U63" i="15" s="1"/>
  <c r="P63" i="15"/>
  <c r="R63" i="15"/>
  <c r="O64" i="15"/>
  <c r="N64" i="15"/>
  <c r="D201" i="15"/>
  <c r="K201" i="15" s="1"/>
  <c r="L201" i="15"/>
  <c r="D66" i="15"/>
  <c r="K65" i="15"/>
  <c r="F65" i="15"/>
  <c r="C203" i="15"/>
  <c r="F202" i="15"/>
  <c r="M202" i="15"/>
  <c r="O200" i="15"/>
  <c r="V201" i="11"/>
  <c r="V201" i="15"/>
  <c r="V64" i="11"/>
  <c r="V64" i="15"/>
  <c r="C64" i="10"/>
  <c r="R201" i="11"/>
  <c r="P201" i="11"/>
  <c r="N202" i="11"/>
  <c r="C205" i="11"/>
  <c r="F204" i="11"/>
  <c r="M204" i="11"/>
  <c r="R64" i="11"/>
  <c r="U63" i="11"/>
  <c r="H64" i="10"/>
  <c r="F66" i="11"/>
  <c r="K66" i="11"/>
  <c r="D67" i="11"/>
  <c r="T201" i="11"/>
  <c r="U201" i="11" s="1"/>
  <c r="S201" i="11"/>
  <c r="O65" i="11"/>
  <c r="Q65" i="11" s="1"/>
  <c r="N65" i="11"/>
  <c r="P65" i="11" s="1"/>
  <c r="G66" i="10"/>
  <c r="S64" i="11"/>
  <c r="T64" i="11"/>
  <c r="F65" i="10"/>
  <c r="O202" i="11"/>
  <c r="Q202" i="11" s="1"/>
  <c r="D203" i="11"/>
  <c r="K203" i="11" s="1"/>
  <c r="L203" i="11"/>
  <c r="C201" i="10"/>
  <c r="F201" i="10"/>
  <c r="H201" i="10"/>
  <c r="G203" i="10"/>
  <c r="R200" i="15" l="1"/>
  <c r="N201" i="15"/>
  <c r="R201" i="15" s="1"/>
  <c r="O65" i="15"/>
  <c r="N65" i="15"/>
  <c r="O201" i="15"/>
  <c r="D202" i="15"/>
  <c r="K202" i="15" s="1"/>
  <c r="L202" i="15"/>
  <c r="K66" i="15"/>
  <c r="F66" i="15"/>
  <c r="D67" i="15"/>
  <c r="F203" i="15"/>
  <c r="M203" i="15"/>
  <c r="C204" i="15"/>
  <c r="P64" i="15"/>
  <c r="R64" i="15"/>
  <c r="S200" i="15"/>
  <c r="Q200" i="15"/>
  <c r="T200" i="15"/>
  <c r="U200" i="15" s="1"/>
  <c r="S64" i="15"/>
  <c r="Q64" i="15"/>
  <c r="T64" i="15"/>
  <c r="U64" i="15" s="1"/>
  <c r="V202" i="11"/>
  <c r="V202" i="15"/>
  <c r="C65" i="10"/>
  <c r="V65" i="11"/>
  <c r="V65" i="15"/>
  <c r="R202" i="11"/>
  <c r="P202" i="11"/>
  <c r="N203" i="11"/>
  <c r="T202" i="11"/>
  <c r="U202" i="11" s="1"/>
  <c r="S202" i="11"/>
  <c r="O203" i="11"/>
  <c r="Q203" i="11" s="1"/>
  <c r="R65" i="11"/>
  <c r="F67" i="11"/>
  <c r="K67" i="11"/>
  <c r="D68" i="11"/>
  <c r="D204" i="11"/>
  <c r="K204" i="11" s="1"/>
  <c r="L204" i="11"/>
  <c r="U64" i="11"/>
  <c r="H65" i="10"/>
  <c r="T65" i="11"/>
  <c r="S65" i="11"/>
  <c r="F66" i="10"/>
  <c r="O66" i="11"/>
  <c r="Q66" i="11" s="1"/>
  <c r="N66" i="11"/>
  <c r="P66" i="11" s="1"/>
  <c r="G67" i="10"/>
  <c r="C206" i="11"/>
  <c r="F205" i="11"/>
  <c r="M205" i="11"/>
  <c r="F202" i="10"/>
  <c r="C202" i="10"/>
  <c r="G204" i="10"/>
  <c r="H202" i="10"/>
  <c r="N202" i="15" l="1"/>
  <c r="R202" i="15" s="1"/>
  <c r="P201" i="15"/>
  <c r="K67" i="15"/>
  <c r="F67" i="15"/>
  <c r="D68" i="15"/>
  <c r="D203" i="15"/>
  <c r="K203" i="15" s="1"/>
  <c r="L203" i="15"/>
  <c r="Q201" i="15"/>
  <c r="T201" i="15"/>
  <c r="U201" i="15" s="1"/>
  <c r="S201" i="15"/>
  <c r="O66" i="15"/>
  <c r="N66" i="15"/>
  <c r="P65" i="15"/>
  <c r="R65" i="15"/>
  <c r="M204" i="15"/>
  <c r="C205" i="15"/>
  <c r="F204" i="15"/>
  <c r="O202" i="15"/>
  <c r="S65" i="15"/>
  <c r="Q65" i="15"/>
  <c r="T65" i="15"/>
  <c r="U65" i="15" s="1"/>
  <c r="V203" i="11"/>
  <c r="V203" i="15"/>
  <c r="V66" i="11"/>
  <c r="V66" i="15"/>
  <c r="C66" i="10"/>
  <c r="R203" i="11"/>
  <c r="P203" i="11"/>
  <c r="N204" i="11"/>
  <c r="F68" i="11"/>
  <c r="D69" i="11"/>
  <c r="K68" i="11"/>
  <c r="O67" i="11"/>
  <c r="Q67" i="11" s="1"/>
  <c r="N67" i="11"/>
  <c r="P67" i="11" s="1"/>
  <c r="G68" i="10"/>
  <c r="T203" i="11"/>
  <c r="U203" i="11" s="1"/>
  <c r="S203" i="11"/>
  <c r="C207" i="11"/>
  <c r="F206" i="11"/>
  <c r="M206" i="11"/>
  <c r="R66" i="11"/>
  <c r="O204" i="11"/>
  <c r="Q204" i="11" s="1"/>
  <c r="D205" i="11"/>
  <c r="K205" i="11" s="1"/>
  <c r="L205" i="11"/>
  <c r="S66" i="11"/>
  <c r="T66" i="11"/>
  <c r="F67" i="10"/>
  <c r="U65" i="11"/>
  <c r="H66" i="10"/>
  <c r="C203" i="10"/>
  <c r="F203" i="10"/>
  <c r="G205" i="10"/>
  <c r="H203" i="10"/>
  <c r="P202" i="15" l="1"/>
  <c r="N203" i="15"/>
  <c r="P203" i="15" s="1"/>
  <c r="M205" i="15"/>
  <c r="C206" i="15"/>
  <c r="F205" i="15"/>
  <c r="P66" i="15"/>
  <c r="R66" i="15"/>
  <c r="Q66" i="15"/>
  <c r="T66" i="15"/>
  <c r="U66" i="15" s="1"/>
  <c r="S66" i="15"/>
  <c r="O203" i="15"/>
  <c r="K68" i="15"/>
  <c r="F68" i="15"/>
  <c r="D69" i="15"/>
  <c r="T202" i="15"/>
  <c r="U202" i="15" s="1"/>
  <c r="S202" i="15"/>
  <c r="Q202" i="15"/>
  <c r="R203" i="15"/>
  <c r="D204" i="15"/>
  <c r="K204" i="15" s="1"/>
  <c r="L204" i="15"/>
  <c r="N67" i="15"/>
  <c r="O67" i="15"/>
  <c r="C67" i="10"/>
  <c r="V204" i="11"/>
  <c r="V204" i="15"/>
  <c r="V67" i="11"/>
  <c r="V67" i="15"/>
  <c r="R204" i="11"/>
  <c r="P204" i="11"/>
  <c r="O205" i="11"/>
  <c r="Q205" i="11" s="1"/>
  <c r="N205" i="11"/>
  <c r="O68" i="11"/>
  <c r="Q68" i="11" s="1"/>
  <c r="N68" i="11"/>
  <c r="P68" i="11" s="1"/>
  <c r="G69" i="10"/>
  <c r="S67" i="11"/>
  <c r="T67" i="11"/>
  <c r="F68" i="10"/>
  <c r="T204" i="11"/>
  <c r="U204" i="11" s="1"/>
  <c r="S204" i="11"/>
  <c r="D206" i="11"/>
  <c r="K206" i="11" s="1"/>
  <c r="L206" i="11"/>
  <c r="F69" i="11"/>
  <c r="D70" i="11"/>
  <c r="K69" i="11"/>
  <c r="U66" i="11"/>
  <c r="H67" i="10"/>
  <c r="C208" i="11"/>
  <c r="F207" i="11"/>
  <c r="M207" i="11"/>
  <c r="R67" i="11"/>
  <c r="C204" i="10"/>
  <c r="F204" i="10"/>
  <c r="H204" i="10"/>
  <c r="G206" i="10"/>
  <c r="O204" i="15" l="1"/>
  <c r="Q204" i="15" s="1"/>
  <c r="P67" i="15"/>
  <c r="R67" i="15"/>
  <c r="F69" i="15"/>
  <c r="D70" i="15"/>
  <c r="K69" i="15"/>
  <c r="D205" i="15"/>
  <c r="K205" i="15" s="1"/>
  <c r="L205" i="15"/>
  <c r="N204" i="15"/>
  <c r="N68" i="15"/>
  <c r="O68" i="15"/>
  <c r="C207" i="15"/>
  <c r="F206" i="15"/>
  <c r="M206" i="15"/>
  <c r="T67" i="15"/>
  <c r="U67" i="15" s="1"/>
  <c r="S67" i="15"/>
  <c r="Q67" i="15"/>
  <c r="T203" i="15"/>
  <c r="U203" i="15" s="1"/>
  <c r="S203" i="15"/>
  <c r="Q203" i="15"/>
  <c r="V205" i="11"/>
  <c r="V205" i="15"/>
  <c r="C68" i="10"/>
  <c r="V68" i="11"/>
  <c r="V68" i="15"/>
  <c r="S205" i="11"/>
  <c r="R205" i="11"/>
  <c r="P205" i="11"/>
  <c r="T205" i="11"/>
  <c r="U205" i="11" s="1"/>
  <c r="O206" i="11"/>
  <c r="O69" i="11"/>
  <c r="Q69" i="11" s="1"/>
  <c r="N69" i="11"/>
  <c r="P69" i="11" s="1"/>
  <c r="G70" i="10"/>
  <c r="N206" i="11"/>
  <c r="R68" i="11"/>
  <c r="C209" i="11"/>
  <c r="F208" i="11"/>
  <c r="M208" i="11"/>
  <c r="F70" i="11"/>
  <c r="K70" i="11"/>
  <c r="D71" i="11"/>
  <c r="U67" i="11"/>
  <c r="H68" i="10"/>
  <c r="S68" i="11"/>
  <c r="T68" i="11"/>
  <c r="F69" i="10"/>
  <c r="D207" i="11"/>
  <c r="K207" i="11" s="1"/>
  <c r="L207" i="11"/>
  <c r="C205" i="10"/>
  <c r="F205" i="10"/>
  <c r="G207" i="10"/>
  <c r="H205" i="10"/>
  <c r="N205" i="15" l="1"/>
  <c r="P205" i="15" s="1"/>
  <c r="S204" i="15"/>
  <c r="T204" i="15"/>
  <c r="U204" i="15" s="1"/>
  <c r="P68" i="15"/>
  <c r="R68" i="15"/>
  <c r="K70" i="15"/>
  <c r="F70" i="15"/>
  <c r="D71" i="15"/>
  <c r="D206" i="15"/>
  <c r="K206" i="15" s="1"/>
  <c r="L206" i="15"/>
  <c r="P204" i="15"/>
  <c r="R204" i="15"/>
  <c r="C208" i="15"/>
  <c r="F207" i="15"/>
  <c r="M207" i="15"/>
  <c r="O205" i="15"/>
  <c r="Q68" i="15"/>
  <c r="T68" i="15"/>
  <c r="U68" i="15" s="1"/>
  <c r="S68" i="15"/>
  <c r="O69" i="15"/>
  <c r="N69" i="15"/>
  <c r="V206" i="11"/>
  <c r="V206" i="15"/>
  <c r="V69" i="11"/>
  <c r="V69" i="15"/>
  <c r="C69" i="10"/>
  <c r="S206" i="11"/>
  <c r="Q206" i="11"/>
  <c r="R206" i="11"/>
  <c r="P206" i="11"/>
  <c r="N207" i="11"/>
  <c r="R69" i="11"/>
  <c r="S69" i="11"/>
  <c r="T69" i="11"/>
  <c r="F70" i="10"/>
  <c r="O207" i="11"/>
  <c r="Q207" i="11" s="1"/>
  <c r="U68" i="11"/>
  <c r="H69" i="10"/>
  <c r="F71" i="11"/>
  <c r="K71" i="11"/>
  <c r="D72" i="11"/>
  <c r="D208" i="11"/>
  <c r="K208" i="11" s="1"/>
  <c r="L208" i="11"/>
  <c r="O70" i="11"/>
  <c r="Q70" i="11" s="1"/>
  <c r="N70" i="11"/>
  <c r="P70" i="11" s="1"/>
  <c r="G71" i="10"/>
  <c r="C210" i="11"/>
  <c r="F209" i="11"/>
  <c r="M209" i="11"/>
  <c r="T206" i="11"/>
  <c r="U206" i="11" s="1"/>
  <c r="C206" i="10"/>
  <c r="F206" i="10"/>
  <c r="G208" i="10"/>
  <c r="H206" i="10"/>
  <c r="R205" i="15" l="1"/>
  <c r="N206" i="15"/>
  <c r="R206" i="15" s="1"/>
  <c r="P69" i="15"/>
  <c r="R69" i="15"/>
  <c r="T69" i="15"/>
  <c r="U69" i="15" s="1"/>
  <c r="S69" i="15"/>
  <c r="Q69" i="15"/>
  <c r="L207" i="15"/>
  <c r="D207" i="15"/>
  <c r="K207" i="15" s="1"/>
  <c r="O206" i="15"/>
  <c r="N70" i="15"/>
  <c r="O70" i="15"/>
  <c r="C209" i="15"/>
  <c r="F208" i="15"/>
  <c r="M208" i="15"/>
  <c r="S205" i="15"/>
  <c r="Q205" i="15"/>
  <c r="T205" i="15"/>
  <c r="U205" i="15" s="1"/>
  <c r="D72" i="15"/>
  <c r="K71" i="15"/>
  <c r="F71" i="15"/>
  <c r="V207" i="11"/>
  <c r="V207" i="15"/>
  <c r="C70" i="10"/>
  <c r="V70" i="11"/>
  <c r="V70" i="15"/>
  <c r="R207" i="11"/>
  <c r="P207" i="11"/>
  <c r="N208" i="11"/>
  <c r="D209" i="11"/>
  <c r="K209" i="11" s="1"/>
  <c r="L209" i="11"/>
  <c r="S70" i="11"/>
  <c r="T70" i="11"/>
  <c r="F71" i="10"/>
  <c r="O71" i="11"/>
  <c r="Q71" i="11" s="1"/>
  <c r="N71" i="11"/>
  <c r="P71" i="11" s="1"/>
  <c r="G72" i="10"/>
  <c r="T207" i="11"/>
  <c r="U207" i="11" s="1"/>
  <c r="S207" i="11"/>
  <c r="F72" i="11"/>
  <c r="D73" i="11"/>
  <c r="K72" i="11"/>
  <c r="U69" i="11"/>
  <c r="H70" i="10"/>
  <c r="C211" i="11"/>
  <c r="F210" i="11"/>
  <c r="M210" i="11"/>
  <c r="O208" i="11"/>
  <c r="Q208" i="11" s="1"/>
  <c r="R70" i="11"/>
  <c r="C207" i="10"/>
  <c r="F207" i="10"/>
  <c r="G209" i="10"/>
  <c r="H207" i="10"/>
  <c r="P206" i="15" l="1"/>
  <c r="N207" i="15"/>
  <c r="P207" i="15" s="1"/>
  <c r="N71" i="15"/>
  <c r="O71" i="15"/>
  <c r="D208" i="15"/>
  <c r="K208" i="15" s="1"/>
  <c r="L208" i="15"/>
  <c r="T206" i="15"/>
  <c r="U206" i="15" s="1"/>
  <c r="S206" i="15"/>
  <c r="Q206" i="15"/>
  <c r="K72" i="15"/>
  <c r="F72" i="15"/>
  <c r="D73" i="15"/>
  <c r="C210" i="15"/>
  <c r="F209" i="15"/>
  <c r="M209" i="15"/>
  <c r="T70" i="15"/>
  <c r="U70" i="15" s="1"/>
  <c r="S70" i="15"/>
  <c r="Q70" i="15"/>
  <c r="O207" i="15"/>
  <c r="P70" i="15"/>
  <c r="R70" i="15"/>
  <c r="V208" i="11"/>
  <c r="V208" i="15"/>
  <c r="C71" i="10"/>
  <c r="V71" i="11"/>
  <c r="V71" i="15"/>
  <c r="R208" i="11"/>
  <c r="P208" i="11"/>
  <c r="N209" i="11"/>
  <c r="T208" i="11"/>
  <c r="U208" i="11" s="1"/>
  <c r="S208" i="11"/>
  <c r="U70" i="11"/>
  <c r="H71" i="10"/>
  <c r="S71" i="11"/>
  <c r="T71" i="11"/>
  <c r="F72" i="10"/>
  <c r="R71" i="11"/>
  <c r="D210" i="11"/>
  <c r="K210" i="11" s="1"/>
  <c r="L210" i="11"/>
  <c r="O72" i="11"/>
  <c r="Q72" i="11" s="1"/>
  <c r="N72" i="11"/>
  <c r="P72" i="11" s="1"/>
  <c r="G73" i="10"/>
  <c r="O209" i="11"/>
  <c r="Q209" i="11" s="1"/>
  <c r="C212" i="11"/>
  <c r="F211" i="11"/>
  <c r="M211" i="11"/>
  <c r="F73" i="11"/>
  <c r="D74" i="11"/>
  <c r="K73" i="11"/>
  <c r="C208" i="10"/>
  <c r="F208" i="10"/>
  <c r="H208" i="10"/>
  <c r="G210" i="10"/>
  <c r="R207" i="15" l="1"/>
  <c r="N208" i="15"/>
  <c r="P208" i="15" s="1"/>
  <c r="L209" i="15"/>
  <c r="D209" i="15"/>
  <c r="K209" i="15" s="1"/>
  <c r="O72" i="15"/>
  <c r="N72" i="15"/>
  <c r="O208" i="15"/>
  <c r="Q207" i="15"/>
  <c r="T207" i="15"/>
  <c r="U207" i="15" s="1"/>
  <c r="S207" i="15"/>
  <c r="C211" i="15"/>
  <c r="F210" i="15"/>
  <c r="M210" i="15"/>
  <c r="R208" i="15"/>
  <c r="D74" i="15"/>
  <c r="K73" i="15"/>
  <c r="F73" i="15"/>
  <c r="T71" i="15"/>
  <c r="U71" i="15" s="1"/>
  <c r="S71" i="15"/>
  <c r="Q71" i="15"/>
  <c r="P71" i="15"/>
  <c r="R71" i="15"/>
  <c r="V72" i="11"/>
  <c r="V72" i="15"/>
  <c r="C72" i="10"/>
  <c r="V209" i="11"/>
  <c r="V209" i="15"/>
  <c r="R209" i="11"/>
  <c r="P209" i="11"/>
  <c r="O210" i="11"/>
  <c r="T209" i="11"/>
  <c r="U209" i="11" s="1"/>
  <c r="S209" i="11"/>
  <c r="N210" i="11"/>
  <c r="O73" i="11"/>
  <c r="Q73" i="11" s="1"/>
  <c r="N73" i="11"/>
  <c r="P73" i="11" s="1"/>
  <c r="G74" i="10"/>
  <c r="D211" i="11"/>
  <c r="K211" i="11" s="1"/>
  <c r="L211" i="11"/>
  <c r="R72" i="11"/>
  <c r="U71" i="11"/>
  <c r="H72" i="10"/>
  <c r="F74" i="11"/>
  <c r="K74" i="11"/>
  <c r="D75" i="11"/>
  <c r="C213" i="11"/>
  <c r="F212" i="11"/>
  <c r="M212" i="11"/>
  <c r="S72" i="11"/>
  <c r="T72" i="11"/>
  <c r="F73" i="10"/>
  <c r="C209" i="10"/>
  <c r="F209" i="10"/>
  <c r="H209" i="10"/>
  <c r="G211" i="10"/>
  <c r="N209" i="15" l="1"/>
  <c r="R209" i="15" s="1"/>
  <c r="P72" i="15"/>
  <c r="R72" i="15"/>
  <c r="N73" i="15"/>
  <c r="O73" i="15"/>
  <c r="T72" i="15"/>
  <c r="U72" i="15" s="1"/>
  <c r="S72" i="15"/>
  <c r="Q72" i="15"/>
  <c r="D75" i="15"/>
  <c r="K74" i="15"/>
  <c r="F74" i="15"/>
  <c r="D210" i="15"/>
  <c r="K210" i="15" s="1"/>
  <c r="L210" i="15"/>
  <c r="F211" i="15"/>
  <c r="M211" i="15"/>
  <c r="C212" i="15"/>
  <c r="T208" i="15"/>
  <c r="U208" i="15" s="1"/>
  <c r="S208" i="15"/>
  <c r="Q208" i="15"/>
  <c r="O209" i="15"/>
  <c r="V210" i="11"/>
  <c r="V210" i="15"/>
  <c r="V73" i="11"/>
  <c r="V73" i="15"/>
  <c r="C73" i="10"/>
  <c r="S210" i="11"/>
  <c r="Q210" i="11"/>
  <c r="R210" i="11"/>
  <c r="P210" i="11"/>
  <c r="T210" i="11"/>
  <c r="U210" i="11" s="1"/>
  <c r="O211" i="11"/>
  <c r="D212" i="11"/>
  <c r="K212" i="11" s="1"/>
  <c r="L212" i="11"/>
  <c r="R73" i="11"/>
  <c r="O74" i="11"/>
  <c r="Q74" i="11" s="1"/>
  <c r="N74" i="11"/>
  <c r="P74" i="11" s="1"/>
  <c r="G75" i="10"/>
  <c r="U72" i="11"/>
  <c r="H73" i="10"/>
  <c r="S73" i="11"/>
  <c r="T73" i="11"/>
  <c r="F74" i="10"/>
  <c r="C214" i="11"/>
  <c r="M213" i="11"/>
  <c r="F213" i="11"/>
  <c r="F75" i="11"/>
  <c r="K75" i="11"/>
  <c r="D76" i="11"/>
  <c r="N211" i="11"/>
  <c r="C210" i="10"/>
  <c r="F210" i="10"/>
  <c r="H210" i="10"/>
  <c r="G212" i="10"/>
  <c r="P209" i="15" l="1"/>
  <c r="N210" i="15"/>
  <c r="R210" i="15" s="1"/>
  <c r="O210" i="15"/>
  <c r="K75" i="15"/>
  <c r="F75" i="15"/>
  <c r="D76" i="15"/>
  <c r="Q73" i="15"/>
  <c r="T73" i="15"/>
  <c r="U73" i="15" s="1"/>
  <c r="S73" i="15"/>
  <c r="D211" i="15"/>
  <c r="K211" i="15" s="1"/>
  <c r="L211" i="15"/>
  <c r="P73" i="15"/>
  <c r="R73" i="15"/>
  <c r="T209" i="15"/>
  <c r="U209" i="15" s="1"/>
  <c r="Q209" i="15"/>
  <c r="S209" i="15"/>
  <c r="C213" i="15"/>
  <c r="M212" i="15"/>
  <c r="F212" i="15"/>
  <c r="O74" i="15"/>
  <c r="N74" i="15"/>
  <c r="V211" i="11"/>
  <c r="V211" i="15"/>
  <c r="V74" i="11"/>
  <c r="V74" i="15"/>
  <c r="C74" i="10"/>
  <c r="S211" i="11"/>
  <c r="Q211" i="11"/>
  <c r="R211" i="11"/>
  <c r="P211" i="11"/>
  <c r="N212" i="11"/>
  <c r="O212" i="11"/>
  <c r="O75" i="11"/>
  <c r="Q75" i="11" s="1"/>
  <c r="N75" i="11"/>
  <c r="P75" i="11" s="1"/>
  <c r="G76" i="10"/>
  <c r="C215" i="11"/>
  <c r="F214" i="11"/>
  <c r="M214" i="11"/>
  <c r="T211" i="11"/>
  <c r="U211" i="11" s="1"/>
  <c r="D213" i="11"/>
  <c r="K213" i="11" s="1"/>
  <c r="L213" i="11"/>
  <c r="R74" i="11"/>
  <c r="F76" i="11"/>
  <c r="D77" i="11"/>
  <c r="K76" i="11"/>
  <c r="U73" i="11"/>
  <c r="H74" i="10"/>
  <c r="S74" i="11"/>
  <c r="T74" i="11"/>
  <c r="F75" i="10"/>
  <c r="C211" i="10"/>
  <c r="F211" i="10"/>
  <c r="G213" i="10"/>
  <c r="H211" i="10"/>
  <c r="P210" i="15" l="1"/>
  <c r="N211" i="15"/>
  <c r="P211" i="15" s="1"/>
  <c r="Q74" i="15"/>
  <c r="T74" i="15"/>
  <c r="U74" i="15" s="1"/>
  <c r="S74" i="15"/>
  <c r="R211" i="15"/>
  <c r="D77" i="15"/>
  <c r="K76" i="15"/>
  <c r="F76" i="15"/>
  <c r="L212" i="15"/>
  <c r="D212" i="15"/>
  <c r="K212" i="15" s="1"/>
  <c r="O75" i="15"/>
  <c r="N75" i="15"/>
  <c r="P74" i="15"/>
  <c r="R74" i="15"/>
  <c r="M213" i="15"/>
  <c r="F213" i="15"/>
  <c r="C214" i="15"/>
  <c r="O211" i="15"/>
  <c r="T210" i="15"/>
  <c r="U210" i="15" s="1"/>
  <c r="S210" i="15"/>
  <c r="Q210" i="15"/>
  <c r="T212" i="11"/>
  <c r="U212" i="11" s="1"/>
  <c r="V212" i="11"/>
  <c r="V212" i="15"/>
  <c r="C75" i="10"/>
  <c r="V75" i="11"/>
  <c r="V75" i="15"/>
  <c r="S212" i="11"/>
  <c r="Q212" i="11"/>
  <c r="R212" i="11"/>
  <c r="P212" i="11"/>
  <c r="N213" i="11"/>
  <c r="C216" i="11"/>
  <c r="F215" i="11"/>
  <c r="M215" i="11"/>
  <c r="R75" i="11"/>
  <c r="U74" i="11"/>
  <c r="H75" i="10"/>
  <c r="O76" i="11"/>
  <c r="Q76" i="11" s="1"/>
  <c r="N76" i="11"/>
  <c r="P76" i="11" s="1"/>
  <c r="G77" i="10"/>
  <c r="F77" i="11"/>
  <c r="D78" i="11"/>
  <c r="K77" i="11"/>
  <c r="O213" i="11"/>
  <c r="Q213" i="11" s="1"/>
  <c r="D214" i="11"/>
  <c r="K214" i="11" s="1"/>
  <c r="L214" i="11"/>
  <c r="S75" i="11"/>
  <c r="T75" i="11"/>
  <c r="F76" i="10"/>
  <c r="C212" i="10"/>
  <c r="F212" i="10"/>
  <c r="G214" i="10"/>
  <c r="H212" i="10"/>
  <c r="N212" i="15" l="1"/>
  <c r="P212" i="15" s="1"/>
  <c r="D213" i="15"/>
  <c r="K213" i="15" s="1"/>
  <c r="L213" i="15"/>
  <c r="R75" i="15"/>
  <c r="P75" i="15"/>
  <c r="S75" i="15"/>
  <c r="Q75" i="15"/>
  <c r="T75" i="15"/>
  <c r="U75" i="15" s="1"/>
  <c r="O76" i="15"/>
  <c r="N76" i="15"/>
  <c r="S211" i="15"/>
  <c r="Q211" i="15"/>
  <c r="T211" i="15"/>
  <c r="U211" i="15" s="1"/>
  <c r="D78" i="15"/>
  <c r="K77" i="15"/>
  <c r="F77" i="15"/>
  <c r="F214" i="15"/>
  <c r="M214" i="15"/>
  <c r="C215" i="15"/>
  <c r="O212" i="15"/>
  <c r="V76" i="11"/>
  <c r="V76" i="15"/>
  <c r="C76" i="10"/>
  <c r="V213" i="11"/>
  <c r="V213" i="15"/>
  <c r="R213" i="11"/>
  <c r="P213" i="11"/>
  <c r="O214" i="11"/>
  <c r="Q214" i="11" s="1"/>
  <c r="N214" i="11"/>
  <c r="F78" i="11"/>
  <c r="K78" i="11"/>
  <c r="D79" i="11"/>
  <c r="U75" i="11"/>
  <c r="H76" i="10"/>
  <c r="T213" i="11"/>
  <c r="U213" i="11" s="1"/>
  <c r="S213" i="11"/>
  <c r="D215" i="11"/>
  <c r="K215" i="11" s="1"/>
  <c r="L215" i="11"/>
  <c r="S76" i="11"/>
  <c r="T76" i="11"/>
  <c r="F77" i="10"/>
  <c r="O77" i="11"/>
  <c r="Q77" i="11" s="1"/>
  <c r="N77" i="11"/>
  <c r="P77" i="11" s="1"/>
  <c r="G78" i="10"/>
  <c r="R76" i="11"/>
  <c r="C217" i="11"/>
  <c r="F216" i="11"/>
  <c r="M216" i="11"/>
  <c r="C213" i="10"/>
  <c r="F213" i="10"/>
  <c r="G215" i="10"/>
  <c r="H213" i="10"/>
  <c r="R212" i="15" l="1"/>
  <c r="N213" i="15"/>
  <c r="P213" i="15" s="1"/>
  <c r="C216" i="15"/>
  <c r="F215" i="15"/>
  <c r="M215" i="15"/>
  <c r="O77" i="15"/>
  <c r="N77" i="15"/>
  <c r="T76" i="15"/>
  <c r="U76" i="15" s="1"/>
  <c r="S76" i="15"/>
  <c r="Q76" i="15"/>
  <c r="K78" i="15"/>
  <c r="F78" i="15"/>
  <c r="D79" i="15"/>
  <c r="D214" i="15"/>
  <c r="K214" i="15" s="1"/>
  <c r="L214" i="15"/>
  <c r="O213" i="15"/>
  <c r="S212" i="15"/>
  <c r="T212" i="15"/>
  <c r="U212" i="15" s="1"/>
  <c r="Q212" i="15"/>
  <c r="P76" i="15"/>
  <c r="R76" i="15"/>
  <c r="R213" i="15"/>
  <c r="V214" i="11"/>
  <c r="V214" i="15"/>
  <c r="V77" i="11"/>
  <c r="V77" i="15"/>
  <c r="C77" i="10"/>
  <c r="S214" i="11"/>
  <c r="R214" i="11"/>
  <c r="P214" i="11"/>
  <c r="T214" i="11"/>
  <c r="U214" i="11" s="1"/>
  <c r="N215" i="11"/>
  <c r="F79" i="11"/>
  <c r="K79" i="11"/>
  <c r="D80" i="11"/>
  <c r="D216" i="11"/>
  <c r="K216" i="11" s="1"/>
  <c r="L216" i="11"/>
  <c r="O78" i="11"/>
  <c r="Q78" i="11" s="1"/>
  <c r="N78" i="11"/>
  <c r="P78" i="11" s="1"/>
  <c r="G79" i="10"/>
  <c r="C218" i="11"/>
  <c r="F217" i="11"/>
  <c r="M217" i="11"/>
  <c r="R77" i="11"/>
  <c r="U76" i="11"/>
  <c r="H77" i="10"/>
  <c r="O215" i="11"/>
  <c r="Q215" i="11" s="1"/>
  <c r="S77" i="11"/>
  <c r="T77" i="11"/>
  <c r="F78" i="10"/>
  <c r="C214" i="10"/>
  <c r="F214" i="10"/>
  <c r="H214" i="10"/>
  <c r="G216" i="10"/>
  <c r="N214" i="15" l="1"/>
  <c r="R214" i="15" s="1"/>
  <c r="T77" i="15"/>
  <c r="U77" i="15" s="1"/>
  <c r="S77" i="15"/>
  <c r="Q77" i="15"/>
  <c r="K79" i="15"/>
  <c r="F79" i="15"/>
  <c r="D80" i="15"/>
  <c r="S213" i="15"/>
  <c r="Q213" i="15"/>
  <c r="T213" i="15"/>
  <c r="U213" i="15" s="1"/>
  <c r="L215" i="15"/>
  <c r="D215" i="15"/>
  <c r="K215" i="15" s="1"/>
  <c r="O214" i="15"/>
  <c r="N78" i="15"/>
  <c r="O78" i="15"/>
  <c r="P77" i="15"/>
  <c r="R77" i="15"/>
  <c r="C217" i="15"/>
  <c r="F216" i="15"/>
  <c r="M216" i="15"/>
  <c r="C78" i="10"/>
  <c r="V78" i="11"/>
  <c r="V78" i="15"/>
  <c r="V215" i="11"/>
  <c r="V215" i="15"/>
  <c r="R215" i="11"/>
  <c r="P215" i="11"/>
  <c r="N216" i="11"/>
  <c r="R78" i="11"/>
  <c r="F80" i="11"/>
  <c r="D81" i="11"/>
  <c r="K80" i="11"/>
  <c r="T215" i="11"/>
  <c r="U215" i="11" s="1"/>
  <c r="S215" i="11"/>
  <c r="U77" i="11"/>
  <c r="H78" i="10"/>
  <c r="D217" i="11"/>
  <c r="K217" i="11" s="1"/>
  <c r="L217" i="11"/>
  <c r="S78" i="11"/>
  <c r="T78" i="11"/>
  <c r="F79" i="10"/>
  <c r="O79" i="11"/>
  <c r="Q79" i="11" s="1"/>
  <c r="N79" i="11"/>
  <c r="P79" i="11" s="1"/>
  <c r="G80" i="10"/>
  <c r="C219" i="11"/>
  <c r="F218" i="11"/>
  <c r="M218" i="11"/>
  <c r="O216" i="11"/>
  <c r="Q216" i="11" s="1"/>
  <c r="F215" i="10"/>
  <c r="C215" i="10"/>
  <c r="G217" i="10"/>
  <c r="H215" i="10"/>
  <c r="P214" i="15" l="1"/>
  <c r="N215" i="15"/>
  <c r="R215" i="15" s="1"/>
  <c r="D216" i="15"/>
  <c r="K216" i="15" s="1"/>
  <c r="L216" i="15"/>
  <c r="S78" i="15"/>
  <c r="Q78" i="15"/>
  <c r="T78" i="15"/>
  <c r="U78" i="15" s="1"/>
  <c r="O215" i="15"/>
  <c r="D81" i="15"/>
  <c r="K80" i="15"/>
  <c r="F80" i="15"/>
  <c r="C218" i="15"/>
  <c r="F217" i="15"/>
  <c r="M217" i="15"/>
  <c r="P78" i="15"/>
  <c r="R78" i="15"/>
  <c r="Q214" i="15"/>
  <c r="S214" i="15"/>
  <c r="T214" i="15"/>
  <c r="U214" i="15" s="1"/>
  <c r="O79" i="15"/>
  <c r="N79" i="15"/>
  <c r="P215" i="15"/>
  <c r="V216" i="11"/>
  <c r="V216" i="15"/>
  <c r="C79" i="10"/>
  <c r="V79" i="11"/>
  <c r="V79" i="15"/>
  <c r="R216" i="11"/>
  <c r="P216" i="11"/>
  <c r="O217" i="11"/>
  <c r="Q217" i="11" s="1"/>
  <c r="S79" i="11"/>
  <c r="T79" i="11"/>
  <c r="F80" i="10"/>
  <c r="F81" i="11"/>
  <c r="D82" i="11"/>
  <c r="K81" i="11"/>
  <c r="T216" i="11"/>
  <c r="U216" i="11" s="1"/>
  <c r="S216" i="11"/>
  <c r="N217" i="11"/>
  <c r="D218" i="11"/>
  <c r="K218" i="11" s="1"/>
  <c r="L218" i="11"/>
  <c r="C220" i="11"/>
  <c r="F219" i="11"/>
  <c r="M219" i="11"/>
  <c r="R79" i="11"/>
  <c r="U78" i="11"/>
  <c r="H79" i="10"/>
  <c r="O80" i="11"/>
  <c r="Q80" i="11" s="1"/>
  <c r="N80" i="11"/>
  <c r="P80" i="11" s="1"/>
  <c r="G81" i="10"/>
  <c r="C216" i="10"/>
  <c r="F216" i="10"/>
  <c r="G218" i="10"/>
  <c r="H216" i="10"/>
  <c r="N216" i="15" l="1"/>
  <c r="P216" i="15" s="1"/>
  <c r="N80" i="15"/>
  <c r="O80" i="15"/>
  <c r="P79" i="15"/>
  <c r="R79" i="15"/>
  <c r="D217" i="15"/>
  <c r="K217" i="15" s="1"/>
  <c r="L217" i="15"/>
  <c r="K81" i="15"/>
  <c r="F81" i="15"/>
  <c r="D82" i="15"/>
  <c r="S79" i="15"/>
  <c r="Q79" i="15"/>
  <c r="T79" i="15"/>
  <c r="U79" i="15" s="1"/>
  <c r="F218" i="15"/>
  <c r="M218" i="15"/>
  <c r="C219" i="15"/>
  <c r="T215" i="15"/>
  <c r="U215" i="15" s="1"/>
  <c r="S215" i="15"/>
  <c r="Q215" i="15"/>
  <c r="O216" i="15"/>
  <c r="R216" i="15"/>
  <c r="V80" i="11"/>
  <c r="V80" i="15"/>
  <c r="C80" i="10"/>
  <c r="V217" i="11"/>
  <c r="V217" i="15"/>
  <c r="S217" i="11"/>
  <c r="R217" i="11"/>
  <c r="P217" i="11"/>
  <c r="O218" i="11"/>
  <c r="Q218" i="11" s="1"/>
  <c r="D219" i="11"/>
  <c r="K219" i="11" s="1"/>
  <c r="L219" i="11"/>
  <c r="T217" i="11"/>
  <c r="U217" i="11" s="1"/>
  <c r="R80" i="11"/>
  <c r="C221" i="11"/>
  <c r="F220" i="11"/>
  <c r="M220" i="11"/>
  <c r="O81" i="11"/>
  <c r="Q81" i="11" s="1"/>
  <c r="N81" i="11"/>
  <c r="P81" i="11" s="1"/>
  <c r="G82" i="10"/>
  <c r="S80" i="11"/>
  <c r="T80" i="11"/>
  <c r="F81" i="10"/>
  <c r="F82" i="11"/>
  <c r="K82" i="11"/>
  <c r="D83" i="11"/>
  <c r="U79" i="11"/>
  <c r="H80" i="10"/>
  <c r="N218" i="11"/>
  <c r="C217" i="10"/>
  <c r="F217" i="10"/>
  <c r="G219" i="10"/>
  <c r="H217" i="10"/>
  <c r="N217" i="15" l="1"/>
  <c r="P217" i="15" s="1"/>
  <c r="Q216" i="15"/>
  <c r="T216" i="15"/>
  <c r="U216" i="15" s="1"/>
  <c r="S216" i="15"/>
  <c r="C220" i="15"/>
  <c r="F219" i="15"/>
  <c r="M219" i="15"/>
  <c r="O81" i="15"/>
  <c r="N81" i="15"/>
  <c r="O217" i="15"/>
  <c r="T80" i="15"/>
  <c r="U80" i="15" s="1"/>
  <c r="S80" i="15"/>
  <c r="Q80" i="15"/>
  <c r="D218" i="15"/>
  <c r="K218" i="15" s="1"/>
  <c r="L218" i="15"/>
  <c r="F82" i="15"/>
  <c r="D83" i="15"/>
  <c r="K82" i="15"/>
  <c r="P80" i="15"/>
  <c r="R80" i="15"/>
  <c r="C81" i="10"/>
  <c r="V218" i="11"/>
  <c r="V218" i="15"/>
  <c r="V81" i="11"/>
  <c r="V81" i="15"/>
  <c r="S218" i="11"/>
  <c r="R218" i="11"/>
  <c r="P218" i="11"/>
  <c r="O219" i="11"/>
  <c r="Q219" i="11" s="1"/>
  <c r="T218" i="11"/>
  <c r="U218" i="11" s="1"/>
  <c r="D220" i="11"/>
  <c r="K220" i="11" s="1"/>
  <c r="L220" i="11"/>
  <c r="F83" i="11"/>
  <c r="K83" i="11"/>
  <c r="D84" i="11"/>
  <c r="O82" i="11"/>
  <c r="Q82" i="11" s="1"/>
  <c r="N82" i="11"/>
  <c r="P82" i="11" s="1"/>
  <c r="G83" i="10"/>
  <c r="C222" i="11"/>
  <c r="F221" i="11"/>
  <c r="M221" i="11"/>
  <c r="R81" i="11"/>
  <c r="U80" i="11"/>
  <c r="H81" i="10"/>
  <c r="S81" i="11"/>
  <c r="T81" i="11"/>
  <c r="F82" i="10"/>
  <c r="N219" i="11"/>
  <c r="C218" i="10"/>
  <c r="F218" i="10"/>
  <c r="H218" i="10"/>
  <c r="G220" i="10"/>
  <c r="R217" i="15" l="1"/>
  <c r="O218" i="15"/>
  <c r="Q218" i="15" s="1"/>
  <c r="K83" i="15"/>
  <c r="F83" i="15"/>
  <c r="D84" i="15"/>
  <c r="P81" i="15"/>
  <c r="R81" i="15"/>
  <c r="M220" i="15"/>
  <c r="C221" i="15"/>
  <c r="F220" i="15"/>
  <c r="T81" i="15"/>
  <c r="U81" i="15" s="1"/>
  <c r="S81" i="15"/>
  <c r="Q81" i="15"/>
  <c r="O82" i="15"/>
  <c r="N82" i="15"/>
  <c r="N218" i="15"/>
  <c r="T217" i="15"/>
  <c r="U217" i="15" s="1"/>
  <c r="S217" i="15"/>
  <c r="Q217" i="15"/>
  <c r="D219" i="15"/>
  <c r="K219" i="15" s="1"/>
  <c r="L219" i="15"/>
  <c r="V82" i="11"/>
  <c r="V82" i="15"/>
  <c r="C82" i="10"/>
  <c r="V219" i="11"/>
  <c r="V219" i="15"/>
  <c r="S219" i="11"/>
  <c r="R219" i="11"/>
  <c r="P219" i="11"/>
  <c r="O220" i="11"/>
  <c r="U81" i="11"/>
  <c r="H82" i="10"/>
  <c r="R82" i="11"/>
  <c r="D221" i="11"/>
  <c r="K221" i="11" s="1"/>
  <c r="L221" i="11"/>
  <c r="S82" i="11"/>
  <c r="T82" i="11"/>
  <c r="F83" i="10"/>
  <c r="O83" i="11"/>
  <c r="Q83" i="11" s="1"/>
  <c r="N83" i="11"/>
  <c r="P83" i="11" s="1"/>
  <c r="G84" i="10"/>
  <c r="T219" i="11"/>
  <c r="U219" i="11" s="1"/>
  <c r="C223" i="11"/>
  <c r="F222" i="11"/>
  <c r="M222" i="11"/>
  <c r="F84" i="11"/>
  <c r="D85" i="11"/>
  <c r="K84" i="11"/>
  <c r="N220" i="11"/>
  <c r="C219" i="10"/>
  <c r="F219" i="10"/>
  <c r="G221" i="10"/>
  <c r="H219" i="10"/>
  <c r="S218" i="15" l="1"/>
  <c r="N219" i="15"/>
  <c r="R219" i="15" s="1"/>
  <c r="R82" i="15"/>
  <c r="P82" i="15"/>
  <c r="L220" i="15"/>
  <c r="D220" i="15"/>
  <c r="K220" i="15" s="1"/>
  <c r="T82" i="15"/>
  <c r="U82" i="15" s="1"/>
  <c r="S82" i="15"/>
  <c r="Q82" i="15"/>
  <c r="F221" i="15"/>
  <c r="M221" i="15"/>
  <c r="C222" i="15"/>
  <c r="K84" i="15"/>
  <c r="F84" i="15"/>
  <c r="D85" i="15"/>
  <c r="O219" i="15"/>
  <c r="R218" i="15"/>
  <c r="P218" i="15"/>
  <c r="T218" i="15"/>
  <c r="U218" i="15" s="1"/>
  <c r="O83" i="15"/>
  <c r="N83" i="15"/>
  <c r="V83" i="11"/>
  <c r="V83" i="15"/>
  <c r="V220" i="11"/>
  <c r="V220" i="15"/>
  <c r="C83" i="10"/>
  <c r="S220" i="11"/>
  <c r="Q220" i="11"/>
  <c r="R220" i="11"/>
  <c r="P220" i="11"/>
  <c r="N221" i="11"/>
  <c r="U82" i="11"/>
  <c r="H83" i="10"/>
  <c r="S83" i="11"/>
  <c r="T83" i="11"/>
  <c r="F84" i="10"/>
  <c r="O84" i="11"/>
  <c r="Q84" i="11" s="1"/>
  <c r="N84" i="11"/>
  <c r="P84" i="11" s="1"/>
  <c r="G85" i="10"/>
  <c r="D222" i="11"/>
  <c r="K222" i="11" s="1"/>
  <c r="L222" i="11"/>
  <c r="O221" i="11"/>
  <c r="Q221" i="11" s="1"/>
  <c r="R83" i="11"/>
  <c r="T220" i="11"/>
  <c r="U220" i="11" s="1"/>
  <c r="F85" i="11"/>
  <c r="D86" i="11"/>
  <c r="K85" i="11"/>
  <c r="C224" i="11"/>
  <c r="F223" i="11"/>
  <c r="M223" i="11"/>
  <c r="C220" i="10"/>
  <c r="F220" i="10"/>
  <c r="G222" i="10"/>
  <c r="H220" i="10"/>
  <c r="P219" i="15" l="1"/>
  <c r="N220" i="15"/>
  <c r="R220" i="15" s="1"/>
  <c r="T83" i="15"/>
  <c r="U83" i="15" s="1"/>
  <c r="S83" i="15"/>
  <c r="Q83" i="15"/>
  <c r="D221" i="15"/>
  <c r="K221" i="15" s="1"/>
  <c r="L221" i="15"/>
  <c r="N84" i="15"/>
  <c r="O84" i="15"/>
  <c r="O220" i="15"/>
  <c r="Q219" i="15"/>
  <c r="S219" i="15"/>
  <c r="T219" i="15"/>
  <c r="U219" i="15" s="1"/>
  <c r="F222" i="15"/>
  <c r="M222" i="15"/>
  <c r="C223" i="15"/>
  <c r="R83" i="15"/>
  <c r="P83" i="15"/>
  <c r="K85" i="15"/>
  <c r="F85" i="15"/>
  <c r="D86" i="15"/>
  <c r="V84" i="11"/>
  <c r="V84" i="15"/>
  <c r="C84" i="10"/>
  <c r="V221" i="11"/>
  <c r="V221" i="15"/>
  <c r="R221" i="11"/>
  <c r="P221" i="11"/>
  <c r="O222" i="11"/>
  <c r="D223" i="11"/>
  <c r="K223" i="11" s="1"/>
  <c r="L223" i="11"/>
  <c r="R84" i="11"/>
  <c r="S84" i="11"/>
  <c r="T84" i="11"/>
  <c r="F85" i="10"/>
  <c r="O85" i="11"/>
  <c r="Q85" i="11" s="1"/>
  <c r="N85" i="11"/>
  <c r="P85" i="11" s="1"/>
  <c r="G86" i="10"/>
  <c r="N222" i="11"/>
  <c r="T221" i="11"/>
  <c r="U221" i="11" s="1"/>
  <c r="S221" i="11"/>
  <c r="U83" i="11"/>
  <c r="H84" i="10"/>
  <c r="C225" i="11"/>
  <c r="F224" i="11"/>
  <c r="M224" i="11"/>
  <c r="K86" i="11"/>
  <c r="F86" i="11"/>
  <c r="D87" i="11"/>
  <c r="C221" i="10"/>
  <c r="F221" i="10"/>
  <c r="H221" i="10"/>
  <c r="G223" i="10"/>
  <c r="P220" i="15" l="1"/>
  <c r="O221" i="15"/>
  <c r="Q221" i="15" s="1"/>
  <c r="C224" i="15"/>
  <c r="F223" i="15"/>
  <c r="M223" i="15"/>
  <c r="P84" i="15"/>
  <c r="R84" i="15"/>
  <c r="N221" i="15"/>
  <c r="N85" i="15"/>
  <c r="O85" i="15"/>
  <c r="D222" i="15"/>
  <c r="K222" i="15" s="1"/>
  <c r="L222" i="15"/>
  <c r="Q220" i="15"/>
  <c r="T220" i="15"/>
  <c r="U220" i="15" s="1"/>
  <c r="S220" i="15"/>
  <c r="F86" i="15"/>
  <c r="D87" i="15"/>
  <c r="K86" i="15"/>
  <c r="T84" i="15"/>
  <c r="U84" i="15" s="1"/>
  <c r="S84" i="15"/>
  <c r="Q84" i="15"/>
  <c r="S221" i="15"/>
  <c r="V222" i="11"/>
  <c r="V222" i="15"/>
  <c r="V85" i="11"/>
  <c r="V85" i="15"/>
  <c r="C85" i="10"/>
  <c r="S222" i="11"/>
  <c r="Q222" i="11"/>
  <c r="R222" i="11"/>
  <c r="P222" i="11"/>
  <c r="N223" i="11"/>
  <c r="D224" i="11"/>
  <c r="K224" i="11" s="1"/>
  <c r="L224" i="11"/>
  <c r="R85" i="11"/>
  <c r="U84" i="11"/>
  <c r="H85" i="10"/>
  <c r="C226" i="11"/>
  <c r="F225" i="11"/>
  <c r="M225" i="11"/>
  <c r="S85" i="11"/>
  <c r="T85" i="11"/>
  <c r="F86" i="10"/>
  <c r="O86" i="11"/>
  <c r="Q86" i="11" s="1"/>
  <c r="N86" i="11"/>
  <c r="P86" i="11" s="1"/>
  <c r="G87" i="10"/>
  <c r="O223" i="11"/>
  <c r="Q223" i="11" s="1"/>
  <c r="K87" i="11"/>
  <c r="F87" i="11"/>
  <c r="D88" i="11"/>
  <c r="T222" i="11"/>
  <c r="U222" i="11" s="1"/>
  <c r="F222" i="10"/>
  <c r="C222" i="10"/>
  <c r="G224" i="10"/>
  <c r="H222" i="10"/>
  <c r="T221" i="15" l="1"/>
  <c r="U221" i="15" s="1"/>
  <c r="N222" i="15"/>
  <c r="P222" i="15" s="1"/>
  <c r="O86" i="15"/>
  <c r="N86" i="15"/>
  <c r="S85" i="15"/>
  <c r="Q85" i="15"/>
  <c r="T85" i="15"/>
  <c r="U85" i="15" s="1"/>
  <c r="K87" i="15"/>
  <c r="F87" i="15"/>
  <c r="D88" i="15"/>
  <c r="P85" i="15"/>
  <c r="R85" i="15"/>
  <c r="O222" i="15"/>
  <c r="P221" i="15"/>
  <c r="R221" i="15"/>
  <c r="D223" i="15"/>
  <c r="K223" i="15" s="1"/>
  <c r="L223" i="15"/>
  <c r="R222" i="15"/>
  <c r="M224" i="15"/>
  <c r="C225" i="15"/>
  <c r="F224" i="15"/>
  <c r="V223" i="11"/>
  <c r="V223" i="15"/>
  <c r="V86" i="11"/>
  <c r="V86" i="15"/>
  <c r="C86" i="10"/>
  <c r="R223" i="11"/>
  <c r="P223" i="11"/>
  <c r="N224" i="11"/>
  <c r="R86" i="11"/>
  <c r="U85" i="11"/>
  <c r="H86" i="10"/>
  <c r="C227" i="11"/>
  <c r="F226" i="11"/>
  <c r="M226" i="11"/>
  <c r="K88" i="11"/>
  <c r="F88" i="11"/>
  <c r="D89" i="11"/>
  <c r="D225" i="11"/>
  <c r="K225" i="11" s="1"/>
  <c r="L225" i="11"/>
  <c r="O87" i="11"/>
  <c r="Q87" i="11" s="1"/>
  <c r="N87" i="11"/>
  <c r="P87" i="11" s="1"/>
  <c r="G88" i="10"/>
  <c r="S86" i="11"/>
  <c r="T86" i="11"/>
  <c r="F87" i="10"/>
  <c r="O224" i="11"/>
  <c r="Q224" i="11" s="1"/>
  <c r="T223" i="11"/>
  <c r="U223" i="11" s="1"/>
  <c r="S223" i="11"/>
  <c r="C223" i="10"/>
  <c r="F223" i="10"/>
  <c r="G225" i="10"/>
  <c r="H223" i="10"/>
  <c r="N223" i="15" l="1"/>
  <c r="R223" i="15" s="1"/>
  <c r="D224" i="15"/>
  <c r="K224" i="15" s="1"/>
  <c r="L224" i="15"/>
  <c r="K88" i="15"/>
  <c r="F88" i="15"/>
  <c r="D89" i="15"/>
  <c r="F225" i="15"/>
  <c r="M225" i="15"/>
  <c r="C226" i="15"/>
  <c r="O223" i="15"/>
  <c r="Q222" i="15"/>
  <c r="T222" i="15"/>
  <c r="U222" i="15" s="1"/>
  <c r="S222" i="15"/>
  <c r="O87" i="15"/>
  <c r="N87" i="15"/>
  <c r="R86" i="15"/>
  <c r="P86" i="15"/>
  <c r="T86" i="15"/>
  <c r="U86" i="15" s="1"/>
  <c r="S86" i="15"/>
  <c r="Q86" i="15"/>
  <c r="V87" i="11"/>
  <c r="V87" i="15"/>
  <c r="V224" i="11"/>
  <c r="V224" i="15"/>
  <c r="C87" i="10"/>
  <c r="R224" i="11"/>
  <c r="P224" i="11"/>
  <c r="O225" i="11"/>
  <c r="U86" i="11"/>
  <c r="H87" i="10"/>
  <c r="S87" i="11"/>
  <c r="T87" i="11"/>
  <c r="F88" i="10"/>
  <c r="T224" i="11"/>
  <c r="U224" i="11" s="1"/>
  <c r="S224" i="11"/>
  <c r="O88" i="11"/>
  <c r="Q88" i="11" s="1"/>
  <c r="N88" i="11"/>
  <c r="P88" i="11" s="1"/>
  <c r="G89" i="10"/>
  <c r="N225" i="11"/>
  <c r="R87" i="11"/>
  <c r="K89" i="11"/>
  <c r="F89" i="11"/>
  <c r="D90" i="11"/>
  <c r="D226" i="11"/>
  <c r="K226" i="11" s="1"/>
  <c r="L226" i="11"/>
  <c r="C228" i="11"/>
  <c r="F227" i="11"/>
  <c r="M227" i="11"/>
  <c r="C224" i="10"/>
  <c r="F224" i="10"/>
  <c r="H224" i="10"/>
  <c r="G226" i="10"/>
  <c r="P223" i="15" l="1"/>
  <c r="N224" i="15"/>
  <c r="P224" i="15" s="1"/>
  <c r="P87" i="15"/>
  <c r="R87" i="15"/>
  <c r="M226" i="15"/>
  <c r="C227" i="15"/>
  <c r="F226" i="15"/>
  <c r="T87" i="15"/>
  <c r="U87" i="15" s="1"/>
  <c r="S87" i="15"/>
  <c r="Q87" i="15"/>
  <c r="O88" i="15"/>
  <c r="N88" i="15"/>
  <c r="D225" i="15"/>
  <c r="K225" i="15" s="1"/>
  <c r="L225" i="15"/>
  <c r="O224" i="15"/>
  <c r="T223" i="15"/>
  <c r="U223" i="15" s="1"/>
  <c r="S223" i="15"/>
  <c r="Q223" i="15"/>
  <c r="K89" i="15"/>
  <c r="F89" i="15"/>
  <c r="D90" i="15"/>
  <c r="R224" i="15"/>
  <c r="V88" i="11"/>
  <c r="V88" i="15"/>
  <c r="V225" i="11"/>
  <c r="V225" i="15"/>
  <c r="C88" i="10"/>
  <c r="S225" i="11"/>
  <c r="Q225" i="11"/>
  <c r="R225" i="11"/>
  <c r="P225" i="11"/>
  <c r="N226" i="11"/>
  <c r="D227" i="11"/>
  <c r="K227" i="11" s="1"/>
  <c r="L227" i="11"/>
  <c r="C229" i="11"/>
  <c r="F228" i="11"/>
  <c r="M228" i="11"/>
  <c r="R88" i="11"/>
  <c r="U87" i="11"/>
  <c r="H88" i="10"/>
  <c r="K90" i="11"/>
  <c r="F90" i="11"/>
  <c r="D91" i="11"/>
  <c r="S88" i="11"/>
  <c r="T88" i="11"/>
  <c r="F89" i="10"/>
  <c r="O226" i="11"/>
  <c r="Q226" i="11" s="1"/>
  <c r="O89" i="11"/>
  <c r="Q89" i="11" s="1"/>
  <c r="N89" i="11"/>
  <c r="P89" i="11" s="1"/>
  <c r="G90" i="10"/>
  <c r="T225" i="11"/>
  <c r="U225" i="11" s="1"/>
  <c r="C225" i="10"/>
  <c r="F225" i="10"/>
  <c r="G227" i="10"/>
  <c r="H225" i="10"/>
  <c r="N225" i="15" l="1"/>
  <c r="P225" i="15" s="1"/>
  <c r="O225" i="15"/>
  <c r="M227" i="15"/>
  <c r="C228" i="15"/>
  <c r="F227" i="15"/>
  <c r="K90" i="15"/>
  <c r="F90" i="15"/>
  <c r="D91" i="15"/>
  <c r="P88" i="15"/>
  <c r="R88" i="15"/>
  <c r="O89" i="15"/>
  <c r="N89" i="15"/>
  <c r="Q224" i="15"/>
  <c r="T224" i="15"/>
  <c r="U224" i="15" s="1"/>
  <c r="S224" i="15"/>
  <c r="Q88" i="15"/>
  <c r="T88" i="15"/>
  <c r="U88" i="15" s="1"/>
  <c r="S88" i="15"/>
  <c r="L226" i="15"/>
  <c r="D226" i="15"/>
  <c r="K226" i="15" s="1"/>
  <c r="C89" i="10"/>
  <c r="V226" i="11"/>
  <c r="V226" i="15"/>
  <c r="V89" i="11"/>
  <c r="V89" i="15"/>
  <c r="R226" i="11"/>
  <c r="P226" i="11"/>
  <c r="N227" i="11"/>
  <c r="K91" i="11"/>
  <c r="F91" i="11"/>
  <c r="D92" i="11"/>
  <c r="R89" i="11"/>
  <c r="M229" i="11"/>
  <c r="C230" i="11"/>
  <c r="F229" i="11"/>
  <c r="D228" i="11"/>
  <c r="K228" i="11" s="1"/>
  <c r="L228" i="11"/>
  <c r="S89" i="11"/>
  <c r="T89" i="11"/>
  <c r="F90" i="10"/>
  <c r="U88" i="11"/>
  <c r="H89" i="10"/>
  <c r="O90" i="11"/>
  <c r="Q90" i="11" s="1"/>
  <c r="N90" i="11"/>
  <c r="P90" i="11" s="1"/>
  <c r="G91" i="10"/>
  <c r="O227" i="11"/>
  <c r="Q227" i="11" s="1"/>
  <c r="T226" i="11"/>
  <c r="U226" i="11" s="1"/>
  <c r="S226" i="11"/>
  <c r="C226" i="10"/>
  <c r="F226" i="10"/>
  <c r="G228" i="10"/>
  <c r="H226" i="10"/>
  <c r="R225" i="15" l="1"/>
  <c r="N226" i="15"/>
  <c r="R226" i="15" s="1"/>
  <c r="O226" i="15"/>
  <c r="T89" i="15"/>
  <c r="U89" i="15" s="1"/>
  <c r="S89" i="15"/>
  <c r="Q89" i="15"/>
  <c r="D227" i="15"/>
  <c r="K227" i="15" s="1"/>
  <c r="L227" i="15"/>
  <c r="F91" i="15"/>
  <c r="D92" i="15"/>
  <c r="K91" i="15"/>
  <c r="M228" i="15"/>
  <c r="F228" i="15"/>
  <c r="C229" i="15"/>
  <c r="R89" i="15"/>
  <c r="P89" i="15"/>
  <c r="O90" i="15"/>
  <c r="N90" i="15"/>
  <c r="S225" i="15"/>
  <c r="Q225" i="15"/>
  <c r="T225" i="15"/>
  <c r="U225" i="15" s="1"/>
  <c r="C90" i="10"/>
  <c r="V227" i="11"/>
  <c r="V227" i="15"/>
  <c r="V90" i="11"/>
  <c r="V90" i="15"/>
  <c r="R227" i="11"/>
  <c r="P227" i="11"/>
  <c r="N228" i="11"/>
  <c r="T227" i="11"/>
  <c r="U227" i="11" s="1"/>
  <c r="S227" i="11"/>
  <c r="U89" i="11"/>
  <c r="H90" i="10"/>
  <c r="D229" i="11"/>
  <c r="K229" i="11" s="1"/>
  <c r="L229" i="11"/>
  <c r="C231" i="11"/>
  <c r="F230" i="11"/>
  <c r="M230" i="11"/>
  <c r="K92" i="11"/>
  <c r="F92" i="11"/>
  <c r="D93" i="11"/>
  <c r="R90" i="11"/>
  <c r="O228" i="11"/>
  <c r="Q228" i="11" s="1"/>
  <c r="S90" i="11"/>
  <c r="T90" i="11"/>
  <c r="F91" i="10"/>
  <c r="O91" i="11"/>
  <c r="Q91" i="11" s="1"/>
  <c r="N91" i="11"/>
  <c r="P91" i="11" s="1"/>
  <c r="G92" i="10"/>
  <c r="C227" i="10"/>
  <c r="F227" i="10"/>
  <c r="H227" i="10"/>
  <c r="G229" i="10"/>
  <c r="P226" i="15" l="1"/>
  <c r="N227" i="15"/>
  <c r="R227" i="15" s="1"/>
  <c r="O227" i="15"/>
  <c r="S227" i="15" s="1"/>
  <c r="F229" i="15"/>
  <c r="M229" i="15"/>
  <c r="C230" i="15"/>
  <c r="K92" i="15"/>
  <c r="F92" i="15"/>
  <c r="D93" i="15"/>
  <c r="D228" i="15"/>
  <c r="K228" i="15" s="1"/>
  <c r="L228" i="15"/>
  <c r="R90" i="15"/>
  <c r="P90" i="15"/>
  <c r="T90" i="15"/>
  <c r="U90" i="15" s="1"/>
  <c r="S90" i="15"/>
  <c r="Q90" i="15"/>
  <c r="O91" i="15"/>
  <c r="N91" i="15"/>
  <c r="S226" i="15"/>
  <c r="T226" i="15"/>
  <c r="U226" i="15" s="1"/>
  <c r="Q226" i="15"/>
  <c r="V228" i="11"/>
  <c r="V228" i="15"/>
  <c r="V91" i="11"/>
  <c r="V91" i="15"/>
  <c r="C91" i="10"/>
  <c r="R228" i="11"/>
  <c r="P228" i="11"/>
  <c r="N229" i="11"/>
  <c r="S91" i="11"/>
  <c r="T91" i="11"/>
  <c r="F92" i="10"/>
  <c r="K93" i="11"/>
  <c r="F93" i="11"/>
  <c r="D94" i="11"/>
  <c r="D230" i="11"/>
  <c r="K230" i="11" s="1"/>
  <c r="L230" i="11"/>
  <c r="U90" i="11"/>
  <c r="H91" i="10"/>
  <c r="T228" i="11"/>
  <c r="U228" i="11" s="1"/>
  <c r="S228" i="11"/>
  <c r="C232" i="11"/>
  <c r="F231" i="11"/>
  <c r="M231" i="11"/>
  <c r="O92" i="11"/>
  <c r="Q92" i="11" s="1"/>
  <c r="N92" i="11"/>
  <c r="P92" i="11" s="1"/>
  <c r="G93" i="10"/>
  <c r="O229" i="11"/>
  <c r="Q229" i="11" s="1"/>
  <c r="R91" i="11"/>
  <c r="C228" i="10"/>
  <c r="F228" i="10"/>
  <c r="H228" i="10"/>
  <c r="G230" i="10"/>
  <c r="P227" i="15" l="1"/>
  <c r="T227" i="15"/>
  <c r="U227" i="15" s="1"/>
  <c r="Q227" i="15"/>
  <c r="N228" i="15"/>
  <c r="R228" i="15" s="1"/>
  <c r="O228" i="15"/>
  <c r="O92" i="15"/>
  <c r="N92" i="15"/>
  <c r="C231" i="15"/>
  <c r="F230" i="15"/>
  <c r="M230" i="15"/>
  <c r="P91" i="15"/>
  <c r="R91" i="15"/>
  <c r="K93" i="15"/>
  <c r="F93" i="15"/>
  <c r="D94" i="15"/>
  <c r="Q91" i="15"/>
  <c r="T91" i="15"/>
  <c r="U91" i="15" s="1"/>
  <c r="S91" i="15"/>
  <c r="L229" i="15"/>
  <c r="D229" i="15"/>
  <c r="K229" i="15" s="1"/>
  <c r="V92" i="11"/>
  <c r="V92" i="15"/>
  <c r="C92" i="10"/>
  <c r="V229" i="11"/>
  <c r="V229" i="15"/>
  <c r="R229" i="11"/>
  <c r="P229" i="11"/>
  <c r="N230" i="11"/>
  <c r="T229" i="11"/>
  <c r="U229" i="11" s="1"/>
  <c r="S229" i="11"/>
  <c r="D231" i="11"/>
  <c r="K231" i="11" s="1"/>
  <c r="L231" i="11"/>
  <c r="K94" i="11"/>
  <c r="F94" i="11"/>
  <c r="D95" i="11"/>
  <c r="R92" i="11"/>
  <c r="C233" i="11"/>
  <c r="F232" i="11"/>
  <c r="M232" i="11"/>
  <c r="U91" i="11"/>
  <c r="H92" i="10"/>
  <c r="S92" i="11"/>
  <c r="T92" i="11"/>
  <c r="F93" i="10"/>
  <c r="O230" i="11"/>
  <c r="Q230" i="11" s="1"/>
  <c r="O93" i="11"/>
  <c r="Q93" i="11" s="1"/>
  <c r="N93" i="11"/>
  <c r="P93" i="11" s="1"/>
  <c r="G94" i="10"/>
  <c r="C229" i="10"/>
  <c r="F229" i="10"/>
  <c r="G231" i="10"/>
  <c r="H229" i="10"/>
  <c r="P228" i="15" l="1"/>
  <c r="N229" i="15"/>
  <c r="R229" i="15" s="1"/>
  <c r="O93" i="15"/>
  <c r="N93" i="15"/>
  <c r="D230" i="15"/>
  <c r="K230" i="15" s="1"/>
  <c r="L230" i="15"/>
  <c r="P92" i="15"/>
  <c r="R92" i="15"/>
  <c r="C232" i="15"/>
  <c r="F231" i="15"/>
  <c r="M231" i="15"/>
  <c r="T92" i="15"/>
  <c r="U92" i="15" s="1"/>
  <c r="S92" i="15"/>
  <c r="Q92" i="15"/>
  <c r="O229" i="15"/>
  <c r="K94" i="15"/>
  <c r="F94" i="15"/>
  <c r="D95" i="15"/>
  <c r="S228" i="15"/>
  <c r="T228" i="15"/>
  <c r="U228" i="15" s="1"/>
  <c r="Q228" i="15"/>
  <c r="V93" i="11"/>
  <c r="V93" i="15"/>
  <c r="V230" i="11"/>
  <c r="V230" i="15"/>
  <c r="C93" i="10"/>
  <c r="R230" i="11"/>
  <c r="P230" i="11"/>
  <c r="N231" i="11"/>
  <c r="S93" i="11"/>
  <c r="T93" i="11"/>
  <c r="F94" i="10"/>
  <c r="U92" i="11"/>
  <c r="H93" i="10"/>
  <c r="O231" i="11"/>
  <c r="Q231" i="11" s="1"/>
  <c r="T230" i="11"/>
  <c r="U230" i="11" s="1"/>
  <c r="S230" i="11"/>
  <c r="D232" i="11"/>
  <c r="K232" i="11" s="1"/>
  <c r="L232" i="11"/>
  <c r="K95" i="11"/>
  <c r="F95" i="11"/>
  <c r="D96" i="11"/>
  <c r="C234" i="11"/>
  <c r="F233" i="11"/>
  <c r="M233" i="11"/>
  <c r="R93" i="11"/>
  <c r="O94" i="11"/>
  <c r="Q94" i="11" s="1"/>
  <c r="N94" i="11"/>
  <c r="P94" i="11" s="1"/>
  <c r="G95" i="10"/>
  <c r="C230" i="10"/>
  <c r="F230" i="10"/>
  <c r="H230" i="10"/>
  <c r="G232" i="10"/>
  <c r="P229" i="15" l="1"/>
  <c r="N230" i="15"/>
  <c r="R230" i="15" s="1"/>
  <c r="N94" i="15"/>
  <c r="O94" i="15"/>
  <c r="O230" i="15"/>
  <c r="S229" i="15"/>
  <c r="T229" i="15"/>
  <c r="U229" i="15" s="1"/>
  <c r="Q229" i="15"/>
  <c r="K95" i="15"/>
  <c r="F95" i="15"/>
  <c r="D96" i="15"/>
  <c r="L231" i="15"/>
  <c r="D231" i="15"/>
  <c r="K231" i="15" s="1"/>
  <c r="R93" i="15"/>
  <c r="P93" i="15"/>
  <c r="M232" i="15"/>
  <c r="C233" i="15"/>
  <c r="F232" i="15"/>
  <c r="Q93" i="15"/>
  <c r="T93" i="15"/>
  <c r="U93" i="15" s="1"/>
  <c r="S93" i="15"/>
  <c r="V231" i="11"/>
  <c r="V231" i="15"/>
  <c r="C94" i="10"/>
  <c r="V94" i="11"/>
  <c r="V94" i="15"/>
  <c r="R231" i="11"/>
  <c r="P231" i="11"/>
  <c r="N232" i="11"/>
  <c r="S94" i="11"/>
  <c r="T94" i="11"/>
  <c r="F95" i="10"/>
  <c r="D233" i="11"/>
  <c r="K233" i="11" s="1"/>
  <c r="L233" i="11"/>
  <c r="O95" i="11"/>
  <c r="Q95" i="11" s="1"/>
  <c r="N95" i="11"/>
  <c r="P95" i="11" s="1"/>
  <c r="G96" i="10"/>
  <c r="C235" i="11"/>
  <c r="F234" i="11"/>
  <c r="M234" i="11"/>
  <c r="O232" i="11"/>
  <c r="Q232" i="11" s="1"/>
  <c r="T231" i="11"/>
  <c r="U231" i="11" s="1"/>
  <c r="S231" i="11"/>
  <c r="K96" i="11"/>
  <c r="F96" i="11"/>
  <c r="D97" i="11"/>
  <c r="U93" i="11"/>
  <c r="H94" i="10"/>
  <c r="R94" i="11"/>
  <c r="C231" i="10"/>
  <c r="F231" i="10"/>
  <c r="H231" i="10"/>
  <c r="G233" i="10"/>
  <c r="P230" i="15" l="1"/>
  <c r="N231" i="15"/>
  <c r="R231" i="15" s="1"/>
  <c r="O231" i="15"/>
  <c r="D97" i="15"/>
  <c r="K96" i="15"/>
  <c r="F96" i="15"/>
  <c r="Q230" i="15"/>
  <c r="T230" i="15"/>
  <c r="U230" i="15" s="1"/>
  <c r="S230" i="15"/>
  <c r="D232" i="15"/>
  <c r="K232" i="15" s="1"/>
  <c r="L232" i="15"/>
  <c r="T94" i="15"/>
  <c r="U94" i="15" s="1"/>
  <c r="S94" i="15"/>
  <c r="Q94" i="15"/>
  <c r="C234" i="15"/>
  <c r="F233" i="15"/>
  <c r="M233" i="15"/>
  <c r="P231" i="15"/>
  <c r="O95" i="15"/>
  <c r="N95" i="15"/>
  <c r="P94" i="15"/>
  <c r="R94" i="15"/>
  <c r="V95" i="11"/>
  <c r="V95" i="15"/>
  <c r="V232" i="11"/>
  <c r="V232" i="15"/>
  <c r="C95" i="10"/>
  <c r="R232" i="11"/>
  <c r="P232" i="11"/>
  <c r="N233" i="11"/>
  <c r="O96" i="11"/>
  <c r="Q96" i="11" s="1"/>
  <c r="N96" i="11"/>
  <c r="P96" i="11" s="1"/>
  <c r="G97" i="10"/>
  <c r="R95" i="11"/>
  <c r="D234" i="11"/>
  <c r="K234" i="11" s="1"/>
  <c r="L234" i="11"/>
  <c r="S95" i="11"/>
  <c r="T95" i="11"/>
  <c r="F96" i="10"/>
  <c r="K97" i="11"/>
  <c r="F97" i="11"/>
  <c r="D98" i="11"/>
  <c r="C236" i="11"/>
  <c r="F235" i="11"/>
  <c r="M235" i="11"/>
  <c r="O233" i="11"/>
  <c r="Q233" i="11" s="1"/>
  <c r="U94" i="11"/>
  <c r="H95" i="10"/>
  <c r="T232" i="11"/>
  <c r="U232" i="11" s="1"/>
  <c r="S232" i="11"/>
  <c r="C232" i="10"/>
  <c r="F232" i="10"/>
  <c r="G234" i="10"/>
  <c r="H232" i="10"/>
  <c r="N232" i="15" l="1"/>
  <c r="R232" i="15" s="1"/>
  <c r="P95" i="15"/>
  <c r="R95" i="15"/>
  <c r="N96" i="15"/>
  <c r="O96" i="15"/>
  <c r="Q95" i="15"/>
  <c r="T95" i="15"/>
  <c r="U95" i="15" s="1"/>
  <c r="S95" i="15"/>
  <c r="L233" i="15"/>
  <c r="D233" i="15"/>
  <c r="K233" i="15" s="1"/>
  <c r="D98" i="15"/>
  <c r="K97" i="15"/>
  <c r="F97" i="15"/>
  <c r="C235" i="15"/>
  <c r="F234" i="15"/>
  <c r="M234" i="15"/>
  <c r="O232" i="15"/>
  <c r="Q231" i="15"/>
  <c r="T231" i="15"/>
  <c r="U231" i="15" s="1"/>
  <c r="S231" i="15"/>
  <c r="V233" i="11"/>
  <c r="V233" i="15"/>
  <c r="C96" i="10"/>
  <c r="V96" i="11"/>
  <c r="V96" i="15"/>
  <c r="R233" i="11"/>
  <c r="P233" i="11"/>
  <c r="O234" i="11"/>
  <c r="D235" i="11"/>
  <c r="K235" i="11" s="1"/>
  <c r="L235" i="11"/>
  <c r="O97" i="11"/>
  <c r="Q97" i="11" s="1"/>
  <c r="N97" i="11"/>
  <c r="P97" i="11" s="1"/>
  <c r="G98" i="10"/>
  <c r="C237" i="11"/>
  <c r="F236" i="11"/>
  <c r="M236" i="11"/>
  <c r="T233" i="11"/>
  <c r="U233" i="11" s="1"/>
  <c r="S233" i="11"/>
  <c r="N234" i="11"/>
  <c r="R96" i="11"/>
  <c r="K98" i="11"/>
  <c r="F98" i="11"/>
  <c r="D99" i="11"/>
  <c r="U95" i="11"/>
  <c r="H96" i="10"/>
  <c r="S96" i="11"/>
  <c r="T96" i="11"/>
  <c r="F97" i="10"/>
  <c r="C233" i="10"/>
  <c r="F233" i="10"/>
  <c r="H233" i="10"/>
  <c r="G235" i="10"/>
  <c r="N233" i="15" l="1"/>
  <c r="R233" i="15" s="1"/>
  <c r="P232" i="15"/>
  <c r="D234" i="15"/>
  <c r="K234" i="15" s="1"/>
  <c r="L234" i="15"/>
  <c r="F98" i="15"/>
  <c r="D99" i="15"/>
  <c r="K98" i="15"/>
  <c r="M235" i="15"/>
  <c r="C236" i="15"/>
  <c r="F235" i="15"/>
  <c r="Q232" i="15"/>
  <c r="T232" i="15"/>
  <c r="U232" i="15" s="1"/>
  <c r="S232" i="15"/>
  <c r="O233" i="15"/>
  <c r="T96" i="15"/>
  <c r="U96" i="15" s="1"/>
  <c r="S96" i="15"/>
  <c r="Q96" i="15"/>
  <c r="O97" i="15"/>
  <c r="N97" i="15"/>
  <c r="R96" i="15"/>
  <c r="P96" i="15"/>
  <c r="V234" i="11"/>
  <c r="V234" i="15"/>
  <c r="C97" i="10"/>
  <c r="V97" i="11"/>
  <c r="V97" i="15"/>
  <c r="S234" i="11"/>
  <c r="Q234" i="11"/>
  <c r="R234" i="11"/>
  <c r="P234" i="11"/>
  <c r="N235" i="11"/>
  <c r="O98" i="11"/>
  <c r="Q98" i="11" s="1"/>
  <c r="N98" i="11"/>
  <c r="P98" i="11" s="1"/>
  <c r="G99" i="10"/>
  <c r="R97" i="11"/>
  <c r="D236" i="11"/>
  <c r="K236" i="11" s="1"/>
  <c r="L236" i="11"/>
  <c r="S97" i="11"/>
  <c r="T97" i="11"/>
  <c r="F98" i="10"/>
  <c r="U96" i="11"/>
  <c r="H97" i="10"/>
  <c r="K99" i="11"/>
  <c r="F99" i="11"/>
  <c r="D100" i="11"/>
  <c r="C238" i="11"/>
  <c r="F237" i="11"/>
  <c r="M237" i="11"/>
  <c r="O235" i="11"/>
  <c r="Q235" i="11" s="1"/>
  <c r="T234" i="11"/>
  <c r="U234" i="11" s="1"/>
  <c r="C234" i="10"/>
  <c r="F234" i="10"/>
  <c r="H234" i="10"/>
  <c r="G236" i="10"/>
  <c r="P233" i="15" l="1"/>
  <c r="N234" i="15"/>
  <c r="P234" i="15" s="1"/>
  <c r="D235" i="15"/>
  <c r="K235" i="15" s="1"/>
  <c r="L235" i="15"/>
  <c r="F99" i="15"/>
  <c r="D100" i="15"/>
  <c r="K99" i="15"/>
  <c r="P97" i="15"/>
  <c r="R97" i="15"/>
  <c r="M236" i="15"/>
  <c r="C237" i="15"/>
  <c r="F236" i="15"/>
  <c r="Q97" i="15"/>
  <c r="T97" i="15"/>
  <c r="U97" i="15" s="1"/>
  <c r="S97" i="15"/>
  <c r="Q233" i="15"/>
  <c r="T233" i="15"/>
  <c r="U233" i="15" s="1"/>
  <c r="S233" i="15"/>
  <c r="O234" i="15"/>
  <c r="O98" i="15"/>
  <c r="N98" i="15"/>
  <c r="R234" i="15"/>
  <c r="V235" i="11"/>
  <c r="V235" i="15"/>
  <c r="C98" i="10"/>
  <c r="V98" i="11"/>
  <c r="V98" i="15"/>
  <c r="R235" i="11"/>
  <c r="P235" i="11"/>
  <c r="N236" i="11"/>
  <c r="T235" i="11"/>
  <c r="U235" i="11" s="1"/>
  <c r="S235" i="11"/>
  <c r="K100" i="11"/>
  <c r="F100" i="11"/>
  <c r="D101" i="11"/>
  <c r="O236" i="11"/>
  <c r="Q236" i="11" s="1"/>
  <c r="D237" i="11"/>
  <c r="K237" i="11" s="1"/>
  <c r="L237" i="11"/>
  <c r="O99" i="11"/>
  <c r="Q99" i="11" s="1"/>
  <c r="N99" i="11"/>
  <c r="P99" i="11" s="1"/>
  <c r="G100" i="10"/>
  <c r="R98" i="11"/>
  <c r="C239" i="11"/>
  <c r="F238" i="11"/>
  <c r="M238" i="11"/>
  <c r="U97" i="11"/>
  <c r="H98" i="10"/>
  <c r="S98" i="11"/>
  <c r="T98" i="11"/>
  <c r="F99" i="10"/>
  <c r="F235" i="10"/>
  <c r="H235" i="10"/>
  <c r="C235" i="10"/>
  <c r="G237" i="10"/>
  <c r="N235" i="15" l="1"/>
  <c r="P235" i="15" s="1"/>
  <c r="D101" i="15"/>
  <c r="K100" i="15"/>
  <c r="F100" i="15"/>
  <c r="P98" i="15"/>
  <c r="R98" i="15"/>
  <c r="T98" i="15"/>
  <c r="U98" i="15" s="1"/>
  <c r="S98" i="15"/>
  <c r="Q98" i="15"/>
  <c r="D236" i="15"/>
  <c r="K236" i="15" s="1"/>
  <c r="L236" i="15"/>
  <c r="O235" i="15"/>
  <c r="Q234" i="15"/>
  <c r="T234" i="15"/>
  <c r="U234" i="15" s="1"/>
  <c r="S234" i="15"/>
  <c r="M237" i="15"/>
  <c r="C238" i="15"/>
  <c r="F237" i="15"/>
  <c r="N99" i="15"/>
  <c r="O99" i="15"/>
  <c r="C99" i="10"/>
  <c r="V99" i="11"/>
  <c r="V99" i="15"/>
  <c r="V236" i="11"/>
  <c r="V236" i="15"/>
  <c r="R236" i="11"/>
  <c r="P236" i="11"/>
  <c r="N237" i="11"/>
  <c r="D238" i="11"/>
  <c r="K238" i="11" s="1"/>
  <c r="L238" i="11"/>
  <c r="U98" i="11"/>
  <c r="H99" i="10"/>
  <c r="O237" i="11"/>
  <c r="Q237" i="11" s="1"/>
  <c r="O100" i="11"/>
  <c r="Q100" i="11" s="1"/>
  <c r="N100" i="11"/>
  <c r="P100" i="11" s="1"/>
  <c r="G101" i="10"/>
  <c r="C240" i="11"/>
  <c r="F239" i="11"/>
  <c r="M239" i="11"/>
  <c r="R99" i="11"/>
  <c r="T236" i="11"/>
  <c r="U236" i="11" s="1"/>
  <c r="S236" i="11"/>
  <c r="S99" i="11"/>
  <c r="T99" i="11"/>
  <c r="F100" i="10"/>
  <c r="K101" i="11"/>
  <c r="F101" i="11"/>
  <c r="D102" i="11"/>
  <c r="C236" i="10"/>
  <c r="F236" i="10"/>
  <c r="G238" i="10"/>
  <c r="H236" i="10"/>
  <c r="R235" i="15" l="1"/>
  <c r="O236" i="15"/>
  <c r="Q236" i="15" s="1"/>
  <c r="C239" i="15"/>
  <c r="F238" i="15"/>
  <c r="M238" i="15"/>
  <c r="T99" i="15"/>
  <c r="U99" i="15" s="1"/>
  <c r="S99" i="15"/>
  <c r="Q99" i="15"/>
  <c r="Q235" i="15"/>
  <c r="T235" i="15"/>
  <c r="U235" i="15" s="1"/>
  <c r="S235" i="15"/>
  <c r="R99" i="15"/>
  <c r="P99" i="15"/>
  <c r="S236" i="15"/>
  <c r="O100" i="15"/>
  <c r="N100" i="15"/>
  <c r="D237" i="15"/>
  <c r="K237" i="15" s="1"/>
  <c r="L237" i="15"/>
  <c r="N236" i="15"/>
  <c r="K101" i="15"/>
  <c r="F101" i="15"/>
  <c r="D102" i="15"/>
  <c r="V100" i="11"/>
  <c r="V100" i="15"/>
  <c r="C100" i="10"/>
  <c r="V237" i="11"/>
  <c r="V237" i="15"/>
  <c r="R237" i="11"/>
  <c r="P237" i="11"/>
  <c r="N238" i="11"/>
  <c r="O101" i="11"/>
  <c r="Q101" i="11" s="1"/>
  <c r="N101" i="11"/>
  <c r="P101" i="11" s="1"/>
  <c r="G102" i="10"/>
  <c r="R100" i="11"/>
  <c r="K102" i="11"/>
  <c r="F102" i="11"/>
  <c r="D239" i="11"/>
  <c r="K239" i="11" s="1"/>
  <c r="L239" i="11"/>
  <c r="S100" i="11"/>
  <c r="T100" i="11"/>
  <c r="F101" i="10"/>
  <c r="O238" i="11"/>
  <c r="Q238" i="11" s="1"/>
  <c r="U99" i="11"/>
  <c r="H100" i="10"/>
  <c r="M240" i="11"/>
  <c r="C241" i="11"/>
  <c r="F240" i="11"/>
  <c r="T237" i="11"/>
  <c r="U237" i="11" s="1"/>
  <c r="S237" i="11"/>
  <c r="F237" i="10"/>
  <c r="C237" i="10"/>
  <c r="G239" i="10"/>
  <c r="N237" i="15" l="1"/>
  <c r="P237" i="15" s="1"/>
  <c r="O101" i="15"/>
  <c r="N101" i="15"/>
  <c r="R100" i="15"/>
  <c r="P100" i="15"/>
  <c r="P236" i="15"/>
  <c r="R236" i="15"/>
  <c r="T100" i="15"/>
  <c r="U100" i="15" s="1"/>
  <c r="S100" i="15"/>
  <c r="Q100" i="15"/>
  <c r="F102" i="15"/>
  <c r="K102" i="15"/>
  <c r="O237" i="15"/>
  <c r="T236" i="15"/>
  <c r="U236" i="15" s="1"/>
  <c r="D238" i="15"/>
  <c r="K238" i="15" s="1"/>
  <c r="L238" i="15"/>
  <c r="R237" i="15"/>
  <c r="M239" i="15"/>
  <c r="C240" i="15"/>
  <c r="F239" i="15"/>
  <c r="V238" i="11"/>
  <c r="V238" i="15"/>
  <c r="V101" i="11"/>
  <c r="V101" i="15"/>
  <c r="C101" i="10"/>
  <c r="R238" i="11"/>
  <c r="P238" i="11"/>
  <c r="N239" i="11"/>
  <c r="E240" i="11"/>
  <c r="D240" i="11"/>
  <c r="K240" i="11" s="1"/>
  <c r="U100" i="11"/>
  <c r="H101" i="10"/>
  <c r="C242" i="11"/>
  <c r="M241" i="11"/>
  <c r="F241" i="11"/>
  <c r="T238" i="11"/>
  <c r="U238" i="11" s="1"/>
  <c r="S238" i="11"/>
  <c r="O102" i="11"/>
  <c r="Q102" i="11" s="1"/>
  <c r="N102" i="11"/>
  <c r="P102" i="11" s="1"/>
  <c r="G103" i="10"/>
  <c r="R101" i="11"/>
  <c r="O239" i="11"/>
  <c r="Q239" i="11" s="1"/>
  <c r="S101" i="11"/>
  <c r="T101" i="11"/>
  <c r="F102" i="10"/>
  <c r="H237" i="10"/>
  <c r="C238" i="10"/>
  <c r="F238" i="10"/>
  <c r="G240" i="10"/>
  <c r="H238" i="10"/>
  <c r="O238" i="15" l="1"/>
  <c r="S238" i="15" s="1"/>
  <c r="L239" i="15"/>
  <c r="D239" i="15"/>
  <c r="K239" i="15" s="1"/>
  <c r="Q237" i="15"/>
  <c r="T237" i="15"/>
  <c r="U237" i="15" s="1"/>
  <c r="S237" i="15"/>
  <c r="M240" i="15"/>
  <c r="F240" i="15"/>
  <c r="C241" i="15"/>
  <c r="O102" i="15"/>
  <c r="N102" i="15"/>
  <c r="N238" i="15"/>
  <c r="P101" i="15"/>
  <c r="R101" i="15"/>
  <c r="S101" i="15"/>
  <c r="Q101" i="15"/>
  <c r="T101" i="15"/>
  <c r="U101" i="15" s="1"/>
  <c r="C102" i="10"/>
  <c r="V239" i="11"/>
  <c r="V239" i="15"/>
  <c r="V102" i="11"/>
  <c r="V102" i="15"/>
  <c r="R239" i="11"/>
  <c r="P239" i="11"/>
  <c r="S102" i="11"/>
  <c r="T102" i="11"/>
  <c r="F103" i="10"/>
  <c r="U101" i="11"/>
  <c r="H102" i="10"/>
  <c r="M242" i="11"/>
  <c r="F242" i="11"/>
  <c r="T239" i="11"/>
  <c r="U239" i="11" s="1"/>
  <c r="S239" i="11"/>
  <c r="R102" i="11"/>
  <c r="E241" i="11"/>
  <c r="D241" i="11"/>
  <c r="K241" i="11" s="1"/>
  <c r="H240" i="11"/>
  <c r="G240" i="11"/>
  <c r="I240" i="11" s="1"/>
  <c r="L240" i="11" s="1"/>
  <c r="C239" i="10"/>
  <c r="F239" i="10"/>
  <c r="G241" i="10"/>
  <c r="H239" i="10"/>
  <c r="N239" i="15" l="1"/>
  <c r="P239" i="15" s="1"/>
  <c r="Q238" i="15"/>
  <c r="T238" i="15"/>
  <c r="U238" i="15" s="1"/>
  <c r="T102" i="15"/>
  <c r="U102" i="15" s="1"/>
  <c r="S102" i="15"/>
  <c r="Q102" i="15"/>
  <c r="C242" i="15"/>
  <c r="M241" i="15"/>
  <c r="F241" i="15"/>
  <c r="D240" i="15"/>
  <c r="K240" i="15" s="1"/>
  <c r="E240" i="15"/>
  <c r="R238" i="15"/>
  <c r="P238" i="15"/>
  <c r="R102" i="15"/>
  <c r="P102" i="15"/>
  <c r="O239" i="15"/>
  <c r="C103" i="10"/>
  <c r="V240" i="11"/>
  <c r="V240" i="15"/>
  <c r="G241" i="11"/>
  <c r="I241" i="11" s="1"/>
  <c r="L241" i="11" s="1"/>
  <c r="N241" i="11" s="1"/>
  <c r="H241" i="11"/>
  <c r="J240" i="11"/>
  <c r="O240" i="11" s="1"/>
  <c r="Q240" i="11" s="1"/>
  <c r="U102" i="11"/>
  <c r="H103" i="10"/>
  <c r="E242" i="11"/>
  <c r="D242" i="11"/>
  <c r="K242" i="11" s="1"/>
  <c r="N240" i="11"/>
  <c r="C240" i="10"/>
  <c r="F240" i="10"/>
  <c r="H240" i="10"/>
  <c r="R239" i="15" l="1"/>
  <c r="G240" i="15"/>
  <c r="I240" i="15" s="1"/>
  <c r="L240" i="15" s="1"/>
  <c r="N240" i="15" s="1"/>
  <c r="H240" i="15"/>
  <c r="M242" i="15"/>
  <c r="F242" i="15"/>
  <c r="T239" i="15"/>
  <c r="U239" i="15" s="1"/>
  <c r="S239" i="15"/>
  <c r="Q239" i="15"/>
  <c r="E241" i="15"/>
  <c r="D241" i="15"/>
  <c r="K241" i="15" s="1"/>
  <c r="J241" i="11"/>
  <c r="O241" i="11" s="1"/>
  <c r="R240" i="11"/>
  <c r="P240" i="11"/>
  <c r="R241" i="11"/>
  <c r="P241" i="11"/>
  <c r="S240" i="11"/>
  <c r="T240" i="11"/>
  <c r="U240" i="11" s="1"/>
  <c r="G242" i="11"/>
  <c r="I242" i="11" s="1"/>
  <c r="L242" i="11" s="1"/>
  <c r="H242" i="11"/>
  <c r="G242" i="10"/>
  <c r="G243" i="10"/>
  <c r="J240" i="15" l="1"/>
  <c r="O240" i="15" s="1"/>
  <c r="Q240" i="15" s="1"/>
  <c r="H241" i="15"/>
  <c r="G241" i="15"/>
  <c r="I241" i="15" s="1"/>
  <c r="L241" i="15" s="1"/>
  <c r="N241" i="15" s="1"/>
  <c r="E242" i="15"/>
  <c r="D242" i="15"/>
  <c r="K242" i="15" s="1"/>
  <c r="R240" i="15"/>
  <c r="P240" i="15"/>
  <c r="V241" i="11"/>
  <c r="V241" i="15"/>
  <c r="V242" i="11"/>
  <c r="V242" i="15"/>
  <c r="T241" i="11"/>
  <c r="U241" i="11" s="1"/>
  <c r="Q241" i="11"/>
  <c r="S241" i="11"/>
  <c r="J242" i="11"/>
  <c r="O242" i="11" s="1"/>
  <c r="Q242" i="11" s="1"/>
  <c r="H243" i="11"/>
  <c r="J243" i="11" s="1"/>
  <c r="O243" i="11" s="1"/>
  <c r="Q243" i="11" s="1"/>
  <c r="N242" i="11"/>
  <c r="C241" i="10"/>
  <c r="F241" i="10"/>
  <c r="H241" i="10"/>
  <c r="T240" i="15" l="1"/>
  <c r="U240" i="15" s="1"/>
  <c r="S240" i="15"/>
  <c r="H242" i="15"/>
  <c r="H243" i="15" s="1"/>
  <c r="J243" i="15" s="1"/>
  <c r="O243" i="15" s="1"/>
  <c r="G242" i="15"/>
  <c r="I242" i="15" s="1"/>
  <c r="L242" i="15" s="1"/>
  <c r="N242" i="15" s="1"/>
  <c r="P241" i="15"/>
  <c r="R241" i="15"/>
  <c r="J241" i="15"/>
  <c r="O241" i="15" s="1"/>
  <c r="R242" i="11"/>
  <c r="P242" i="11"/>
  <c r="T243" i="11"/>
  <c r="U243" i="11" s="1"/>
  <c r="S243" i="11"/>
  <c r="T242" i="11"/>
  <c r="U242" i="11" s="1"/>
  <c r="S242" i="11"/>
  <c r="C242" i="10"/>
  <c r="F242" i="10"/>
  <c r="H242" i="10"/>
  <c r="S243" i="15" l="1"/>
  <c r="T243" i="15"/>
  <c r="U243" i="15" s="1"/>
  <c r="Q243" i="15"/>
  <c r="R242" i="15"/>
  <c r="P242" i="15"/>
  <c r="S241" i="15"/>
  <c r="Q241" i="15"/>
  <c r="T241" i="15"/>
  <c r="U241" i="15" s="1"/>
  <c r="J242" i="15"/>
  <c r="O242" i="15" s="1"/>
  <c r="C243" i="10"/>
  <c r="F243" i="10"/>
  <c r="C244" i="10"/>
  <c r="F244" i="10"/>
  <c r="H243" i="10"/>
  <c r="H244" i="10"/>
  <c r="T242" i="15" l="1"/>
  <c r="U242" i="15" s="1"/>
  <c r="S242" i="15"/>
  <c r="Q242" i="15"/>
  <c r="L45" i="13"/>
  <c r="M49" i="13" l="1"/>
  <c r="M45" i="13" l="1"/>
  <c r="M46" i="13"/>
  <c r="E7" i="13" l="1"/>
</calcChain>
</file>

<file path=xl/comments1.xml><?xml version="1.0" encoding="utf-8"?>
<comments xmlns="http://schemas.openxmlformats.org/spreadsheetml/2006/main">
  <authors>
    <author>DELL1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Calcolato dall'asse del ferro longitudinale</t>
        </r>
      </text>
    </comment>
  </commentList>
</comments>
</file>

<file path=xl/comments2.xml><?xml version="1.0" encoding="utf-8"?>
<comments xmlns="http://schemas.openxmlformats.org/spreadsheetml/2006/main">
  <authors>
    <author>DELL1</author>
    <author>Nicla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Sarà sempre considerata come una forza di compressione a prescindere dal segno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 xml:space="preserve">
fm/FC</t>
        </r>
      </text>
    </comment>
    <comment ref="G105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 valori richiesti di seguito servono solo per la definizione delle limitazioni di normativa dei pilastri. Non entrano in gioo nella definizione del diagramma momento-curvatura.</t>
        </r>
      </text>
    </comment>
  </commentList>
</comments>
</file>

<file path=xl/comments3.xml><?xml version="1.0" encoding="utf-8"?>
<comments xmlns="http://schemas.openxmlformats.org/spreadsheetml/2006/main">
  <authors>
    <author>Cics</author>
  </authors>
  <commentList>
    <comment ref="F2" authorId="0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 L'asse neutro tende a meno infinito
</t>
        </r>
      </text>
    </comment>
    <comment ref="F258" authorId="0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L'asse neutro tende a più infinito</t>
        </r>
      </text>
    </comment>
  </commentList>
</comments>
</file>

<file path=xl/comments4.xml><?xml version="1.0" encoding="utf-8"?>
<comments xmlns="http://schemas.openxmlformats.org/spreadsheetml/2006/main">
  <authors>
    <author>Cics</author>
  </authors>
  <commentList>
    <comment ref="F2" authorId="0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 L'asse neutro tende a meno infinito
</t>
        </r>
      </text>
    </comment>
    <comment ref="F258" authorId="0" shapeId="0">
      <text>
        <r>
          <rPr>
            <b/>
            <sz val="16"/>
            <color indexed="81"/>
            <rFont val="Tahoma"/>
            <family val="2"/>
          </rPr>
          <t>Cics:</t>
        </r>
        <r>
          <rPr>
            <sz val="16"/>
            <color indexed="81"/>
            <rFont val="Tahoma"/>
            <family val="2"/>
          </rPr>
          <t xml:space="preserve">
L'asse neutro tende a più infinito</t>
        </r>
      </text>
    </comment>
  </commentList>
</comments>
</file>

<file path=xl/sharedStrings.xml><?xml version="1.0" encoding="utf-8"?>
<sst xmlns="http://schemas.openxmlformats.org/spreadsheetml/2006/main" count="1130" uniqueCount="287">
  <si>
    <t>fyd</t>
  </si>
  <si>
    <t>fyk</t>
  </si>
  <si>
    <t>γs</t>
  </si>
  <si>
    <t>Cu  forza interna alla sezione dovuta al calcestruzzo compresso</t>
  </si>
  <si>
    <t>C' forza interna dovuta all'armatura compressa</t>
  </si>
  <si>
    <t>T forza interna dovuta all'acciaio teso</t>
  </si>
  <si>
    <t>b</t>
  </si>
  <si>
    <t>H</t>
  </si>
  <si>
    <t>h'</t>
  </si>
  <si>
    <t>As</t>
  </si>
  <si>
    <t>As'</t>
  </si>
  <si>
    <t>β1</t>
  </si>
  <si>
    <t>β2</t>
  </si>
  <si>
    <t>[Mpa]</t>
  </si>
  <si>
    <t>αcc</t>
  </si>
  <si>
    <t>[‰]</t>
  </si>
  <si>
    <t>altezza utile</t>
  </si>
  <si>
    <t>[mm]</t>
  </si>
  <si>
    <t>Y[mm]</t>
  </si>
  <si>
    <t>d</t>
  </si>
  <si>
    <t>Cu  [N]</t>
  </si>
  <si>
    <t>C'  [N]</t>
  </si>
  <si>
    <t>e  [mm]</t>
  </si>
  <si>
    <t>μ  [-]</t>
  </si>
  <si>
    <t>ν   [-]</t>
  </si>
  <si>
    <t>εs[-]</t>
  </si>
  <si>
    <t>ε's[-]</t>
  </si>
  <si>
    <t>εc[-]</t>
  </si>
  <si>
    <t>εcu</t>
  </si>
  <si>
    <t>εc2</t>
  </si>
  <si>
    <t>A(σ-ε)</t>
  </si>
  <si>
    <t>e/d [-]</t>
  </si>
  <si>
    <t>copriferro</t>
  </si>
  <si>
    <t>altezza totale</t>
  </si>
  <si>
    <t>base</t>
  </si>
  <si>
    <t>Sy(σ-ε)</t>
  </si>
  <si>
    <t>ε'c[-]</t>
  </si>
  <si>
    <t>CAMPO 1</t>
  </si>
  <si>
    <t>CAMPO 2</t>
  </si>
  <si>
    <t>&gt; 0,0000</t>
  </si>
  <si>
    <t>T  [N]</t>
  </si>
  <si>
    <t>N° barre</t>
  </si>
  <si>
    <t>[-]</t>
  </si>
  <si>
    <t>εyd</t>
  </si>
  <si>
    <t xml:space="preserve"> DOMINIO DI INTERAZIONE  </t>
  </si>
  <si>
    <r>
      <t>[mm</t>
    </r>
    <r>
      <rPr>
        <b/>
        <sz val="16"/>
        <color indexed="8"/>
        <rFont val="Calibri"/>
        <family val="2"/>
      </rPr>
      <t>²</t>
    </r>
    <r>
      <rPr>
        <b/>
        <sz val="16"/>
        <color indexed="8"/>
        <rFont val="Calibri"/>
        <family val="2"/>
      </rPr>
      <t>]</t>
    </r>
  </si>
  <si>
    <t>Definizione Dati:</t>
  </si>
  <si>
    <t>Rck</t>
  </si>
  <si>
    <t>ω</t>
  </si>
  <si>
    <t>ω'</t>
  </si>
  <si>
    <t>legame costitutivo normativo a parabola-rettangolo (calcolo rigoroso)</t>
  </si>
  <si>
    <t xml:space="preserve"> legame elastico lineare- perfettamente plastico</t>
  </si>
  <si>
    <t xml:space="preserve"> - μ  [-]</t>
  </si>
  <si>
    <t>nocciolo</t>
  </si>
  <si>
    <t>ф[mm]</t>
  </si>
  <si>
    <t>Armatura inferiore</t>
  </si>
  <si>
    <t>Armatura superiore</t>
  </si>
  <si>
    <t>CAMPO 5</t>
  </si>
  <si>
    <t>Es</t>
  </si>
  <si>
    <t>γc</t>
  </si>
  <si>
    <t>fcd</t>
  </si>
  <si>
    <t>εud</t>
  </si>
  <si>
    <t>C'+T  [N]</t>
  </si>
  <si>
    <t>( dall'asse longitudinale del ferro)</t>
  </si>
  <si>
    <t xml:space="preserve">Rottura Bilanciata </t>
  </si>
  <si>
    <t>NRd(B)</t>
  </si>
  <si>
    <t>NRd(A)</t>
  </si>
  <si>
    <t>MRd(A)</t>
  </si>
  <si>
    <t>MRd(B)</t>
  </si>
  <si>
    <t>NRd(C)</t>
  </si>
  <si>
    <t>MRd(C)</t>
  </si>
  <si>
    <t>NRd(E)</t>
  </si>
  <si>
    <t>MRd(E)</t>
  </si>
  <si>
    <t>NRd(D)</t>
  </si>
  <si>
    <t>MRd(D)</t>
  </si>
  <si>
    <t xml:space="preserve">Domino di Interazione </t>
  </si>
  <si>
    <t>(formulazione semplificata)</t>
  </si>
  <si>
    <t>in rosso il dominio approssimato</t>
  </si>
  <si>
    <t>in nero il dominio rigoroso</t>
  </si>
  <si>
    <t>CAMPO 3-4-4a</t>
  </si>
  <si>
    <t xml:space="preserve">Il foglio di calcolo disegna il dominio di interazione sfruttando il legame elasto-plastico per l'acciaio </t>
  </si>
  <si>
    <t>e il legame parabola-rettangolo per il calcestruzzo.</t>
  </si>
  <si>
    <t xml:space="preserve">Si possono definire le grandezze geometriche della sezione, le caratteristiche meccaniche dei </t>
  </si>
  <si>
    <t>Ing. Davide Cicchini</t>
  </si>
  <si>
    <t>DOMINIO DI INTERAZIONE</t>
  </si>
  <si>
    <t>DOMINIO DI INTERAZIONE ADIMENSIONALE</t>
  </si>
  <si>
    <t>MRd - [kN*m]</t>
  </si>
  <si>
    <t>FORMULE</t>
  </si>
  <si>
    <t>1.caratteristiche geometriche</t>
  </si>
  <si>
    <t>2.calcestruzzo</t>
  </si>
  <si>
    <t>3.acciaio</t>
  </si>
  <si>
    <t xml:space="preserve"> 4.armatura longitudinale simmetrica</t>
  </si>
  <si>
    <t>materiali e le deformazioni ultime, i coefficienti di sicurezza dei materiali e il numero di barre.</t>
  </si>
  <si>
    <t xml:space="preserve"> legame parabola-rettangolo</t>
  </si>
  <si>
    <t>Med</t>
  </si>
  <si>
    <t>Ned</t>
  </si>
  <si>
    <t>www.davidecicchini.it</t>
  </si>
  <si>
    <t>Ned  [kN]</t>
  </si>
  <si>
    <t>Ned  [N]</t>
  </si>
  <si>
    <t>MRd  [kNm]</t>
  </si>
  <si>
    <t>h</t>
  </si>
  <si>
    <t>Altezza interpiano</t>
  </si>
  <si>
    <t>V</t>
  </si>
  <si>
    <t>Taglio sismico di piano</t>
  </si>
  <si>
    <t>dr</t>
  </si>
  <si>
    <t>Spostamento orizzontale medio d'interpiano</t>
  </si>
  <si>
    <t>ν</t>
  </si>
  <si>
    <t>Sforzo normale sollecitante adimensionalizzato</t>
  </si>
  <si>
    <r>
      <t>N</t>
    </r>
    <r>
      <rPr>
        <sz val="9"/>
        <color theme="1"/>
        <rFont val="Calibri"/>
        <family val="2"/>
        <scheme val="minor"/>
      </rPr>
      <t>ED</t>
    </r>
  </si>
  <si>
    <t>Sforzo normale sollecitante</t>
  </si>
  <si>
    <t>(Queste informazioni devono essere inserite solo nel caso di pilastri)</t>
  </si>
  <si>
    <t>6 SFORZO NORMALE</t>
  </si>
  <si>
    <t>Classe di duttilità bassa CD"B"</t>
  </si>
  <si>
    <t>5 CLASSE DI DUTTILITA'</t>
  </si>
  <si>
    <r>
      <t>A</t>
    </r>
    <r>
      <rPr>
        <sz val="9"/>
        <color theme="1"/>
        <rFont val="Calibri"/>
        <family val="2"/>
        <scheme val="minor"/>
      </rPr>
      <t>st,base</t>
    </r>
  </si>
  <si>
    <t>ρ</t>
  </si>
  <si>
    <t>Percentuale geometrica di armatura trasversale</t>
  </si>
  <si>
    <r>
      <t>A</t>
    </r>
    <r>
      <rPr>
        <sz val="9"/>
        <color theme="1"/>
        <rFont val="Calibri"/>
        <family val="2"/>
        <scheme val="minor"/>
      </rPr>
      <t>st,altezza</t>
    </r>
  </si>
  <si>
    <t>Area della sezione di staffe disposte come l'altezza</t>
  </si>
  <si>
    <t>Area della sezione di staffe disposte come la base</t>
  </si>
  <si>
    <t>Staffe interne dirette come la base</t>
  </si>
  <si>
    <t>Numero totale di braccia nella direzione dell'altezza</t>
  </si>
  <si>
    <t>Numero totale di braccia nella direzione della base</t>
  </si>
  <si>
    <t>Passo della staffa</t>
  </si>
  <si>
    <t>staffe interne dirette in altezza</t>
  </si>
  <si>
    <t>Diametro della staffa</t>
  </si>
  <si>
    <t>Trasversale:</t>
  </si>
  <si>
    <t>db</t>
  </si>
  <si>
    <t>Diametro medio delle barre longitudinali</t>
  </si>
  <si>
    <t>As,tot</t>
  </si>
  <si>
    <t>Area di acciaio totale</t>
  </si>
  <si>
    <r>
      <t>ρ</t>
    </r>
    <r>
      <rPr>
        <sz val="8"/>
        <color theme="1"/>
        <rFont val="Calibri"/>
        <family val="2"/>
      </rPr>
      <t>tot</t>
    </r>
  </si>
  <si>
    <t>Percentuale geometrica di armatura totale</t>
  </si>
  <si>
    <r>
      <t>ω</t>
    </r>
    <r>
      <rPr>
        <sz val="8"/>
        <color theme="1"/>
        <rFont val="Calibri"/>
        <family val="2"/>
      </rPr>
      <t>tot</t>
    </r>
  </si>
  <si>
    <t>Percentuale meccanica di armatura totale</t>
  </si>
  <si>
    <r>
      <t>ρ</t>
    </r>
    <r>
      <rPr>
        <sz val="9"/>
        <color theme="1"/>
        <rFont val="Calibri"/>
        <family val="2"/>
      </rPr>
      <t>,sx</t>
    </r>
  </si>
  <si>
    <t>Percentuale geometrica di armatura a sinistra</t>
  </si>
  <si>
    <r>
      <t>ρ</t>
    </r>
    <r>
      <rPr>
        <sz val="9"/>
        <color theme="1"/>
        <rFont val="Calibri"/>
        <family val="2"/>
      </rPr>
      <t>,dx</t>
    </r>
  </si>
  <si>
    <t>Percentuale geometrica di armatura a destra</t>
  </si>
  <si>
    <r>
      <t>ω</t>
    </r>
    <r>
      <rPr>
        <sz val="9"/>
        <color theme="1"/>
        <rFont val="Calibri"/>
        <family val="2"/>
      </rPr>
      <t>,dx</t>
    </r>
  </si>
  <si>
    <t>Percentuale meccanica di armatura a destra</t>
  </si>
  <si>
    <r>
      <t>ω</t>
    </r>
    <r>
      <rPr>
        <sz val="9"/>
        <color theme="1"/>
        <rFont val="Calibri"/>
        <family val="2"/>
      </rPr>
      <t>,sx</t>
    </r>
  </si>
  <si>
    <t>Percentuale meccanica di armatura a sinistra</t>
  </si>
  <si>
    <t>As,dx</t>
  </si>
  <si>
    <t>Area di acciaio destra</t>
  </si>
  <si>
    <t>As,sx</t>
  </si>
  <si>
    <t>Area di acciaio sinistra</t>
  </si>
  <si>
    <t>ρ'</t>
  </si>
  <si>
    <t>Percentuale geometrica di armatura in zona compressa</t>
  </si>
  <si>
    <t>Percentuale geometrica di armatura in zona tesa</t>
  </si>
  <si>
    <t>Percentuale meccanica di armatura in zona compressa</t>
  </si>
  <si>
    <t>Percentuale meccanica di armatura in zona tesa</t>
  </si>
  <si>
    <t>A's</t>
  </si>
  <si>
    <t>Area di acciaio in zona compressa</t>
  </si>
  <si>
    <t>Area di acciaio in zona tesa</t>
  </si>
  <si>
    <t>Armatura destra  (NON RIPETERE I FERRI D'ANGOLO)</t>
  </si>
  <si>
    <t>Armatura sinistra (NON RIPETERE I FERRI D'ANGOLO)</t>
  </si>
  <si>
    <t>diametro</t>
  </si>
  <si>
    <t>numero</t>
  </si>
  <si>
    <t>Nel caso di pilastri inserire anche l'armatura nell'altra direzione</t>
  </si>
  <si>
    <t>F</t>
  </si>
  <si>
    <t>Armatura In zona compressa</t>
  </si>
  <si>
    <t>Armatura in zona tesa</t>
  </si>
  <si>
    <t>Longitudinale:</t>
  </si>
  <si>
    <t>4 ARMATURE DELLA SEZIONE</t>
  </si>
  <si>
    <t>Deformazione ultima</t>
  </si>
  <si>
    <t>Deformazione allo snervamento</t>
  </si>
  <si>
    <t>Acciaio:</t>
  </si>
  <si>
    <t>εctu</t>
  </si>
  <si>
    <t>Deformazione ultima a trazione</t>
  </si>
  <si>
    <t>Deformazione ultima (tratto rettangolare)</t>
  </si>
  <si>
    <t>Deformazione limite del tratta parabolico</t>
  </si>
  <si>
    <t>Calcestruzzo:</t>
  </si>
  <si>
    <t>3 DEFORMAZIONI LIMITE DEI MATERIALI</t>
  </si>
  <si>
    <r>
      <t>E</t>
    </r>
    <r>
      <rPr>
        <b/>
        <sz val="9"/>
        <color theme="1"/>
        <rFont val="Calibri"/>
        <family val="2"/>
        <scheme val="minor"/>
      </rPr>
      <t>c</t>
    </r>
  </si>
  <si>
    <t xml:space="preserve">Modulo di Young </t>
  </si>
  <si>
    <r>
      <t>f</t>
    </r>
    <r>
      <rPr>
        <b/>
        <sz val="8"/>
        <color theme="1"/>
        <rFont val="Calibri"/>
        <family val="2"/>
        <scheme val="minor"/>
      </rPr>
      <t>yd</t>
    </r>
  </si>
  <si>
    <t>Resistenza  di calcolo</t>
  </si>
  <si>
    <r>
      <t>f</t>
    </r>
    <r>
      <rPr>
        <b/>
        <sz val="8"/>
        <color theme="1"/>
        <rFont val="Calibri"/>
        <family val="2"/>
        <scheme val="minor"/>
      </rPr>
      <t>yk</t>
    </r>
  </si>
  <si>
    <t>Tensione di snervamento</t>
  </si>
  <si>
    <r>
      <t>f</t>
    </r>
    <r>
      <rPr>
        <b/>
        <sz val="8"/>
        <color theme="1"/>
        <rFont val="Calibri"/>
        <family val="2"/>
        <scheme val="minor"/>
      </rPr>
      <t>k</t>
    </r>
  </si>
  <si>
    <t>Tensione di Rottura</t>
  </si>
  <si>
    <t>Fe B44k</t>
  </si>
  <si>
    <t>Tipo Acciaio</t>
  </si>
  <si>
    <t>α</t>
  </si>
  <si>
    <t xml:space="preserve"> prolungati nel tempo</t>
  </si>
  <si>
    <t>Coef. di riduzione della resistenza, per carichi</t>
  </si>
  <si>
    <r>
      <t>f</t>
    </r>
    <r>
      <rPr>
        <b/>
        <sz val="9"/>
        <color theme="1"/>
        <rFont val="Calibri"/>
        <family val="2"/>
        <scheme val="minor"/>
      </rPr>
      <t>bd</t>
    </r>
  </si>
  <si>
    <t>Resistenza tangenziale di calcolo</t>
  </si>
  <si>
    <r>
      <t>f</t>
    </r>
    <r>
      <rPr>
        <b/>
        <sz val="8"/>
        <color theme="1"/>
        <rFont val="Calibri"/>
        <family val="2"/>
        <scheme val="minor"/>
      </rPr>
      <t>ctd</t>
    </r>
  </si>
  <si>
    <t>Resistenza a trazione di calcolo</t>
  </si>
  <si>
    <r>
      <t>f</t>
    </r>
    <r>
      <rPr>
        <b/>
        <sz val="8"/>
        <color theme="1"/>
        <rFont val="Calibri"/>
        <family val="2"/>
        <scheme val="minor"/>
      </rPr>
      <t>ctk</t>
    </r>
  </si>
  <si>
    <t>Resistenza a trazione media</t>
  </si>
  <si>
    <r>
      <t>f</t>
    </r>
    <r>
      <rPr>
        <b/>
        <sz val="8"/>
        <color theme="1"/>
        <rFont val="Calibri"/>
        <family val="2"/>
        <scheme val="minor"/>
      </rPr>
      <t>ctm</t>
    </r>
  </si>
  <si>
    <t>Resistenza a trazione caratteristica</t>
  </si>
  <si>
    <r>
      <t>f</t>
    </r>
    <r>
      <rPr>
        <b/>
        <sz val="8"/>
        <color theme="1"/>
        <rFont val="Calibri"/>
        <family val="2"/>
        <scheme val="minor"/>
      </rPr>
      <t>cd</t>
    </r>
  </si>
  <si>
    <t>Resistenza cilindrica di calcolo</t>
  </si>
  <si>
    <r>
      <t>f</t>
    </r>
    <r>
      <rPr>
        <b/>
        <sz val="8"/>
        <color theme="1"/>
        <rFont val="Calibri"/>
        <family val="2"/>
        <scheme val="minor"/>
      </rPr>
      <t>ck</t>
    </r>
  </si>
  <si>
    <t>Resistenza cilindrica caratteristica</t>
  </si>
  <si>
    <r>
      <t>f</t>
    </r>
    <r>
      <rPr>
        <b/>
        <sz val="8"/>
        <color theme="1"/>
        <rFont val="Calibri"/>
        <family val="2"/>
        <scheme val="minor"/>
      </rPr>
      <t>cm</t>
    </r>
  </si>
  <si>
    <t>Resistenza cilindrica media</t>
  </si>
  <si>
    <r>
      <t>R</t>
    </r>
    <r>
      <rPr>
        <b/>
        <sz val="8"/>
        <color theme="1"/>
        <rFont val="Calibri"/>
        <family val="2"/>
        <scheme val="minor"/>
      </rPr>
      <t>ck</t>
    </r>
  </si>
  <si>
    <t>Resistenza cubica caratteristica</t>
  </si>
  <si>
    <t>FC</t>
  </si>
  <si>
    <t>Fattore di confidenza</t>
  </si>
  <si>
    <t>fm</t>
  </si>
  <si>
    <t>LC2</t>
  </si>
  <si>
    <t>LC</t>
  </si>
  <si>
    <t>Livello di conoscenza</t>
  </si>
  <si>
    <t>ESISTENTE</t>
  </si>
  <si>
    <t>Classe di resistenza</t>
  </si>
  <si>
    <t>2 RESISTENZE DEI MATERIALI</t>
  </si>
  <si>
    <r>
      <t>L</t>
    </r>
    <r>
      <rPr>
        <sz val="8"/>
        <color theme="1"/>
        <rFont val="Calibri"/>
        <family val="2"/>
      </rPr>
      <t>,lib</t>
    </r>
  </si>
  <si>
    <t>Luce libera</t>
  </si>
  <si>
    <t>pilastro</t>
  </si>
  <si>
    <t>Tipo elemento</t>
  </si>
  <si>
    <t>c'</t>
  </si>
  <si>
    <t>Copriferro reale</t>
  </si>
  <si>
    <t>Altezza utile</t>
  </si>
  <si>
    <t>d'</t>
  </si>
  <si>
    <t>Copriferro teorico</t>
  </si>
  <si>
    <t>Altezza</t>
  </si>
  <si>
    <t>B</t>
  </si>
  <si>
    <t>Base</t>
  </si>
  <si>
    <t xml:space="preserve">1 GEOMETRIA </t>
  </si>
  <si>
    <t>Valore di efficienza del confinamento</t>
  </si>
  <si>
    <t>ν,medio</t>
  </si>
  <si>
    <t>Sforzo normale medio adimensionalizzato</t>
  </si>
  <si>
    <t>corretti con il fattore di confidenza</t>
  </si>
  <si>
    <t xml:space="preserve">valori medi ricavati dai provini </t>
  </si>
  <si>
    <r>
      <t>ε</t>
    </r>
    <r>
      <rPr>
        <b/>
        <sz val="9"/>
        <color theme="1"/>
        <rFont val="Calibri"/>
        <family val="2"/>
      </rPr>
      <t>cu</t>
    </r>
  </si>
  <si>
    <r>
      <t>ε</t>
    </r>
    <r>
      <rPr>
        <sz val="9"/>
        <color theme="1"/>
        <rFont val="Calibri"/>
        <family val="2"/>
      </rPr>
      <t>ccu</t>
    </r>
  </si>
  <si>
    <t>(cm)</t>
  </si>
  <si>
    <t>Altezza della sezione</t>
  </si>
  <si>
    <t>PASSO</t>
  </si>
  <si>
    <t>Larghezza della sezione</t>
  </si>
  <si>
    <t>Ec</t>
  </si>
  <si>
    <t>fctd</t>
  </si>
  <si>
    <t xml:space="preserve">numero di ferri longitudinali sulle altezze vincolati da staffe </t>
  </si>
  <si>
    <t>Classe di duttilità alta CD"A"</t>
  </si>
  <si>
    <t xml:space="preserve">numero di ferri longitudinali sulle basi vincolati da staffe </t>
  </si>
  <si>
    <t xml:space="preserve">copriferro </t>
  </si>
  <si>
    <t>legature altezza</t>
  </si>
  <si>
    <t>leagture di base</t>
  </si>
  <si>
    <t>staffa lato in altezza</t>
  </si>
  <si>
    <t xml:space="preserve">staffa lato di base </t>
  </si>
  <si>
    <t>si</t>
  </si>
  <si>
    <t>no</t>
  </si>
  <si>
    <r>
      <t>ρ</t>
    </r>
    <r>
      <rPr>
        <sz val="8"/>
        <color theme="1"/>
        <rFont val="Calibri"/>
        <family val="2"/>
      </rPr>
      <t>tot(destra sinistra)</t>
    </r>
  </si>
  <si>
    <r>
      <t>ρ</t>
    </r>
    <r>
      <rPr>
        <sz val="8"/>
        <color theme="1"/>
        <rFont val="Calibri"/>
        <family val="2"/>
      </rPr>
      <t>tot(sopra sotto)</t>
    </r>
  </si>
  <si>
    <r>
      <t>ω</t>
    </r>
    <r>
      <rPr>
        <sz val="8"/>
        <color theme="1"/>
        <rFont val="Calibri"/>
        <family val="2"/>
      </rPr>
      <t>tot(destra-sinistra)</t>
    </r>
  </si>
  <si>
    <r>
      <t>ω</t>
    </r>
    <r>
      <rPr>
        <sz val="8"/>
        <color theme="1"/>
        <rFont val="Calibri"/>
        <family val="2"/>
      </rPr>
      <t>tot(sopra-sotto)</t>
    </r>
  </si>
  <si>
    <t>LC3</t>
  </si>
  <si>
    <t>fck</t>
  </si>
  <si>
    <t>LC1</t>
  </si>
  <si>
    <t>C50/60</t>
  </si>
  <si>
    <t>C45/55</t>
  </si>
  <si>
    <r>
      <t>N/mm</t>
    </r>
    <r>
      <rPr>
        <vertAlign val="superscript"/>
        <sz val="10"/>
        <rFont val="Arial"/>
        <family val="2"/>
      </rPr>
      <t>2</t>
    </r>
  </si>
  <si>
    <r>
      <t>f</t>
    </r>
    <r>
      <rPr>
        <b/>
        <vertAlign val="subscript"/>
        <sz val="10"/>
        <rFont val="Arial"/>
        <family val="2"/>
      </rPr>
      <t>yk =</t>
    </r>
  </si>
  <si>
    <t>C40/50</t>
  </si>
  <si>
    <t>C35/45</t>
  </si>
  <si>
    <t>C32/40</t>
  </si>
  <si>
    <t>C28/35</t>
  </si>
  <si>
    <t>Fe B22k</t>
  </si>
  <si>
    <t>C25/30</t>
  </si>
  <si>
    <t>Fe B32k</t>
  </si>
  <si>
    <t>C20/25</t>
  </si>
  <si>
    <t>Fe B38k</t>
  </si>
  <si>
    <t>C16/20</t>
  </si>
  <si>
    <t>C12/15</t>
  </si>
  <si>
    <t>Fe B450C</t>
  </si>
  <si>
    <t>C8/10</t>
  </si>
  <si>
    <t>SFORZO NORMALE</t>
  </si>
  <si>
    <t>eps,u</t>
  </si>
  <si>
    <t>ROTTURA</t>
  </si>
  <si>
    <t>SNERV</t>
  </si>
  <si>
    <t>ferri destra/sinistra</t>
  </si>
  <si>
    <t>trave</t>
  </si>
  <si>
    <t>MRd  [Nmm]</t>
  </si>
  <si>
    <t>Versione 1.1</t>
  </si>
  <si>
    <t>Coef. Parziale di sicurezza del calcestruzzo</t>
  </si>
  <si>
    <r>
      <t>γ</t>
    </r>
    <r>
      <rPr>
        <b/>
        <sz val="8"/>
        <color theme="1"/>
        <rFont val="Calibri"/>
        <family val="2"/>
      </rPr>
      <t>c</t>
    </r>
  </si>
  <si>
    <r>
      <rPr>
        <b/>
        <sz val="11"/>
        <color theme="1"/>
        <rFont val="Calibri"/>
        <family val="2"/>
        <scheme val="minor"/>
      </rPr>
      <t xml:space="preserve">Paragrafo 8.7.2 NTC08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Per il calcolo della capacità di elementi/meccanismi duttili o fragili si impiegano le proprietà dei materiali esistenti, determinate secondo le modalità indicate al punto 8.5.3, divise per i fattori di confidenza in relazione al livello di conoscenza raggiunto.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Per il calcolo della capacità di resistenza degli elementi  fragili primari, le resistenze dei materiali si dividono per i corrispondenti coefficienti parziali e per i fattori di confidenza in relazione al livello di conoscenza raggiunto.</t>
    </r>
  </si>
  <si>
    <t>Se l'elemento si ritiene duttile imporre il valore unitario al coefficiente parziale di sicurezza del calcestruzzo.</t>
  </si>
  <si>
    <t>Resistenza media del cls ( da prove sperimentali e indagini statistiche)</t>
  </si>
  <si>
    <r>
      <rPr>
        <b/>
        <sz val="11"/>
        <color theme="1"/>
        <rFont val="Calibri"/>
        <family val="2"/>
        <scheme val="minor"/>
      </rPr>
      <t xml:space="preserve">Paragrafo C8A.6 NTC08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In mancanza di informazioni si può assumere che la deformazione ultima dell'acciaio sia pari al 4%</t>
    </r>
  </si>
  <si>
    <t>Le formule trovano i punti salienti per la costruzione di un dominio di interazione semplificato nel caso di armatura simmetrica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</si>
</sst>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00"/>
    <numFmt numFmtId="165" formatCode="0.0000"/>
    <numFmt numFmtId="166" formatCode="0.0"/>
    <numFmt numFmtId="167" formatCode="0.00000"/>
    <numFmt numFmtId="168" formatCode="0.0000000"/>
    <numFmt numFmtId="169" formatCode="0&quot; mm&quot;"/>
    <numFmt numFmtId="170" formatCode="0.0&quot; kN&quot;"/>
    <numFmt numFmtId="171" formatCode="0&quot; N/mm²&quot;"/>
    <numFmt numFmtId="172" formatCode="0&quot; mm²&quot;"/>
    <numFmt numFmtId="173" formatCode="&quot;φ&quot;\ 0"/>
    <numFmt numFmtId="174" formatCode="0.00&quot; mm&quot;"/>
    <numFmt numFmtId="175" formatCode="0.00&quot; ‰&quot;"/>
    <numFmt numFmtId="176" formatCode="0.0&quot; N/mm²&quot;"/>
    <numFmt numFmtId="177" formatCode="0.00&quot; N/mm²&quot;"/>
  </numFmts>
  <fonts count="61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Times New Roman"/>
      <family val="1"/>
    </font>
    <font>
      <b/>
      <u/>
      <sz val="16"/>
      <color rgb="FFFF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sz val="28"/>
      <color theme="1"/>
      <name val="French Script MT"/>
      <family val="4"/>
    </font>
    <font>
      <b/>
      <u/>
      <sz val="22"/>
      <color rgb="FFFF0000"/>
      <name val="Andalus"/>
      <family val="1"/>
    </font>
    <font>
      <u/>
      <sz val="20"/>
      <color theme="1"/>
      <name val="Calibri"/>
      <family val="2"/>
      <scheme val="minor"/>
    </font>
    <font>
      <i/>
      <sz val="48"/>
      <color theme="1"/>
      <name val="Algerian"/>
      <family val="5"/>
    </font>
    <font>
      <b/>
      <i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name val="Symbol"/>
      <family val="1"/>
      <charset val="2"/>
    </font>
    <font>
      <sz val="1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  <font>
      <b/>
      <sz val="10"/>
      <name val="Arial"/>
      <family val="2"/>
    </font>
    <font>
      <u/>
      <sz val="12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bscript"/>
      <sz val="10"/>
      <name val="Arial"/>
      <family val="2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CFB2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 style="thin">
        <color rgb="FF00B0F0"/>
      </bottom>
      <diagonal/>
    </border>
    <border>
      <left style="thin">
        <color indexed="64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theme="1"/>
      </right>
      <top/>
      <bottom style="thin">
        <color rgb="FF00B0F0"/>
      </bottom>
      <diagonal/>
    </border>
    <border>
      <left style="double">
        <color rgb="FFFF0000"/>
      </left>
      <right style="thin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rgb="FF00B0F0"/>
      </bottom>
      <diagonal/>
    </border>
    <border>
      <left style="thin">
        <color theme="1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thin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1" xfId="0" applyBorder="1"/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right" vertical="center"/>
    </xf>
    <xf numFmtId="1" fontId="0" fillId="0" borderId="0" xfId="0" applyNumberFormat="1"/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vertical="center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0" fillId="0" borderId="1" xfId="0" applyBorder="1" applyProtection="1">
      <protection hidden="1"/>
    </xf>
    <xf numFmtId="0" fontId="9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" fontId="4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2" fontId="4" fillId="0" borderId="4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6" fontId="4" fillId="0" borderId="4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5" xfId="0" applyBorder="1" applyProtection="1"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165" fontId="6" fillId="0" borderId="16" xfId="0" applyNumberFormat="1" applyFont="1" applyBorder="1" applyAlignment="1" applyProtection="1">
      <alignment horizontal="center" vertical="center"/>
      <protection hidden="1"/>
    </xf>
    <xf numFmtId="1" fontId="6" fillId="0" borderId="16" xfId="0" applyNumberFormat="1" applyFont="1" applyBorder="1" applyAlignment="1" applyProtection="1">
      <alignment horizontal="center" vertical="center"/>
      <protection hidden="1"/>
    </xf>
    <xf numFmtId="164" fontId="6" fillId="0" borderId="16" xfId="0" applyNumberFormat="1" applyFont="1" applyBorder="1" applyAlignment="1" applyProtection="1">
      <alignment horizontal="center" vertical="center"/>
      <protection hidden="1"/>
    </xf>
    <xf numFmtId="1" fontId="6" fillId="0" borderId="16" xfId="0" applyNumberFormat="1" applyFont="1" applyBorder="1" applyAlignment="1" applyProtection="1">
      <alignment horizontal="right" vertical="center"/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hidden="1"/>
    </xf>
    <xf numFmtId="166" fontId="6" fillId="0" borderId="16" xfId="0" applyNumberFormat="1" applyFont="1" applyBorder="1" applyAlignment="1" applyProtection="1">
      <alignment horizontal="center" vertical="center"/>
      <protection hidden="1"/>
    </xf>
    <xf numFmtId="2" fontId="6" fillId="0" borderId="16" xfId="0" applyNumberFormat="1" applyFont="1" applyBorder="1" applyAlignment="1" applyProtection="1">
      <alignment horizontal="center" vertical="center"/>
      <protection hidden="1"/>
    </xf>
    <xf numFmtId="168" fontId="6" fillId="0" borderId="0" xfId="0" applyNumberFormat="1" applyFont="1" applyAlignment="1" applyProtection="1">
      <alignment horizontal="center" vertical="center"/>
      <protection hidden="1"/>
    </xf>
    <xf numFmtId="165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1" fontId="6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" fontId="6" fillId="0" borderId="16" xfId="0" applyNumberFormat="1" applyFont="1" applyFill="1" applyBorder="1" applyAlignment="1" applyProtection="1">
      <alignment horizontal="right" vertical="center"/>
      <protection hidden="1"/>
    </xf>
    <xf numFmtId="2" fontId="6" fillId="0" borderId="16" xfId="0" applyNumberFormat="1" applyFont="1" applyFill="1" applyBorder="1" applyAlignment="1" applyProtection="1">
      <alignment horizontal="center" vertical="center"/>
      <protection hidden="1"/>
    </xf>
    <xf numFmtId="165" fontId="13" fillId="0" borderId="0" xfId="0" applyNumberFormat="1" applyFont="1" applyFill="1" applyAlignment="1" applyProtection="1">
      <alignment horizontal="center" vertical="center"/>
      <protection hidden="1"/>
    </xf>
    <xf numFmtId="167" fontId="6" fillId="0" borderId="16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5" fontId="6" fillId="0" borderId="0" xfId="0" applyNumberFormat="1" applyFont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right" vertical="center"/>
      <protection hidden="1"/>
    </xf>
    <xf numFmtId="164" fontId="6" fillId="0" borderId="0" xfId="0" applyNumberFormat="1" applyFont="1" applyFill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right"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6" fontId="7" fillId="0" borderId="0" xfId="0" applyNumberFormat="1" applyFont="1" applyAlignment="1" applyProtection="1">
      <alignment horizontal="left" vertical="center"/>
      <protection hidden="1"/>
    </xf>
    <xf numFmtId="166" fontId="6" fillId="0" borderId="0" xfId="0" applyNumberFormat="1" applyFont="1" applyAlignment="1" applyProtection="1">
      <alignment horizontal="left" vertical="center"/>
      <protection hidden="1"/>
    </xf>
    <xf numFmtId="166" fontId="6" fillId="0" borderId="0" xfId="0" applyNumberFormat="1" applyFont="1" applyAlignment="1" applyProtection="1">
      <alignment horizontal="center" vertical="center"/>
      <protection hidden="1"/>
    </xf>
    <xf numFmtId="0" fontId="4" fillId="0" borderId="18" xfId="0" applyFont="1" applyBorder="1" applyProtection="1"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7" xfId="0" applyBorder="1" applyProtection="1"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165" fontId="6" fillId="0" borderId="22" xfId="0" applyNumberFormat="1" applyFont="1" applyBorder="1" applyAlignment="1" applyProtection="1">
      <alignment horizontal="center" vertical="center"/>
      <protection hidden="1"/>
    </xf>
    <xf numFmtId="1" fontId="6" fillId="0" borderId="22" xfId="0" applyNumberFormat="1" applyFont="1" applyBorder="1" applyAlignment="1" applyProtection="1">
      <alignment horizontal="center" vertical="center"/>
      <protection hidden="1"/>
    </xf>
    <xf numFmtId="164" fontId="6" fillId="0" borderId="22" xfId="0" applyNumberFormat="1" applyFont="1" applyBorder="1" applyAlignment="1" applyProtection="1">
      <alignment horizontal="center" vertical="center"/>
      <protection hidden="1"/>
    </xf>
    <xf numFmtId="1" fontId="6" fillId="0" borderId="22" xfId="0" applyNumberFormat="1" applyFont="1" applyBorder="1" applyAlignment="1" applyProtection="1">
      <alignment horizontal="right" vertical="center"/>
      <protection hidden="1"/>
    </xf>
    <xf numFmtId="164" fontId="6" fillId="0" borderId="22" xfId="0" applyNumberFormat="1" applyFont="1" applyFill="1" applyBorder="1" applyAlignment="1" applyProtection="1">
      <alignment horizontal="center" vertical="center"/>
      <protection hidden="1"/>
    </xf>
    <xf numFmtId="166" fontId="6" fillId="0" borderId="22" xfId="0" applyNumberFormat="1" applyFont="1" applyBorder="1" applyAlignment="1" applyProtection="1">
      <alignment horizontal="center" vertical="center"/>
      <protection hidden="1"/>
    </xf>
    <xf numFmtId="165" fontId="6" fillId="0" borderId="21" xfId="0" applyNumberFormat="1" applyFont="1" applyBorder="1" applyAlignment="1" applyProtection="1">
      <alignment horizontal="center" vertical="center"/>
      <protection hidden="1"/>
    </xf>
    <xf numFmtId="165" fontId="6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1" fontId="6" fillId="0" borderId="21" xfId="0" applyNumberFormat="1" applyFont="1" applyBorder="1" applyAlignment="1" applyProtection="1">
      <alignment horizontal="center" vertical="center"/>
      <protection hidden="1"/>
    </xf>
    <xf numFmtId="164" fontId="6" fillId="0" borderId="21" xfId="0" applyNumberFormat="1" applyFont="1" applyBorder="1" applyAlignment="1" applyProtection="1">
      <alignment horizontal="center" vertical="center"/>
      <protection hidden="1"/>
    </xf>
    <xf numFmtId="1" fontId="6" fillId="0" borderId="21" xfId="0" applyNumberFormat="1" applyFont="1" applyBorder="1" applyAlignment="1" applyProtection="1">
      <alignment horizontal="right" vertical="center"/>
      <protection hidden="1"/>
    </xf>
    <xf numFmtId="164" fontId="6" fillId="0" borderId="21" xfId="0" applyNumberFormat="1" applyFont="1" applyFill="1" applyBorder="1" applyAlignment="1" applyProtection="1">
      <alignment horizontal="center" vertical="center"/>
      <protection hidden="1"/>
    </xf>
    <xf numFmtId="166" fontId="6" fillId="0" borderId="21" xfId="0" applyNumberFormat="1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24" fillId="0" borderId="22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165" fontId="26" fillId="0" borderId="22" xfId="0" applyNumberFormat="1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0" applyFont="1"/>
    <xf numFmtId="0" fontId="0" fillId="0" borderId="27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" fontId="6" fillId="0" borderId="28" xfId="0" applyNumberFormat="1" applyFont="1" applyBorder="1" applyAlignment="1" applyProtection="1">
      <alignment horizontal="center" vertical="center"/>
      <protection hidden="1"/>
    </xf>
    <xf numFmtId="1" fontId="6" fillId="0" borderId="28" xfId="0" applyNumberFormat="1" applyFont="1" applyBorder="1" applyAlignment="1" applyProtection="1">
      <alignment horizontal="right" vertical="center"/>
      <protection hidden="1"/>
    </xf>
    <xf numFmtId="164" fontId="6" fillId="0" borderId="28" xfId="0" applyNumberFormat="1" applyFont="1" applyFill="1" applyBorder="1" applyAlignment="1" applyProtection="1">
      <alignment horizontal="center" vertical="center"/>
      <protection hidden="1"/>
    </xf>
    <xf numFmtId="0" fontId="25" fillId="0" borderId="29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2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9" fontId="0" fillId="0" borderId="30" xfId="0" applyNumberFormat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170" fontId="0" fillId="0" borderId="30" xfId="0" applyNumberFormat="1" applyFont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  <protection hidden="1"/>
    </xf>
    <xf numFmtId="171" fontId="0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31" xfId="0" applyNumberForma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horizontal="center" vertical="center"/>
      <protection hidden="1"/>
    </xf>
    <xf numFmtId="10" fontId="0" fillId="0" borderId="0" xfId="0" applyNumberFormat="1" applyBorder="1" applyAlignment="1" applyProtection="1">
      <alignment horizontal="center" vertical="center"/>
    </xf>
    <xf numFmtId="0" fontId="32" fillId="0" borderId="0" xfId="0" applyFont="1" applyProtection="1">
      <protection hidden="1"/>
    </xf>
    <xf numFmtId="0" fontId="6" fillId="0" borderId="0" xfId="0" applyFont="1"/>
    <xf numFmtId="0" fontId="0" fillId="0" borderId="0" xfId="0" applyFont="1"/>
    <xf numFmtId="172" fontId="0" fillId="0" borderId="0" xfId="0" applyNumberFormat="1"/>
    <xf numFmtId="0" fontId="19" fillId="0" borderId="0" xfId="0" applyFont="1" applyBorder="1" applyAlignment="1">
      <alignment horizontal="center" vertical="center"/>
    </xf>
    <xf numFmtId="1" fontId="19" fillId="0" borderId="0" xfId="0" applyNumberFormat="1" applyFont="1" applyAlignment="1">
      <alignment horizontal="left"/>
    </xf>
    <xf numFmtId="169" fontId="34" fillId="0" borderId="0" xfId="0" applyNumberFormat="1" applyFont="1" applyAlignment="1">
      <alignment horizontal="right" vertical="center"/>
    </xf>
    <xf numFmtId="1" fontId="19" fillId="0" borderId="0" xfId="0" applyNumberFormat="1" applyFont="1" applyAlignment="1">
      <alignment horizontal="right"/>
    </xf>
    <xf numFmtId="0" fontId="0" fillId="6" borderId="34" xfId="0" applyFont="1" applyFill="1" applyBorder="1"/>
    <xf numFmtId="0" fontId="0" fillId="6" borderId="35" xfId="0" applyFont="1" applyFill="1" applyBorder="1"/>
    <xf numFmtId="0" fontId="0" fillId="6" borderId="36" xfId="0" applyFont="1" applyFill="1" applyBorder="1"/>
    <xf numFmtId="0" fontId="0" fillId="6" borderId="1" xfId="0" applyFont="1" applyFill="1" applyBorder="1"/>
    <xf numFmtId="0" fontId="0" fillId="6" borderId="37" xfId="0" applyFont="1" applyFill="1" applyBorder="1"/>
    <xf numFmtId="0" fontId="0" fillId="6" borderId="38" xfId="0" applyFont="1" applyFill="1" applyBorder="1"/>
    <xf numFmtId="0" fontId="0" fillId="6" borderId="2" xfId="0" applyFont="1" applyFill="1" applyBorder="1"/>
    <xf numFmtId="0" fontId="0" fillId="0" borderId="0" xfId="0" applyFont="1" applyProtection="1">
      <protection hidden="1"/>
    </xf>
    <xf numFmtId="0" fontId="0" fillId="6" borderId="39" xfId="0" applyFont="1" applyFill="1" applyBorder="1"/>
    <xf numFmtId="0" fontId="0" fillId="6" borderId="40" xfId="0" applyFont="1" applyFill="1" applyBorder="1"/>
    <xf numFmtId="172" fontId="0" fillId="0" borderId="27" xfId="0" applyNumberFormat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vertical="center"/>
    </xf>
    <xf numFmtId="1" fontId="19" fillId="0" borderId="1" xfId="0" applyNumberFormat="1" applyFont="1" applyBorder="1" applyAlignment="1" applyProtection="1">
      <alignment horizontal="right" vertical="center" textRotation="90"/>
      <protection hidden="1"/>
    </xf>
    <xf numFmtId="0" fontId="19" fillId="0" borderId="0" xfId="0" applyFont="1" applyBorder="1"/>
    <xf numFmtId="0" fontId="28" fillId="0" borderId="0" xfId="0" applyFont="1"/>
    <xf numFmtId="0" fontId="0" fillId="0" borderId="30" xfId="0" applyBorder="1" applyAlignment="1" applyProtection="1">
      <alignment horizontal="center" vertical="center"/>
      <protection locked="0"/>
    </xf>
    <xf numFmtId="169" fontId="34" fillId="0" borderId="0" xfId="0" applyNumberFormat="1" applyFont="1"/>
    <xf numFmtId="0" fontId="0" fillId="6" borderId="0" xfId="0" applyFont="1" applyFill="1" applyBorder="1"/>
    <xf numFmtId="1" fontId="19" fillId="0" borderId="0" xfId="0" applyNumberFormat="1" applyFont="1" applyAlignment="1" applyProtection="1">
      <alignment horizontal="left" vertical="center" textRotation="90"/>
      <protection hidden="1"/>
    </xf>
    <xf numFmtId="0" fontId="0" fillId="6" borderId="40" xfId="0" applyFont="1" applyFill="1" applyBorder="1" applyAlignment="1">
      <alignment horizontal="left"/>
    </xf>
    <xf numFmtId="0" fontId="19" fillId="0" borderId="0" xfId="0" applyFont="1" applyBorder="1" applyAlignment="1"/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0" xfId="0" applyBorder="1"/>
    <xf numFmtId="0" fontId="0" fillId="6" borderId="41" xfId="0" applyFont="1" applyFill="1" applyBorder="1"/>
    <xf numFmtId="0" fontId="0" fillId="6" borderId="42" xfId="0" applyFont="1" applyFill="1" applyBorder="1"/>
    <xf numFmtId="0" fontId="19" fillId="0" borderId="11" xfId="0" applyFont="1" applyBorder="1" applyAlignment="1"/>
    <xf numFmtId="0" fontId="0" fillId="6" borderId="26" xfId="0" applyFont="1" applyFill="1" applyBorder="1"/>
    <xf numFmtId="0" fontId="0" fillId="6" borderId="25" xfId="0" applyFont="1" applyFill="1" applyBorder="1"/>
    <xf numFmtId="0" fontId="0" fillId="6" borderId="24" xfId="0" applyFont="1" applyFill="1" applyBorder="1"/>
    <xf numFmtId="173" fontId="30" fillId="0" borderId="3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hidden="1"/>
    </xf>
    <xf numFmtId="174" fontId="0" fillId="0" borderId="0" xfId="0" applyNumberFormat="1" applyBorder="1" applyAlignment="1" applyProtection="1">
      <alignment horizontal="center" vertical="center"/>
      <protection hidden="1"/>
    </xf>
    <xf numFmtId="172" fontId="0" fillId="0" borderId="0" xfId="0" applyNumberFormat="1" applyBorder="1" applyAlignment="1">
      <alignment horizontal="center" vertical="center"/>
    </xf>
    <xf numFmtId="172" fontId="0" fillId="0" borderId="0" xfId="0" applyNumberForma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  <protection hidden="1"/>
    </xf>
    <xf numFmtId="0" fontId="0" fillId="6" borderId="46" xfId="0" applyFont="1" applyFill="1" applyBorder="1"/>
    <xf numFmtId="0" fontId="0" fillId="0" borderId="0" xfId="0" applyFont="1" applyAlignment="1">
      <alignment horizontal="center" vertical="center"/>
    </xf>
    <xf numFmtId="1" fontId="19" fillId="0" borderId="0" xfId="0" applyNumberFormat="1" applyFont="1" applyAlignment="1" applyProtection="1">
      <alignment horizontal="right" vertical="center" textRotation="90"/>
      <protection hidden="1"/>
    </xf>
    <xf numFmtId="0" fontId="39" fillId="0" borderId="2" xfId="0" applyFont="1" applyBorder="1" applyAlignment="1" applyProtection="1">
      <alignment horizontal="left" vertical="center" textRotation="90"/>
      <protection hidden="1"/>
    </xf>
    <xf numFmtId="0" fontId="40" fillId="0" borderId="1" xfId="0" applyFont="1" applyBorder="1" applyAlignment="1" applyProtection="1">
      <alignment horizontal="right" vertical="center" textRotation="90"/>
      <protection hidden="1"/>
    </xf>
    <xf numFmtId="1" fontId="0" fillId="0" borderId="30" xfId="0" applyNumberFormat="1" applyBorder="1" applyAlignment="1" applyProtection="1">
      <alignment horizontal="center" vertical="center"/>
      <protection locked="0"/>
    </xf>
    <xf numFmtId="0" fontId="0" fillId="6" borderId="48" xfId="0" applyFont="1" applyFill="1" applyBorder="1"/>
    <xf numFmtId="0" fontId="41" fillId="0" borderId="0" xfId="0" applyFont="1" applyProtection="1">
      <protection hidden="1"/>
    </xf>
    <xf numFmtId="0" fontId="39" fillId="0" borderId="35" xfId="0" applyFont="1" applyBorder="1" applyAlignment="1" applyProtection="1">
      <alignment horizontal="center" vertical="center"/>
      <protection hidden="1"/>
    </xf>
    <xf numFmtId="0" fontId="42" fillId="0" borderId="0" xfId="0" applyFont="1" applyProtection="1">
      <protection hidden="1"/>
    </xf>
    <xf numFmtId="175" fontId="0" fillId="0" borderId="27" xfId="0" applyNumberFormat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175" fontId="19" fillId="0" borderId="27" xfId="0" applyNumberFormat="1" applyFont="1" applyBorder="1" applyAlignment="1" applyProtection="1">
      <alignment horizontal="center" vertical="center"/>
      <protection hidden="1"/>
    </xf>
    <xf numFmtId="175" fontId="0" fillId="0" borderId="27" xfId="0" applyNumberFormat="1" applyFont="1" applyBorder="1" applyAlignment="1" applyProtection="1">
      <alignment horizontal="center" vertical="center"/>
      <protection hidden="1"/>
    </xf>
    <xf numFmtId="175" fontId="19" fillId="0" borderId="30" xfId="0" applyNumberFormat="1" applyFont="1" applyBorder="1" applyAlignment="1" applyProtection="1">
      <alignment horizontal="center" vertical="center"/>
      <protection locked="0"/>
    </xf>
    <xf numFmtId="175" fontId="0" fillId="0" borderId="30" xfId="0" applyNumberFormat="1" applyFont="1" applyBorder="1" applyAlignment="1" applyProtection="1">
      <alignment horizontal="center" vertical="center"/>
      <protection locked="0"/>
    </xf>
    <xf numFmtId="10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33" fillId="0" borderId="0" xfId="0" applyFont="1" applyAlignment="1" applyProtection="1">
      <protection hidden="1"/>
    </xf>
    <xf numFmtId="171" fontId="0" fillId="0" borderId="30" xfId="0" applyNumberFormat="1" applyFont="1" applyBorder="1" applyAlignment="1" applyProtection="1">
      <alignment horizontal="center" vertical="center"/>
      <protection locked="0"/>
    </xf>
    <xf numFmtId="176" fontId="0" fillId="0" borderId="49" xfId="0" applyNumberFormat="1" applyFont="1" applyBorder="1" applyAlignment="1" applyProtection="1">
      <alignment horizontal="center" vertical="center"/>
      <protection hidden="1"/>
    </xf>
    <xf numFmtId="176" fontId="0" fillId="0" borderId="27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27" xfId="0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71" fontId="0" fillId="0" borderId="27" xfId="0" applyNumberFormat="1" applyFont="1" applyBorder="1" applyAlignment="1" applyProtection="1">
      <alignment horizontal="center" vertical="center"/>
    </xf>
    <xf numFmtId="177" fontId="0" fillId="0" borderId="27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2" fontId="19" fillId="0" borderId="0" xfId="0" applyNumberFormat="1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  <protection hidden="1"/>
    </xf>
    <xf numFmtId="169" fontId="0" fillId="0" borderId="27" xfId="0" applyNumberFormat="1" applyBorder="1" applyAlignment="1" applyProtection="1">
      <alignment horizontal="center" vertical="center"/>
      <protection hidden="1"/>
    </xf>
    <xf numFmtId="169" fontId="0" fillId="0" borderId="50" xfId="0" applyNumberForma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0" fillId="0" borderId="0" xfId="0" applyNumberFormat="1" applyAlignment="1">
      <alignment horizontal="center" vertical="center"/>
    </xf>
    <xf numFmtId="0" fontId="19" fillId="0" borderId="0" xfId="0" applyFont="1" applyBorder="1" applyProtection="1"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Protection="1">
      <protection hidden="1"/>
    </xf>
    <xf numFmtId="177" fontId="0" fillId="0" borderId="0" xfId="0" applyNumberFormat="1" applyProtection="1">
      <protection hidden="1"/>
    </xf>
    <xf numFmtId="0" fontId="0" fillId="0" borderId="27" xfId="0" applyBorder="1"/>
    <xf numFmtId="2" fontId="0" fillId="0" borderId="27" xfId="0" applyNumberFormat="1" applyBorder="1" applyAlignment="1" applyProtection="1">
      <alignment horizontal="center" vertical="center"/>
      <protection hidden="1"/>
    </xf>
    <xf numFmtId="0" fontId="49" fillId="0" borderId="27" xfId="0" applyFont="1" applyBorder="1" applyAlignment="1" applyProtection="1">
      <alignment horizontal="center" vertical="center"/>
      <protection hidden="1"/>
    </xf>
    <xf numFmtId="0" fontId="51" fillId="0" borderId="0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52" fillId="0" borderId="47" xfId="0" applyFont="1" applyFill="1" applyBorder="1" applyAlignment="1" applyProtection="1">
      <alignment horizontal="center" vertical="center"/>
      <protection hidden="1"/>
    </xf>
    <xf numFmtId="0" fontId="19" fillId="7" borderId="30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>
      <alignment horizontal="center"/>
    </xf>
    <xf numFmtId="0" fontId="0" fillId="0" borderId="53" xfId="0" applyBorder="1"/>
    <xf numFmtId="0" fontId="35" fillId="0" borderId="53" xfId="0" applyFont="1" applyBorder="1" applyAlignment="1" applyProtection="1">
      <alignment horizontal="left" vertical="center"/>
    </xf>
    <xf numFmtId="0" fontId="52" fillId="0" borderId="54" xfId="0" applyFont="1" applyFill="1" applyBorder="1" applyAlignment="1" applyProtection="1">
      <alignment horizontal="center" vertical="center"/>
      <protection hidden="1"/>
    </xf>
    <xf numFmtId="166" fontId="0" fillId="0" borderId="0" xfId="0" applyNumberFormat="1"/>
    <xf numFmtId="175" fontId="0" fillId="0" borderId="0" xfId="0" applyNumberFormat="1"/>
    <xf numFmtId="171" fontId="0" fillId="0" borderId="27" xfId="0" applyNumberFormat="1" applyBorder="1" applyAlignment="1" applyProtection="1">
      <alignment horizontal="center" vertical="center"/>
      <protection hidden="1"/>
    </xf>
    <xf numFmtId="175" fontId="19" fillId="0" borderId="27" xfId="0" applyNumberFormat="1" applyFont="1" applyBorder="1" applyAlignment="1" applyProtection="1">
      <alignment horizontal="center" vertical="center"/>
      <protection locked="0"/>
    </xf>
    <xf numFmtId="177" fontId="0" fillId="0" borderId="27" xfId="0" applyNumberFormat="1" applyBorder="1" applyAlignment="1" applyProtection="1">
      <alignment horizontal="center" vertical="center"/>
      <protection hidden="1"/>
    </xf>
    <xf numFmtId="1" fontId="0" fillId="0" borderId="27" xfId="0" applyNumberFormat="1" applyBorder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35" fillId="0" borderId="0" xfId="0" applyFont="1" applyBorder="1"/>
    <xf numFmtId="0" fontId="19" fillId="0" borderId="2" xfId="0" applyFont="1" applyBorder="1"/>
    <xf numFmtId="0" fontId="19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5" xfId="0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 vertical="center"/>
    </xf>
    <xf numFmtId="10" fontId="0" fillId="0" borderId="27" xfId="0" applyNumberFormat="1" applyBorder="1" applyAlignment="1" applyProtection="1">
      <alignment horizontal="center" vertical="center"/>
    </xf>
    <xf numFmtId="0" fontId="56" fillId="0" borderId="30" xfId="0" applyFont="1" applyFill="1" applyBorder="1" applyAlignment="1" applyProtection="1">
      <alignment horizontal="center" vertical="center"/>
      <protection locked="0"/>
    </xf>
    <xf numFmtId="0" fontId="52" fillId="0" borderId="0" xfId="0" applyFont="1" applyBorder="1" applyAlignment="1">
      <alignment horizontal="center" vertical="center"/>
    </xf>
    <xf numFmtId="0" fontId="43" fillId="0" borderId="27" xfId="0" applyFont="1" applyBorder="1" applyAlignment="1" applyProtection="1">
      <alignment horizontal="center" vertical="center"/>
      <protection hidden="1"/>
    </xf>
    <xf numFmtId="0" fontId="30" fillId="0" borderId="0" xfId="0" applyFont="1" applyAlignment="1">
      <alignment horizontal="center" vertical="center"/>
    </xf>
    <xf numFmtId="0" fontId="30" fillId="0" borderId="27" xfId="0" applyFont="1" applyBorder="1" applyAlignment="1" applyProtection="1">
      <alignment horizontal="center" vertical="center"/>
      <protection hidden="1"/>
    </xf>
    <xf numFmtId="1" fontId="0" fillId="0" borderId="27" xfId="0" applyNumberForma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hidden="1"/>
    </xf>
    <xf numFmtId="1" fontId="6" fillId="0" borderId="29" xfId="0" applyNumberFormat="1" applyFont="1" applyBorder="1" applyAlignment="1" applyProtection="1">
      <alignment horizontal="right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69" fontId="3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54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0" fontId="0" fillId="0" borderId="30" xfId="0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2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9" fillId="8" borderId="0" xfId="0" applyFont="1" applyFill="1" applyAlignment="1" applyProtection="1">
      <alignment horizontal="center"/>
      <protection hidden="1"/>
    </xf>
    <xf numFmtId="0" fontId="22" fillId="0" borderId="0" xfId="1" applyAlignment="1" applyProtection="1">
      <alignment horizontal="center"/>
      <protection hidden="1"/>
    </xf>
    <xf numFmtId="0" fontId="33" fillId="0" borderId="0" xfId="0" applyFont="1" applyAlignment="1" applyProtection="1">
      <alignment horizontal="left"/>
      <protection hidden="1"/>
    </xf>
    <xf numFmtId="0" fontId="0" fillId="0" borderId="0" xfId="0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 vertical="center" wrapText="1"/>
    </xf>
    <xf numFmtId="0" fontId="0" fillId="6" borderId="40" xfId="0" applyFont="1" applyFill="1" applyBorder="1" applyAlignment="1">
      <alignment horizontal="center" vertical="center" wrapText="1"/>
    </xf>
    <xf numFmtId="0" fontId="0" fillId="6" borderId="39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6" borderId="45" xfId="0" applyFont="1" applyFill="1" applyBorder="1" applyAlignment="1">
      <alignment horizontal="center" vertical="center" textRotation="90" wrapText="1"/>
    </xf>
    <xf numFmtId="0" fontId="0" fillId="6" borderId="44" xfId="0" applyFont="1" applyFill="1" applyBorder="1" applyAlignment="1">
      <alignment horizontal="center" vertical="center" textRotation="90" wrapText="1"/>
    </xf>
    <xf numFmtId="0" fontId="0" fillId="6" borderId="43" xfId="0" applyFont="1" applyFill="1" applyBorder="1" applyAlignment="1">
      <alignment horizontal="center" vertical="center" textRotation="90" wrapText="1"/>
    </xf>
    <xf numFmtId="1" fontId="6" fillId="7" borderId="52" xfId="0" applyNumberFormat="1" applyFont="1" applyFill="1" applyBorder="1" applyAlignment="1" applyProtection="1">
      <alignment horizontal="center" vertical="center"/>
      <protection locked="0"/>
    </xf>
    <xf numFmtId="1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53" fillId="0" borderId="24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16" fillId="0" borderId="26" xfId="0" applyFont="1" applyBorder="1" applyAlignment="1" applyProtection="1">
      <alignment horizontal="center" vertical="center"/>
      <protection hidden="1"/>
    </xf>
    <xf numFmtId="2" fontId="6" fillId="0" borderId="6" xfId="0" applyNumberFormat="1" applyFont="1" applyBorder="1" applyAlignment="1" applyProtection="1">
      <alignment horizontal="center" vertical="center"/>
      <protection hidden="1"/>
    </xf>
    <xf numFmtId="2" fontId="6" fillId="0" borderId="7" xfId="0" applyNumberFormat="1" applyFont="1" applyBorder="1" applyAlignment="1" applyProtection="1">
      <alignment horizontal="center" vertical="center"/>
      <protection hidden="1"/>
    </xf>
    <xf numFmtId="2" fontId="6" fillId="0" borderId="8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alignment horizontal="left" vertical="center"/>
      <protection hidden="1"/>
    </xf>
    <xf numFmtId="0" fontId="15" fillId="0" borderId="15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2" fontId="4" fillId="0" borderId="6" xfId="0" applyNumberFormat="1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13" fillId="4" borderId="23" xfId="0" applyFont="1" applyFill="1" applyBorder="1" applyAlignment="1" applyProtection="1">
      <alignment horizontal="center" vertical="center" wrapText="1"/>
      <protection hidden="1"/>
    </xf>
    <xf numFmtId="0" fontId="13" fillId="3" borderId="23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center" vertical="center"/>
      <protection hidden="1"/>
    </xf>
    <xf numFmtId="165" fontId="13" fillId="5" borderId="23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8" fillId="0" borderId="27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6">
    <dxf>
      <border>
        <left/>
        <right/>
        <top/>
        <bottom/>
        <vertical/>
        <horizontal/>
      </border>
    </dxf>
    <dxf>
      <font>
        <color theme="0"/>
      </font>
    </dxf>
    <dxf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numFmt numFmtId="2" formatCode="0.00"/>
    </dxf>
    <dxf>
      <border>
        <left/>
        <right/>
        <top/>
        <bottom/>
        <vertical/>
        <horizontal/>
      </border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color theme="1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788064953214679E-2"/>
          <c:y val="1.6828456775164705E-2"/>
          <c:w val="0.82687070365982562"/>
          <c:h val="0.95086021288029665"/>
        </c:manualLayout>
      </c:layout>
      <c:scatterChart>
        <c:scatterStyle val="smoothMarker"/>
        <c:varyColors val="0"/>
        <c:ser>
          <c:idx val="2"/>
          <c:order val="0"/>
          <c:tx>
            <c:v>CAMPO 1</c:v>
          </c:tx>
          <c:spPr>
            <a:ln w="12700">
              <a:solidFill>
                <a:srgbClr val="7CFB25"/>
              </a:solidFill>
            </a:ln>
          </c:spPr>
          <c:marker>
            <c:symbol val="none"/>
          </c:marker>
          <c:xVal>
            <c:numRef>
              <c:f>'T2'!$R$2:$R$102</c:f>
              <c:numCache>
                <c:formatCode>0.000</c:formatCode>
                <c:ptCount val="101"/>
                <c:pt idx="0">
                  <c:v>-0.29581171389629707</c:v>
                </c:pt>
                <c:pt idx="1">
                  <c:v>-0.29581171389629707</c:v>
                </c:pt>
                <c:pt idx="2">
                  <c:v>-0.29581171389629707</c:v>
                </c:pt>
                <c:pt idx="3">
                  <c:v>-0.29581171389629707</c:v>
                </c:pt>
                <c:pt idx="4">
                  <c:v>-0.29581171389629707</c:v>
                </c:pt>
                <c:pt idx="5">
                  <c:v>-0.29581171389629707</c:v>
                </c:pt>
                <c:pt idx="6">
                  <c:v>-0.29581171389629707</c:v>
                </c:pt>
                <c:pt idx="7">
                  <c:v>-0.29581171389629707</c:v>
                </c:pt>
                <c:pt idx="8">
                  <c:v>-0.29581171389629707</c:v>
                </c:pt>
                <c:pt idx="9">
                  <c:v>-0.29581171389629707</c:v>
                </c:pt>
                <c:pt idx="10">
                  <c:v>-0.29581171389629707</c:v>
                </c:pt>
                <c:pt idx="11">
                  <c:v>-0.29581171389629707</c:v>
                </c:pt>
                <c:pt idx="12">
                  <c:v>-0.29581171389629707</c:v>
                </c:pt>
                <c:pt idx="13">
                  <c:v>-0.29581171389629707</c:v>
                </c:pt>
                <c:pt idx="14">
                  <c:v>-0.29581171389629707</c:v>
                </c:pt>
                <c:pt idx="15">
                  <c:v>-0.29581171389629707</c:v>
                </c:pt>
                <c:pt idx="16">
                  <c:v>-0.29581171389629707</c:v>
                </c:pt>
                <c:pt idx="17">
                  <c:v>-0.29581171389629707</c:v>
                </c:pt>
                <c:pt idx="18">
                  <c:v>-0.29581171389629707</c:v>
                </c:pt>
                <c:pt idx="19">
                  <c:v>-0.29581171389629707</c:v>
                </c:pt>
                <c:pt idx="20">
                  <c:v>-0.29581171389629707</c:v>
                </c:pt>
                <c:pt idx="21">
                  <c:v>-0.29581171389629707</c:v>
                </c:pt>
                <c:pt idx="22">
                  <c:v>-0.29581171389629707</c:v>
                </c:pt>
                <c:pt idx="23">
                  <c:v>-0.29581171389629707</c:v>
                </c:pt>
                <c:pt idx="24">
                  <c:v>-0.29581171389629707</c:v>
                </c:pt>
                <c:pt idx="25">
                  <c:v>-0.29581171389629707</c:v>
                </c:pt>
                <c:pt idx="26">
                  <c:v>-0.29581171389629707</c:v>
                </c:pt>
                <c:pt idx="27">
                  <c:v>-0.29581171389629707</c:v>
                </c:pt>
                <c:pt idx="28">
                  <c:v>-0.29581171389629707</c:v>
                </c:pt>
                <c:pt idx="29">
                  <c:v>-0.29581171389629707</c:v>
                </c:pt>
                <c:pt idx="30">
                  <c:v>-0.29581171389629707</c:v>
                </c:pt>
                <c:pt idx="31">
                  <c:v>-0.29581171389629707</c:v>
                </c:pt>
                <c:pt idx="32">
                  <c:v>-0.29581171389629707</c:v>
                </c:pt>
                <c:pt idx="33">
                  <c:v>-0.29581171389629707</c:v>
                </c:pt>
                <c:pt idx="34">
                  <c:v>-0.29581171389629707</c:v>
                </c:pt>
                <c:pt idx="35">
                  <c:v>-0.29581171389629707</c:v>
                </c:pt>
                <c:pt idx="36">
                  <c:v>-0.29581171389629707</c:v>
                </c:pt>
                <c:pt idx="37">
                  <c:v>-0.29581171389629707</c:v>
                </c:pt>
                <c:pt idx="38">
                  <c:v>-0.29581171389629707</c:v>
                </c:pt>
                <c:pt idx="39">
                  <c:v>-0.29581171389629707</c:v>
                </c:pt>
                <c:pt idx="40">
                  <c:v>-0.29581171389629707</c:v>
                </c:pt>
                <c:pt idx="41">
                  <c:v>-0.29581171389629707</c:v>
                </c:pt>
                <c:pt idx="42">
                  <c:v>-0.29581171389629707</c:v>
                </c:pt>
                <c:pt idx="43">
                  <c:v>-0.29581171389629707</c:v>
                </c:pt>
                <c:pt idx="44">
                  <c:v>-0.29581171389629707</c:v>
                </c:pt>
                <c:pt idx="45">
                  <c:v>-0.29581171389629707</c:v>
                </c:pt>
                <c:pt idx="46">
                  <c:v>-0.29581171389629707</c:v>
                </c:pt>
                <c:pt idx="47">
                  <c:v>-0.29581171389629707</c:v>
                </c:pt>
                <c:pt idx="48">
                  <c:v>-0.29581171389629707</c:v>
                </c:pt>
                <c:pt idx="49">
                  <c:v>-0.29581171389629707</c:v>
                </c:pt>
                <c:pt idx="50">
                  <c:v>-0.29581171389629707</c:v>
                </c:pt>
                <c:pt idx="51">
                  <c:v>-0.29581171389629707</c:v>
                </c:pt>
                <c:pt idx="52">
                  <c:v>-0.29581171389629707</c:v>
                </c:pt>
                <c:pt idx="53">
                  <c:v>-0.29581171389629707</c:v>
                </c:pt>
                <c:pt idx="54">
                  <c:v>-0.29581171389629707</c:v>
                </c:pt>
                <c:pt idx="55">
                  <c:v>-0.29581171389629707</c:v>
                </c:pt>
                <c:pt idx="56">
                  <c:v>-0.29581171389629707</c:v>
                </c:pt>
                <c:pt idx="57">
                  <c:v>-0.29581171389629707</c:v>
                </c:pt>
                <c:pt idx="58">
                  <c:v>-0.29581171389629707</c:v>
                </c:pt>
                <c:pt idx="59">
                  <c:v>-0.29581171389629707</c:v>
                </c:pt>
                <c:pt idx="60">
                  <c:v>-0.29581171389629707</c:v>
                </c:pt>
                <c:pt idx="61">
                  <c:v>-0.29581171389629707</c:v>
                </c:pt>
                <c:pt idx="62">
                  <c:v>-0.29581171389629707</c:v>
                </c:pt>
                <c:pt idx="63">
                  <c:v>-0.29581171389629707</c:v>
                </c:pt>
                <c:pt idx="64">
                  <c:v>-0.29581171389629707</c:v>
                </c:pt>
                <c:pt idx="65">
                  <c:v>-0.29581171389629707</c:v>
                </c:pt>
                <c:pt idx="66">
                  <c:v>-0.29581171389629707</c:v>
                </c:pt>
                <c:pt idx="67">
                  <c:v>-0.29581171389629707</c:v>
                </c:pt>
                <c:pt idx="68">
                  <c:v>-0.29581171389629707</c:v>
                </c:pt>
                <c:pt idx="69">
                  <c:v>-0.29581171389629707</c:v>
                </c:pt>
                <c:pt idx="70">
                  <c:v>-0.29581171389629707</c:v>
                </c:pt>
                <c:pt idx="71">
                  <c:v>-0.29581171389629707</c:v>
                </c:pt>
                <c:pt idx="72">
                  <c:v>-0.29581171389629707</c:v>
                </c:pt>
                <c:pt idx="73">
                  <c:v>-0.29581171389629707</c:v>
                </c:pt>
                <c:pt idx="74">
                  <c:v>-0.29581171389629707</c:v>
                </c:pt>
                <c:pt idx="75">
                  <c:v>-0.29581171389629707</c:v>
                </c:pt>
                <c:pt idx="76">
                  <c:v>-0.29581171389629707</c:v>
                </c:pt>
                <c:pt idx="77">
                  <c:v>-0.29581171389629707</c:v>
                </c:pt>
                <c:pt idx="78">
                  <c:v>-0.29581171389629707</c:v>
                </c:pt>
                <c:pt idx="79">
                  <c:v>-0.29581171389629707</c:v>
                </c:pt>
                <c:pt idx="80">
                  <c:v>-0.29581171389629707</c:v>
                </c:pt>
                <c:pt idx="81">
                  <c:v>-0.29581171389629707</c:v>
                </c:pt>
                <c:pt idx="82">
                  <c:v>-0.29581171389629707</c:v>
                </c:pt>
                <c:pt idx="83">
                  <c:v>-0.29581171389629707</c:v>
                </c:pt>
                <c:pt idx="84">
                  <c:v>-0.29581171389629707</c:v>
                </c:pt>
                <c:pt idx="85">
                  <c:v>-0.29581171389629707</c:v>
                </c:pt>
                <c:pt idx="86">
                  <c:v>-0.29581171389629707</c:v>
                </c:pt>
                <c:pt idx="87">
                  <c:v>-0.29581171389629707</c:v>
                </c:pt>
                <c:pt idx="88">
                  <c:v>-0.29581171389629707</c:v>
                </c:pt>
                <c:pt idx="89">
                  <c:v>-0.29581171389629707</c:v>
                </c:pt>
                <c:pt idx="90">
                  <c:v>-0.29581171389629707</c:v>
                </c:pt>
                <c:pt idx="91">
                  <c:v>-0.29581171389629707</c:v>
                </c:pt>
                <c:pt idx="92">
                  <c:v>-0.29581171389629707</c:v>
                </c:pt>
                <c:pt idx="93">
                  <c:v>-0.29581171389629707</c:v>
                </c:pt>
                <c:pt idx="94">
                  <c:v>-0.29581171389629707</c:v>
                </c:pt>
                <c:pt idx="95">
                  <c:v>-0.29581171389629707</c:v>
                </c:pt>
                <c:pt idx="96">
                  <c:v>-0.29581171389629707</c:v>
                </c:pt>
                <c:pt idx="97">
                  <c:v>-0.29581171389629707</c:v>
                </c:pt>
                <c:pt idx="98">
                  <c:v>-0.29581171389629707</c:v>
                </c:pt>
                <c:pt idx="99">
                  <c:v>-0.29581171389629707</c:v>
                </c:pt>
                <c:pt idx="100">
                  <c:v>-0.29581171389629707</c:v>
                </c:pt>
              </c:numCache>
            </c:numRef>
          </c:xVal>
          <c:yVal>
            <c:numRef>
              <c:f>'T2'!$S$2:$S$102</c:f>
              <c:numCache>
                <c:formatCode>0.000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C9-449F-A085-B93D986DC3D2}"/>
            </c:ext>
          </c:extLst>
        </c:ser>
        <c:ser>
          <c:idx val="4"/>
          <c:order val="1"/>
          <c:tx>
            <c:v>CAMPO 1</c:v>
          </c:tx>
          <c:spPr>
            <a:ln w="12700">
              <a:solidFill>
                <a:srgbClr val="7CFB25"/>
              </a:solidFill>
            </a:ln>
          </c:spPr>
          <c:marker>
            <c:symbol val="none"/>
          </c:marker>
          <c:xVal>
            <c:numRef>
              <c:f>'T2'!$R$2:$R$102</c:f>
              <c:numCache>
                <c:formatCode>0.000</c:formatCode>
                <c:ptCount val="101"/>
                <c:pt idx="0">
                  <c:v>-0.29581171389629707</c:v>
                </c:pt>
                <c:pt idx="1">
                  <c:v>-0.29581171389629707</c:v>
                </c:pt>
                <c:pt idx="2">
                  <c:v>-0.29581171389629707</c:v>
                </c:pt>
                <c:pt idx="3">
                  <c:v>-0.29581171389629707</c:v>
                </c:pt>
                <c:pt idx="4">
                  <c:v>-0.29581171389629707</c:v>
                </c:pt>
                <c:pt idx="5">
                  <c:v>-0.29581171389629707</c:v>
                </c:pt>
                <c:pt idx="6">
                  <c:v>-0.29581171389629707</c:v>
                </c:pt>
                <c:pt idx="7">
                  <c:v>-0.29581171389629707</c:v>
                </c:pt>
                <c:pt idx="8">
                  <c:v>-0.29581171389629707</c:v>
                </c:pt>
                <c:pt idx="9">
                  <c:v>-0.29581171389629707</c:v>
                </c:pt>
                <c:pt idx="10">
                  <c:v>-0.29581171389629707</c:v>
                </c:pt>
                <c:pt idx="11">
                  <c:v>-0.29581171389629707</c:v>
                </c:pt>
                <c:pt idx="12">
                  <c:v>-0.29581171389629707</c:v>
                </c:pt>
                <c:pt idx="13">
                  <c:v>-0.29581171389629707</c:v>
                </c:pt>
                <c:pt idx="14">
                  <c:v>-0.29581171389629707</c:v>
                </c:pt>
                <c:pt idx="15">
                  <c:v>-0.29581171389629707</c:v>
                </c:pt>
                <c:pt idx="16">
                  <c:v>-0.29581171389629707</c:v>
                </c:pt>
                <c:pt idx="17">
                  <c:v>-0.29581171389629707</c:v>
                </c:pt>
                <c:pt idx="18">
                  <c:v>-0.29581171389629707</c:v>
                </c:pt>
                <c:pt idx="19">
                  <c:v>-0.29581171389629707</c:v>
                </c:pt>
                <c:pt idx="20">
                  <c:v>-0.29581171389629707</c:v>
                </c:pt>
                <c:pt idx="21">
                  <c:v>-0.29581171389629707</c:v>
                </c:pt>
                <c:pt idx="22">
                  <c:v>-0.29581171389629707</c:v>
                </c:pt>
                <c:pt idx="23">
                  <c:v>-0.29581171389629707</c:v>
                </c:pt>
                <c:pt idx="24">
                  <c:v>-0.29581171389629707</c:v>
                </c:pt>
                <c:pt idx="25">
                  <c:v>-0.29581171389629707</c:v>
                </c:pt>
                <c:pt idx="26">
                  <c:v>-0.29581171389629707</c:v>
                </c:pt>
                <c:pt idx="27">
                  <c:v>-0.29581171389629707</c:v>
                </c:pt>
                <c:pt idx="28">
                  <c:v>-0.29581171389629707</c:v>
                </c:pt>
                <c:pt idx="29">
                  <c:v>-0.29581171389629707</c:v>
                </c:pt>
                <c:pt idx="30">
                  <c:v>-0.29581171389629707</c:v>
                </c:pt>
                <c:pt idx="31">
                  <c:v>-0.29581171389629707</c:v>
                </c:pt>
                <c:pt idx="32">
                  <c:v>-0.29581171389629707</c:v>
                </c:pt>
                <c:pt idx="33">
                  <c:v>-0.29581171389629707</c:v>
                </c:pt>
                <c:pt idx="34">
                  <c:v>-0.29581171389629707</c:v>
                </c:pt>
                <c:pt idx="35">
                  <c:v>-0.29581171389629707</c:v>
                </c:pt>
                <c:pt idx="36">
                  <c:v>-0.29581171389629707</c:v>
                </c:pt>
                <c:pt idx="37">
                  <c:v>-0.29581171389629707</c:v>
                </c:pt>
                <c:pt idx="38">
                  <c:v>-0.29581171389629707</c:v>
                </c:pt>
                <c:pt idx="39">
                  <c:v>-0.29581171389629707</c:v>
                </c:pt>
                <c:pt idx="40">
                  <c:v>-0.29581171389629707</c:v>
                </c:pt>
                <c:pt idx="41">
                  <c:v>-0.29581171389629707</c:v>
                </c:pt>
                <c:pt idx="42">
                  <c:v>-0.29581171389629707</c:v>
                </c:pt>
                <c:pt idx="43">
                  <c:v>-0.29581171389629707</c:v>
                </c:pt>
                <c:pt idx="44">
                  <c:v>-0.29581171389629707</c:v>
                </c:pt>
                <c:pt idx="45">
                  <c:v>-0.29581171389629707</c:v>
                </c:pt>
                <c:pt idx="46">
                  <c:v>-0.29581171389629707</c:v>
                </c:pt>
                <c:pt idx="47">
                  <c:v>-0.29581171389629707</c:v>
                </c:pt>
                <c:pt idx="48">
                  <c:v>-0.29581171389629707</c:v>
                </c:pt>
                <c:pt idx="49">
                  <c:v>-0.29581171389629707</c:v>
                </c:pt>
                <c:pt idx="50">
                  <c:v>-0.29581171389629707</c:v>
                </c:pt>
                <c:pt idx="51">
                  <c:v>-0.29581171389629707</c:v>
                </c:pt>
                <c:pt idx="52">
                  <c:v>-0.29581171389629707</c:v>
                </c:pt>
                <c:pt idx="53">
                  <c:v>-0.29581171389629707</c:v>
                </c:pt>
                <c:pt idx="54">
                  <c:v>-0.29581171389629707</c:v>
                </c:pt>
                <c:pt idx="55">
                  <c:v>-0.29581171389629707</c:v>
                </c:pt>
                <c:pt idx="56">
                  <c:v>-0.29581171389629707</c:v>
                </c:pt>
                <c:pt idx="57">
                  <c:v>-0.29581171389629707</c:v>
                </c:pt>
                <c:pt idx="58">
                  <c:v>-0.29581171389629707</c:v>
                </c:pt>
                <c:pt idx="59">
                  <c:v>-0.29581171389629707</c:v>
                </c:pt>
                <c:pt idx="60">
                  <c:v>-0.29581171389629707</c:v>
                </c:pt>
                <c:pt idx="61">
                  <c:v>-0.29581171389629707</c:v>
                </c:pt>
                <c:pt idx="62">
                  <c:v>-0.29581171389629707</c:v>
                </c:pt>
                <c:pt idx="63">
                  <c:v>-0.29581171389629707</c:v>
                </c:pt>
                <c:pt idx="64">
                  <c:v>-0.29581171389629707</c:v>
                </c:pt>
                <c:pt idx="65">
                  <c:v>-0.29581171389629707</c:v>
                </c:pt>
                <c:pt idx="66">
                  <c:v>-0.29581171389629707</c:v>
                </c:pt>
                <c:pt idx="67">
                  <c:v>-0.29581171389629707</c:v>
                </c:pt>
                <c:pt idx="68">
                  <c:v>-0.29581171389629707</c:v>
                </c:pt>
                <c:pt idx="69">
                  <c:v>-0.29581171389629707</c:v>
                </c:pt>
                <c:pt idx="70">
                  <c:v>-0.29581171389629707</c:v>
                </c:pt>
                <c:pt idx="71">
                  <c:v>-0.29581171389629707</c:v>
                </c:pt>
                <c:pt idx="72">
                  <c:v>-0.29581171389629707</c:v>
                </c:pt>
                <c:pt idx="73">
                  <c:v>-0.29581171389629707</c:v>
                </c:pt>
                <c:pt idx="74">
                  <c:v>-0.29581171389629707</c:v>
                </c:pt>
                <c:pt idx="75">
                  <c:v>-0.29581171389629707</c:v>
                </c:pt>
                <c:pt idx="76">
                  <c:v>-0.29581171389629707</c:v>
                </c:pt>
                <c:pt idx="77">
                  <c:v>-0.29581171389629707</c:v>
                </c:pt>
                <c:pt idx="78">
                  <c:v>-0.29581171389629707</c:v>
                </c:pt>
                <c:pt idx="79">
                  <c:v>-0.29581171389629707</c:v>
                </c:pt>
                <c:pt idx="80">
                  <c:v>-0.29581171389629707</c:v>
                </c:pt>
                <c:pt idx="81">
                  <c:v>-0.29581171389629707</c:v>
                </c:pt>
                <c:pt idx="82">
                  <c:v>-0.29581171389629707</c:v>
                </c:pt>
                <c:pt idx="83">
                  <c:v>-0.29581171389629707</c:v>
                </c:pt>
                <c:pt idx="84">
                  <c:v>-0.29581171389629707</c:v>
                </c:pt>
                <c:pt idx="85">
                  <c:v>-0.29581171389629707</c:v>
                </c:pt>
                <c:pt idx="86">
                  <c:v>-0.29581171389629707</c:v>
                </c:pt>
                <c:pt idx="87">
                  <c:v>-0.29581171389629707</c:v>
                </c:pt>
                <c:pt idx="88">
                  <c:v>-0.29581171389629707</c:v>
                </c:pt>
                <c:pt idx="89">
                  <c:v>-0.29581171389629707</c:v>
                </c:pt>
                <c:pt idx="90">
                  <c:v>-0.29581171389629707</c:v>
                </c:pt>
                <c:pt idx="91">
                  <c:v>-0.29581171389629707</c:v>
                </c:pt>
                <c:pt idx="92">
                  <c:v>-0.29581171389629707</c:v>
                </c:pt>
                <c:pt idx="93">
                  <c:v>-0.29581171389629707</c:v>
                </c:pt>
                <c:pt idx="94">
                  <c:v>-0.29581171389629707</c:v>
                </c:pt>
                <c:pt idx="95">
                  <c:v>-0.29581171389629707</c:v>
                </c:pt>
                <c:pt idx="96">
                  <c:v>-0.29581171389629707</c:v>
                </c:pt>
                <c:pt idx="97">
                  <c:v>-0.29581171389629707</c:v>
                </c:pt>
                <c:pt idx="98">
                  <c:v>-0.29581171389629707</c:v>
                </c:pt>
                <c:pt idx="99">
                  <c:v>-0.29581171389629707</c:v>
                </c:pt>
                <c:pt idx="100">
                  <c:v>-0.29581171389629707</c:v>
                </c:pt>
              </c:numCache>
            </c:numRef>
          </c:xVal>
          <c:yVal>
            <c:numRef>
              <c:f>Foglio3!$C$3:$C$103</c:f>
              <c:numCache>
                <c:formatCode>0.000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C9-449F-A085-B93D986DC3D2}"/>
            </c:ext>
          </c:extLst>
        </c:ser>
        <c:ser>
          <c:idx val="1"/>
          <c:order val="2"/>
          <c:tx>
            <c:v>CAMPO 2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'T2'!$R$103:$R$138</c:f>
              <c:numCache>
                <c:formatCode>0.000</c:formatCode>
                <c:ptCount val="36"/>
                <c:pt idx="0">
                  <c:v>-0.29581171389629707</c:v>
                </c:pt>
                <c:pt idx="1">
                  <c:v>-0.29580963584614212</c:v>
                </c:pt>
                <c:pt idx="2">
                  <c:v>-0.29579539540435079</c:v>
                </c:pt>
                <c:pt idx="3">
                  <c:v>-0.29575766838428691</c:v>
                </c:pt>
                <c:pt idx="4">
                  <c:v>-0.29568603888402417</c:v>
                </c:pt>
                <c:pt idx="5">
                  <c:v>-0.29557099260778164</c:v>
                </c:pt>
                <c:pt idx="6">
                  <c:v>-0.29540391024620266</c:v>
                </c:pt>
                <c:pt idx="7">
                  <c:v>-0.29517706091486984</c:v>
                </c:pt>
                <c:pt idx="8">
                  <c:v>-0.29417483086614338</c:v>
                </c:pt>
                <c:pt idx="9">
                  <c:v>-0.28620753066665094</c:v>
                </c:pt>
                <c:pt idx="10">
                  <c:v>-0.27816253664003499</c:v>
                </c:pt>
                <c:pt idx="11">
                  <c:v>-0.27003560713081115</c:v>
                </c:pt>
                <c:pt idx="12">
                  <c:v>-0.2618233569539421</c:v>
                </c:pt>
                <c:pt idx="13">
                  <c:v>-0.25352325117047481</c:v>
                </c:pt>
                <c:pt idx="14">
                  <c:v>-0.24513359891740655</c:v>
                </c:pt>
                <c:pt idx="15">
                  <c:v>-0.23665354729119087</c:v>
                </c:pt>
                <c:pt idx="16">
                  <c:v>-0.22808307528435104</c:v>
                </c:pt>
                <c:pt idx="17">
                  <c:v>-0.21942298777467148</c:v>
                </c:pt>
                <c:pt idx="18">
                  <c:v>-0.2106749095664335</c:v>
                </c:pt>
                <c:pt idx="19">
                  <c:v>-0.20184127948315517</c:v>
                </c:pt>
                <c:pt idx="20">
                  <c:v>-0.19292534451135121</c:v>
                </c:pt>
                <c:pt idx="21">
                  <c:v>-0.18393043560394742</c:v>
                </c:pt>
                <c:pt idx="22">
                  <c:v>-0.17485754171755724</c:v>
                </c:pt>
                <c:pt idx="23">
                  <c:v>-0.16570699803117298</c:v>
                </c:pt>
                <c:pt idx="24">
                  <c:v>-0.15647913780573725</c:v>
                </c:pt>
                <c:pt idx="25">
                  <c:v>-0.14717429239784727</c:v>
                </c:pt>
                <c:pt idx="26">
                  <c:v>-0.13779279127333416</c:v>
                </c:pt>
                <c:pt idx="27">
                  <c:v>-0.12833496202073147</c:v>
                </c:pt>
                <c:pt idx="28">
                  <c:v>-0.11880113036462188</c:v>
                </c:pt>
                <c:pt idx="29">
                  <c:v>-0.10919162017888727</c:v>
                </c:pt>
                <c:pt idx="30">
                  <c:v>-9.9506753499822589E-2</c:v>
                </c:pt>
                <c:pt idx="31">
                  <c:v>-8.9746850539158832E-2</c:v>
                </c:pt>
                <c:pt idx="32">
                  <c:v>-7.9912229696955009E-2</c:v>
                </c:pt>
                <c:pt idx="33">
                  <c:v>-7.0003207574404494E-2</c:v>
                </c:pt>
                <c:pt idx="34">
                  <c:v>-6.0020098986518403E-2</c:v>
                </c:pt>
                <c:pt idx="35">
                  <c:v>-4.9963216974699118E-2</c:v>
                </c:pt>
              </c:numCache>
            </c:numRef>
          </c:xVal>
          <c:yVal>
            <c:numRef>
              <c:f>'T2'!$S$103:$S$138</c:f>
              <c:numCache>
                <c:formatCode>0.000</c:formatCode>
                <c:ptCount val="36"/>
                <c:pt idx="0">
                  <c:v>0</c:v>
                </c:pt>
                <c:pt idx="1">
                  <c:v>1.0784775525912017E-6</c:v>
                </c:pt>
                <c:pt idx="2">
                  <c:v>8.4609307279324519E-6</c:v>
                </c:pt>
                <c:pt idx="3">
                  <c:v>2.7994828652877798E-5</c:v>
                </c:pt>
                <c:pt idx="4">
                  <c:v>6.5034529283914373E-5</c:v>
                </c:pt>
                <c:pt idx="5">
                  <c:v>1.2444660768719254E-4</c:v>
                </c:pt>
                <c:pt idx="6">
                  <c:v>2.1061512239572926E-4</c:v>
                </c:pt>
                <c:pt idx="7">
                  <c:v>3.2744682063278195E-4</c:v>
                </c:pt>
                <c:pt idx="8">
                  <c:v>8.3275867533926114E-4</c:v>
                </c:pt>
                <c:pt idx="9">
                  <c:v>4.8213761583118103E-3</c:v>
                </c:pt>
                <c:pt idx="10">
                  <c:v>8.84956435011474E-3</c:v>
                </c:pt>
                <c:pt idx="11">
                  <c:v>1.2919371609295785E-2</c:v>
                </c:pt>
                <c:pt idx="12">
                  <c:v>1.7032394119055147E-2</c:v>
                </c:pt>
                <c:pt idx="13">
                  <c:v>2.1189780741637125E-2</c:v>
                </c:pt>
                <c:pt idx="14">
                  <c:v>2.5392237816799251E-2</c:v>
                </c:pt>
                <c:pt idx="15">
                  <c:v>2.9640033905083164E-2</c:v>
                </c:pt>
                <c:pt idx="16">
                  <c:v>3.393300447657787E-2</c:v>
                </c:pt>
                <c:pt idx="17">
                  <c:v>3.8270556545857093E-2</c:v>
                </c:pt>
                <c:pt idx="18">
                  <c:v>4.2651673253768729E-2</c:v>
                </c:pt>
                <c:pt idx="19">
                  <c:v>4.707491839675091E-2</c:v>
                </c:pt>
                <c:pt idx="20">
                  <c:v>5.1538440904315815E-2</c:v>
                </c:pt>
                <c:pt idx="21">
                  <c:v>5.6040352197359332E-2</c:v>
                </c:pt>
                <c:pt idx="22">
                  <c:v>6.0579984791629973E-2</c:v>
                </c:pt>
                <c:pt idx="23">
                  <c:v>6.5157012885494109E-2</c:v>
                </c:pt>
                <c:pt idx="24">
                  <c:v>6.977111347699344E-2</c:v>
                </c:pt>
                <c:pt idx="25">
                  <c:v>7.442196633717435E-2</c:v>
                </c:pt>
                <c:pt idx="26">
                  <c:v>7.9109253983706246E-2</c:v>
                </c:pt>
                <c:pt idx="27">
                  <c:v>8.3832661654779136E-2</c:v>
                </c:pt>
                <c:pt idx="28">
                  <c:v>8.8591877283283327E-2</c:v>
                </c:pt>
                <c:pt idx="29">
                  <c:v>9.3386591471255484E-2</c:v>
                </c:pt>
                <c:pt idx="30">
                  <c:v>9.8216497464608504E-2</c:v>
                </c:pt>
                <c:pt idx="31">
                  <c:v>0.10308129112811965</c:v>
                </c:pt>
                <c:pt idx="32">
                  <c:v>0.10798067092069445</c:v>
                </c:pt>
                <c:pt idx="33">
                  <c:v>0.11291433787088119</c:v>
                </c:pt>
                <c:pt idx="34">
                  <c:v>0.11788199555265173</c:v>
                </c:pt>
                <c:pt idx="35">
                  <c:v>0.12288335006143994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C9-449F-A085-B93D986DC3D2}"/>
            </c:ext>
          </c:extLst>
        </c:ser>
        <c:ser>
          <c:idx val="5"/>
          <c:order val="3"/>
          <c:tx>
            <c:v>CAMPO 2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TABULATI!$R$103:$R$138</c:f>
              <c:numCache>
                <c:formatCode>0.000</c:formatCode>
                <c:ptCount val="36"/>
                <c:pt idx="0">
                  <c:v>-0.29581171389629707</c:v>
                </c:pt>
                <c:pt idx="1">
                  <c:v>-0.29580963584614212</c:v>
                </c:pt>
                <c:pt idx="2">
                  <c:v>-0.29579539540435079</c:v>
                </c:pt>
                <c:pt idx="3">
                  <c:v>-0.29575766838428691</c:v>
                </c:pt>
                <c:pt idx="4">
                  <c:v>-0.29568603888402417</c:v>
                </c:pt>
                <c:pt idx="5">
                  <c:v>-0.29557099260778164</c:v>
                </c:pt>
                <c:pt idx="6">
                  <c:v>-0.29540391024620266</c:v>
                </c:pt>
                <c:pt idx="7">
                  <c:v>-0.29517706091486984</c:v>
                </c:pt>
                <c:pt idx="8">
                  <c:v>-0.29417483086614338</c:v>
                </c:pt>
                <c:pt idx="9">
                  <c:v>-0.28620753066665094</c:v>
                </c:pt>
                <c:pt idx="10">
                  <c:v>-0.27816253664003499</c:v>
                </c:pt>
                <c:pt idx="11">
                  <c:v>-0.27003560713081115</c:v>
                </c:pt>
                <c:pt idx="12">
                  <c:v>-0.2618233569539421</c:v>
                </c:pt>
                <c:pt idx="13">
                  <c:v>-0.25352325117047481</c:v>
                </c:pt>
                <c:pt idx="14">
                  <c:v>-0.24513359891740655</c:v>
                </c:pt>
                <c:pt idx="15">
                  <c:v>-0.23665354729119087</c:v>
                </c:pt>
                <c:pt idx="16">
                  <c:v>-0.22808307528435104</c:v>
                </c:pt>
                <c:pt idx="17">
                  <c:v>-0.21942298777467148</c:v>
                </c:pt>
                <c:pt idx="18">
                  <c:v>-0.2106749095664335</c:v>
                </c:pt>
                <c:pt idx="19">
                  <c:v>-0.20184127948315517</c:v>
                </c:pt>
                <c:pt idx="20">
                  <c:v>-0.19292534451135121</c:v>
                </c:pt>
                <c:pt idx="21">
                  <c:v>-0.18393043560394742</c:v>
                </c:pt>
                <c:pt idx="22">
                  <c:v>-0.17485754171755724</c:v>
                </c:pt>
                <c:pt idx="23">
                  <c:v>-0.16570699803117298</c:v>
                </c:pt>
                <c:pt idx="24">
                  <c:v>-0.15647913780573725</c:v>
                </c:pt>
                <c:pt idx="25">
                  <c:v>-0.14717429239784727</c:v>
                </c:pt>
                <c:pt idx="26">
                  <c:v>-0.13779279127333416</c:v>
                </c:pt>
                <c:pt idx="27">
                  <c:v>-0.12833496202073147</c:v>
                </c:pt>
                <c:pt idx="28">
                  <c:v>-0.11880113036462188</c:v>
                </c:pt>
                <c:pt idx="29">
                  <c:v>-0.10919162017888727</c:v>
                </c:pt>
                <c:pt idx="30">
                  <c:v>-9.9506753499822589E-2</c:v>
                </c:pt>
                <c:pt idx="31">
                  <c:v>-8.9746850539158832E-2</c:v>
                </c:pt>
                <c:pt idx="32">
                  <c:v>-7.9912229696955009E-2</c:v>
                </c:pt>
                <c:pt idx="33">
                  <c:v>-7.0003207574404494E-2</c:v>
                </c:pt>
                <c:pt idx="34">
                  <c:v>-6.0020098986518403E-2</c:v>
                </c:pt>
                <c:pt idx="35">
                  <c:v>-4.9963216974699118E-2</c:v>
                </c:pt>
              </c:numCache>
            </c:numRef>
          </c:xVal>
          <c:yVal>
            <c:numRef>
              <c:f>Foglio3!$C$104:$C$139</c:f>
              <c:numCache>
                <c:formatCode>0.000</c:formatCode>
                <c:ptCount val="36"/>
                <c:pt idx="0">
                  <c:v>0</c:v>
                </c:pt>
                <c:pt idx="1">
                  <c:v>-1.0784775525912017E-6</c:v>
                </c:pt>
                <c:pt idx="2">
                  <c:v>-8.4609307279324519E-6</c:v>
                </c:pt>
                <c:pt idx="3">
                  <c:v>-2.7994828652877798E-5</c:v>
                </c:pt>
                <c:pt idx="4">
                  <c:v>-6.5034529283914373E-5</c:v>
                </c:pt>
                <c:pt idx="5">
                  <c:v>-1.2444660768719254E-4</c:v>
                </c:pt>
                <c:pt idx="6">
                  <c:v>-2.1061512239572926E-4</c:v>
                </c:pt>
                <c:pt idx="7">
                  <c:v>-3.2744682063278195E-4</c:v>
                </c:pt>
                <c:pt idx="8">
                  <c:v>-8.3275867533926114E-4</c:v>
                </c:pt>
                <c:pt idx="9">
                  <c:v>-4.8213761583118103E-3</c:v>
                </c:pt>
                <c:pt idx="10">
                  <c:v>-8.84956435011474E-3</c:v>
                </c:pt>
                <c:pt idx="11">
                  <c:v>-1.2919371609295785E-2</c:v>
                </c:pt>
                <c:pt idx="12">
                  <c:v>-1.7032394119055147E-2</c:v>
                </c:pt>
                <c:pt idx="13">
                  <c:v>-2.1189780741637125E-2</c:v>
                </c:pt>
                <c:pt idx="14">
                  <c:v>-2.5392237816799251E-2</c:v>
                </c:pt>
                <c:pt idx="15">
                  <c:v>-2.9640033905083164E-2</c:v>
                </c:pt>
                <c:pt idx="16">
                  <c:v>-3.393300447657787E-2</c:v>
                </c:pt>
                <c:pt idx="17">
                  <c:v>-3.8270556545857093E-2</c:v>
                </c:pt>
                <c:pt idx="18">
                  <c:v>-4.2651673253768729E-2</c:v>
                </c:pt>
                <c:pt idx="19">
                  <c:v>-4.707491839675091E-2</c:v>
                </c:pt>
                <c:pt idx="20">
                  <c:v>-5.1538440904315815E-2</c:v>
                </c:pt>
                <c:pt idx="21">
                  <c:v>-5.6040352197359332E-2</c:v>
                </c:pt>
                <c:pt idx="22">
                  <c:v>-6.0579984791629973E-2</c:v>
                </c:pt>
                <c:pt idx="23">
                  <c:v>-6.5157012885494109E-2</c:v>
                </c:pt>
                <c:pt idx="24">
                  <c:v>-6.977111347699344E-2</c:v>
                </c:pt>
                <c:pt idx="25">
                  <c:v>-7.442196633717435E-2</c:v>
                </c:pt>
                <c:pt idx="26">
                  <c:v>-7.9109253983706246E-2</c:v>
                </c:pt>
                <c:pt idx="27">
                  <c:v>-8.3832661654779136E-2</c:v>
                </c:pt>
                <c:pt idx="28">
                  <c:v>-8.8591877283283327E-2</c:v>
                </c:pt>
                <c:pt idx="29">
                  <c:v>-9.3386591471255484E-2</c:v>
                </c:pt>
                <c:pt idx="30">
                  <c:v>-9.8216497464608504E-2</c:v>
                </c:pt>
                <c:pt idx="31">
                  <c:v>-0.10308129112811965</c:v>
                </c:pt>
                <c:pt idx="32">
                  <c:v>-0.10798067092069445</c:v>
                </c:pt>
                <c:pt idx="33">
                  <c:v>-0.11291433787088119</c:v>
                </c:pt>
                <c:pt idx="34">
                  <c:v>-0.11788199555265173</c:v>
                </c:pt>
                <c:pt idx="35">
                  <c:v>-0.12288335006143994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C9-449F-A085-B93D986DC3D2}"/>
            </c:ext>
          </c:extLst>
        </c:ser>
        <c:ser>
          <c:idx val="0"/>
          <c:order val="4"/>
          <c:tx>
            <c:v>CAMPO 3-4-4a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'T2'!$R$139:$R$243</c:f>
              <c:numCache>
                <c:formatCode>0.000</c:formatCode>
                <c:ptCount val="105"/>
                <c:pt idx="0">
                  <c:v>-4.9963216974699264E-2</c:v>
                </c:pt>
                <c:pt idx="1">
                  <c:v>-4.7500115914782648E-2</c:v>
                </c:pt>
                <c:pt idx="2">
                  <c:v>-4.5029590717446472E-2</c:v>
                </c:pt>
                <c:pt idx="3">
                  <c:v>-4.2551423421425399E-2</c:v>
                </c:pt>
                <c:pt idx="4">
                  <c:v>-4.0065387449123059E-2</c:v>
                </c:pt>
                <c:pt idx="5">
                  <c:v>-3.7571247176591605E-2</c:v>
                </c:pt>
                <c:pt idx="6">
                  <c:v>-3.5068757477498498E-2</c:v>
                </c:pt>
                <c:pt idx="7">
                  <c:v>-3.2557663239225286E-2</c:v>
                </c:pt>
                <c:pt idx="8">
                  <c:v>-3.0037698849091521E-2</c:v>
                </c:pt>
                <c:pt idx="9">
                  <c:v>-2.7508587648529311E-2</c:v>
                </c:pt>
                <c:pt idx="10">
                  <c:v>-2.4970041352852013E-2</c:v>
                </c:pt>
                <c:pt idx="11">
                  <c:v>-2.2421759434059513E-2</c:v>
                </c:pt>
                <c:pt idx="12">
                  <c:v>-1.9863428463903682E-2</c:v>
                </c:pt>
                <c:pt idx="13">
                  <c:v>-1.729472141419627E-2</c:v>
                </c:pt>
                <c:pt idx="14">
                  <c:v>-1.4715296911077183E-2</c:v>
                </c:pt>
                <c:pt idx="15">
                  <c:v>-1.212479843966908E-2</c:v>
                </c:pt>
                <c:pt idx="16">
                  <c:v>-9.5228534952245866E-3</c:v>
                </c:pt>
                <c:pt idx="17">
                  <c:v>-6.9090726765192473E-3</c:v>
                </c:pt>
                <c:pt idx="18">
                  <c:v>-4.2830487168514422E-3</c:v>
                </c:pt>
                <c:pt idx="19">
                  <c:v>-1.6443554475843655E-3</c:v>
                </c:pt>
                <c:pt idx="20">
                  <c:v>1.0074533113156596E-3</c:v>
                </c:pt>
                <c:pt idx="21">
                  <c:v>3.6728449398135739E-3</c:v>
                </c:pt>
                <c:pt idx="22">
                  <c:v>6.3523092920667176E-3</c:v>
                </c:pt>
                <c:pt idx="23">
                  <c:v>9.0463600637146514E-3</c:v>
                </c:pt>
                <c:pt idx="24">
                  <c:v>1.1755536260218653E-2</c:v>
                </c:pt>
                <c:pt idx="25">
                  <c:v>1.4480403775072015E-2</c:v>
                </c:pt>
                <c:pt idx="26">
                  <c:v>1.7221557087594985E-2</c:v>
                </c:pt>
                <c:pt idx="27">
                  <c:v>1.9979621091018824E-2</c:v>
                </c:pt>
                <c:pt idx="28">
                  <c:v>2.2755253062676898E-2</c:v>
                </c:pt>
                <c:pt idx="29">
                  <c:v>2.5549144789359209E-2</c:v>
                </c:pt>
                <c:pt idx="30">
                  <c:v>2.8362024862276226E-2</c:v>
                </c:pt>
                <c:pt idx="31">
                  <c:v>3.1194661157635951E-2</c:v>
                </c:pt>
                <c:pt idx="32">
                  <c:v>3.4047863520589236E-2</c:v>
                </c:pt>
                <c:pt idx="33">
                  <c:v>3.6922486672262306E-2</c:v>
                </c:pt>
                <c:pt idx="34">
                  <c:v>3.9819433361815516E-2</c:v>
                </c:pt>
                <c:pt idx="35">
                  <c:v>4.2739657787965762E-2</c:v>
                </c:pt>
                <c:pt idx="36">
                  <c:v>4.5684169317235623E-2</c:v>
                </c:pt>
                <c:pt idx="37">
                  <c:v>4.865403652939302E-2</c:v>
                </c:pt>
                <c:pt idx="38">
                  <c:v>5.1650391624170018E-2</c:v>
                </c:pt>
                <c:pt idx="39">
                  <c:v>5.4674435227471528E-2</c:v>
                </c:pt>
                <c:pt idx="40">
                  <c:v>5.7727441639973974E-2</c:v>
                </c:pt>
                <c:pt idx="41">
                  <c:v>6.0810764576360241E-2</c:v>
                </c:pt>
                <c:pt idx="42">
                  <c:v>6.3925843449546119E-2</c:v>
                </c:pt>
                <c:pt idx="43">
                  <c:v>6.7074210261247449E-2</c:v>
                </c:pt>
                <c:pt idx="44">
                  <c:v>6.860371267150929E-2</c:v>
                </c:pt>
                <c:pt idx="45">
                  <c:v>6.9743589743589768E-2</c:v>
                </c:pt>
                <c:pt idx="46">
                  <c:v>7.0921985815602842E-2</c:v>
                </c:pt>
                <c:pt idx="47">
                  <c:v>7.2140886908550861E-2</c:v>
                </c:pt>
                <c:pt idx="48">
                  <c:v>7.3402417962003488E-2</c:v>
                </c:pt>
                <c:pt idx="49">
                  <c:v>7.4708855196660109E-2</c:v>
                </c:pt>
                <c:pt idx="50">
                  <c:v>7.6062639821029121E-2</c:v>
                </c:pt>
                <c:pt idx="51">
                  <c:v>7.7466393255866975E-2</c:v>
                </c:pt>
                <c:pt idx="52">
                  <c:v>7.8922934076137485E-2</c:v>
                </c:pt>
                <c:pt idx="53">
                  <c:v>8.0435296900875405E-2</c:v>
                </c:pt>
                <c:pt idx="54">
                  <c:v>8.2006753497346915E-2</c:v>
                </c:pt>
                <c:pt idx="55">
                  <c:v>8.3640836408364116E-2</c:v>
                </c:pt>
                <c:pt idx="56">
                  <c:v>8.5341365461847465E-2</c:v>
                </c:pt>
                <c:pt idx="57">
                  <c:v>8.7112477581347755E-2</c:v>
                </c:pt>
                <c:pt idx="58">
                  <c:v>8.8958660387231908E-2</c:v>
                </c:pt>
                <c:pt idx="59">
                  <c:v>9.0884790163058074E-2</c:v>
                </c:pt>
                <c:pt idx="60">
                  <c:v>9.289617486338804E-2</c:v>
                </c:pt>
                <c:pt idx="61">
                  <c:v>9.4998602961721246E-2</c:v>
                </c:pt>
                <c:pt idx="62">
                  <c:v>9.7198399085191609E-2</c:v>
                </c:pt>
                <c:pt idx="63">
                  <c:v>9.9502487562189143E-2</c:v>
                </c:pt>
                <c:pt idx="64">
                  <c:v>0.10191846522781781</c:v>
                </c:pt>
                <c:pt idx="65">
                  <c:v>0.10445468509984646</c:v>
                </c:pt>
                <c:pt idx="66">
                  <c:v>0.10712035286704485</c:v>
                </c:pt>
                <c:pt idx="67">
                  <c:v>0.1099256385386357</c:v>
                </c:pt>
                <c:pt idx="68">
                  <c:v>0.11288180610889782</c:v>
                </c:pt>
                <c:pt idx="69">
                  <c:v>0.11600136472193796</c:v>
                </c:pt>
                <c:pt idx="70">
                  <c:v>0.11929824561403514</c:v>
                </c:pt>
                <c:pt idx="71">
                  <c:v>0.1227880101119538</c:v>
                </c:pt>
                <c:pt idx="72">
                  <c:v>0.12648809523809532</c:v>
                </c:pt>
                <c:pt idx="73">
                  <c:v>0.13041810510164947</c:v>
                </c:pt>
                <c:pt idx="74">
                  <c:v>0.13460015835312752</c:v>
                </c:pt>
                <c:pt idx="75">
                  <c:v>0.13905930470347649</c:v>
                </c:pt>
                <c:pt idx="76">
                  <c:v>0.14382402707275807</c:v>
                </c:pt>
                <c:pt idx="77">
                  <c:v>0.14892685063512925</c:v>
                </c:pt>
                <c:pt idx="78">
                  <c:v>0.15440508628519534</c:v>
                </c:pt>
                <c:pt idx="79">
                  <c:v>0.16030174446016041</c:v>
                </c:pt>
                <c:pt idx="80">
                  <c:v>0.16666666666666677</c:v>
                </c:pt>
                <c:pt idx="81">
                  <c:v>0.17355793772332834</c:v>
                </c:pt>
                <c:pt idx="82">
                  <c:v>0.18104366347177855</c:v>
                </c:pt>
                <c:pt idx="83">
                  <c:v>0.18920422927100738</c:v>
                </c:pt>
                <c:pt idx="84">
                  <c:v>0.19813519813519828</c:v>
                </c:pt>
                <c:pt idx="85">
                  <c:v>0.20795107033639162</c:v>
                </c:pt>
                <c:pt idx="86">
                  <c:v>0.21879021879021898</c:v>
                </c:pt>
                <c:pt idx="87">
                  <c:v>0.23082145281737967</c:v>
                </c:pt>
                <c:pt idx="88">
                  <c:v>0.24425287356321865</c:v>
                </c:pt>
                <c:pt idx="89">
                  <c:v>0.25934401220442443</c:v>
                </c:pt>
                <c:pt idx="90">
                  <c:v>0.27642276422764267</c:v>
                </c:pt>
                <c:pt idx="91">
                  <c:v>0.2959094865100092</c:v>
                </c:pt>
                <c:pt idx="92">
                  <c:v>0.31835205992509424</c:v>
                </c:pt>
                <c:pt idx="93">
                  <c:v>0.3444782168186431</c:v>
                </c:pt>
                <c:pt idx="94">
                  <c:v>0.37527593818984639</c:v>
                </c:pt>
                <c:pt idx="95">
                  <c:v>0.41212121212121333</c:v>
                </c:pt>
                <c:pt idx="96">
                  <c:v>0.45698924731182944</c:v>
                </c:pt>
                <c:pt idx="97">
                  <c:v>0.51282051282051466</c:v>
                </c:pt>
                <c:pt idx="98">
                  <c:v>0.62532134125989325</c:v>
                </c:pt>
                <c:pt idx="99">
                  <c:v>0.77316009374361094</c:v>
                </c:pt>
                <c:pt idx="100">
                  <c:v>0.95742966647196492</c:v>
                </c:pt>
                <c:pt idx="101">
                  <c:v>0.95742966647196492</c:v>
                </c:pt>
                <c:pt idx="102">
                  <c:v>0.98914859439636338</c:v>
                </c:pt>
                <c:pt idx="103">
                  <c:v>1.0252434046641581</c:v>
                </c:pt>
                <c:pt idx="104">
                  <c:v>0.99935064805547569</c:v>
                </c:pt>
              </c:numCache>
            </c:numRef>
          </c:xVal>
          <c:yVal>
            <c:numRef>
              <c:f>'T2'!$S$139:$S$243</c:f>
              <c:numCache>
                <c:formatCode>0.000</c:formatCode>
                <c:ptCount val="105"/>
                <c:pt idx="0">
                  <c:v>0.12288335006143987</c:v>
                </c:pt>
                <c:pt idx="1">
                  <c:v>0.1241065784618406</c:v>
                </c:pt>
                <c:pt idx="2">
                  <c:v>0.12533320244070625</c:v>
                </c:pt>
                <c:pt idx="3">
                  <c:v>0.12656331708640839</c:v>
                </c:pt>
                <c:pt idx="4">
                  <c:v>0.12779702106263682</c:v>
                </c:pt>
                <c:pt idx="5">
                  <c:v>0.12903441677757754</c:v>
                </c:pt>
                <c:pt idx="6">
                  <c:v>0.13027561056275833</c:v>
                </c:pt>
                <c:pt idx="7">
                  <c:v>0.13152071286221209</c:v>
                </c:pt>
                <c:pt idx="8">
                  <c:v>0.13276983843265505</c:v>
                </c:pt>
                <c:pt idx="9">
                  <c:v>0.13402310655543379</c:v>
                </c:pt>
                <c:pt idx="10">
                  <c:v>0.13528064126105255</c:v>
                </c:pt>
                <c:pt idx="11">
                  <c:v>0.13654257156715716</c:v>
                </c:pt>
                <c:pt idx="12">
                  <c:v>0.13780903173092299</c:v>
                </c:pt>
                <c:pt idx="13">
                  <c:v>0.13908016151686903</c:v>
                </c:pt>
                <c:pt idx="14">
                  <c:v>0.14035610648120544</c:v>
                </c:pt>
                <c:pt idx="15">
                  <c:v>0.14163701827391209</c:v>
                </c:pt>
                <c:pt idx="16">
                  <c:v>0.14292305495984553</c:v>
                </c:pt>
                <c:pt idx="17">
                  <c:v>0.14421438136028095</c:v>
                </c:pt>
                <c:pt idx="18">
                  <c:v>0.14551116941641573</c:v>
                </c:pt>
                <c:pt idx="19">
                  <c:v>0.14681359857649051</c:v>
                </c:pt>
                <c:pt idx="20">
                  <c:v>0.14812185620832846</c:v>
                </c:pt>
                <c:pt idx="21">
                  <c:v>0.14943613803925182</c:v>
                </c:pt>
                <c:pt idx="22">
                  <c:v>0.15075664862550489</c:v>
                </c:pt>
                <c:pt idx="23">
                  <c:v>0.15208360185350728</c:v>
                </c:pt>
                <c:pt idx="24">
                  <c:v>0.1534172214754671</c:v>
                </c:pt>
                <c:pt idx="25">
                  <c:v>0.15475774168211714</c:v>
                </c:pt>
                <c:pt idx="26">
                  <c:v>0.15610540771559114</c:v>
                </c:pt>
                <c:pt idx="27">
                  <c:v>0.15746047652573827</c:v>
                </c:pt>
                <c:pt idx="28">
                  <c:v>0.15882321747348543</c:v>
                </c:pt>
                <c:pt idx="29">
                  <c:v>0.16019391308520031</c:v>
                </c:pt>
                <c:pt idx="30">
                  <c:v>0.1615728598623894</c:v>
                </c:pt>
                <c:pt idx="31">
                  <c:v>0.16296036915148623</c:v>
                </c:pt>
                <c:pt idx="32">
                  <c:v>0.16435676807895544</c:v>
                </c:pt>
                <c:pt idx="33">
                  <c:v>0.16576240055745578</c:v>
                </c:pt>
                <c:pt idx="34">
                  <c:v>0.16717762836938613</c:v>
                </c:pt>
                <c:pt idx="35">
                  <c:v>0.16860283233478079</c:v>
                </c:pt>
                <c:pt idx="36">
                  <c:v>0.17003841357123836</c:v>
                </c:pt>
                <c:pt idx="37">
                  <c:v>0.17148479485436943</c:v>
                </c:pt>
                <c:pt idx="38">
                  <c:v>0.17294242208814101</c:v>
                </c:pt>
                <c:pt idx="39">
                  <c:v>0.17441176589549612</c:v>
                </c:pt>
                <c:pt idx="40">
                  <c:v>0.17589332334074473</c:v>
                </c:pt>
                <c:pt idx="41">
                  <c:v>0.17738761979647583</c:v>
                </c:pt>
                <c:pt idx="42">
                  <c:v>0.17889521096914573</c:v>
                </c:pt>
                <c:pt idx="43">
                  <c:v>0.18041668509907705</c:v>
                </c:pt>
                <c:pt idx="44">
                  <c:v>0.18112577310400263</c:v>
                </c:pt>
                <c:pt idx="45">
                  <c:v>0.18163688489456109</c:v>
                </c:pt>
                <c:pt idx="46">
                  <c:v>0.18216386456459385</c:v>
                </c:pt>
                <c:pt idx="47">
                  <c:v>0.18270745663461035</c:v>
                </c:pt>
                <c:pt idx="48">
                  <c:v>0.18326845246336559</c:v>
                </c:pt>
                <c:pt idx="49">
                  <c:v>0.18384769394148318</c:v>
                </c:pt>
                <c:pt idx="50">
                  <c:v>0.18444607753413284</c:v>
                </c:pt>
                <c:pt idx="51">
                  <c:v>0.18506455871094427</c:v>
                </c:pt>
                <c:pt idx="52">
                  <c:v>0.18570415680602276</c:v>
                </c:pt>
                <c:pt idx="53">
                  <c:v>0.18636596035623665</c:v>
                </c:pt>
                <c:pt idx="54">
                  <c:v>0.18705113297196005</c:v>
                </c:pt>
                <c:pt idx="55">
                  <c:v>0.18776091980126425</c:v>
                </c:pt>
                <c:pt idx="56">
                  <c:v>0.18849665465627097</c:v>
                </c:pt>
                <c:pt idx="57">
                  <c:v>0.18925976787911869</c:v>
                </c:pt>
                <c:pt idx="58">
                  <c:v>0.19005179503488054</c:v>
                </c:pt>
                <c:pt idx="59">
                  <c:v>0.19087438652993891</c:v>
                </c:pt>
                <c:pt idx="60">
                  <c:v>0.19172931826690684</c:v>
                </c:pt>
                <c:pt idx="61">
                  <c:v>0.19261850346132328</c:v>
                </c:pt>
                <c:pt idx="62">
                  <c:v>0.19354400576115738</c:v>
                </c:pt>
                <c:pt idx="63">
                  <c:v>0.19450805382772474</c:v>
                </c:pt>
                <c:pt idx="64">
                  <c:v>0.19551305755597023</c:v>
                </c:pt>
                <c:pt idx="65">
                  <c:v>0.19656162613312839</c:v>
                </c:pt>
                <c:pt idx="66">
                  <c:v>0.19765658815727935</c:v>
                </c:pt>
                <c:pt idx="67">
                  <c:v>0.19880101406074918</c:v>
                </c:pt>
                <c:pt idx="68">
                  <c:v>0.1999982411066904</c:v>
                </c:pt>
                <c:pt idx="69">
                  <c:v>0.20125190124889406</c:v>
                </c:pt>
                <c:pt idx="70">
                  <c:v>0.20256595216226039</c:v>
                </c:pt>
                <c:pt idx="71">
                  <c:v>0.20394471176014051</c:v>
                </c:pt>
                <c:pt idx="72">
                  <c:v>0.20539289650829076</c:v>
                </c:pt>
                <c:pt idx="73">
                  <c:v>0.20691566381304857</c:v>
                </c:pt>
                <c:pt idx="74">
                  <c:v>0.20851865868743907</c:v>
                </c:pt>
                <c:pt idx="75">
                  <c:v>0.21020806475827911</c:v>
                </c:pt>
                <c:pt idx="76">
                  <c:v>0.21199065943126066</c:v>
                </c:pt>
                <c:pt idx="77">
                  <c:v>0.21387387261924867</c:v>
                </c:pt>
                <c:pt idx="78">
                  <c:v>0.21586584776746714</c:v>
                </c:pt>
                <c:pt idx="79">
                  <c:v>0.21797550282968961</c:v>
                </c:pt>
                <c:pt idx="80">
                  <c:v>0.22021258712685104</c:v>
                </c:pt>
                <c:pt idx="81">
                  <c:v>0.22258772727692125</c:v>
                </c:pt>
                <c:pt idx="82">
                  <c:v>0.22511245101211583</c:v>
                </c:pt>
                <c:pt idx="83">
                  <c:v>0.22779917069532554</c:v>
                </c:pt>
                <c:pt idx="84">
                  <c:v>0.23066109704604598</c:v>
                </c:pt>
                <c:pt idx="85">
                  <c:v>0.23371203517079003</c:v>
                </c:pt>
                <c:pt idx="86">
                  <c:v>0.23696598461831481</c:v>
                </c:pt>
                <c:pt idx="87">
                  <c:v>0.24043641434321206</c:v>
                </c:pt>
                <c:pt idx="88">
                  <c:v>0.24413499691242524</c:v>
                </c:pt>
                <c:pt idx="89">
                  <c:v>0.24806943600097142</c:v>
                </c:pt>
                <c:pt idx="90">
                  <c:v>0.25223975426241474</c:v>
                </c:pt>
                <c:pt idx="91">
                  <c:v>0.25663192194905354</c:v>
                </c:pt>
                <c:pt idx="92">
                  <c:v>0.26120679243062672</c:v>
                </c:pt>
                <c:pt idx="93">
                  <c:v>0.26588053354663688</c:v>
                </c:pt>
                <c:pt idx="94">
                  <c:v>0.2704891491292653</c:v>
                </c:pt>
                <c:pt idx="95">
                  <c:v>0.27472207103708984</c:v>
                </c:pt>
                <c:pt idx="96">
                  <c:v>0.27799277488626306</c:v>
                </c:pt>
                <c:pt idx="97">
                  <c:v>0.27917375505128728</c:v>
                </c:pt>
                <c:pt idx="98">
                  <c:v>0.2554539852069887</c:v>
                </c:pt>
                <c:pt idx="99">
                  <c:v>0.21653639365294983</c:v>
                </c:pt>
                <c:pt idx="100">
                  <c:v>0.15775008369979782</c:v>
                </c:pt>
                <c:pt idx="101">
                  <c:v>0.15775008369979782</c:v>
                </c:pt>
                <c:pt idx="102">
                  <c:v>0.14606474928246463</c:v>
                </c:pt>
                <c:pt idx="103">
                  <c:v>0.12906305292962017</c:v>
                </c:pt>
                <c:pt idx="104">
                  <c:v>0.14240790606408568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DC9-449F-A085-B93D986DC3D2}"/>
            </c:ext>
          </c:extLst>
        </c:ser>
        <c:ser>
          <c:idx val="3"/>
          <c:order val="5"/>
          <c:tx>
            <c:v>CAMPO 3-4-4a</c:v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TABULATI!$R$139:$R$243</c:f>
              <c:numCache>
                <c:formatCode>0.000</c:formatCode>
                <c:ptCount val="105"/>
                <c:pt idx="0">
                  <c:v>-4.9963216974699264E-2</c:v>
                </c:pt>
                <c:pt idx="1">
                  <c:v>-4.7500115914782648E-2</c:v>
                </c:pt>
                <c:pt idx="2">
                  <c:v>-4.5029590717446472E-2</c:v>
                </c:pt>
                <c:pt idx="3">
                  <c:v>-4.2551423421425399E-2</c:v>
                </c:pt>
                <c:pt idx="4">
                  <c:v>-4.0065387449123059E-2</c:v>
                </c:pt>
                <c:pt idx="5">
                  <c:v>-3.7571247176591605E-2</c:v>
                </c:pt>
                <c:pt idx="6">
                  <c:v>-3.5068757477498498E-2</c:v>
                </c:pt>
                <c:pt idx="7">
                  <c:v>-3.2557663239225286E-2</c:v>
                </c:pt>
                <c:pt idx="8">
                  <c:v>-3.0037698849091521E-2</c:v>
                </c:pt>
                <c:pt idx="9">
                  <c:v>-2.7508587648529311E-2</c:v>
                </c:pt>
                <c:pt idx="10">
                  <c:v>-2.4970041352852013E-2</c:v>
                </c:pt>
                <c:pt idx="11">
                  <c:v>-2.2421759434059513E-2</c:v>
                </c:pt>
                <c:pt idx="12">
                  <c:v>-1.9863428463903682E-2</c:v>
                </c:pt>
                <c:pt idx="13">
                  <c:v>-1.729472141419627E-2</c:v>
                </c:pt>
                <c:pt idx="14">
                  <c:v>-1.4715296911077183E-2</c:v>
                </c:pt>
                <c:pt idx="15">
                  <c:v>-1.212479843966908E-2</c:v>
                </c:pt>
                <c:pt idx="16">
                  <c:v>-9.5228534952245866E-3</c:v>
                </c:pt>
                <c:pt idx="17">
                  <c:v>-6.9090726765192473E-3</c:v>
                </c:pt>
                <c:pt idx="18">
                  <c:v>-4.2830487168514422E-3</c:v>
                </c:pt>
                <c:pt idx="19">
                  <c:v>-1.6443554475843655E-3</c:v>
                </c:pt>
                <c:pt idx="20">
                  <c:v>1.0074533113156596E-3</c:v>
                </c:pt>
                <c:pt idx="21">
                  <c:v>3.6728449398135739E-3</c:v>
                </c:pt>
                <c:pt idx="22">
                  <c:v>6.3523092920667176E-3</c:v>
                </c:pt>
                <c:pt idx="23">
                  <c:v>9.0463600637146514E-3</c:v>
                </c:pt>
                <c:pt idx="24">
                  <c:v>1.1755536260218653E-2</c:v>
                </c:pt>
                <c:pt idx="25">
                  <c:v>1.4480403775072015E-2</c:v>
                </c:pt>
                <c:pt idx="26">
                  <c:v>1.7221557087594985E-2</c:v>
                </c:pt>
                <c:pt idx="27">
                  <c:v>1.9979621091018824E-2</c:v>
                </c:pt>
                <c:pt idx="28">
                  <c:v>2.2755253062676898E-2</c:v>
                </c:pt>
                <c:pt idx="29">
                  <c:v>2.5549144789359209E-2</c:v>
                </c:pt>
                <c:pt idx="30">
                  <c:v>2.8362024862276226E-2</c:v>
                </c:pt>
                <c:pt idx="31">
                  <c:v>3.1194661157635951E-2</c:v>
                </c:pt>
                <c:pt idx="32">
                  <c:v>3.4047863520589236E-2</c:v>
                </c:pt>
                <c:pt idx="33">
                  <c:v>3.6922486672262306E-2</c:v>
                </c:pt>
                <c:pt idx="34">
                  <c:v>3.9819433361815516E-2</c:v>
                </c:pt>
                <c:pt idx="35">
                  <c:v>4.2739657787965762E-2</c:v>
                </c:pt>
                <c:pt idx="36">
                  <c:v>4.5684169317235623E-2</c:v>
                </c:pt>
                <c:pt idx="37">
                  <c:v>4.865403652939302E-2</c:v>
                </c:pt>
                <c:pt idx="38">
                  <c:v>5.1650391624170018E-2</c:v>
                </c:pt>
                <c:pt idx="39">
                  <c:v>5.4674435227471528E-2</c:v>
                </c:pt>
                <c:pt idx="40">
                  <c:v>5.7727441639973974E-2</c:v>
                </c:pt>
                <c:pt idx="41">
                  <c:v>6.0810764576360241E-2</c:v>
                </c:pt>
                <c:pt idx="42">
                  <c:v>6.3925843449546119E-2</c:v>
                </c:pt>
                <c:pt idx="43">
                  <c:v>6.7074210261247449E-2</c:v>
                </c:pt>
                <c:pt idx="44">
                  <c:v>6.860371267150929E-2</c:v>
                </c:pt>
                <c:pt idx="45">
                  <c:v>6.9743589743589768E-2</c:v>
                </c:pt>
                <c:pt idx="46">
                  <c:v>7.0921985815602842E-2</c:v>
                </c:pt>
                <c:pt idx="47">
                  <c:v>7.2140886908550861E-2</c:v>
                </c:pt>
                <c:pt idx="48">
                  <c:v>7.3402417962003488E-2</c:v>
                </c:pt>
                <c:pt idx="49">
                  <c:v>7.4708855196660109E-2</c:v>
                </c:pt>
                <c:pt idx="50">
                  <c:v>7.6062639821029121E-2</c:v>
                </c:pt>
                <c:pt idx="51">
                  <c:v>7.7466393255866975E-2</c:v>
                </c:pt>
                <c:pt idx="52">
                  <c:v>7.8922934076137485E-2</c:v>
                </c:pt>
                <c:pt idx="53">
                  <c:v>8.0435296900875405E-2</c:v>
                </c:pt>
                <c:pt idx="54">
                  <c:v>8.2006753497346915E-2</c:v>
                </c:pt>
                <c:pt idx="55">
                  <c:v>8.3640836408364116E-2</c:v>
                </c:pt>
                <c:pt idx="56">
                  <c:v>8.5341365461847465E-2</c:v>
                </c:pt>
                <c:pt idx="57">
                  <c:v>8.7112477581347755E-2</c:v>
                </c:pt>
                <c:pt idx="58">
                  <c:v>8.8958660387231908E-2</c:v>
                </c:pt>
                <c:pt idx="59">
                  <c:v>9.0884790163058074E-2</c:v>
                </c:pt>
                <c:pt idx="60">
                  <c:v>9.289617486338804E-2</c:v>
                </c:pt>
                <c:pt idx="61">
                  <c:v>9.4998602961721246E-2</c:v>
                </c:pt>
                <c:pt idx="62">
                  <c:v>9.7198399085191609E-2</c:v>
                </c:pt>
                <c:pt idx="63">
                  <c:v>9.9502487562189143E-2</c:v>
                </c:pt>
                <c:pt idx="64">
                  <c:v>0.10191846522781781</c:v>
                </c:pt>
                <c:pt idx="65">
                  <c:v>0.10445468509984646</c:v>
                </c:pt>
                <c:pt idx="66">
                  <c:v>0.10712035286704485</c:v>
                </c:pt>
                <c:pt idx="67">
                  <c:v>0.1099256385386357</c:v>
                </c:pt>
                <c:pt idx="68">
                  <c:v>0.11288180610889782</c:v>
                </c:pt>
                <c:pt idx="69">
                  <c:v>0.11600136472193796</c:v>
                </c:pt>
                <c:pt idx="70">
                  <c:v>0.11929824561403514</c:v>
                </c:pt>
                <c:pt idx="71">
                  <c:v>0.1227880101119538</c:v>
                </c:pt>
                <c:pt idx="72">
                  <c:v>0.12648809523809532</c:v>
                </c:pt>
                <c:pt idx="73">
                  <c:v>0.13041810510164947</c:v>
                </c:pt>
                <c:pt idx="74">
                  <c:v>0.13460015835312752</c:v>
                </c:pt>
                <c:pt idx="75">
                  <c:v>0.13905930470347649</c:v>
                </c:pt>
                <c:pt idx="76">
                  <c:v>0.14382402707275807</c:v>
                </c:pt>
                <c:pt idx="77">
                  <c:v>0.14892685063512925</c:v>
                </c:pt>
                <c:pt idx="78">
                  <c:v>0.15440508628519534</c:v>
                </c:pt>
                <c:pt idx="79">
                  <c:v>0.16030174446016041</c:v>
                </c:pt>
                <c:pt idx="80">
                  <c:v>0.16666666666666677</c:v>
                </c:pt>
                <c:pt idx="81">
                  <c:v>0.17355793772332834</c:v>
                </c:pt>
                <c:pt idx="82">
                  <c:v>0.18104366347177855</c:v>
                </c:pt>
                <c:pt idx="83">
                  <c:v>0.18920422927100738</c:v>
                </c:pt>
                <c:pt idx="84">
                  <c:v>0.19813519813519828</c:v>
                </c:pt>
                <c:pt idx="85">
                  <c:v>0.20795107033639162</c:v>
                </c:pt>
                <c:pt idx="86">
                  <c:v>0.21879021879021898</c:v>
                </c:pt>
                <c:pt idx="87">
                  <c:v>0.23082145281737967</c:v>
                </c:pt>
                <c:pt idx="88">
                  <c:v>0.24425287356321865</c:v>
                </c:pt>
                <c:pt idx="89">
                  <c:v>0.25934401220442443</c:v>
                </c:pt>
                <c:pt idx="90">
                  <c:v>0.27642276422764267</c:v>
                </c:pt>
                <c:pt idx="91">
                  <c:v>0.2959094865100092</c:v>
                </c:pt>
                <c:pt idx="92">
                  <c:v>0.31835205992509424</c:v>
                </c:pt>
                <c:pt idx="93">
                  <c:v>0.3444782168186431</c:v>
                </c:pt>
                <c:pt idx="94">
                  <c:v>0.37527593818984639</c:v>
                </c:pt>
                <c:pt idx="95">
                  <c:v>0.41212121212121333</c:v>
                </c:pt>
                <c:pt idx="96">
                  <c:v>0.45698924731182944</c:v>
                </c:pt>
                <c:pt idx="97">
                  <c:v>0.51282051282051466</c:v>
                </c:pt>
                <c:pt idx="98">
                  <c:v>0.62532134125989325</c:v>
                </c:pt>
                <c:pt idx="99">
                  <c:v>0.77316009374361094</c:v>
                </c:pt>
                <c:pt idx="100">
                  <c:v>0.95742966647196492</c:v>
                </c:pt>
                <c:pt idx="101">
                  <c:v>0.95742966647196492</c:v>
                </c:pt>
                <c:pt idx="102">
                  <c:v>0.98914859439636338</c:v>
                </c:pt>
                <c:pt idx="103">
                  <c:v>1.0252434046641581</c:v>
                </c:pt>
                <c:pt idx="104">
                  <c:v>0.99935064805547569</c:v>
                </c:pt>
              </c:numCache>
            </c:numRef>
          </c:xVal>
          <c:yVal>
            <c:numRef>
              <c:f>Foglio3!$C$140:$C$244</c:f>
              <c:numCache>
                <c:formatCode>0.000</c:formatCode>
                <c:ptCount val="105"/>
                <c:pt idx="0">
                  <c:v>-0.12288335006143987</c:v>
                </c:pt>
                <c:pt idx="1">
                  <c:v>-0.1241065784618406</c:v>
                </c:pt>
                <c:pt idx="2">
                  <c:v>-0.12533320244070625</c:v>
                </c:pt>
                <c:pt idx="3">
                  <c:v>-0.12656331708640839</c:v>
                </c:pt>
                <c:pt idx="4">
                  <c:v>-0.12779702106263682</c:v>
                </c:pt>
                <c:pt idx="5">
                  <c:v>-0.12903441677757754</c:v>
                </c:pt>
                <c:pt idx="6">
                  <c:v>-0.13027561056275833</c:v>
                </c:pt>
                <c:pt idx="7">
                  <c:v>-0.13152071286221209</c:v>
                </c:pt>
                <c:pt idx="8">
                  <c:v>-0.13276983843265505</c:v>
                </c:pt>
                <c:pt idx="9">
                  <c:v>-0.13402310655543379</c:v>
                </c:pt>
                <c:pt idx="10">
                  <c:v>-0.13528064126105255</c:v>
                </c:pt>
                <c:pt idx="11">
                  <c:v>-0.13654257156715716</c:v>
                </c:pt>
                <c:pt idx="12">
                  <c:v>-0.13780903173092299</c:v>
                </c:pt>
                <c:pt idx="13">
                  <c:v>-0.13908016151686903</c:v>
                </c:pt>
                <c:pt idx="14">
                  <c:v>-0.14035610648120544</c:v>
                </c:pt>
                <c:pt idx="15">
                  <c:v>-0.14163701827391209</c:v>
                </c:pt>
                <c:pt idx="16">
                  <c:v>-0.14292305495984553</c:v>
                </c:pt>
                <c:pt idx="17">
                  <c:v>-0.14421438136028095</c:v>
                </c:pt>
                <c:pt idx="18">
                  <c:v>-0.14551116941641573</c:v>
                </c:pt>
                <c:pt idx="19">
                  <c:v>-0.14681359857649051</c:v>
                </c:pt>
                <c:pt idx="20">
                  <c:v>-0.14812185620832846</c:v>
                </c:pt>
                <c:pt idx="21">
                  <c:v>-0.14943613803925182</c:v>
                </c:pt>
                <c:pt idx="22">
                  <c:v>-0.15075664862550489</c:v>
                </c:pt>
                <c:pt idx="23">
                  <c:v>-0.15208360185350728</c:v>
                </c:pt>
                <c:pt idx="24">
                  <c:v>-0.1534172214754671</c:v>
                </c:pt>
                <c:pt idx="25">
                  <c:v>-0.15475774168211714</c:v>
                </c:pt>
                <c:pt idx="26">
                  <c:v>-0.15610540771559114</c:v>
                </c:pt>
                <c:pt idx="27">
                  <c:v>-0.15746047652573827</c:v>
                </c:pt>
                <c:pt idx="28">
                  <c:v>-0.15882321747348543</c:v>
                </c:pt>
                <c:pt idx="29">
                  <c:v>-0.16019391308520031</c:v>
                </c:pt>
                <c:pt idx="30">
                  <c:v>-0.1615728598623894</c:v>
                </c:pt>
                <c:pt idx="31">
                  <c:v>-0.16296036915148623</c:v>
                </c:pt>
                <c:pt idx="32">
                  <c:v>-0.16435676807895544</c:v>
                </c:pt>
                <c:pt idx="33">
                  <c:v>-0.16576240055745578</c:v>
                </c:pt>
                <c:pt idx="34">
                  <c:v>-0.16717762836938613</c:v>
                </c:pt>
                <c:pt idx="35">
                  <c:v>-0.16860283233478079</c:v>
                </c:pt>
                <c:pt idx="36">
                  <c:v>-0.17003841357123836</c:v>
                </c:pt>
                <c:pt idx="37">
                  <c:v>-0.17148479485436943</c:v>
                </c:pt>
                <c:pt idx="38">
                  <c:v>-0.17294242208814101</c:v>
                </c:pt>
                <c:pt idx="39">
                  <c:v>-0.17441176589549612</c:v>
                </c:pt>
                <c:pt idx="40">
                  <c:v>-0.17589332334074473</c:v>
                </c:pt>
                <c:pt idx="41">
                  <c:v>-0.17738761979647583</c:v>
                </c:pt>
                <c:pt idx="42">
                  <c:v>-0.17889521096914573</c:v>
                </c:pt>
                <c:pt idx="43">
                  <c:v>-0.18041668509907705</c:v>
                </c:pt>
                <c:pt idx="44">
                  <c:v>-0.18112577310400263</c:v>
                </c:pt>
                <c:pt idx="45">
                  <c:v>-0.18163688489456109</c:v>
                </c:pt>
                <c:pt idx="46">
                  <c:v>-0.18216386456459385</c:v>
                </c:pt>
                <c:pt idx="47">
                  <c:v>-0.18270745663461035</c:v>
                </c:pt>
                <c:pt idx="48">
                  <c:v>-0.18326845246336559</c:v>
                </c:pt>
                <c:pt idx="49">
                  <c:v>-0.18384769394148318</c:v>
                </c:pt>
                <c:pt idx="50">
                  <c:v>-0.18444607753413284</c:v>
                </c:pt>
                <c:pt idx="51">
                  <c:v>-0.18506455871094427</c:v>
                </c:pt>
                <c:pt idx="52">
                  <c:v>-0.18570415680602276</c:v>
                </c:pt>
                <c:pt idx="53">
                  <c:v>-0.18636596035623665</c:v>
                </c:pt>
                <c:pt idx="54">
                  <c:v>-0.18705113297196005</c:v>
                </c:pt>
                <c:pt idx="55">
                  <c:v>-0.18776091980126425</c:v>
                </c:pt>
                <c:pt idx="56">
                  <c:v>-0.18849665465627097</c:v>
                </c:pt>
                <c:pt idx="57">
                  <c:v>-0.18925976787911869</c:v>
                </c:pt>
                <c:pt idx="58">
                  <c:v>-0.19005179503488054</c:v>
                </c:pt>
                <c:pt idx="59">
                  <c:v>-0.19087438652993891</c:v>
                </c:pt>
                <c:pt idx="60">
                  <c:v>-0.19172931826690684</c:v>
                </c:pt>
                <c:pt idx="61">
                  <c:v>-0.19261850346132328</c:v>
                </c:pt>
                <c:pt idx="62">
                  <c:v>-0.19354400576115738</c:v>
                </c:pt>
                <c:pt idx="63">
                  <c:v>-0.19450805382772474</c:v>
                </c:pt>
                <c:pt idx="64">
                  <c:v>-0.19551305755597023</c:v>
                </c:pt>
                <c:pt idx="65">
                  <c:v>-0.19656162613312839</c:v>
                </c:pt>
                <c:pt idx="66">
                  <c:v>-0.19765658815727935</c:v>
                </c:pt>
                <c:pt idx="67">
                  <c:v>-0.19880101406074918</c:v>
                </c:pt>
                <c:pt idx="68">
                  <c:v>-0.1999982411066904</c:v>
                </c:pt>
                <c:pt idx="69">
                  <c:v>-0.20125190124889406</c:v>
                </c:pt>
                <c:pt idx="70">
                  <c:v>-0.20256595216226039</c:v>
                </c:pt>
                <c:pt idx="71">
                  <c:v>-0.20394471176014051</c:v>
                </c:pt>
                <c:pt idx="72">
                  <c:v>-0.20539289650829076</c:v>
                </c:pt>
                <c:pt idx="73">
                  <c:v>-0.20691566381304857</c:v>
                </c:pt>
                <c:pt idx="74">
                  <c:v>-0.20851865868743907</c:v>
                </c:pt>
                <c:pt idx="75">
                  <c:v>-0.21020806475827911</c:v>
                </c:pt>
                <c:pt idx="76">
                  <c:v>-0.21199065943126066</c:v>
                </c:pt>
                <c:pt idx="77">
                  <c:v>-0.21387387261924867</c:v>
                </c:pt>
                <c:pt idx="78">
                  <c:v>-0.21586584776746714</c:v>
                </c:pt>
                <c:pt idx="79">
                  <c:v>-0.21797550282968961</c:v>
                </c:pt>
                <c:pt idx="80">
                  <c:v>-0.22021258712685104</c:v>
                </c:pt>
                <c:pt idx="81">
                  <c:v>-0.22258772727692125</c:v>
                </c:pt>
                <c:pt idx="82">
                  <c:v>-0.22511245101211583</c:v>
                </c:pt>
                <c:pt idx="83">
                  <c:v>-0.22779917069532554</c:v>
                </c:pt>
                <c:pt idx="84">
                  <c:v>-0.23066109704604598</c:v>
                </c:pt>
                <c:pt idx="85">
                  <c:v>-0.23371203517079003</c:v>
                </c:pt>
                <c:pt idx="86">
                  <c:v>-0.23696598461831481</c:v>
                </c:pt>
                <c:pt idx="87">
                  <c:v>-0.24043641434321206</c:v>
                </c:pt>
                <c:pt idx="88">
                  <c:v>-0.24413499691242524</c:v>
                </c:pt>
                <c:pt idx="89">
                  <c:v>-0.24806943600097142</c:v>
                </c:pt>
                <c:pt idx="90">
                  <c:v>-0.25223975426241474</c:v>
                </c:pt>
                <c:pt idx="91">
                  <c:v>-0.25663192194905354</c:v>
                </c:pt>
                <c:pt idx="92">
                  <c:v>-0.26120679243062672</c:v>
                </c:pt>
                <c:pt idx="93">
                  <c:v>-0.26588053354663688</c:v>
                </c:pt>
                <c:pt idx="94">
                  <c:v>-0.2704891491292653</c:v>
                </c:pt>
                <c:pt idx="95">
                  <c:v>-0.27472207103708984</c:v>
                </c:pt>
                <c:pt idx="96">
                  <c:v>-0.27799277488626306</c:v>
                </c:pt>
                <c:pt idx="97">
                  <c:v>-0.27917375505128728</c:v>
                </c:pt>
                <c:pt idx="98">
                  <c:v>-0.2554539852069887</c:v>
                </c:pt>
                <c:pt idx="99">
                  <c:v>-0.21653639365294983</c:v>
                </c:pt>
                <c:pt idx="100">
                  <c:v>-0.15775008369979782</c:v>
                </c:pt>
                <c:pt idx="101">
                  <c:v>-0.15775008369979782</c:v>
                </c:pt>
                <c:pt idx="102">
                  <c:v>-0.14606474928246463</c:v>
                </c:pt>
                <c:pt idx="103">
                  <c:v>-0.12906305292962017</c:v>
                </c:pt>
                <c:pt idx="104">
                  <c:v>-0.14240790606408568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DC9-449F-A085-B93D986DC3D2}"/>
            </c:ext>
          </c:extLst>
        </c:ser>
        <c:ser>
          <c:idx val="6"/>
          <c:order val="6"/>
          <c:tx>
            <c:v>CAMPO 5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'T2'!$R$243:$R$258</c:f>
              <c:numCache>
                <c:formatCode>0.000</c:formatCode>
                <c:ptCount val="16"/>
                <c:pt idx="0">
                  <c:v>0.99935064805547569</c:v>
                </c:pt>
                <c:pt idx="1">
                  <c:v>1.0462039205385392</c:v>
                </c:pt>
                <c:pt idx="2">
                  <c:v>1.0881317480961576</c:v>
                </c:pt>
                <c:pt idx="3">
                  <c:v>1.1254859482230062</c:v>
                </c:pt>
                <c:pt idx="4">
                  <c:v>1.1586183384137587</c:v>
                </c:pt>
                <c:pt idx="5">
                  <c:v>1.1878807361630903</c:v>
                </c:pt>
                <c:pt idx="6">
                  <c:v>1.2136249589656758</c:v>
                </c:pt>
                <c:pt idx="7">
                  <c:v>1.2362028243161891</c:v>
                </c:pt>
                <c:pt idx="8">
                  <c:v>1.2559661497093058</c:v>
                </c:pt>
                <c:pt idx="9">
                  <c:v>1.2732667526396997</c:v>
                </c:pt>
                <c:pt idx="10">
                  <c:v>1.2884564506020462</c:v>
                </c:pt>
                <c:pt idx="11">
                  <c:v>1.3018870610910189</c:v>
                </c:pt>
                <c:pt idx="12">
                  <c:v>1.3139104016012935</c:v>
                </c:pt>
                <c:pt idx="13">
                  <c:v>1.3248782896275437</c:v>
                </c:pt>
                <c:pt idx="14">
                  <c:v>1.3347141166082233</c:v>
                </c:pt>
                <c:pt idx="15">
                  <c:v>1.3347727528573357</c:v>
                </c:pt>
              </c:numCache>
            </c:numRef>
          </c:xVal>
          <c:yVal>
            <c:numRef>
              <c:f>'T2'!$S$243:$S$258</c:f>
              <c:numCache>
                <c:formatCode>0.000</c:formatCode>
                <c:ptCount val="16"/>
                <c:pt idx="0">
                  <c:v>0.14240790606408568</c:v>
                </c:pt>
                <c:pt idx="1">
                  <c:v>0.11876165609118305</c:v>
                </c:pt>
                <c:pt idx="2">
                  <c:v>9.9061467707206335E-2</c:v>
                </c:pt>
                <c:pt idx="3">
                  <c:v>8.2555268699743653E-2</c:v>
                </c:pt>
                <c:pt idx="4">
                  <c:v>6.8746989874077832E-2</c:v>
                </c:pt>
                <c:pt idx="5">
                  <c:v>5.7182336283467729E-2</c:v>
                </c:pt>
                <c:pt idx="6">
                  <c:v>4.7448787229147887E-2</c:v>
                </c:pt>
                <c:pt idx="7">
                  <c:v>3.9175596260330126E-2</c:v>
                </c:pt>
                <c:pt idx="8">
                  <c:v>3.203379117420093E-2</c:v>
                </c:pt>
                <c:pt idx="9">
                  <c:v>2.5736174015924422E-2</c:v>
                </c:pt>
                <c:pt idx="10">
                  <c:v>2.0037321078640341E-2</c:v>
                </c:pt>
                <c:pt idx="11">
                  <c:v>1.4733582903464699E-2</c:v>
                </c:pt>
                <c:pt idx="12">
                  <c:v>9.6630842794894079E-3</c:v>
                </c:pt>
                <c:pt idx="13">
                  <c:v>4.7057242437829492E-3</c:v>
                </c:pt>
                <c:pt idx="14">
                  <c:v>-2.6108904990437059E-6</c:v>
                </c:pt>
                <c:pt idx="15">
                  <c:v>-5.09134818190959E-16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DC9-449F-A085-B93D986DC3D2}"/>
            </c:ext>
          </c:extLst>
        </c:ser>
        <c:ser>
          <c:idx val="7"/>
          <c:order val="7"/>
          <c:tx>
            <c:v>CAMPO 5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TABULATI!$R$243:$R$258</c:f>
              <c:numCache>
                <c:formatCode>0.000</c:formatCode>
                <c:ptCount val="16"/>
                <c:pt idx="0">
                  <c:v>0.99935064805547569</c:v>
                </c:pt>
                <c:pt idx="1">
                  <c:v>1.0462039205385392</c:v>
                </c:pt>
                <c:pt idx="2">
                  <c:v>1.0881317480961576</c:v>
                </c:pt>
                <c:pt idx="3">
                  <c:v>1.1254859482230062</c:v>
                </c:pt>
                <c:pt idx="4">
                  <c:v>1.1586183384137587</c:v>
                </c:pt>
                <c:pt idx="5">
                  <c:v>1.1878807361630903</c:v>
                </c:pt>
                <c:pt idx="6">
                  <c:v>1.2136249589656758</c:v>
                </c:pt>
                <c:pt idx="7">
                  <c:v>1.2362028243161891</c:v>
                </c:pt>
                <c:pt idx="8">
                  <c:v>1.2559661497093058</c:v>
                </c:pt>
                <c:pt idx="9">
                  <c:v>1.2732667526396997</c:v>
                </c:pt>
                <c:pt idx="10">
                  <c:v>1.2884564506020462</c:v>
                </c:pt>
                <c:pt idx="11">
                  <c:v>1.3018870610910189</c:v>
                </c:pt>
                <c:pt idx="12">
                  <c:v>1.3139104016012935</c:v>
                </c:pt>
                <c:pt idx="13">
                  <c:v>1.3248782896275437</c:v>
                </c:pt>
                <c:pt idx="14">
                  <c:v>1.3347141166082233</c:v>
                </c:pt>
                <c:pt idx="15">
                  <c:v>1.3347727528573357</c:v>
                </c:pt>
              </c:numCache>
            </c:numRef>
          </c:xVal>
          <c:yVal>
            <c:numRef>
              <c:f>Foglio3!$C$244:$C$259</c:f>
              <c:numCache>
                <c:formatCode>0.000</c:formatCode>
                <c:ptCount val="16"/>
                <c:pt idx="0">
                  <c:v>-0.14240790606408568</c:v>
                </c:pt>
                <c:pt idx="1">
                  <c:v>-0.11876165609118305</c:v>
                </c:pt>
                <c:pt idx="2">
                  <c:v>-9.9061467707206335E-2</c:v>
                </c:pt>
                <c:pt idx="3">
                  <c:v>-8.2555268699743653E-2</c:v>
                </c:pt>
                <c:pt idx="4">
                  <c:v>-6.8746989874077832E-2</c:v>
                </c:pt>
                <c:pt idx="5">
                  <c:v>-5.7182336283467729E-2</c:v>
                </c:pt>
                <c:pt idx="6">
                  <c:v>-4.7448787229147887E-2</c:v>
                </c:pt>
                <c:pt idx="7">
                  <c:v>-3.9175596260330126E-2</c:v>
                </c:pt>
                <c:pt idx="8">
                  <c:v>-3.203379117420093E-2</c:v>
                </c:pt>
                <c:pt idx="9">
                  <c:v>-2.5736174015924422E-2</c:v>
                </c:pt>
                <c:pt idx="10">
                  <c:v>-2.0037321078640341E-2</c:v>
                </c:pt>
                <c:pt idx="11">
                  <c:v>-1.4733582903464699E-2</c:v>
                </c:pt>
                <c:pt idx="12">
                  <c:v>-9.6630842794894079E-3</c:v>
                </c:pt>
                <c:pt idx="13">
                  <c:v>-4.7057242437829492E-3</c:v>
                </c:pt>
                <c:pt idx="14">
                  <c:v>2.6108904990437059E-6</c:v>
                </c:pt>
                <c:pt idx="15">
                  <c:v>5.09134818190959E-16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DC9-449F-A085-B93D986D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866208"/>
        <c:axId val="1143866752"/>
      </c:scatterChart>
      <c:valAx>
        <c:axId val="114386620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3866752"/>
        <c:crosses val="autoZero"/>
        <c:crossBetween val="midCat"/>
      </c:valAx>
      <c:valAx>
        <c:axId val="114386675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143866208"/>
        <c:crosses val="autoZero"/>
        <c:crossBetween val="midCat"/>
        <c:majorUnit val="0.05"/>
      </c:valAx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86948729453828311"/>
          <c:y val="0.25502408910511853"/>
          <c:w val="9.8521736119141279E-2"/>
          <c:h val="0.2328463007375752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N M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'T2'!$P$2:$P$258</c:f>
              <c:numCache>
                <c:formatCode>0</c:formatCode>
                <c:ptCount val="257"/>
                <c:pt idx="0">
                  <c:v>-1229.31886444818</c:v>
                </c:pt>
                <c:pt idx="1">
                  <c:v>-1229.31886444818</c:v>
                </c:pt>
                <c:pt idx="2">
                  <c:v>-1229.31886444818</c:v>
                </c:pt>
                <c:pt idx="3">
                  <c:v>-1229.31886444818</c:v>
                </c:pt>
                <c:pt idx="4">
                  <c:v>-1229.31886444818</c:v>
                </c:pt>
                <c:pt idx="5">
                  <c:v>-1229.31886444818</c:v>
                </c:pt>
                <c:pt idx="6">
                  <c:v>-1229.31886444818</c:v>
                </c:pt>
                <c:pt idx="7">
                  <c:v>-1229.31886444818</c:v>
                </c:pt>
                <c:pt idx="8">
                  <c:v>-1229.31886444818</c:v>
                </c:pt>
                <c:pt idx="9">
                  <c:v>-1229.31886444818</c:v>
                </c:pt>
                <c:pt idx="10">
                  <c:v>-1229.31886444818</c:v>
                </c:pt>
                <c:pt idx="11">
                  <c:v>-1229.31886444818</c:v>
                </c:pt>
                <c:pt idx="12">
                  <c:v>-1229.31886444818</c:v>
                </c:pt>
                <c:pt idx="13">
                  <c:v>-1229.31886444818</c:v>
                </c:pt>
                <c:pt idx="14">
                  <c:v>-1229.31886444818</c:v>
                </c:pt>
                <c:pt idx="15">
                  <c:v>-1229.31886444818</c:v>
                </c:pt>
                <c:pt idx="16">
                  <c:v>-1229.31886444818</c:v>
                </c:pt>
                <c:pt idx="17">
                  <c:v>-1229.31886444818</c:v>
                </c:pt>
                <c:pt idx="18">
                  <c:v>-1229.31886444818</c:v>
                </c:pt>
                <c:pt idx="19">
                  <c:v>-1229.31886444818</c:v>
                </c:pt>
                <c:pt idx="20">
                  <c:v>-1229.31886444818</c:v>
                </c:pt>
                <c:pt idx="21">
                  <c:v>-1229.31886444818</c:v>
                </c:pt>
                <c:pt idx="22">
                  <c:v>-1229.31886444818</c:v>
                </c:pt>
                <c:pt idx="23">
                  <c:v>-1229.31886444818</c:v>
                </c:pt>
                <c:pt idx="24">
                  <c:v>-1229.31886444818</c:v>
                </c:pt>
                <c:pt idx="25">
                  <c:v>-1229.31886444818</c:v>
                </c:pt>
                <c:pt idx="26">
                  <c:v>-1229.31886444818</c:v>
                </c:pt>
                <c:pt idx="27">
                  <c:v>-1229.31886444818</c:v>
                </c:pt>
                <c:pt idx="28">
                  <c:v>-1229.31886444818</c:v>
                </c:pt>
                <c:pt idx="29">
                  <c:v>-1229.31886444818</c:v>
                </c:pt>
                <c:pt idx="30">
                  <c:v>-1229.31886444818</c:v>
                </c:pt>
                <c:pt idx="31">
                  <c:v>-1229.31886444818</c:v>
                </c:pt>
                <c:pt idx="32">
                  <c:v>-1229.31886444818</c:v>
                </c:pt>
                <c:pt idx="33">
                  <c:v>-1229.31886444818</c:v>
                </c:pt>
                <c:pt idx="34">
                  <c:v>-1229.31886444818</c:v>
                </c:pt>
                <c:pt idx="35">
                  <c:v>-1229.31886444818</c:v>
                </c:pt>
                <c:pt idx="36">
                  <c:v>-1229.31886444818</c:v>
                </c:pt>
                <c:pt idx="37">
                  <c:v>-1229.31886444818</c:v>
                </c:pt>
                <c:pt idx="38">
                  <c:v>-1229.31886444818</c:v>
                </c:pt>
                <c:pt idx="39">
                  <c:v>-1229.31886444818</c:v>
                </c:pt>
                <c:pt idx="40">
                  <c:v>-1229.31886444818</c:v>
                </c:pt>
                <c:pt idx="41">
                  <c:v>-1229.31886444818</c:v>
                </c:pt>
                <c:pt idx="42">
                  <c:v>-1229.31886444818</c:v>
                </c:pt>
                <c:pt idx="43">
                  <c:v>-1229.31886444818</c:v>
                </c:pt>
                <c:pt idx="44">
                  <c:v>-1229.31886444818</c:v>
                </c:pt>
                <c:pt idx="45">
                  <c:v>-1229.31886444818</c:v>
                </c:pt>
                <c:pt idx="46">
                  <c:v>-1229.31886444818</c:v>
                </c:pt>
                <c:pt idx="47">
                  <c:v>-1229.31886444818</c:v>
                </c:pt>
                <c:pt idx="48">
                  <c:v>-1229.31886444818</c:v>
                </c:pt>
                <c:pt idx="49">
                  <c:v>-1229.31886444818</c:v>
                </c:pt>
                <c:pt idx="50">
                  <c:v>-1229.31886444818</c:v>
                </c:pt>
                <c:pt idx="51">
                  <c:v>-1229.31886444818</c:v>
                </c:pt>
                <c:pt idx="52">
                  <c:v>-1229.31886444818</c:v>
                </c:pt>
                <c:pt idx="53">
                  <c:v>-1229.31886444818</c:v>
                </c:pt>
                <c:pt idx="54">
                  <c:v>-1229.31886444818</c:v>
                </c:pt>
                <c:pt idx="55">
                  <c:v>-1229.31886444818</c:v>
                </c:pt>
                <c:pt idx="56">
                  <c:v>-1229.31886444818</c:v>
                </c:pt>
                <c:pt idx="57">
                  <c:v>-1229.31886444818</c:v>
                </c:pt>
                <c:pt idx="58">
                  <c:v>-1229.31886444818</c:v>
                </c:pt>
                <c:pt idx="59">
                  <c:v>-1229.31886444818</c:v>
                </c:pt>
                <c:pt idx="60">
                  <c:v>-1229.31886444818</c:v>
                </c:pt>
                <c:pt idx="61">
                  <c:v>-1229.31886444818</c:v>
                </c:pt>
                <c:pt idx="62">
                  <c:v>-1229.31886444818</c:v>
                </c:pt>
                <c:pt idx="63">
                  <c:v>-1229.31886444818</c:v>
                </c:pt>
                <c:pt idx="64">
                  <c:v>-1229.31886444818</c:v>
                </c:pt>
                <c:pt idx="65">
                  <c:v>-1229.31886444818</c:v>
                </c:pt>
                <c:pt idx="66">
                  <c:v>-1229.31886444818</c:v>
                </c:pt>
                <c:pt idx="67">
                  <c:v>-1229.31886444818</c:v>
                </c:pt>
                <c:pt idx="68">
                  <c:v>-1229.31886444818</c:v>
                </c:pt>
                <c:pt idx="69">
                  <c:v>-1229.31886444818</c:v>
                </c:pt>
                <c:pt idx="70">
                  <c:v>-1229.31886444818</c:v>
                </c:pt>
                <c:pt idx="71">
                  <c:v>-1229.31886444818</c:v>
                </c:pt>
                <c:pt idx="72">
                  <c:v>-1229.31886444818</c:v>
                </c:pt>
                <c:pt idx="73">
                  <c:v>-1229.31886444818</c:v>
                </c:pt>
                <c:pt idx="74">
                  <c:v>-1229.31886444818</c:v>
                </c:pt>
                <c:pt idx="75">
                  <c:v>-1229.31886444818</c:v>
                </c:pt>
                <c:pt idx="76">
                  <c:v>-1229.31886444818</c:v>
                </c:pt>
                <c:pt idx="77">
                  <c:v>-1229.31886444818</c:v>
                </c:pt>
                <c:pt idx="78">
                  <c:v>-1229.31886444818</c:v>
                </c:pt>
                <c:pt idx="79">
                  <c:v>-1229.31886444818</c:v>
                </c:pt>
                <c:pt idx="80">
                  <c:v>-1229.31886444818</c:v>
                </c:pt>
                <c:pt idx="81">
                  <c:v>-1229.31886444818</c:v>
                </c:pt>
                <c:pt idx="82">
                  <c:v>-1229.31886444818</c:v>
                </c:pt>
                <c:pt idx="83">
                  <c:v>-1229.31886444818</c:v>
                </c:pt>
                <c:pt idx="84">
                  <c:v>-1229.31886444818</c:v>
                </c:pt>
                <c:pt idx="85">
                  <c:v>-1229.31886444818</c:v>
                </c:pt>
                <c:pt idx="86">
                  <c:v>-1229.31886444818</c:v>
                </c:pt>
                <c:pt idx="87">
                  <c:v>-1229.31886444818</c:v>
                </c:pt>
                <c:pt idx="88">
                  <c:v>-1229.31886444818</c:v>
                </c:pt>
                <c:pt idx="89">
                  <c:v>-1229.31886444818</c:v>
                </c:pt>
                <c:pt idx="90">
                  <c:v>-1229.31886444818</c:v>
                </c:pt>
                <c:pt idx="91">
                  <c:v>-1229.31886444818</c:v>
                </c:pt>
                <c:pt idx="92">
                  <c:v>-1229.31886444818</c:v>
                </c:pt>
                <c:pt idx="93">
                  <c:v>-1229.31886444818</c:v>
                </c:pt>
                <c:pt idx="94">
                  <c:v>-1229.31886444818</c:v>
                </c:pt>
                <c:pt idx="95">
                  <c:v>-1229.31886444818</c:v>
                </c:pt>
                <c:pt idx="96">
                  <c:v>-1229.31886444818</c:v>
                </c:pt>
                <c:pt idx="97">
                  <c:v>-1229.31886444818</c:v>
                </c:pt>
                <c:pt idx="98">
                  <c:v>-1229.31886444818</c:v>
                </c:pt>
                <c:pt idx="99">
                  <c:v>-1229.31886444818</c:v>
                </c:pt>
                <c:pt idx="100">
                  <c:v>-1229.31886444818</c:v>
                </c:pt>
                <c:pt idx="101">
                  <c:v>-1229.31886444818</c:v>
                </c:pt>
                <c:pt idx="102">
                  <c:v>-1229.3102285959242</c:v>
                </c:pt>
                <c:pt idx="103">
                  <c:v>-1229.2510489119909</c:v>
                </c:pt>
                <c:pt idx="104">
                  <c:v>-1229.0942649332462</c:v>
                </c:pt>
                <c:pt idx="105">
                  <c:v>-1228.7965907986957</c:v>
                </c:pt>
                <c:pt idx="106">
                  <c:v>-1228.318487495055</c:v>
                </c:pt>
                <c:pt idx="107">
                  <c:v>-1227.6241353468583</c:v>
                </c:pt>
                <c:pt idx="108">
                  <c:v>-1226.6814067485832</c:v>
                </c:pt>
                <c:pt idx="109">
                  <c:v>-1222.5163914786056</c:v>
                </c:pt>
                <c:pt idx="110">
                  <c:v>-1189.4063016009904</c:v>
                </c:pt>
                <c:pt idx="111">
                  <c:v>-1155.9733357761177</c:v>
                </c:pt>
                <c:pt idx="112">
                  <c:v>-1122.1998667537521</c:v>
                </c:pt>
                <c:pt idx="113">
                  <c:v>-1088.0718265587916</c:v>
                </c:pt>
                <c:pt idx="114">
                  <c:v>-1053.5786806243855</c:v>
                </c:pt>
                <c:pt idx="115">
                  <c:v>-1018.7134021504144</c:v>
                </c:pt>
                <c:pt idx="116">
                  <c:v>-983.47244668488486</c:v>
                </c:pt>
                <c:pt idx="117">
                  <c:v>-947.85572692602216</c:v>
                </c:pt>
                <c:pt idx="118">
                  <c:v>-911.86658774286832</c:v>
                </c:pt>
                <c:pt idx="119">
                  <c:v>-875.51178141215928</c:v>
                </c:pt>
                <c:pt idx="120">
                  <c:v>-838.80144306924308</c:v>
                </c:pt>
                <c:pt idx="121">
                  <c:v>-801.74906637102254</c:v>
                </c:pt>
                <c:pt idx="122">
                  <c:v>-764.36849391762428</c:v>
                </c:pt>
                <c:pt idx="123">
                  <c:v>-726.66383556326946</c:v>
                </c:pt>
                <c:pt idx="124">
                  <c:v>-688.63648422730137</c:v>
                </c:pt>
                <c:pt idx="125">
                  <c:v>-650.28782485813235</c:v>
                </c:pt>
                <c:pt idx="126">
                  <c:v>-611.61923449019571</c:v>
                </c:pt>
                <c:pt idx="127">
                  <c:v>-572.63208230037787</c:v>
                </c:pt>
                <c:pt idx="128">
                  <c:v>-533.32772966399011</c:v>
                </c:pt>
                <c:pt idx="129">
                  <c:v>-493.70753021023393</c:v>
                </c:pt>
                <c:pt idx="130">
                  <c:v>-453.77282987726528</c:v>
                </c:pt>
                <c:pt idx="131">
                  <c:v>-413.52496696669226</c:v>
                </c:pt>
                <c:pt idx="132">
                  <c:v>-372.96527219769553</c:v>
                </c:pt>
                <c:pt idx="133">
                  <c:v>-332.09506876060391</c:v>
                </c:pt>
                <c:pt idx="134">
                  <c:v>-290.91567237011435</c:v>
                </c:pt>
                <c:pt idx="135">
                  <c:v>-249.42839131800108</c:v>
                </c:pt>
                <c:pt idx="136">
                  <c:v>-207.63452652536765</c:v>
                </c:pt>
                <c:pt idx="137">
                  <c:v>-207.63452652536822</c:v>
                </c:pt>
                <c:pt idx="138">
                  <c:v>-197.39849983759714</c:v>
                </c:pt>
                <c:pt idx="139">
                  <c:v>-187.13162030744903</c:v>
                </c:pt>
                <c:pt idx="140">
                  <c:v>-176.83298214288587</c:v>
                </c:pt>
                <c:pt idx="141">
                  <c:v>-166.50164374457137</c:v>
                </c:pt>
                <c:pt idx="142">
                  <c:v>-156.13662591881439</c:v>
                </c:pt>
                <c:pt idx="143">
                  <c:v>-145.73690998241003</c:v>
                </c:pt>
                <c:pt idx="144">
                  <c:v>-135.30143575166818</c:v>
                </c:pt>
                <c:pt idx="145">
                  <c:v>-124.82909940728965</c:v>
                </c:pt>
                <c:pt idx="146">
                  <c:v>-114.31875122605345</c:v>
                </c:pt>
                <c:pt idx="147">
                  <c:v>-103.76919316952169</c:v>
                </c:pt>
                <c:pt idx="148">
                  <c:v>-93.179176319134072</c:v>
                </c:pt>
                <c:pt idx="149">
                  <c:v>-82.547398146153654</c:v>
                </c:pt>
                <c:pt idx="150">
                  <c:v>-71.872499603922947</c:v>
                </c:pt>
                <c:pt idx="151">
                  <c:v>-61.153062028790941</c:v>
                </c:pt>
                <c:pt idx="152">
                  <c:v>-50.387603834858282</c:v>
                </c:pt>
                <c:pt idx="153">
                  <c:v>-39.574576986359197</c:v>
                </c:pt>
                <c:pt idx="154">
                  <c:v>-28.712363230031333</c:v>
                </c:pt>
                <c:pt idx="155">
                  <c:v>-17.799270068195764</c:v>
                </c:pt>
                <c:pt idx="156">
                  <c:v>-6.8335264514989689</c:v>
                </c:pt>
                <c:pt idx="157">
                  <c:v>4.1867218317301012</c:v>
                </c:pt>
                <c:pt idx="158">
                  <c:v>15.263417094729142</c:v>
                </c:pt>
                <c:pt idx="159">
                  <c:v>26.398595047810346</c:v>
                </c:pt>
                <c:pt idx="160">
                  <c:v>37.594390480472008</c:v>
                </c:pt>
                <c:pt idx="161">
                  <c:v>48.853043363447071</c:v>
                </c:pt>
                <c:pt idx="162">
                  <c:v>60.176905407347014</c:v>
                </c:pt>
                <c:pt idx="163">
                  <c:v>71.56844711826939</c:v>
                </c:pt>
                <c:pt idx="164">
                  <c:v>83.030265394854013</c:v>
                </c:pt>
                <c:pt idx="165">
                  <c:v>94.56509171590011</c:v>
                </c:pt>
                <c:pt idx="166">
                  <c:v>106.17580097280373</c:v>
                </c:pt>
                <c:pt idx="167">
                  <c:v>117.86542100684845</c:v>
                </c:pt>
                <c:pt idx="168">
                  <c:v>129.63714291785797</c:v>
                </c:pt>
                <c:pt idx="169">
                  <c:v>141.49433221799578</c:v>
                </c:pt>
                <c:pt idx="170">
                  <c:v>153.44054091265903</c:v>
                </c:pt>
                <c:pt idx="171">
                  <c:v>165.47952059963976</c:v>
                </c:pt>
                <c:pt idx="172">
                  <c:v>177.61523668810864</c:v>
                </c:pt>
                <c:pt idx="173">
                  <c:v>189.85188385072095</c:v>
                </c:pt>
                <c:pt idx="174">
                  <c:v>202.1939028354428</c:v>
                </c:pt>
                <c:pt idx="175">
                  <c:v>214.64599877876336</c:v>
                </c:pt>
                <c:pt idx="176">
                  <c:v>227.21316117908549</c:v>
                </c:pt>
                <c:pt idx="177">
                  <c:v>239.9006857085781</c:v>
                </c:pt>
                <c:pt idx="178">
                  <c:v>252.7141980639887</c:v>
                </c:pt>
                <c:pt idx="179">
                  <c:v>265.65968008230345</c:v>
                </c:pt>
                <c:pt idx="180">
                  <c:v>278.74349837620593</c:v>
                </c:pt>
                <c:pt idx="181">
                  <c:v>285.09972457627111</c:v>
                </c:pt>
                <c:pt idx="182">
                  <c:v>289.83676615384616</c:v>
                </c:pt>
                <c:pt idx="183">
                  <c:v>294.73388297872339</c:v>
                </c:pt>
                <c:pt idx="184">
                  <c:v>299.79932845321463</c:v>
                </c:pt>
                <c:pt idx="185">
                  <c:v>305.0419332901555</c:v>
                </c:pt>
                <c:pt idx="186">
                  <c:v>310.471156888596</c:v>
                </c:pt>
                <c:pt idx="187">
                  <c:v>316.09714429530209</c:v>
                </c:pt>
                <c:pt idx="188">
                  <c:v>321.93078947368429</c:v>
                </c:pt>
                <c:pt idx="189">
                  <c:v>327.98380571030663</c:v>
                </c:pt>
                <c:pt idx="190">
                  <c:v>334.26880411639485</c:v>
                </c:pt>
                <c:pt idx="191">
                  <c:v>340.79938133140399</c:v>
                </c:pt>
                <c:pt idx="192">
                  <c:v>347.59021771217721</c:v>
                </c:pt>
                <c:pt idx="193">
                  <c:v>354.65718750000025</c:v>
                </c:pt>
                <c:pt idx="194">
                  <c:v>362.01748270561126</c:v>
                </c:pt>
                <c:pt idx="195">
                  <c:v>369.68975274725307</c:v>
                </c:pt>
                <c:pt idx="196">
                  <c:v>377.69426222935061</c:v>
                </c:pt>
                <c:pt idx="197">
                  <c:v>386.0530696721313</c:v>
                </c:pt>
                <c:pt idx="198">
                  <c:v>394.79023051131634</c:v>
                </c:pt>
                <c:pt idx="199">
                  <c:v>403.93202830188699</c:v>
                </c:pt>
                <c:pt idx="200">
                  <c:v>413.50723880597042</c:v>
                </c:pt>
                <c:pt idx="201">
                  <c:v>423.54743255395698</c:v>
                </c:pt>
                <c:pt idx="202">
                  <c:v>434.08732258064532</c:v>
                </c:pt>
                <c:pt idx="203">
                  <c:v>445.1651654064276</c:v>
                </c:pt>
                <c:pt idx="204">
                  <c:v>456.82322502424847</c:v>
                </c:pt>
                <c:pt idx="205">
                  <c:v>469.10831175298824</c:v>
                </c:pt>
                <c:pt idx="206">
                  <c:v>482.07241044012295</c:v>
                </c:pt>
                <c:pt idx="207">
                  <c:v>495.7734157894738</c:v>
                </c:pt>
                <c:pt idx="208">
                  <c:v>510.27599674972913</c:v>
                </c:pt>
                <c:pt idx="209">
                  <c:v>525.65261718750025</c:v>
                </c:pt>
                <c:pt idx="210">
                  <c:v>541.98474683544316</c:v>
                </c:pt>
                <c:pt idx="211">
                  <c:v>559.36430522565331</c:v>
                </c:pt>
                <c:pt idx="212">
                  <c:v>577.8953926380367</c:v>
                </c:pt>
                <c:pt idx="213">
                  <c:v>597.6963769035533</c:v>
                </c:pt>
                <c:pt idx="214">
                  <c:v>618.90242444152432</c:v>
                </c:pt>
                <c:pt idx="215">
                  <c:v>641.66858991825632</c:v>
                </c:pt>
                <c:pt idx="216">
                  <c:v>666.17361386138646</c:v>
                </c:pt>
                <c:pt idx="217">
                  <c:v>692.62462500000026</c:v>
                </c:pt>
                <c:pt idx="218">
                  <c:v>721.26300918836171</c:v>
                </c:pt>
                <c:pt idx="219">
                  <c:v>752.37179712460079</c:v>
                </c:pt>
                <c:pt idx="220">
                  <c:v>786.28505008347281</c:v>
                </c:pt>
                <c:pt idx="221">
                  <c:v>823.39990384615419</c:v>
                </c:pt>
                <c:pt idx="222">
                  <c:v>864.19219266055109</c:v>
                </c:pt>
                <c:pt idx="223">
                  <c:v>909.23695945946008</c:v>
                </c:pt>
                <c:pt idx="224">
                  <c:v>959.23573319755656</c:v>
                </c:pt>
                <c:pt idx="225">
                  <c:v>1015.0533297413801</c:v>
                </c:pt>
                <c:pt idx="226">
                  <c:v>1077.7682951945092</c:v>
                </c:pt>
                <c:pt idx="227">
                  <c:v>1148.7432804878063</c:v>
                </c:pt>
                <c:pt idx="228">
                  <c:v>1229.7251827676259</c:v>
                </c:pt>
                <c:pt idx="229">
                  <c:v>1322.9908567415753</c:v>
                </c:pt>
                <c:pt idx="230">
                  <c:v>1431.5645744680878</c:v>
                </c:pt>
                <c:pt idx="231">
                  <c:v>1559.5521357615928</c:v>
                </c:pt>
                <c:pt idx="232">
                  <c:v>1712.6718000000046</c:v>
                </c:pt>
                <c:pt idx="233">
                  <c:v>1899.1320362903282</c:v>
                </c:pt>
                <c:pt idx="234">
                  <c:v>2131.1526923076995</c:v>
                </c:pt>
                <c:pt idx="235">
                  <c:v>2598.6777569677829</c:v>
                </c:pt>
                <c:pt idx="236">
                  <c:v>3213.0583199647995</c:v>
                </c:pt>
                <c:pt idx="237">
                  <c:v>3978.8361822241177</c:v>
                </c:pt>
                <c:pt idx="238">
                  <c:v>3978.8361822241177</c:v>
                </c:pt>
                <c:pt idx="239">
                  <c:v>4110.6520455783493</c:v>
                </c:pt>
                <c:pt idx="240">
                  <c:v>4260.6529721354136</c:v>
                </c:pt>
                <c:pt idx="241">
                  <c:v>4153.049207117584</c:v>
                </c:pt>
                <c:pt idx="242">
                  <c:v>4347.7595888192127</c:v>
                </c:pt>
                <c:pt idx="243">
                  <c:v>4522.0010638541726</c:v>
                </c:pt>
                <c:pt idx="244">
                  <c:v>4677.2356969843731</c:v>
                </c:pt>
                <c:pt idx="245">
                  <c:v>4814.9255529717148</c:v>
                </c:pt>
                <c:pt idx="246">
                  <c:v>4936.5326965781051</c:v>
                </c:pt>
                <c:pt idx="247">
                  <c:v>5043.519192565449</c:v>
                </c:pt>
                <c:pt idx="248">
                  <c:v>5137.3471056956469</c:v>
                </c:pt>
                <c:pt idx="249">
                  <c:v>5219.4785007306091</c:v>
                </c:pt>
                <c:pt idx="250">
                  <c:v>5291.3754424322378</c:v>
                </c:pt>
                <c:pt idx="251">
                  <c:v>5354.499995562438</c:v>
                </c:pt>
                <c:pt idx="252">
                  <c:v>5410.3142248831127</c:v>
                </c:pt>
                <c:pt idx="253">
                  <c:v>5460.2801951561696</c:v>
                </c:pt>
                <c:pt idx="254">
                  <c:v>5505.8599711435118</c:v>
                </c:pt>
                <c:pt idx="255">
                  <c:v>5546.7351869878603</c:v>
                </c:pt>
                <c:pt idx="256">
                  <c:v>5546.9788644481778</c:v>
                </c:pt>
              </c:numCache>
            </c:numRef>
          </c:xVal>
          <c:yVal>
            <c:numRef>
              <c:f>'T2'!$Q$2:$Q$258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5.1765721653103825E-3</c:v>
                </c:pt>
                <c:pt idx="103">
                  <c:v>4.0611525380015376E-2</c:v>
                </c:pt>
                <c:pt idx="104">
                  <c:v>0.13437206034463645</c:v>
                </c:pt>
                <c:pt idx="105">
                  <c:v>0.31215849904924631</c:v>
                </c:pt>
                <c:pt idx="106">
                  <c:v>0.59732985992431642</c:v>
                </c:pt>
                <c:pt idx="107">
                  <c:v>1.0109291357688903</c:v>
                </c:pt>
                <c:pt idx="108">
                  <c:v>1.5717082782431842</c:v>
                </c:pt>
                <c:pt idx="109">
                  <c:v>3.9971489149909019</c:v>
                </c:pt>
                <c:pt idx="110">
                  <c:v>23.142068705688178</c:v>
                </c:pt>
                <c:pt idx="111">
                  <c:v>42.476923492622319</c:v>
                </c:pt>
                <c:pt idx="112">
                  <c:v>62.01154516874027</c:v>
                </c:pt>
                <c:pt idx="113">
                  <c:v>81.753595235670034</c:v>
                </c:pt>
                <c:pt idx="114">
                  <c:v>101.70858810425982</c:v>
                </c:pt>
                <c:pt idx="115">
                  <c:v>121.87991412669578</c:v>
                </c:pt>
                <c:pt idx="116">
                  <c:v>142.26886236367386</c:v>
                </c:pt>
                <c:pt idx="117">
                  <c:v>162.87464308994154</c:v>
                </c:pt>
                <c:pt idx="118">
                  <c:v>183.69441004148084</c:v>
                </c:pt>
                <c:pt idx="119">
                  <c:v>204.72328240758765</c:v>
                </c:pt>
                <c:pt idx="120">
                  <c:v>225.95436657108451</c:v>
                </c:pt>
                <c:pt idx="121">
                  <c:v>247.37877759974421</c:v>
                </c:pt>
                <c:pt idx="122">
                  <c:v>268.98745052415802</c:v>
                </c:pt>
                <c:pt idx="123">
                  <c:v>290.77718149424226</c:v>
                </c:pt>
                <c:pt idx="124">
                  <c:v>312.74640669843308</c:v>
                </c:pt>
                <c:pt idx="125">
                  <c:v>334.89357576329667</c:v>
                </c:pt>
                <c:pt idx="126">
                  <c:v>357.2171516255126</c:v>
                </c:pt>
                <c:pt idx="127">
                  <c:v>379.71561040524534</c:v>
                </c:pt>
                <c:pt idx="128">
                  <c:v>402.38744128085534</c:v>
                </c:pt>
                <c:pt idx="129">
                  <c:v>425.23114636496427</c:v>
                </c:pt>
                <c:pt idx="130">
                  <c:v>448.24524058179912</c:v>
                </c:pt>
                <c:pt idx="131">
                  <c:v>471.42825154589866</c:v>
                </c:pt>
                <c:pt idx="132">
                  <c:v>494.77871944205867</c:v>
                </c:pt>
                <c:pt idx="133">
                  <c:v>518.29519690660209</c:v>
                </c:pt>
                <c:pt idx="134">
                  <c:v>541.9762489098506</c:v>
                </c:pt>
                <c:pt idx="135">
                  <c:v>565.82045263987584</c:v>
                </c:pt>
                <c:pt idx="136">
                  <c:v>589.82639738748651</c:v>
                </c:pt>
                <c:pt idx="137">
                  <c:v>589.82639738748605</c:v>
                </c:pt>
                <c:pt idx="138">
                  <c:v>595.69775750445626</c:v>
                </c:pt>
                <c:pt idx="139">
                  <c:v>601.58541601996455</c:v>
                </c:pt>
                <c:pt idx="140">
                  <c:v>607.4898293476067</c:v>
                </c:pt>
                <c:pt idx="141">
                  <c:v>613.41147106210758</c:v>
                </c:pt>
                <c:pt idx="142">
                  <c:v>619.35083271135693</c:v>
                </c:pt>
                <c:pt idx="143">
                  <c:v>625.3084246748482</c:v>
                </c:pt>
                <c:pt idx="144">
                  <c:v>631.28477707164154</c:v>
                </c:pt>
                <c:pt idx="145">
                  <c:v>637.2804407211969</c:v>
                </c:pt>
                <c:pt idx="146">
                  <c:v>643.29598816069608</c:v>
                </c:pt>
                <c:pt idx="147">
                  <c:v>649.33201472274857</c:v>
                </c:pt>
                <c:pt idx="148">
                  <c:v>655.38913967768849</c:v>
                </c:pt>
                <c:pt idx="149">
                  <c:v>661.46800744500831</c:v>
                </c:pt>
                <c:pt idx="150">
                  <c:v>667.56928887883646</c:v>
                </c:pt>
                <c:pt idx="151">
                  <c:v>673.69368263277443</c:v>
                </c:pt>
                <c:pt idx="152">
                  <c:v>679.84191660983947</c:v>
                </c:pt>
                <c:pt idx="153">
                  <c:v>686.01474950374245</c:v>
                </c:pt>
                <c:pt idx="154">
                  <c:v>692.21297243825188</c:v>
                </c:pt>
                <c:pt idx="155">
                  <c:v>698.43741071196985</c:v>
                </c:pt>
                <c:pt idx="156">
                  <c:v>704.68892565646979</c:v>
                </c:pt>
                <c:pt idx="157">
                  <c:v>710.96841661644009</c:v>
                </c:pt>
                <c:pt idx="158">
                  <c:v>717.27682306123302</c:v>
                </c:pt>
                <c:pt idx="159">
                  <c:v>723.6151268380446</c:v>
                </c:pt>
                <c:pt idx="160">
                  <c:v>729.98435457787286</c:v>
                </c:pt>
                <c:pt idx="161">
                  <c:v>736.38558026640226</c:v>
                </c:pt>
                <c:pt idx="162">
                  <c:v>742.81992799307295</c:v>
                </c:pt>
                <c:pt idx="163">
                  <c:v>749.28857489281995</c:v>
                </c:pt>
                <c:pt idx="164">
                  <c:v>755.79275429630809</c:v>
                </c:pt>
                <c:pt idx="165">
                  <c:v>762.33375910599329</c:v>
                </c:pt>
                <c:pt idx="166">
                  <c:v>768.91294541698164</c:v>
                </c:pt>
                <c:pt idx="167">
                  <c:v>775.53173640348939</c:v>
                </c:pt>
                <c:pt idx="168">
                  <c:v>782.19162649372925</c:v>
                </c:pt>
                <c:pt idx="169">
                  <c:v>788.89418585830629</c:v>
                </c:pt>
                <c:pt idx="170">
                  <c:v>795.64106523968849</c:v>
                </c:pt>
                <c:pt idx="171">
                  <c:v>802.43400115310635</c:v>
                </c:pt>
                <c:pt idx="172">
                  <c:v>809.27482149232071</c:v>
                </c:pt>
                <c:pt idx="173">
                  <c:v>816.16545157714086</c:v>
                </c:pt>
                <c:pt idx="174">
                  <c:v>823.10792068342209</c:v>
                </c:pt>
                <c:pt idx="175">
                  <c:v>830.10436910055523</c:v>
                </c:pt>
                <c:pt idx="176">
                  <c:v>837.15705576626351</c:v>
                </c:pt>
                <c:pt idx="177">
                  <c:v>844.26836653388716</c:v>
                </c:pt>
                <c:pt idx="178">
                  <c:v>851.440823133354</c:v>
                </c:pt>
                <c:pt idx="179">
                  <c:v>858.67709289377706</c:v>
                </c:pt>
                <c:pt idx="180">
                  <c:v>865.97999930320475</c:v>
                </c:pt>
                <c:pt idx="181">
                  <c:v>869.38354277078452</c:v>
                </c:pt>
                <c:pt idx="182">
                  <c:v>871.83682245380612</c:v>
                </c:pt>
                <c:pt idx="183">
                  <c:v>874.3662661914359</c:v>
                </c:pt>
                <c:pt idx="184">
                  <c:v>876.97544759921755</c:v>
                </c:pt>
                <c:pt idx="185">
                  <c:v>879.66816511105844</c:v>
                </c:pt>
                <c:pt idx="186">
                  <c:v>882.44845970820836</c:v>
                </c:pt>
                <c:pt idx="187">
                  <c:v>885.32063432366158</c:v>
                </c:pt>
                <c:pt idx="188">
                  <c:v>888.28927510525057</c:v>
                </c:pt>
                <c:pt idx="189">
                  <c:v>891.35927474317884</c:v>
                </c:pt>
                <c:pt idx="190">
                  <c:v>894.53585809320748</c:v>
                </c:pt>
                <c:pt idx="191">
                  <c:v>897.8246103555656</c:v>
                </c:pt>
                <c:pt idx="192">
                  <c:v>901.23150810234949</c:v>
                </c:pt>
                <c:pt idx="193">
                  <c:v>904.76295348322537</c:v>
                </c:pt>
                <c:pt idx="194">
                  <c:v>908.42581198119092</c:v>
                </c:pt>
                <c:pt idx="195">
                  <c:v>912.22745413761402</c:v>
                </c:pt>
                <c:pt idx="196">
                  <c:v>916.17580171935936</c:v>
                </c:pt>
                <c:pt idx="197">
                  <c:v>920.27937886122527</c:v>
                </c:pt>
                <c:pt idx="198">
                  <c:v>924.54736878476433</c:v>
                </c:pt>
                <c:pt idx="199">
                  <c:v>928.98967677044379</c:v>
                </c:pt>
                <c:pt idx="200">
                  <c:v>933.61700014441988</c:v>
                </c:pt>
                <c:pt idx="201">
                  <c:v>938.44090613408935</c:v>
                </c:pt>
                <c:pt idx="202">
                  <c:v>943.47391854764817</c:v>
                </c:pt>
                <c:pt idx="203">
                  <c:v>948.72961434092008</c:v>
                </c:pt>
                <c:pt idx="204">
                  <c:v>954.22273124718151</c:v>
                </c:pt>
                <c:pt idx="205">
                  <c:v>959.96928775796425</c:v>
                </c:pt>
                <c:pt idx="206">
                  <c:v>965.98671684705209</c:v>
                </c:pt>
                <c:pt idx="207">
                  <c:v>972.29401491328383</c:v>
                </c:pt>
                <c:pt idx="208">
                  <c:v>978.91190745995073</c:v>
                </c:pt>
                <c:pt idx="209">
                  <c:v>985.86303299751046</c:v>
                </c:pt>
                <c:pt idx="210">
                  <c:v>993.1721465021119</c:v>
                </c:pt>
                <c:pt idx="211">
                  <c:v>1000.8663434077108</c:v>
                </c:pt>
                <c:pt idx="212">
                  <c:v>1008.9753044344887</c:v>
                </c:pt>
                <c:pt idx="213">
                  <c:v>1017.5315603751117</c:v>
                </c:pt>
                <c:pt idx="214">
                  <c:v>1026.5707739840195</c:v>
                </c:pt>
                <c:pt idx="215">
                  <c:v>1036.1320328915256</c:v>
                </c:pt>
                <c:pt idx="216">
                  <c:v>1046.2581422827391</c:v>
                </c:pt>
                <c:pt idx="217">
                  <c:v>1056.995897812574</c:v>
                </c:pt>
                <c:pt idx="218">
                  <c:v>1068.3963060640242</c:v>
                </c:pt>
                <c:pt idx="219">
                  <c:v>1080.5146988681261</c:v>
                </c:pt>
                <c:pt idx="220">
                  <c:v>1093.4106541846545</c:v>
                </c:pt>
                <c:pt idx="221">
                  <c:v>1107.1475819961909</c:v>
                </c:pt>
                <c:pt idx="222">
                  <c:v>1121.7917452768156</c:v>
                </c:pt>
                <c:pt idx="223">
                  <c:v>1137.4103403017311</c:v>
                </c:pt>
                <c:pt idx="224">
                  <c:v>1154.068016553226</c:v>
                </c:pt>
                <c:pt idx="225">
                  <c:v>1171.8208010529033</c:v>
                </c:pt>
                <c:pt idx="226">
                  <c:v>1190.7056705830507</c:v>
                </c:pt>
                <c:pt idx="227">
                  <c:v>1210.7227338782529</c:v>
                </c:pt>
                <c:pt idx="228">
                  <c:v>1231.8046497117377</c:v>
                </c:pt>
                <c:pt idx="229">
                  <c:v>1253.7635186171794</c:v>
                </c:pt>
                <c:pt idx="230">
                  <c:v>1276.1969555587968</c:v>
                </c:pt>
                <c:pt idx="231">
                  <c:v>1298.3177971918292</c:v>
                </c:pt>
                <c:pt idx="232">
                  <c:v>1318.6353510188237</c:v>
                </c:pt>
                <c:pt idx="233">
                  <c:v>1334.3343653060699</c:v>
                </c:pt>
                <c:pt idx="234">
                  <c:v>1340.0029385975208</c:v>
                </c:pt>
                <c:pt idx="235">
                  <c:v>1226.1506845116103</c:v>
                </c:pt>
                <c:pt idx="236">
                  <c:v>1039.3505784773963</c:v>
                </c:pt>
                <c:pt idx="237">
                  <c:v>757.18283648439694</c:v>
                </c:pt>
                <c:pt idx="238">
                  <c:v>757.18283648439694</c:v>
                </c:pt>
                <c:pt idx="239">
                  <c:v>701.09453242857842</c:v>
                </c:pt>
                <c:pt idx="240">
                  <c:v>619.48828305256177</c:v>
                </c:pt>
                <c:pt idx="241">
                  <c:v>683.54209216528079</c:v>
                </c:pt>
                <c:pt idx="242">
                  <c:v>570.04272527572493</c:v>
                </c:pt>
                <c:pt idx="243">
                  <c:v>475.48401462398795</c:v>
                </c:pt>
                <c:pt idx="244">
                  <c:v>396.25609733279384</c:v>
                </c:pt>
                <c:pt idx="245">
                  <c:v>329.9778965041848</c:v>
                </c:pt>
                <c:pt idx="246">
                  <c:v>274.46884697897781</c:v>
                </c:pt>
                <c:pt idx="247">
                  <c:v>227.74889533676284</c:v>
                </c:pt>
                <c:pt idx="248">
                  <c:v>188.03849989591046</c:v>
                </c:pt>
                <c:pt idx="249">
                  <c:v>153.75863071355943</c:v>
                </c:pt>
                <c:pt idx="250">
                  <c:v>123.53076958563075</c:v>
                </c:pt>
                <c:pt idx="251">
                  <c:v>96.176910046818165</c:v>
                </c:pt>
                <c:pt idx="252">
                  <c:v>70.719557370591218</c:v>
                </c:pt>
                <c:pt idx="253">
                  <c:v>46.381728569193484</c:v>
                </c:pt>
                <c:pt idx="254">
                  <c:v>22.586952393645763</c:v>
                </c:pt>
                <c:pt idx="255">
                  <c:v>-1.2531983676016331E-2</c:v>
                </c:pt>
                <c:pt idx="256">
                  <c:v>-2.4437904357910157E-12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F9-4B8B-91C3-1E91701794B4}"/>
            </c:ext>
          </c:extLst>
        </c:ser>
        <c:ser>
          <c:idx val="1"/>
          <c:order val="1"/>
          <c:tx>
            <c:v>-N M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TABULATI!$P$2:$P$258</c:f>
              <c:numCache>
                <c:formatCode>0</c:formatCode>
                <c:ptCount val="257"/>
                <c:pt idx="0">
                  <c:v>-1229.31886444818</c:v>
                </c:pt>
                <c:pt idx="1">
                  <c:v>-1229.31886444818</c:v>
                </c:pt>
                <c:pt idx="2">
                  <c:v>-1229.31886444818</c:v>
                </c:pt>
                <c:pt idx="3">
                  <c:v>-1229.31886444818</c:v>
                </c:pt>
                <c:pt idx="4">
                  <c:v>-1229.31886444818</c:v>
                </c:pt>
                <c:pt idx="5">
                  <c:v>-1229.31886444818</c:v>
                </c:pt>
                <c:pt idx="6">
                  <c:v>-1229.31886444818</c:v>
                </c:pt>
                <c:pt idx="7">
                  <c:v>-1229.31886444818</c:v>
                </c:pt>
                <c:pt idx="8">
                  <c:v>-1229.31886444818</c:v>
                </c:pt>
                <c:pt idx="9">
                  <c:v>-1229.31886444818</c:v>
                </c:pt>
                <c:pt idx="10">
                  <c:v>-1229.31886444818</c:v>
                </c:pt>
                <c:pt idx="11">
                  <c:v>-1229.31886444818</c:v>
                </c:pt>
                <c:pt idx="12">
                  <c:v>-1229.31886444818</c:v>
                </c:pt>
                <c:pt idx="13">
                  <c:v>-1229.31886444818</c:v>
                </c:pt>
                <c:pt idx="14">
                  <c:v>-1229.31886444818</c:v>
                </c:pt>
                <c:pt idx="15">
                  <c:v>-1229.31886444818</c:v>
                </c:pt>
                <c:pt idx="16">
                  <c:v>-1229.31886444818</c:v>
                </c:pt>
                <c:pt idx="17">
                  <c:v>-1229.31886444818</c:v>
                </c:pt>
                <c:pt idx="18">
                  <c:v>-1229.31886444818</c:v>
                </c:pt>
                <c:pt idx="19">
                  <c:v>-1229.31886444818</c:v>
                </c:pt>
                <c:pt idx="20">
                  <c:v>-1229.31886444818</c:v>
                </c:pt>
                <c:pt idx="21">
                  <c:v>-1229.31886444818</c:v>
                </c:pt>
                <c:pt idx="22">
                  <c:v>-1229.31886444818</c:v>
                </c:pt>
                <c:pt idx="23">
                  <c:v>-1229.31886444818</c:v>
                </c:pt>
                <c:pt idx="24">
                  <c:v>-1229.31886444818</c:v>
                </c:pt>
                <c:pt idx="25">
                  <c:v>-1229.31886444818</c:v>
                </c:pt>
                <c:pt idx="26">
                  <c:v>-1229.31886444818</c:v>
                </c:pt>
                <c:pt idx="27">
                  <c:v>-1229.31886444818</c:v>
                </c:pt>
                <c:pt idx="28">
                  <c:v>-1229.31886444818</c:v>
                </c:pt>
                <c:pt idx="29">
                  <c:v>-1229.31886444818</c:v>
                </c:pt>
                <c:pt idx="30">
                  <c:v>-1229.31886444818</c:v>
                </c:pt>
                <c:pt idx="31">
                  <c:v>-1229.31886444818</c:v>
                </c:pt>
                <c:pt idx="32">
                  <c:v>-1229.31886444818</c:v>
                </c:pt>
                <c:pt idx="33">
                  <c:v>-1229.31886444818</c:v>
                </c:pt>
                <c:pt idx="34">
                  <c:v>-1229.31886444818</c:v>
                </c:pt>
                <c:pt idx="35">
                  <c:v>-1229.31886444818</c:v>
                </c:pt>
                <c:pt idx="36">
                  <c:v>-1229.31886444818</c:v>
                </c:pt>
                <c:pt idx="37">
                  <c:v>-1229.31886444818</c:v>
                </c:pt>
                <c:pt idx="38">
                  <c:v>-1229.31886444818</c:v>
                </c:pt>
                <c:pt idx="39">
                  <c:v>-1229.31886444818</c:v>
                </c:pt>
                <c:pt idx="40">
                  <c:v>-1229.31886444818</c:v>
                </c:pt>
                <c:pt idx="41">
                  <c:v>-1229.31886444818</c:v>
                </c:pt>
                <c:pt idx="42">
                  <c:v>-1229.31886444818</c:v>
                </c:pt>
                <c:pt idx="43">
                  <c:v>-1229.31886444818</c:v>
                </c:pt>
                <c:pt idx="44">
                  <c:v>-1229.31886444818</c:v>
                </c:pt>
                <c:pt idx="45">
                  <c:v>-1229.31886444818</c:v>
                </c:pt>
                <c:pt idx="46">
                  <c:v>-1229.31886444818</c:v>
                </c:pt>
                <c:pt idx="47">
                  <c:v>-1229.31886444818</c:v>
                </c:pt>
                <c:pt idx="48">
                  <c:v>-1229.31886444818</c:v>
                </c:pt>
                <c:pt idx="49">
                  <c:v>-1229.31886444818</c:v>
                </c:pt>
                <c:pt idx="50">
                  <c:v>-1229.31886444818</c:v>
                </c:pt>
                <c:pt idx="51">
                  <c:v>-1229.31886444818</c:v>
                </c:pt>
                <c:pt idx="52">
                  <c:v>-1229.31886444818</c:v>
                </c:pt>
                <c:pt idx="53">
                  <c:v>-1229.31886444818</c:v>
                </c:pt>
                <c:pt idx="54">
                  <c:v>-1229.31886444818</c:v>
                </c:pt>
                <c:pt idx="55">
                  <c:v>-1229.31886444818</c:v>
                </c:pt>
                <c:pt idx="56">
                  <c:v>-1229.31886444818</c:v>
                </c:pt>
                <c:pt idx="57">
                  <c:v>-1229.31886444818</c:v>
                </c:pt>
                <c:pt idx="58">
                  <c:v>-1229.31886444818</c:v>
                </c:pt>
                <c:pt idx="59">
                  <c:v>-1229.31886444818</c:v>
                </c:pt>
                <c:pt idx="60">
                  <c:v>-1229.31886444818</c:v>
                </c:pt>
                <c:pt idx="61">
                  <c:v>-1229.31886444818</c:v>
                </c:pt>
                <c:pt idx="62">
                  <c:v>-1229.31886444818</c:v>
                </c:pt>
                <c:pt idx="63">
                  <c:v>-1229.31886444818</c:v>
                </c:pt>
                <c:pt idx="64">
                  <c:v>-1229.31886444818</c:v>
                </c:pt>
                <c:pt idx="65">
                  <c:v>-1229.31886444818</c:v>
                </c:pt>
                <c:pt idx="66">
                  <c:v>-1229.31886444818</c:v>
                </c:pt>
                <c:pt idx="67">
                  <c:v>-1229.31886444818</c:v>
                </c:pt>
                <c:pt idx="68">
                  <c:v>-1229.31886444818</c:v>
                </c:pt>
                <c:pt idx="69">
                  <c:v>-1229.31886444818</c:v>
                </c:pt>
                <c:pt idx="70">
                  <c:v>-1229.31886444818</c:v>
                </c:pt>
                <c:pt idx="71">
                  <c:v>-1229.31886444818</c:v>
                </c:pt>
                <c:pt idx="72">
                  <c:v>-1229.31886444818</c:v>
                </c:pt>
                <c:pt idx="73">
                  <c:v>-1229.31886444818</c:v>
                </c:pt>
                <c:pt idx="74">
                  <c:v>-1229.31886444818</c:v>
                </c:pt>
                <c:pt idx="75">
                  <c:v>-1229.31886444818</c:v>
                </c:pt>
                <c:pt idx="76">
                  <c:v>-1229.31886444818</c:v>
                </c:pt>
                <c:pt idx="77">
                  <c:v>-1229.31886444818</c:v>
                </c:pt>
                <c:pt idx="78">
                  <c:v>-1229.31886444818</c:v>
                </c:pt>
                <c:pt idx="79">
                  <c:v>-1229.31886444818</c:v>
                </c:pt>
                <c:pt idx="80">
                  <c:v>-1229.31886444818</c:v>
                </c:pt>
                <c:pt idx="81">
                  <c:v>-1229.31886444818</c:v>
                </c:pt>
                <c:pt idx="82">
                  <c:v>-1229.31886444818</c:v>
                </c:pt>
                <c:pt idx="83">
                  <c:v>-1229.31886444818</c:v>
                </c:pt>
                <c:pt idx="84">
                  <c:v>-1229.31886444818</c:v>
                </c:pt>
                <c:pt idx="85">
                  <c:v>-1229.31886444818</c:v>
                </c:pt>
                <c:pt idx="86">
                  <c:v>-1229.31886444818</c:v>
                </c:pt>
                <c:pt idx="87">
                  <c:v>-1229.31886444818</c:v>
                </c:pt>
                <c:pt idx="88">
                  <c:v>-1229.31886444818</c:v>
                </c:pt>
                <c:pt idx="89">
                  <c:v>-1229.31886444818</c:v>
                </c:pt>
                <c:pt idx="90">
                  <c:v>-1229.31886444818</c:v>
                </c:pt>
                <c:pt idx="91">
                  <c:v>-1229.31886444818</c:v>
                </c:pt>
                <c:pt idx="92">
                  <c:v>-1229.31886444818</c:v>
                </c:pt>
                <c:pt idx="93">
                  <c:v>-1229.31886444818</c:v>
                </c:pt>
                <c:pt idx="94">
                  <c:v>-1229.31886444818</c:v>
                </c:pt>
                <c:pt idx="95">
                  <c:v>-1229.31886444818</c:v>
                </c:pt>
                <c:pt idx="96">
                  <c:v>-1229.31886444818</c:v>
                </c:pt>
                <c:pt idx="97">
                  <c:v>-1229.31886444818</c:v>
                </c:pt>
                <c:pt idx="98">
                  <c:v>-1229.31886444818</c:v>
                </c:pt>
                <c:pt idx="99">
                  <c:v>-1229.31886444818</c:v>
                </c:pt>
                <c:pt idx="100">
                  <c:v>-1229.31886444818</c:v>
                </c:pt>
                <c:pt idx="101">
                  <c:v>-1229.31886444818</c:v>
                </c:pt>
                <c:pt idx="102">
                  <c:v>-1229.3102285959242</c:v>
                </c:pt>
                <c:pt idx="103">
                  <c:v>-1229.2510489119909</c:v>
                </c:pt>
                <c:pt idx="104">
                  <c:v>-1229.0942649332462</c:v>
                </c:pt>
                <c:pt idx="105">
                  <c:v>-1228.7965907986957</c:v>
                </c:pt>
                <c:pt idx="106">
                  <c:v>-1228.318487495055</c:v>
                </c:pt>
                <c:pt idx="107">
                  <c:v>-1227.6241353468583</c:v>
                </c:pt>
                <c:pt idx="108">
                  <c:v>-1226.6814067485832</c:v>
                </c:pt>
                <c:pt idx="109">
                  <c:v>-1222.5163914786056</c:v>
                </c:pt>
                <c:pt idx="110">
                  <c:v>-1189.4063016009904</c:v>
                </c:pt>
                <c:pt idx="111">
                  <c:v>-1155.9733357761177</c:v>
                </c:pt>
                <c:pt idx="112">
                  <c:v>-1122.1998667537521</c:v>
                </c:pt>
                <c:pt idx="113">
                  <c:v>-1088.0718265587916</c:v>
                </c:pt>
                <c:pt idx="114">
                  <c:v>-1053.5786806243855</c:v>
                </c:pt>
                <c:pt idx="115">
                  <c:v>-1018.7134021504144</c:v>
                </c:pt>
                <c:pt idx="116">
                  <c:v>-983.47244668488486</c:v>
                </c:pt>
                <c:pt idx="117">
                  <c:v>-947.85572692602216</c:v>
                </c:pt>
                <c:pt idx="118">
                  <c:v>-911.86658774286832</c:v>
                </c:pt>
                <c:pt idx="119">
                  <c:v>-875.51178141215928</c:v>
                </c:pt>
                <c:pt idx="120">
                  <c:v>-838.80144306924308</c:v>
                </c:pt>
                <c:pt idx="121">
                  <c:v>-801.74906637102254</c:v>
                </c:pt>
                <c:pt idx="122">
                  <c:v>-764.36849391762428</c:v>
                </c:pt>
                <c:pt idx="123">
                  <c:v>-726.66383556326946</c:v>
                </c:pt>
                <c:pt idx="124">
                  <c:v>-688.63648422730137</c:v>
                </c:pt>
                <c:pt idx="125">
                  <c:v>-650.28782485813235</c:v>
                </c:pt>
                <c:pt idx="126">
                  <c:v>-611.61923449019571</c:v>
                </c:pt>
                <c:pt idx="127">
                  <c:v>-572.63208230037787</c:v>
                </c:pt>
                <c:pt idx="128">
                  <c:v>-533.32772966399011</c:v>
                </c:pt>
                <c:pt idx="129">
                  <c:v>-493.70753021023393</c:v>
                </c:pt>
                <c:pt idx="130">
                  <c:v>-453.77282987726528</c:v>
                </c:pt>
                <c:pt idx="131">
                  <c:v>-413.52496696669226</c:v>
                </c:pt>
                <c:pt idx="132">
                  <c:v>-372.96527219769553</c:v>
                </c:pt>
                <c:pt idx="133">
                  <c:v>-332.09506876060391</c:v>
                </c:pt>
                <c:pt idx="134">
                  <c:v>-290.91567237011435</c:v>
                </c:pt>
                <c:pt idx="135">
                  <c:v>-249.42839131800108</c:v>
                </c:pt>
                <c:pt idx="136">
                  <c:v>-207.63452652536765</c:v>
                </c:pt>
                <c:pt idx="137">
                  <c:v>-207.63452652536822</c:v>
                </c:pt>
                <c:pt idx="138">
                  <c:v>-197.39849983759714</c:v>
                </c:pt>
                <c:pt idx="139">
                  <c:v>-187.13162030744903</c:v>
                </c:pt>
                <c:pt idx="140">
                  <c:v>-176.83298214288587</c:v>
                </c:pt>
                <c:pt idx="141">
                  <c:v>-166.50164374457137</c:v>
                </c:pt>
                <c:pt idx="142">
                  <c:v>-156.13662591881439</c:v>
                </c:pt>
                <c:pt idx="143">
                  <c:v>-145.73690998241003</c:v>
                </c:pt>
                <c:pt idx="144">
                  <c:v>-135.30143575166818</c:v>
                </c:pt>
                <c:pt idx="145">
                  <c:v>-124.82909940728965</c:v>
                </c:pt>
                <c:pt idx="146">
                  <c:v>-114.31875122605345</c:v>
                </c:pt>
                <c:pt idx="147">
                  <c:v>-103.76919316952169</c:v>
                </c:pt>
                <c:pt idx="148">
                  <c:v>-93.179176319134072</c:v>
                </c:pt>
                <c:pt idx="149">
                  <c:v>-82.547398146153654</c:v>
                </c:pt>
                <c:pt idx="150">
                  <c:v>-71.872499603922947</c:v>
                </c:pt>
                <c:pt idx="151">
                  <c:v>-61.153062028790941</c:v>
                </c:pt>
                <c:pt idx="152">
                  <c:v>-50.387603834858282</c:v>
                </c:pt>
                <c:pt idx="153">
                  <c:v>-39.574576986359197</c:v>
                </c:pt>
                <c:pt idx="154">
                  <c:v>-28.712363230031333</c:v>
                </c:pt>
                <c:pt idx="155">
                  <c:v>-17.799270068195764</c:v>
                </c:pt>
                <c:pt idx="156">
                  <c:v>-6.8335264514989689</c:v>
                </c:pt>
                <c:pt idx="157">
                  <c:v>4.1867218317301012</c:v>
                </c:pt>
                <c:pt idx="158">
                  <c:v>15.263417094729142</c:v>
                </c:pt>
                <c:pt idx="159">
                  <c:v>26.398595047810346</c:v>
                </c:pt>
                <c:pt idx="160">
                  <c:v>37.594390480472008</c:v>
                </c:pt>
                <c:pt idx="161">
                  <c:v>48.853043363447071</c:v>
                </c:pt>
                <c:pt idx="162">
                  <c:v>60.176905407347014</c:v>
                </c:pt>
                <c:pt idx="163">
                  <c:v>71.56844711826939</c:v>
                </c:pt>
                <c:pt idx="164">
                  <c:v>83.030265394854013</c:v>
                </c:pt>
                <c:pt idx="165">
                  <c:v>94.56509171590011</c:v>
                </c:pt>
                <c:pt idx="166">
                  <c:v>106.17580097280373</c:v>
                </c:pt>
                <c:pt idx="167">
                  <c:v>117.86542100684845</c:v>
                </c:pt>
                <c:pt idx="168">
                  <c:v>129.63714291785797</c:v>
                </c:pt>
                <c:pt idx="169">
                  <c:v>141.49433221799578</c:v>
                </c:pt>
                <c:pt idx="170">
                  <c:v>153.44054091265903</c:v>
                </c:pt>
                <c:pt idx="171">
                  <c:v>165.47952059963976</c:v>
                </c:pt>
                <c:pt idx="172">
                  <c:v>177.61523668810864</c:v>
                </c:pt>
                <c:pt idx="173">
                  <c:v>189.85188385072095</c:v>
                </c:pt>
                <c:pt idx="174">
                  <c:v>202.1939028354428</c:v>
                </c:pt>
                <c:pt idx="175">
                  <c:v>214.64599877876336</c:v>
                </c:pt>
                <c:pt idx="176">
                  <c:v>227.21316117908549</c:v>
                </c:pt>
                <c:pt idx="177">
                  <c:v>239.9006857085781</c:v>
                </c:pt>
                <c:pt idx="178">
                  <c:v>252.7141980639887</c:v>
                </c:pt>
                <c:pt idx="179">
                  <c:v>265.65968008230345</c:v>
                </c:pt>
                <c:pt idx="180">
                  <c:v>278.74349837620593</c:v>
                </c:pt>
                <c:pt idx="181">
                  <c:v>285.09972457627111</c:v>
                </c:pt>
                <c:pt idx="182">
                  <c:v>289.83676615384616</c:v>
                </c:pt>
                <c:pt idx="183">
                  <c:v>294.73388297872339</c:v>
                </c:pt>
                <c:pt idx="184">
                  <c:v>299.79932845321463</c:v>
                </c:pt>
                <c:pt idx="185">
                  <c:v>305.0419332901555</c:v>
                </c:pt>
                <c:pt idx="186">
                  <c:v>310.471156888596</c:v>
                </c:pt>
                <c:pt idx="187">
                  <c:v>316.09714429530209</c:v>
                </c:pt>
                <c:pt idx="188">
                  <c:v>321.93078947368429</c:v>
                </c:pt>
                <c:pt idx="189">
                  <c:v>327.98380571030663</c:v>
                </c:pt>
                <c:pt idx="190">
                  <c:v>334.26880411639485</c:v>
                </c:pt>
                <c:pt idx="191">
                  <c:v>340.79938133140399</c:v>
                </c:pt>
                <c:pt idx="192">
                  <c:v>347.59021771217721</c:v>
                </c:pt>
                <c:pt idx="193">
                  <c:v>354.65718750000025</c:v>
                </c:pt>
                <c:pt idx="194">
                  <c:v>362.01748270561126</c:v>
                </c:pt>
                <c:pt idx="195">
                  <c:v>369.68975274725307</c:v>
                </c:pt>
                <c:pt idx="196">
                  <c:v>377.69426222935061</c:v>
                </c:pt>
                <c:pt idx="197">
                  <c:v>386.0530696721313</c:v>
                </c:pt>
                <c:pt idx="198">
                  <c:v>394.79023051131634</c:v>
                </c:pt>
                <c:pt idx="199">
                  <c:v>403.93202830188699</c:v>
                </c:pt>
                <c:pt idx="200">
                  <c:v>413.50723880597042</c:v>
                </c:pt>
                <c:pt idx="201">
                  <c:v>423.54743255395698</c:v>
                </c:pt>
                <c:pt idx="202">
                  <c:v>434.08732258064532</c:v>
                </c:pt>
                <c:pt idx="203">
                  <c:v>445.1651654064276</c:v>
                </c:pt>
                <c:pt idx="204">
                  <c:v>456.82322502424847</c:v>
                </c:pt>
                <c:pt idx="205">
                  <c:v>469.10831175298824</c:v>
                </c:pt>
                <c:pt idx="206">
                  <c:v>482.07241044012295</c:v>
                </c:pt>
                <c:pt idx="207">
                  <c:v>495.7734157894738</c:v>
                </c:pt>
                <c:pt idx="208">
                  <c:v>510.27599674972913</c:v>
                </c:pt>
                <c:pt idx="209">
                  <c:v>525.65261718750025</c:v>
                </c:pt>
                <c:pt idx="210">
                  <c:v>541.98474683544316</c:v>
                </c:pt>
                <c:pt idx="211">
                  <c:v>559.36430522565331</c:v>
                </c:pt>
                <c:pt idx="212">
                  <c:v>577.8953926380367</c:v>
                </c:pt>
                <c:pt idx="213">
                  <c:v>597.6963769035533</c:v>
                </c:pt>
                <c:pt idx="214">
                  <c:v>618.90242444152432</c:v>
                </c:pt>
                <c:pt idx="215">
                  <c:v>641.66858991825632</c:v>
                </c:pt>
                <c:pt idx="216">
                  <c:v>666.17361386138646</c:v>
                </c:pt>
                <c:pt idx="217">
                  <c:v>692.62462500000026</c:v>
                </c:pt>
                <c:pt idx="218">
                  <c:v>721.26300918836171</c:v>
                </c:pt>
                <c:pt idx="219">
                  <c:v>752.37179712460079</c:v>
                </c:pt>
                <c:pt idx="220">
                  <c:v>786.28505008347281</c:v>
                </c:pt>
                <c:pt idx="221">
                  <c:v>823.39990384615419</c:v>
                </c:pt>
                <c:pt idx="222">
                  <c:v>864.19219266055109</c:v>
                </c:pt>
                <c:pt idx="223">
                  <c:v>909.23695945946008</c:v>
                </c:pt>
                <c:pt idx="224">
                  <c:v>959.23573319755656</c:v>
                </c:pt>
                <c:pt idx="225">
                  <c:v>1015.0533297413801</c:v>
                </c:pt>
                <c:pt idx="226">
                  <c:v>1077.7682951945092</c:v>
                </c:pt>
                <c:pt idx="227">
                  <c:v>1148.7432804878063</c:v>
                </c:pt>
                <c:pt idx="228">
                  <c:v>1229.7251827676259</c:v>
                </c:pt>
                <c:pt idx="229">
                  <c:v>1322.9908567415753</c:v>
                </c:pt>
                <c:pt idx="230">
                  <c:v>1431.5645744680878</c:v>
                </c:pt>
                <c:pt idx="231">
                  <c:v>1559.5521357615928</c:v>
                </c:pt>
                <c:pt idx="232">
                  <c:v>1712.6718000000046</c:v>
                </c:pt>
                <c:pt idx="233">
                  <c:v>1899.1320362903282</c:v>
                </c:pt>
                <c:pt idx="234">
                  <c:v>2131.1526923076995</c:v>
                </c:pt>
                <c:pt idx="235">
                  <c:v>2598.6777569677829</c:v>
                </c:pt>
                <c:pt idx="236">
                  <c:v>3213.0583199647995</c:v>
                </c:pt>
                <c:pt idx="237">
                  <c:v>3978.8361822241177</c:v>
                </c:pt>
                <c:pt idx="238">
                  <c:v>3978.8361822241177</c:v>
                </c:pt>
                <c:pt idx="239">
                  <c:v>4110.6520455783493</c:v>
                </c:pt>
                <c:pt idx="240">
                  <c:v>4260.6529721354136</c:v>
                </c:pt>
                <c:pt idx="241">
                  <c:v>4153.049207117584</c:v>
                </c:pt>
                <c:pt idx="242">
                  <c:v>4347.7595888192127</c:v>
                </c:pt>
                <c:pt idx="243">
                  <c:v>4522.0010638541726</c:v>
                </c:pt>
                <c:pt idx="244">
                  <c:v>4677.2356969843731</c:v>
                </c:pt>
                <c:pt idx="245">
                  <c:v>4814.9255529717148</c:v>
                </c:pt>
                <c:pt idx="246">
                  <c:v>4936.5326965781051</c:v>
                </c:pt>
                <c:pt idx="247">
                  <c:v>5043.519192565449</c:v>
                </c:pt>
                <c:pt idx="248">
                  <c:v>5137.3471056956469</c:v>
                </c:pt>
                <c:pt idx="249">
                  <c:v>5219.4785007306091</c:v>
                </c:pt>
                <c:pt idx="250">
                  <c:v>5291.3754424322378</c:v>
                </c:pt>
                <c:pt idx="251">
                  <c:v>5354.499995562438</c:v>
                </c:pt>
                <c:pt idx="252">
                  <c:v>5410.3142248831127</c:v>
                </c:pt>
                <c:pt idx="253">
                  <c:v>5460.2801951561696</c:v>
                </c:pt>
                <c:pt idx="254">
                  <c:v>5505.8599711435118</c:v>
                </c:pt>
                <c:pt idx="255">
                  <c:v>5546.7351869878603</c:v>
                </c:pt>
                <c:pt idx="256">
                  <c:v>5546.9788644481778</c:v>
                </c:pt>
              </c:numCache>
            </c:numRef>
          </c:xVal>
          <c:yVal>
            <c:numRef>
              <c:f>Foglio3!$F$3:$F$259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-5.1765721653103825E-3</c:v>
                </c:pt>
                <c:pt idx="103">
                  <c:v>-4.0611525380015376E-2</c:v>
                </c:pt>
                <c:pt idx="104">
                  <c:v>-0.13437206034463645</c:v>
                </c:pt>
                <c:pt idx="105">
                  <c:v>-0.31215849904924631</c:v>
                </c:pt>
                <c:pt idx="106">
                  <c:v>-0.59732985992431642</c:v>
                </c:pt>
                <c:pt idx="107">
                  <c:v>-1.0109291357688903</c:v>
                </c:pt>
                <c:pt idx="108">
                  <c:v>-1.5717082782431842</c:v>
                </c:pt>
                <c:pt idx="109">
                  <c:v>-3.9971489149909019</c:v>
                </c:pt>
                <c:pt idx="110">
                  <c:v>-23.142068705688178</c:v>
                </c:pt>
                <c:pt idx="111">
                  <c:v>-42.476923492622319</c:v>
                </c:pt>
                <c:pt idx="112">
                  <c:v>-62.01154516874027</c:v>
                </c:pt>
                <c:pt idx="113">
                  <c:v>-81.753595235670034</c:v>
                </c:pt>
                <c:pt idx="114">
                  <c:v>-101.70858810425982</c:v>
                </c:pt>
                <c:pt idx="115">
                  <c:v>-121.87991412669578</c:v>
                </c:pt>
                <c:pt idx="116">
                  <c:v>-142.26886236367386</c:v>
                </c:pt>
                <c:pt idx="117">
                  <c:v>-162.87464308994154</c:v>
                </c:pt>
                <c:pt idx="118">
                  <c:v>-183.69441004148084</c:v>
                </c:pt>
                <c:pt idx="119">
                  <c:v>-204.72328240758765</c:v>
                </c:pt>
                <c:pt idx="120">
                  <c:v>-225.95436657108451</c:v>
                </c:pt>
                <c:pt idx="121">
                  <c:v>-247.37877759974421</c:v>
                </c:pt>
                <c:pt idx="122">
                  <c:v>-268.98745052415802</c:v>
                </c:pt>
                <c:pt idx="123">
                  <c:v>-290.77718149424226</c:v>
                </c:pt>
                <c:pt idx="124">
                  <c:v>-312.74640669843308</c:v>
                </c:pt>
                <c:pt idx="125">
                  <c:v>-334.89357576329667</c:v>
                </c:pt>
                <c:pt idx="126">
                  <c:v>-357.2171516255126</c:v>
                </c:pt>
                <c:pt idx="127">
                  <c:v>-379.71561040524534</c:v>
                </c:pt>
                <c:pt idx="128">
                  <c:v>-402.38744128085534</c:v>
                </c:pt>
                <c:pt idx="129">
                  <c:v>-425.23114636496427</c:v>
                </c:pt>
                <c:pt idx="130">
                  <c:v>-448.24524058179912</c:v>
                </c:pt>
                <c:pt idx="131">
                  <c:v>-471.42825154589866</c:v>
                </c:pt>
                <c:pt idx="132">
                  <c:v>-494.77871944205867</c:v>
                </c:pt>
                <c:pt idx="133">
                  <c:v>-518.29519690660209</c:v>
                </c:pt>
                <c:pt idx="134">
                  <c:v>-541.9762489098506</c:v>
                </c:pt>
                <c:pt idx="135">
                  <c:v>-565.82045263987584</c:v>
                </c:pt>
                <c:pt idx="136">
                  <c:v>-589.82639738748651</c:v>
                </c:pt>
                <c:pt idx="137">
                  <c:v>-589.82639738748605</c:v>
                </c:pt>
                <c:pt idx="138">
                  <c:v>-595.69775750445626</c:v>
                </c:pt>
                <c:pt idx="139">
                  <c:v>-601.58541601996455</c:v>
                </c:pt>
                <c:pt idx="140">
                  <c:v>-607.4898293476067</c:v>
                </c:pt>
                <c:pt idx="141">
                  <c:v>-613.41147106210758</c:v>
                </c:pt>
                <c:pt idx="142">
                  <c:v>-619.35083271135693</c:v>
                </c:pt>
                <c:pt idx="143">
                  <c:v>-625.3084246748482</c:v>
                </c:pt>
                <c:pt idx="144">
                  <c:v>-631.28477707164154</c:v>
                </c:pt>
                <c:pt idx="145">
                  <c:v>-637.2804407211969</c:v>
                </c:pt>
                <c:pt idx="146">
                  <c:v>-643.29598816069608</c:v>
                </c:pt>
                <c:pt idx="147">
                  <c:v>-649.33201472274857</c:v>
                </c:pt>
                <c:pt idx="148">
                  <c:v>-655.38913967768849</c:v>
                </c:pt>
                <c:pt idx="149">
                  <c:v>-661.46800744500831</c:v>
                </c:pt>
                <c:pt idx="150">
                  <c:v>-667.56928887883646</c:v>
                </c:pt>
                <c:pt idx="151">
                  <c:v>-673.69368263277443</c:v>
                </c:pt>
                <c:pt idx="152">
                  <c:v>-679.84191660983947</c:v>
                </c:pt>
                <c:pt idx="153">
                  <c:v>-686.01474950374245</c:v>
                </c:pt>
                <c:pt idx="154">
                  <c:v>-692.21297243825188</c:v>
                </c:pt>
                <c:pt idx="155">
                  <c:v>-698.43741071196985</c:v>
                </c:pt>
                <c:pt idx="156">
                  <c:v>-704.68892565646979</c:v>
                </c:pt>
                <c:pt idx="157">
                  <c:v>-710.96841661644009</c:v>
                </c:pt>
                <c:pt idx="158">
                  <c:v>-717.27682306123302</c:v>
                </c:pt>
                <c:pt idx="159">
                  <c:v>-723.6151268380446</c:v>
                </c:pt>
                <c:pt idx="160">
                  <c:v>-729.98435457787286</c:v>
                </c:pt>
                <c:pt idx="161">
                  <c:v>-736.38558026640226</c:v>
                </c:pt>
                <c:pt idx="162">
                  <c:v>-742.81992799307295</c:v>
                </c:pt>
                <c:pt idx="163">
                  <c:v>-749.28857489281995</c:v>
                </c:pt>
                <c:pt idx="164">
                  <c:v>-755.79275429630809</c:v>
                </c:pt>
                <c:pt idx="165">
                  <c:v>-762.33375910599329</c:v>
                </c:pt>
                <c:pt idx="166">
                  <c:v>-768.91294541698164</c:v>
                </c:pt>
                <c:pt idx="167">
                  <c:v>-775.53173640348939</c:v>
                </c:pt>
                <c:pt idx="168">
                  <c:v>-782.19162649372925</c:v>
                </c:pt>
                <c:pt idx="169">
                  <c:v>-788.89418585830629</c:v>
                </c:pt>
                <c:pt idx="170">
                  <c:v>-795.64106523968849</c:v>
                </c:pt>
                <c:pt idx="171">
                  <c:v>-802.43400115310635</c:v>
                </c:pt>
                <c:pt idx="172">
                  <c:v>-809.27482149232071</c:v>
                </c:pt>
                <c:pt idx="173">
                  <c:v>-816.16545157714086</c:v>
                </c:pt>
                <c:pt idx="174">
                  <c:v>-823.10792068342209</c:v>
                </c:pt>
                <c:pt idx="175">
                  <c:v>-830.10436910055523</c:v>
                </c:pt>
                <c:pt idx="176">
                  <c:v>-837.15705576626351</c:v>
                </c:pt>
                <c:pt idx="177">
                  <c:v>-844.26836653388716</c:v>
                </c:pt>
                <c:pt idx="178">
                  <c:v>-851.440823133354</c:v>
                </c:pt>
                <c:pt idx="179">
                  <c:v>-858.67709289377706</c:v>
                </c:pt>
                <c:pt idx="180">
                  <c:v>-865.97999930320475</c:v>
                </c:pt>
                <c:pt idx="181">
                  <c:v>-869.38354277078452</c:v>
                </c:pt>
                <c:pt idx="182">
                  <c:v>-871.83682245380612</c:v>
                </c:pt>
                <c:pt idx="183">
                  <c:v>-874.3662661914359</c:v>
                </c:pt>
                <c:pt idx="184">
                  <c:v>-876.97544759921755</c:v>
                </c:pt>
                <c:pt idx="185">
                  <c:v>-879.66816511105844</c:v>
                </c:pt>
                <c:pt idx="186">
                  <c:v>-882.44845970820836</c:v>
                </c:pt>
                <c:pt idx="187">
                  <c:v>-885.32063432366158</c:v>
                </c:pt>
                <c:pt idx="188">
                  <c:v>-888.28927510525057</c:v>
                </c:pt>
                <c:pt idx="189">
                  <c:v>-891.35927474317884</c:v>
                </c:pt>
                <c:pt idx="190">
                  <c:v>-894.53585809320748</c:v>
                </c:pt>
                <c:pt idx="191">
                  <c:v>-897.8246103555656</c:v>
                </c:pt>
                <c:pt idx="192">
                  <c:v>-901.23150810234949</c:v>
                </c:pt>
                <c:pt idx="193">
                  <c:v>-904.76295348322537</c:v>
                </c:pt>
                <c:pt idx="194">
                  <c:v>-908.42581198119092</c:v>
                </c:pt>
                <c:pt idx="195">
                  <c:v>-912.22745413761402</c:v>
                </c:pt>
                <c:pt idx="196">
                  <c:v>-916.17580171935936</c:v>
                </c:pt>
                <c:pt idx="197">
                  <c:v>-920.27937886122527</c:v>
                </c:pt>
                <c:pt idx="198">
                  <c:v>-924.54736878476433</c:v>
                </c:pt>
                <c:pt idx="199">
                  <c:v>-928.98967677044379</c:v>
                </c:pt>
                <c:pt idx="200">
                  <c:v>-933.61700014441988</c:v>
                </c:pt>
                <c:pt idx="201">
                  <c:v>-938.44090613408935</c:v>
                </c:pt>
                <c:pt idx="202">
                  <c:v>-943.47391854764817</c:v>
                </c:pt>
                <c:pt idx="203">
                  <c:v>-948.72961434092008</c:v>
                </c:pt>
                <c:pt idx="204">
                  <c:v>-954.22273124718151</c:v>
                </c:pt>
                <c:pt idx="205">
                  <c:v>-959.96928775796425</c:v>
                </c:pt>
                <c:pt idx="206">
                  <c:v>-965.98671684705209</c:v>
                </c:pt>
                <c:pt idx="207">
                  <c:v>-972.29401491328383</c:v>
                </c:pt>
                <c:pt idx="208">
                  <c:v>-978.91190745995073</c:v>
                </c:pt>
                <c:pt idx="209">
                  <c:v>-985.86303299751046</c:v>
                </c:pt>
                <c:pt idx="210">
                  <c:v>-993.1721465021119</c:v>
                </c:pt>
                <c:pt idx="211">
                  <c:v>-1000.8663434077108</c:v>
                </c:pt>
                <c:pt idx="212">
                  <c:v>-1008.9753044344887</c:v>
                </c:pt>
                <c:pt idx="213">
                  <c:v>-1017.5315603751117</c:v>
                </c:pt>
                <c:pt idx="214">
                  <c:v>-1026.5707739840195</c:v>
                </c:pt>
                <c:pt idx="215">
                  <c:v>-1036.1320328915256</c:v>
                </c:pt>
                <c:pt idx="216">
                  <c:v>-1046.2581422827391</c:v>
                </c:pt>
                <c:pt idx="217">
                  <c:v>-1056.995897812574</c:v>
                </c:pt>
                <c:pt idx="218">
                  <c:v>-1068.3963060640242</c:v>
                </c:pt>
                <c:pt idx="219">
                  <c:v>-1080.5146988681261</c:v>
                </c:pt>
                <c:pt idx="220">
                  <c:v>-1093.4106541846545</c:v>
                </c:pt>
                <c:pt idx="221">
                  <c:v>-1107.1475819961909</c:v>
                </c:pt>
                <c:pt idx="222">
                  <c:v>-1121.7917452768156</c:v>
                </c:pt>
                <c:pt idx="223">
                  <c:v>-1137.4103403017311</c:v>
                </c:pt>
                <c:pt idx="224">
                  <c:v>-1154.068016553226</c:v>
                </c:pt>
                <c:pt idx="225">
                  <c:v>-1171.8208010529033</c:v>
                </c:pt>
                <c:pt idx="226">
                  <c:v>-1190.7056705830507</c:v>
                </c:pt>
                <c:pt idx="227">
                  <c:v>-1210.7227338782529</c:v>
                </c:pt>
                <c:pt idx="228">
                  <c:v>-1231.8046497117377</c:v>
                </c:pt>
                <c:pt idx="229">
                  <c:v>-1253.7635186171794</c:v>
                </c:pt>
                <c:pt idx="230">
                  <c:v>-1276.1969555587968</c:v>
                </c:pt>
                <c:pt idx="231">
                  <c:v>-1298.3177971918292</c:v>
                </c:pt>
                <c:pt idx="232">
                  <c:v>-1318.6353510188237</c:v>
                </c:pt>
                <c:pt idx="233">
                  <c:v>-1334.3343653060699</c:v>
                </c:pt>
                <c:pt idx="234">
                  <c:v>-1340.0029385975208</c:v>
                </c:pt>
                <c:pt idx="235">
                  <c:v>-1226.1506845116103</c:v>
                </c:pt>
                <c:pt idx="236">
                  <c:v>-1039.3505784773963</c:v>
                </c:pt>
                <c:pt idx="237">
                  <c:v>-757.18283648439694</c:v>
                </c:pt>
                <c:pt idx="238">
                  <c:v>-757.18283648439694</c:v>
                </c:pt>
                <c:pt idx="239">
                  <c:v>-701.09453242857842</c:v>
                </c:pt>
                <c:pt idx="240">
                  <c:v>-619.48828305256177</c:v>
                </c:pt>
                <c:pt idx="241">
                  <c:v>-683.54209216528079</c:v>
                </c:pt>
                <c:pt idx="242">
                  <c:v>-570.04272527572493</c:v>
                </c:pt>
                <c:pt idx="243">
                  <c:v>-475.48401462398795</c:v>
                </c:pt>
                <c:pt idx="244">
                  <c:v>-396.25609733279384</c:v>
                </c:pt>
                <c:pt idx="245">
                  <c:v>-329.9778965041848</c:v>
                </c:pt>
                <c:pt idx="246">
                  <c:v>-274.46884697897781</c:v>
                </c:pt>
                <c:pt idx="247">
                  <c:v>-227.74889533676284</c:v>
                </c:pt>
                <c:pt idx="248">
                  <c:v>-188.03849989591046</c:v>
                </c:pt>
                <c:pt idx="249">
                  <c:v>-153.75863071355943</c:v>
                </c:pt>
                <c:pt idx="250">
                  <c:v>-123.53076958563075</c:v>
                </c:pt>
                <c:pt idx="251">
                  <c:v>-96.176910046818165</c:v>
                </c:pt>
                <c:pt idx="252">
                  <c:v>-70.719557370591218</c:v>
                </c:pt>
                <c:pt idx="253">
                  <c:v>-46.381728569193484</c:v>
                </c:pt>
                <c:pt idx="254">
                  <c:v>-22.586952393645763</c:v>
                </c:pt>
                <c:pt idx="255">
                  <c:v>1.2531983676016331E-2</c:v>
                </c:pt>
                <c:pt idx="256">
                  <c:v>2.4437904357910157E-12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F9-4B8B-91C3-1E91701794B4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headEnd type="oval"/>
            </a:ln>
          </c:spPr>
          <c:marker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</c:spPr>
          </c:marker>
          <c:xVal>
            <c:numRef>
              <c:f>'N-M KN'!$T$12</c:f>
              <c:numCache>
                <c:formatCode>General</c:formatCode>
                <c:ptCount val="1"/>
                <c:pt idx="0">
                  <c:v>748</c:v>
                </c:pt>
              </c:numCache>
            </c:numRef>
          </c:xVal>
          <c:yVal>
            <c:numRef>
              <c:f>'N-M KN'!$U$12</c:f>
              <c:numCache>
                <c:formatCode>General</c:formatCode>
                <c:ptCount val="1"/>
                <c:pt idx="0">
                  <c:v>936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F9-4B8B-91C3-1E917017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871104"/>
        <c:axId val="1143880352"/>
      </c:scatterChart>
      <c:valAx>
        <c:axId val="11438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SFORZO</a:t>
                </a:r>
                <a:r>
                  <a:rPr lang="it-IT" baseline="0"/>
                  <a:t> NORMALE SOLLECITANTE  kN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0.74374401185537509"/>
              <c:y val="0.8694424172588182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43880352"/>
        <c:crosses val="autoZero"/>
        <c:crossBetween val="midCat"/>
      </c:valAx>
      <c:valAx>
        <c:axId val="1143880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baseline="0"/>
                  <a:t>MOMENTO RESISTENTE kNm</a:t>
                </a:r>
                <a:endParaRPr lang="it-IT"/>
              </a:p>
            </c:rich>
          </c:tx>
          <c:layout>
            <c:manualLayout>
              <c:xMode val="edge"/>
              <c:yMode val="edge"/>
              <c:x val="6.9937446527429184E-2"/>
              <c:y val="5.6408131910340477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43871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>
                <a:latin typeface="Calibri"/>
              </a:rPr>
              <a:t>ν</a:t>
            </a:r>
            <a:r>
              <a:rPr lang="en-US"/>
              <a:t>  e/d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8888832233115631E-2"/>
          <c:y val="8.768073970872918E-2"/>
          <c:w val="0.8499428284454128"/>
          <c:h val="0.85903226311422798"/>
        </c:manualLayout>
      </c:layout>
      <c:scatterChart>
        <c:scatterStyle val="smoothMarker"/>
        <c:varyColors val="0"/>
        <c:ser>
          <c:idx val="0"/>
          <c:order val="0"/>
          <c:tx>
            <c:v>N  e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'DATI nascosti 1'!$P$281:$P$297</c:f>
              <c:numCache>
                <c:formatCode>0.000</c:formatCode>
                <c:ptCount val="17"/>
              </c:numCache>
            </c:numRef>
          </c:xVal>
          <c:yVal>
            <c:numRef>
              <c:f>'DATI nascosti 1'!$T$281:$T$297</c:f>
              <c:numCache>
                <c:formatCode>0.00</c:formatCode>
                <c:ptCount val="1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05-4A18-BF51-2D42094E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246768"/>
        <c:axId val="1467244048"/>
      </c:scatterChart>
      <c:valAx>
        <c:axId val="146724676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67244048"/>
        <c:crosses val="autoZero"/>
        <c:crossBetween val="midCat"/>
      </c:valAx>
      <c:valAx>
        <c:axId val="1467244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67246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100827781142742E-2"/>
          <c:y val="2.275979254356254E-2"/>
          <c:w val="0.94009578033515062"/>
          <c:h val="0.95824158087432298"/>
        </c:manualLayout>
      </c:layout>
      <c:scatterChart>
        <c:scatterStyle val="smoothMarker"/>
        <c:varyColors val="0"/>
        <c:ser>
          <c:idx val="0"/>
          <c:order val="0"/>
          <c:tx>
            <c:v>N M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'T2'!$P$2:$P$258</c:f>
              <c:numCache>
                <c:formatCode>0</c:formatCode>
                <c:ptCount val="257"/>
                <c:pt idx="0">
                  <c:v>-1229.31886444818</c:v>
                </c:pt>
                <c:pt idx="1">
                  <c:v>-1229.31886444818</c:v>
                </c:pt>
                <c:pt idx="2">
                  <c:v>-1229.31886444818</c:v>
                </c:pt>
                <c:pt idx="3">
                  <c:v>-1229.31886444818</c:v>
                </c:pt>
                <c:pt idx="4">
                  <c:v>-1229.31886444818</c:v>
                </c:pt>
                <c:pt idx="5">
                  <c:v>-1229.31886444818</c:v>
                </c:pt>
                <c:pt idx="6">
                  <c:v>-1229.31886444818</c:v>
                </c:pt>
                <c:pt idx="7">
                  <c:v>-1229.31886444818</c:v>
                </c:pt>
                <c:pt idx="8">
                  <c:v>-1229.31886444818</c:v>
                </c:pt>
                <c:pt idx="9">
                  <c:v>-1229.31886444818</c:v>
                </c:pt>
                <c:pt idx="10">
                  <c:v>-1229.31886444818</c:v>
                </c:pt>
                <c:pt idx="11">
                  <c:v>-1229.31886444818</c:v>
                </c:pt>
                <c:pt idx="12">
                  <c:v>-1229.31886444818</c:v>
                </c:pt>
                <c:pt idx="13">
                  <c:v>-1229.31886444818</c:v>
                </c:pt>
                <c:pt idx="14">
                  <c:v>-1229.31886444818</c:v>
                </c:pt>
                <c:pt idx="15">
                  <c:v>-1229.31886444818</c:v>
                </c:pt>
                <c:pt idx="16">
                  <c:v>-1229.31886444818</c:v>
                </c:pt>
                <c:pt idx="17">
                  <c:v>-1229.31886444818</c:v>
                </c:pt>
                <c:pt idx="18">
                  <c:v>-1229.31886444818</c:v>
                </c:pt>
                <c:pt idx="19">
                  <c:v>-1229.31886444818</c:v>
                </c:pt>
                <c:pt idx="20">
                  <c:v>-1229.31886444818</c:v>
                </c:pt>
                <c:pt idx="21">
                  <c:v>-1229.31886444818</c:v>
                </c:pt>
                <c:pt idx="22">
                  <c:v>-1229.31886444818</c:v>
                </c:pt>
                <c:pt idx="23">
                  <c:v>-1229.31886444818</c:v>
                </c:pt>
                <c:pt idx="24">
                  <c:v>-1229.31886444818</c:v>
                </c:pt>
                <c:pt idx="25">
                  <c:v>-1229.31886444818</c:v>
                </c:pt>
                <c:pt idx="26">
                  <c:v>-1229.31886444818</c:v>
                </c:pt>
                <c:pt idx="27">
                  <c:v>-1229.31886444818</c:v>
                </c:pt>
                <c:pt idx="28">
                  <c:v>-1229.31886444818</c:v>
                </c:pt>
                <c:pt idx="29">
                  <c:v>-1229.31886444818</c:v>
                </c:pt>
                <c:pt idx="30">
                  <c:v>-1229.31886444818</c:v>
                </c:pt>
                <c:pt idx="31">
                  <c:v>-1229.31886444818</c:v>
                </c:pt>
                <c:pt idx="32">
                  <c:v>-1229.31886444818</c:v>
                </c:pt>
                <c:pt idx="33">
                  <c:v>-1229.31886444818</c:v>
                </c:pt>
                <c:pt idx="34">
                  <c:v>-1229.31886444818</c:v>
                </c:pt>
                <c:pt idx="35">
                  <c:v>-1229.31886444818</c:v>
                </c:pt>
                <c:pt idx="36">
                  <c:v>-1229.31886444818</c:v>
                </c:pt>
                <c:pt idx="37">
                  <c:v>-1229.31886444818</c:v>
                </c:pt>
                <c:pt idx="38">
                  <c:v>-1229.31886444818</c:v>
                </c:pt>
                <c:pt idx="39">
                  <c:v>-1229.31886444818</c:v>
                </c:pt>
                <c:pt idx="40">
                  <c:v>-1229.31886444818</c:v>
                </c:pt>
                <c:pt idx="41">
                  <c:v>-1229.31886444818</c:v>
                </c:pt>
                <c:pt idx="42">
                  <c:v>-1229.31886444818</c:v>
                </c:pt>
                <c:pt idx="43">
                  <c:v>-1229.31886444818</c:v>
                </c:pt>
                <c:pt idx="44">
                  <c:v>-1229.31886444818</c:v>
                </c:pt>
                <c:pt idx="45">
                  <c:v>-1229.31886444818</c:v>
                </c:pt>
                <c:pt idx="46">
                  <c:v>-1229.31886444818</c:v>
                </c:pt>
                <c:pt idx="47">
                  <c:v>-1229.31886444818</c:v>
                </c:pt>
                <c:pt idx="48">
                  <c:v>-1229.31886444818</c:v>
                </c:pt>
                <c:pt idx="49">
                  <c:v>-1229.31886444818</c:v>
                </c:pt>
                <c:pt idx="50">
                  <c:v>-1229.31886444818</c:v>
                </c:pt>
                <c:pt idx="51">
                  <c:v>-1229.31886444818</c:v>
                </c:pt>
                <c:pt idx="52">
                  <c:v>-1229.31886444818</c:v>
                </c:pt>
                <c:pt idx="53">
                  <c:v>-1229.31886444818</c:v>
                </c:pt>
                <c:pt idx="54">
                  <c:v>-1229.31886444818</c:v>
                </c:pt>
                <c:pt idx="55">
                  <c:v>-1229.31886444818</c:v>
                </c:pt>
                <c:pt idx="56">
                  <c:v>-1229.31886444818</c:v>
                </c:pt>
                <c:pt idx="57">
                  <c:v>-1229.31886444818</c:v>
                </c:pt>
                <c:pt idx="58">
                  <c:v>-1229.31886444818</c:v>
                </c:pt>
                <c:pt idx="59">
                  <c:v>-1229.31886444818</c:v>
                </c:pt>
                <c:pt idx="60">
                  <c:v>-1229.31886444818</c:v>
                </c:pt>
                <c:pt idx="61">
                  <c:v>-1229.31886444818</c:v>
                </c:pt>
                <c:pt idx="62">
                  <c:v>-1229.31886444818</c:v>
                </c:pt>
                <c:pt idx="63">
                  <c:v>-1229.31886444818</c:v>
                </c:pt>
                <c:pt idx="64">
                  <c:v>-1229.31886444818</c:v>
                </c:pt>
                <c:pt idx="65">
                  <c:v>-1229.31886444818</c:v>
                </c:pt>
                <c:pt idx="66">
                  <c:v>-1229.31886444818</c:v>
                </c:pt>
                <c:pt idx="67">
                  <c:v>-1229.31886444818</c:v>
                </c:pt>
                <c:pt idx="68">
                  <c:v>-1229.31886444818</c:v>
                </c:pt>
                <c:pt idx="69">
                  <c:v>-1229.31886444818</c:v>
                </c:pt>
                <c:pt idx="70">
                  <c:v>-1229.31886444818</c:v>
                </c:pt>
                <c:pt idx="71">
                  <c:v>-1229.31886444818</c:v>
                </c:pt>
                <c:pt idx="72">
                  <c:v>-1229.31886444818</c:v>
                </c:pt>
                <c:pt idx="73">
                  <c:v>-1229.31886444818</c:v>
                </c:pt>
                <c:pt idx="74">
                  <c:v>-1229.31886444818</c:v>
                </c:pt>
                <c:pt idx="75">
                  <c:v>-1229.31886444818</c:v>
                </c:pt>
                <c:pt idx="76">
                  <c:v>-1229.31886444818</c:v>
                </c:pt>
                <c:pt idx="77">
                  <c:v>-1229.31886444818</c:v>
                </c:pt>
                <c:pt idx="78">
                  <c:v>-1229.31886444818</c:v>
                </c:pt>
                <c:pt idx="79">
                  <c:v>-1229.31886444818</c:v>
                </c:pt>
                <c:pt idx="80">
                  <c:v>-1229.31886444818</c:v>
                </c:pt>
                <c:pt idx="81">
                  <c:v>-1229.31886444818</c:v>
                </c:pt>
                <c:pt idx="82">
                  <c:v>-1229.31886444818</c:v>
                </c:pt>
                <c:pt idx="83">
                  <c:v>-1229.31886444818</c:v>
                </c:pt>
                <c:pt idx="84">
                  <c:v>-1229.31886444818</c:v>
                </c:pt>
                <c:pt idx="85">
                  <c:v>-1229.31886444818</c:v>
                </c:pt>
                <c:pt idx="86">
                  <c:v>-1229.31886444818</c:v>
                </c:pt>
                <c:pt idx="87">
                  <c:v>-1229.31886444818</c:v>
                </c:pt>
                <c:pt idx="88">
                  <c:v>-1229.31886444818</c:v>
                </c:pt>
                <c:pt idx="89">
                  <c:v>-1229.31886444818</c:v>
                </c:pt>
                <c:pt idx="90">
                  <c:v>-1229.31886444818</c:v>
                </c:pt>
                <c:pt idx="91">
                  <c:v>-1229.31886444818</c:v>
                </c:pt>
                <c:pt idx="92">
                  <c:v>-1229.31886444818</c:v>
                </c:pt>
                <c:pt idx="93">
                  <c:v>-1229.31886444818</c:v>
                </c:pt>
                <c:pt idx="94">
                  <c:v>-1229.31886444818</c:v>
                </c:pt>
                <c:pt idx="95">
                  <c:v>-1229.31886444818</c:v>
                </c:pt>
                <c:pt idx="96">
                  <c:v>-1229.31886444818</c:v>
                </c:pt>
                <c:pt idx="97">
                  <c:v>-1229.31886444818</c:v>
                </c:pt>
                <c:pt idx="98">
                  <c:v>-1229.31886444818</c:v>
                </c:pt>
                <c:pt idx="99">
                  <c:v>-1229.31886444818</c:v>
                </c:pt>
                <c:pt idx="100">
                  <c:v>-1229.31886444818</c:v>
                </c:pt>
                <c:pt idx="101">
                  <c:v>-1229.31886444818</c:v>
                </c:pt>
                <c:pt idx="102">
                  <c:v>-1229.3102285959242</c:v>
                </c:pt>
                <c:pt idx="103">
                  <c:v>-1229.2510489119909</c:v>
                </c:pt>
                <c:pt idx="104">
                  <c:v>-1229.0942649332462</c:v>
                </c:pt>
                <c:pt idx="105">
                  <c:v>-1228.7965907986957</c:v>
                </c:pt>
                <c:pt idx="106">
                  <c:v>-1228.318487495055</c:v>
                </c:pt>
                <c:pt idx="107">
                  <c:v>-1227.6241353468583</c:v>
                </c:pt>
                <c:pt idx="108">
                  <c:v>-1226.6814067485832</c:v>
                </c:pt>
                <c:pt idx="109">
                  <c:v>-1222.5163914786056</c:v>
                </c:pt>
                <c:pt idx="110">
                  <c:v>-1189.4063016009904</c:v>
                </c:pt>
                <c:pt idx="111">
                  <c:v>-1155.9733357761177</c:v>
                </c:pt>
                <c:pt idx="112">
                  <c:v>-1122.1998667537521</c:v>
                </c:pt>
                <c:pt idx="113">
                  <c:v>-1088.0718265587916</c:v>
                </c:pt>
                <c:pt idx="114">
                  <c:v>-1053.5786806243855</c:v>
                </c:pt>
                <c:pt idx="115">
                  <c:v>-1018.7134021504144</c:v>
                </c:pt>
                <c:pt idx="116">
                  <c:v>-983.47244668488486</c:v>
                </c:pt>
                <c:pt idx="117">
                  <c:v>-947.85572692602216</c:v>
                </c:pt>
                <c:pt idx="118">
                  <c:v>-911.86658774286832</c:v>
                </c:pt>
                <c:pt idx="119">
                  <c:v>-875.51178141215928</c:v>
                </c:pt>
                <c:pt idx="120">
                  <c:v>-838.80144306924308</c:v>
                </c:pt>
                <c:pt idx="121">
                  <c:v>-801.74906637102254</c:v>
                </c:pt>
                <c:pt idx="122">
                  <c:v>-764.36849391762428</c:v>
                </c:pt>
                <c:pt idx="123">
                  <c:v>-726.66383556326946</c:v>
                </c:pt>
                <c:pt idx="124">
                  <c:v>-688.63648422730137</c:v>
                </c:pt>
                <c:pt idx="125">
                  <c:v>-650.28782485813235</c:v>
                </c:pt>
                <c:pt idx="126">
                  <c:v>-611.61923449019571</c:v>
                </c:pt>
                <c:pt idx="127">
                  <c:v>-572.63208230037787</c:v>
                </c:pt>
                <c:pt idx="128">
                  <c:v>-533.32772966399011</c:v>
                </c:pt>
                <c:pt idx="129">
                  <c:v>-493.70753021023393</c:v>
                </c:pt>
                <c:pt idx="130">
                  <c:v>-453.77282987726528</c:v>
                </c:pt>
                <c:pt idx="131">
                  <c:v>-413.52496696669226</c:v>
                </c:pt>
                <c:pt idx="132">
                  <c:v>-372.96527219769553</c:v>
                </c:pt>
                <c:pt idx="133">
                  <c:v>-332.09506876060391</c:v>
                </c:pt>
                <c:pt idx="134">
                  <c:v>-290.91567237011435</c:v>
                </c:pt>
                <c:pt idx="135">
                  <c:v>-249.42839131800108</c:v>
                </c:pt>
                <c:pt idx="136">
                  <c:v>-207.63452652536765</c:v>
                </c:pt>
                <c:pt idx="137">
                  <c:v>-207.63452652536822</c:v>
                </c:pt>
                <c:pt idx="138">
                  <c:v>-197.39849983759714</c:v>
                </c:pt>
                <c:pt idx="139">
                  <c:v>-187.13162030744903</c:v>
                </c:pt>
                <c:pt idx="140">
                  <c:v>-176.83298214288587</c:v>
                </c:pt>
                <c:pt idx="141">
                  <c:v>-166.50164374457137</c:v>
                </c:pt>
                <c:pt idx="142">
                  <c:v>-156.13662591881439</c:v>
                </c:pt>
                <c:pt idx="143">
                  <c:v>-145.73690998241003</c:v>
                </c:pt>
                <c:pt idx="144">
                  <c:v>-135.30143575166818</c:v>
                </c:pt>
                <c:pt idx="145">
                  <c:v>-124.82909940728965</c:v>
                </c:pt>
                <c:pt idx="146">
                  <c:v>-114.31875122605345</c:v>
                </c:pt>
                <c:pt idx="147">
                  <c:v>-103.76919316952169</c:v>
                </c:pt>
                <c:pt idx="148">
                  <c:v>-93.179176319134072</c:v>
                </c:pt>
                <c:pt idx="149">
                  <c:v>-82.547398146153654</c:v>
                </c:pt>
                <c:pt idx="150">
                  <c:v>-71.872499603922947</c:v>
                </c:pt>
                <c:pt idx="151">
                  <c:v>-61.153062028790941</c:v>
                </c:pt>
                <c:pt idx="152">
                  <c:v>-50.387603834858282</c:v>
                </c:pt>
                <c:pt idx="153">
                  <c:v>-39.574576986359197</c:v>
                </c:pt>
                <c:pt idx="154">
                  <c:v>-28.712363230031333</c:v>
                </c:pt>
                <c:pt idx="155">
                  <c:v>-17.799270068195764</c:v>
                </c:pt>
                <c:pt idx="156">
                  <c:v>-6.8335264514989689</c:v>
                </c:pt>
                <c:pt idx="157">
                  <c:v>4.1867218317301012</c:v>
                </c:pt>
                <c:pt idx="158">
                  <c:v>15.263417094729142</c:v>
                </c:pt>
                <c:pt idx="159">
                  <c:v>26.398595047810346</c:v>
                </c:pt>
                <c:pt idx="160">
                  <c:v>37.594390480472008</c:v>
                </c:pt>
                <c:pt idx="161">
                  <c:v>48.853043363447071</c:v>
                </c:pt>
                <c:pt idx="162">
                  <c:v>60.176905407347014</c:v>
                </c:pt>
                <c:pt idx="163">
                  <c:v>71.56844711826939</c:v>
                </c:pt>
                <c:pt idx="164">
                  <c:v>83.030265394854013</c:v>
                </c:pt>
                <c:pt idx="165">
                  <c:v>94.56509171590011</c:v>
                </c:pt>
                <c:pt idx="166">
                  <c:v>106.17580097280373</c:v>
                </c:pt>
                <c:pt idx="167">
                  <c:v>117.86542100684845</c:v>
                </c:pt>
                <c:pt idx="168">
                  <c:v>129.63714291785797</c:v>
                </c:pt>
                <c:pt idx="169">
                  <c:v>141.49433221799578</c:v>
                </c:pt>
                <c:pt idx="170">
                  <c:v>153.44054091265903</c:v>
                </c:pt>
                <c:pt idx="171">
                  <c:v>165.47952059963976</c:v>
                </c:pt>
                <c:pt idx="172">
                  <c:v>177.61523668810864</c:v>
                </c:pt>
                <c:pt idx="173">
                  <c:v>189.85188385072095</c:v>
                </c:pt>
                <c:pt idx="174">
                  <c:v>202.1939028354428</c:v>
                </c:pt>
                <c:pt idx="175">
                  <c:v>214.64599877876336</c:v>
                </c:pt>
                <c:pt idx="176">
                  <c:v>227.21316117908549</c:v>
                </c:pt>
                <c:pt idx="177">
                  <c:v>239.9006857085781</c:v>
                </c:pt>
                <c:pt idx="178">
                  <c:v>252.7141980639887</c:v>
                </c:pt>
                <c:pt idx="179">
                  <c:v>265.65968008230345</c:v>
                </c:pt>
                <c:pt idx="180">
                  <c:v>278.74349837620593</c:v>
                </c:pt>
                <c:pt idx="181">
                  <c:v>285.09972457627111</c:v>
                </c:pt>
                <c:pt idx="182">
                  <c:v>289.83676615384616</c:v>
                </c:pt>
                <c:pt idx="183">
                  <c:v>294.73388297872339</c:v>
                </c:pt>
                <c:pt idx="184">
                  <c:v>299.79932845321463</c:v>
                </c:pt>
                <c:pt idx="185">
                  <c:v>305.0419332901555</c:v>
                </c:pt>
                <c:pt idx="186">
                  <c:v>310.471156888596</c:v>
                </c:pt>
                <c:pt idx="187">
                  <c:v>316.09714429530209</c:v>
                </c:pt>
                <c:pt idx="188">
                  <c:v>321.93078947368429</c:v>
                </c:pt>
                <c:pt idx="189">
                  <c:v>327.98380571030663</c:v>
                </c:pt>
                <c:pt idx="190">
                  <c:v>334.26880411639485</c:v>
                </c:pt>
                <c:pt idx="191">
                  <c:v>340.79938133140399</c:v>
                </c:pt>
                <c:pt idx="192">
                  <c:v>347.59021771217721</c:v>
                </c:pt>
                <c:pt idx="193">
                  <c:v>354.65718750000025</c:v>
                </c:pt>
                <c:pt idx="194">
                  <c:v>362.01748270561126</c:v>
                </c:pt>
                <c:pt idx="195">
                  <c:v>369.68975274725307</c:v>
                </c:pt>
                <c:pt idx="196">
                  <c:v>377.69426222935061</c:v>
                </c:pt>
                <c:pt idx="197">
                  <c:v>386.0530696721313</c:v>
                </c:pt>
                <c:pt idx="198">
                  <c:v>394.79023051131634</c:v>
                </c:pt>
                <c:pt idx="199">
                  <c:v>403.93202830188699</c:v>
                </c:pt>
                <c:pt idx="200">
                  <c:v>413.50723880597042</c:v>
                </c:pt>
                <c:pt idx="201">
                  <c:v>423.54743255395698</c:v>
                </c:pt>
                <c:pt idx="202">
                  <c:v>434.08732258064532</c:v>
                </c:pt>
                <c:pt idx="203">
                  <c:v>445.1651654064276</c:v>
                </c:pt>
                <c:pt idx="204">
                  <c:v>456.82322502424847</c:v>
                </c:pt>
                <c:pt idx="205">
                  <c:v>469.10831175298824</c:v>
                </c:pt>
                <c:pt idx="206">
                  <c:v>482.07241044012295</c:v>
                </c:pt>
                <c:pt idx="207">
                  <c:v>495.7734157894738</c:v>
                </c:pt>
                <c:pt idx="208">
                  <c:v>510.27599674972913</c:v>
                </c:pt>
                <c:pt idx="209">
                  <c:v>525.65261718750025</c:v>
                </c:pt>
                <c:pt idx="210">
                  <c:v>541.98474683544316</c:v>
                </c:pt>
                <c:pt idx="211">
                  <c:v>559.36430522565331</c:v>
                </c:pt>
                <c:pt idx="212">
                  <c:v>577.8953926380367</c:v>
                </c:pt>
                <c:pt idx="213">
                  <c:v>597.6963769035533</c:v>
                </c:pt>
                <c:pt idx="214">
                  <c:v>618.90242444152432</c:v>
                </c:pt>
                <c:pt idx="215">
                  <c:v>641.66858991825632</c:v>
                </c:pt>
                <c:pt idx="216">
                  <c:v>666.17361386138646</c:v>
                </c:pt>
                <c:pt idx="217">
                  <c:v>692.62462500000026</c:v>
                </c:pt>
                <c:pt idx="218">
                  <c:v>721.26300918836171</c:v>
                </c:pt>
                <c:pt idx="219">
                  <c:v>752.37179712460079</c:v>
                </c:pt>
                <c:pt idx="220">
                  <c:v>786.28505008347281</c:v>
                </c:pt>
                <c:pt idx="221">
                  <c:v>823.39990384615419</c:v>
                </c:pt>
                <c:pt idx="222">
                  <c:v>864.19219266055109</c:v>
                </c:pt>
                <c:pt idx="223">
                  <c:v>909.23695945946008</c:v>
                </c:pt>
                <c:pt idx="224">
                  <c:v>959.23573319755656</c:v>
                </c:pt>
                <c:pt idx="225">
                  <c:v>1015.0533297413801</c:v>
                </c:pt>
                <c:pt idx="226">
                  <c:v>1077.7682951945092</c:v>
                </c:pt>
                <c:pt idx="227">
                  <c:v>1148.7432804878063</c:v>
                </c:pt>
                <c:pt idx="228">
                  <c:v>1229.7251827676259</c:v>
                </c:pt>
                <c:pt idx="229">
                  <c:v>1322.9908567415753</c:v>
                </c:pt>
                <c:pt idx="230">
                  <c:v>1431.5645744680878</c:v>
                </c:pt>
                <c:pt idx="231">
                  <c:v>1559.5521357615928</c:v>
                </c:pt>
                <c:pt idx="232">
                  <c:v>1712.6718000000046</c:v>
                </c:pt>
                <c:pt idx="233">
                  <c:v>1899.1320362903282</c:v>
                </c:pt>
                <c:pt idx="234">
                  <c:v>2131.1526923076995</c:v>
                </c:pt>
                <c:pt idx="235">
                  <c:v>2598.6777569677829</c:v>
                </c:pt>
                <c:pt idx="236">
                  <c:v>3213.0583199647995</c:v>
                </c:pt>
                <c:pt idx="237">
                  <c:v>3978.8361822241177</c:v>
                </c:pt>
                <c:pt idx="238">
                  <c:v>3978.8361822241177</c:v>
                </c:pt>
                <c:pt idx="239">
                  <c:v>4110.6520455783493</c:v>
                </c:pt>
                <c:pt idx="240">
                  <c:v>4260.6529721354136</c:v>
                </c:pt>
                <c:pt idx="241">
                  <c:v>4153.049207117584</c:v>
                </c:pt>
                <c:pt idx="242">
                  <c:v>4347.7595888192127</c:v>
                </c:pt>
                <c:pt idx="243">
                  <c:v>4522.0010638541726</c:v>
                </c:pt>
                <c:pt idx="244">
                  <c:v>4677.2356969843731</c:v>
                </c:pt>
                <c:pt idx="245">
                  <c:v>4814.9255529717148</c:v>
                </c:pt>
                <c:pt idx="246">
                  <c:v>4936.5326965781051</c:v>
                </c:pt>
                <c:pt idx="247">
                  <c:v>5043.519192565449</c:v>
                </c:pt>
                <c:pt idx="248">
                  <c:v>5137.3471056956469</c:v>
                </c:pt>
                <c:pt idx="249">
                  <c:v>5219.4785007306091</c:v>
                </c:pt>
                <c:pt idx="250">
                  <c:v>5291.3754424322378</c:v>
                </c:pt>
                <c:pt idx="251">
                  <c:v>5354.499995562438</c:v>
                </c:pt>
                <c:pt idx="252">
                  <c:v>5410.3142248831127</c:v>
                </c:pt>
                <c:pt idx="253">
                  <c:v>5460.2801951561696</c:v>
                </c:pt>
                <c:pt idx="254">
                  <c:v>5505.8599711435118</c:v>
                </c:pt>
                <c:pt idx="255">
                  <c:v>5546.7351869878603</c:v>
                </c:pt>
                <c:pt idx="256">
                  <c:v>5546.9788644481778</c:v>
                </c:pt>
              </c:numCache>
            </c:numRef>
          </c:xVal>
          <c:yVal>
            <c:numRef>
              <c:f>'T2'!$Q$2:$Q$258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5.1765721653103825E-3</c:v>
                </c:pt>
                <c:pt idx="103">
                  <c:v>4.0611525380015376E-2</c:v>
                </c:pt>
                <c:pt idx="104">
                  <c:v>0.13437206034463645</c:v>
                </c:pt>
                <c:pt idx="105">
                  <c:v>0.31215849904924631</c:v>
                </c:pt>
                <c:pt idx="106">
                  <c:v>0.59732985992431642</c:v>
                </c:pt>
                <c:pt idx="107">
                  <c:v>1.0109291357688903</c:v>
                </c:pt>
                <c:pt idx="108">
                  <c:v>1.5717082782431842</c:v>
                </c:pt>
                <c:pt idx="109">
                  <c:v>3.9971489149909019</c:v>
                </c:pt>
                <c:pt idx="110">
                  <c:v>23.142068705688178</c:v>
                </c:pt>
                <c:pt idx="111">
                  <c:v>42.476923492622319</c:v>
                </c:pt>
                <c:pt idx="112">
                  <c:v>62.01154516874027</c:v>
                </c:pt>
                <c:pt idx="113">
                  <c:v>81.753595235670034</c:v>
                </c:pt>
                <c:pt idx="114">
                  <c:v>101.70858810425982</c:v>
                </c:pt>
                <c:pt idx="115">
                  <c:v>121.87991412669578</c:v>
                </c:pt>
                <c:pt idx="116">
                  <c:v>142.26886236367386</c:v>
                </c:pt>
                <c:pt idx="117">
                  <c:v>162.87464308994154</c:v>
                </c:pt>
                <c:pt idx="118">
                  <c:v>183.69441004148084</c:v>
                </c:pt>
                <c:pt idx="119">
                  <c:v>204.72328240758765</c:v>
                </c:pt>
                <c:pt idx="120">
                  <c:v>225.95436657108451</c:v>
                </c:pt>
                <c:pt idx="121">
                  <c:v>247.37877759974421</c:v>
                </c:pt>
                <c:pt idx="122">
                  <c:v>268.98745052415802</c:v>
                </c:pt>
                <c:pt idx="123">
                  <c:v>290.77718149424226</c:v>
                </c:pt>
                <c:pt idx="124">
                  <c:v>312.74640669843308</c:v>
                </c:pt>
                <c:pt idx="125">
                  <c:v>334.89357576329667</c:v>
                </c:pt>
                <c:pt idx="126">
                  <c:v>357.2171516255126</c:v>
                </c:pt>
                <c:pt idx="127">
                  <c:v>379.71561040524534</c:v>
                </c:pt>
                <c:pt idx="128">
                  <c:v>402.38744128085534</c:v>
                </c:pt>
                <c:pt idx="129">
                  <c:v>425.23114636496427</c:v>
                </c:pt>
                <c:pt idx="130">
                  <c:v>448.24524058179912</c:v>
                </c:pt>
                <c:pt idx="131">
                  <c:v>471.42825154589866</c:v>
                </c:pt>
                <c:pt idx="132">
                  <c:v>494.77871944205867</c:v>
                </c:pt>
                <c:pt idx="133">
                  <c:v>518.29519690660209</c:v>
                </c:pt>
                <c:pt idx="134">
                  <c:v>541.9762489098506</c:v>
                </c:pt>
                <c:pt idx="135">
                  <c:v>565.82045263987584</c:v>
                </c:pt>
                <c:pt idx="136">
                  <c:v>589.82639738748651</c:v>
                </c:pt>
                <c:pt idx="137">
                  <c:v>589.82639738748605</c:v>
                </c:pt>
                <c:pt idx="138">
                  <c:v>595.69775750445626</c:v>
                </c:pt>
                <c:pt idx="139">
                  <c:v>601.58541601996455</c:v>
                </c:pt>
                <c:pt idx="140">
                  <c:v>607.4898293476067</c:v>
                </c:pt>
                <c:pt idx="141">
                  <c:v>613.41147106210758</c:v>
                </c:pt>
                <c:pt idx="142">
                  <c:v>619.35083271135693</c:v>
                </c:pt>
                <c:pt idx="143">
                  <c:v>625.3084246748482</c:v>
                </c:pt>
                <c:pt idx="144">
                  <c:v>631.28477707164154</c:v>
                </c:pt>
                <c:pt idx="145">
                  <c:v>637.2804407211969</c:v>
                </c:pt>
                <c:pt idx="146">
                  <c:v>643.29598816069608</c:v>
                </c:pt>
                <c:pt idx="147">
                  <c:v>649.33201472274857</c:v>
                </c:pt>
                <c:pt idx="148">
                  <c:v>655.38913967768849</c:v>
                </c:pt>
                <c:pt idx="149">
                  <c:v>661.46800744500831</c:v>
                </c:pt>
                <c:pt idx="150">
                  <c:v>667.56928887883646</c:v>
                </c:pt>
                <c:pt idx="151">
                  <c:v>673.69368263277443</c:v>
                </c:pt>
                <c:pt idx="152">
                  <c:v>679.84191660983947</c:v>
                </c:pt>
                <c:pt idx="153">
                  <c:v>686.01474950374245</c:v>
                </c:pt>
                <c:pt idx="154">
                  <c:v>692.21297243825188</c:v>
                </c:pt>
                <c:pt idx="155">
                  <c:v>698.43741071196985</c:v>
                </c:pt>
                <c:pt idx="156">
                  <c:v>704.68892565646979</c:v>
                </c:pt>
                <c:pt idx="157">
                  <c:v>710.96841661644009</c:v>
                </c:pt>
                <c:pt idx="158">
                  <c:v>717.27682306123302</c:v>
                </c:pt>
                <c:pt idx="159">
                  <c:v>723.6151268380446</c:v>
                </c:pt>
                <c:pt idx="160">
                  <c:v>729.98435457787286</c:v>
                </c:pt>
                <c:pt idx="161">
                  <c:v>736.38558026640226</c:v>
                </c:pt>
                <c:pt idx="162">
                  <c:v>742.81992799307295</c:v>
                </c:pt>
                <c:pt idx="163">
                  <c:v>749.28857489281995</c:v>
                </c:pt>
                <c:pt idx="164">
                  <c:v>755.79275429630809</c:v>
                </c:pt>
                <c:pt idx="165">
                  <c:v>762.33375910599329</c:v>
                </c:pt>
                <c:pt idx="166">
                  <c:v>768.91294541698164</c:v>
                </c:pt>
                <c:pt idx="167">
                  <c:v>775.53173640348939</c:v>
                </c:pt>
                <c:pt idx="168">
                  <c:v>782.19162649372925</c:v>
                </c:pt>
                <c:pt idx="169">
                  <c:v>788.89418585830629</c:v>
                </c:pt>
                <c:pt idx="170">
                  <c:v>795.64106523968849</c:v>
                </c:pt>
                <c:pt idx="171">
                  <c:v>802.43400115310635</c:v>
                </c:pt>
                <c:pt idx="172">
                  <c:v>809.27482149232071</c:v>
                </c:pt>
                <c:pt idx="173">
                  <c:v>816.16545157714086</c:v>
                </c:pt>
                <c:pt idx="174">
                  <c:v>823.10792068342209</c:v>
                </c:pt>
                <c:pt idx="175">
                  <c:v>830.10436910055523</c:v>
                </c:pt>
                <c:pt idx="176">
                  <c:v>837.15705576626351</c:v>
                </c:pt>
                <c:pt idx="177">
                  <c:v>844.26836653388716</c:v>
                </c:pt>
                <c:pt idx="178">
                  <c:v>851.440823133354</c:v>
                </c:pt>
                <c:pt idx="179">
                  <c:v>858.67709289377706</c:v>
                </c:pt>
                <c:pt idx="180">
                  <c:v>865.97999930320475</c:v>
                </c:pt>
                <c:pt idx="181">
                  <c:v>869.38354277078452</c:v>
                </c:pt>
                <c:pt idx="182">
                  <c:v>871.83682245380612</c:v>
                </c:pt>
                <c:pt idx="183">
                  <c:v>874.3662661914359</c:v>
                </c:pt>
                <c:pt idx="184">
                  <c:v>876.97544759921755</c:v>
                </c:pt>
                <c:pt idx="185">
                  <c:v>879.66816511105844</c:v>
                </c:pt>
                <c:pt idx="186">
                  <c:v>882.44845970820836</c:v>
                </c:pt>
                <c:pt idx="187">
                  <c:v>885.32063432366158</c:v>
                </c:pt>
                <c:pt idx="188">
                  <c:v>888.28927510525057</c:v>
                </c:pt>
                <c:pt idx="189">
                  <c:v>891.35927474317884</c:v>
                </c:pt>
                <c:pt idx="190">
                  <c:v>894.53585809320748</c:v>
                </c:pt>
                <c:pt idx="191">
                  <c:v>897.8246103555656</c:v>
                </c:pt>
                <c:pt idx="192">
                  <c:v>901.23150810234949</c:v>
                </c:pt>
                <c:pt idx="193">
                  <c:v>904.76295348322537</c:v>
                </c:pt>
                <c:pt idx="194">
                  <c:v>908.42581198119092</c:v>
                </c:pt>
                <c:pt idx="195">
                  <c:v>912.22745413761402</c:v>
                </c:pt>
                <c:pt idx="196">
                  <c:v>916.17580171935936</c:v>
                </c:pt>
                <c:pt idx="197">
                  <c:v>920.27937886122527</c:v>
                </c:pt>
                <c:pt idx="198">
                  <c:v>924.54736878476433</c:v>
                </c:pt>
                <c:pt idx="199">
                  <c:v>928.98967677044379</c:v>
                </c:pt>
                <c:pt idx="200">
                  <c:v>933.61700014441988</c:v>
                </c:pt>
                <c:pt idx="201">
                  <c:v>938.44090613408935</c:v>
                </c:pt>
                <c:pt idx="202">
                  <c:v>943.47391854764817</c:v>
                </c:pt>
                <c:pt idx="203">
                  <c:v>948.72961434092008</c:v>
                </c:pt>
                <c:pt idx="204">
                  <c:v>954.22273124718151</c:v>
                </c:pt>
                <c:pt idx="205">
                  <c:v>959.96928775796425</c:v>
                </c:pt>
                <c:pt idx="206">
                  <c:v>965.98671684705209</c:v>
                </c:pt>
                <c:pt idx="207">
                  <c:v>972.29401491328383</c:v>
                </c:pt>
                <c:pt idx="208">
                  <c:v>978.91190745995073</c:v>
                </c:pt>
                <c:pt idx="209">
                  <c:v>985.86303299751046</c:v>
                </c:pt>
                <c:pt idx="210">
                  <c:v>993.1721465021119</c:v>
                </c:pt>
                <c:pt idx="211">
                  <c:v>1000.8663434077108</c:v>
                </c:pt>
                <c:pt idx="212">
                  <c:v>1008.9753044344887</c:v>
                </c:pt>
                <c:pt idx="213">
                  <c:v>1017.5315603751117</c:v>
                </c:pt>
                <c:pt idx="214">
                  <c:v>1026.5707739840195</c:v>
                </c:pt>
                <c:pt idx="215">
                  <c:v>1036.1320328915256</c:v>
                </c:pt>
                <c:pt idx="216">
                  <c:v>1046.2581422827391</c:v>
                </c:pt>
                <c:pt idx="217">
                  <c:v>1056.995897812574</c:v>
                </c:pt>
                <c:pt idx="218">
                  <c:v>1068.3963060640242</c:v>
                </c:pt>
                <c:pt idx="219">
                  <c:v>1080.5146988681261</c:v>
                </c:pt>
                <c:pt idx="220">
                  <c:v>1093.4106541846545</c:v>
                </c:pt>
                <c:pt idx="221">
                  <c:v>1107.1475819961909</c:v>
                </c:pt>
                <c:pt idx="222">
                  <c:v>1121.7917452768156</c:v>
                </c:pt>
                <c:pt idx="223">
                  <c:v>1137.4103403017311</c:v>
                </c:pt>
                <c:pt idx="224">
                  <c:v>1154.068016553226</c:v>
                </c:pt>
                <c:pt idx="225">
                  <c:v>1171.8208010529033</c:v>
                </c:pt>
                <c:pt idx="226">
                  <c:v>1190.7056705830507</c:v>
                </c:pt>
                <c:pt idx="227">
                  <c:v>1210.7227338782529</c:v>
                </c:pt>
                <c:pt idx="228">
                  <c:v>1231.8046497117377</c:v>
                </c:pt>
                <c:pt idx="229">
                  <c:v>1253.7635186171794</c:v>
                </c:pt>
                <c:pt idx="230">
                  <c:v>1276.1969555587968</c:v>
                </c:pt>
                <c:pt idx="231">
                  <c:v>1298.3177971918292</c:v>
                </c:pt>
                <c:pt idx="232">
                  <c:v>1318.6353510188237</c:v>
                </c:pt>
                <c:pt idx="233">
                  <c:v>1334.3343653060699</c:v>
                </c:pt>
                <c:pt idx="234">
                  <c:v>1340.0029385975208</c:v>
                </c:pt>
                <c:pt idx="235">
                  <c:v>1226.1506845116103</c:v>
                </c:pt>
                <c:pt idx="236">
                  <c:v>1039.3505784773963</c:v>
                </c:pt>
                <c:pt idx="237">
                  <c:v>757.18283648439694</c:v>
                </c:pt>
                <c:pt idx="238">
                  <c:v>757.18283648439694</c:v>
                </c:pt>
                <c:pt idx="239">
                  <c:v>701.09453242857842</c:v>
                </c:pt>
                <c:pt idx="240">
                  <c:v>619.48828305256177</c:v>
                </c:pt>
                <c:pt idx="241">
                  <c:v>683.54209216528079</c:v>
                </c:pt>
                <c:pt idx="242">
                  <c:v>570.04272527572493</c:v>
                </c:pt>
                <c:pt idx="243">
                  <c:v>475.48401462398795</c:v>
                </c:pt>
                <c:pt idx="244">
                  <c:v>396.25609733279384</c:v>
                </c:pt>
                <c:pt idx="245">
                  <c:v>329.9778965041848</c:v>
                </c:pt>
                <c:pt idx="246">
                  <c:v>274.46884697897781</c:v>
                </c:pt>
                <c:pt idx="247">
                  <c:v>227.74889533676284</c:v>
                </c:pt>
                <c:pt idx="248">
                  <c:v>188.03849989591046</c:v>
                </c:pt>
                <c:pt idx="249">
                  <c:v>153.75863071355943</c:v>
                </c:pt>
                <c:pt idx="250">
                  <c:v>123.53076958563075</c:v>
                </c:pt>
                <c:pt idx="251">
                  <c:v>96.176910046818165</c:v>
                </c:pt>
                <c:pt idx="252">
                  <c:v>70.719557370591218</c:v>
                </c:pt>
                <c:pt idx="253">
                  <c:v>46.381728569193484</c:v>
                </c:pt>
                <c:pt idx="254">
                  <c:v>22.586952393645763</c:v>
                </c:pt>
                <c:pt idx="255">
                  <c:v>-1.2531983676016331E-2</c:v>
                </c:pt>
                <c:pt idx="256">
                  <c:v>-2.4437904357910157E-12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F5-4F8D-9F3A-612B4EB75BCC}"/>
            </c:ext>
          </c:extLst>
        </c:ser>
        <c:ser>
          <c:idx val="1"/>
          <c:order val="1"/>
          <c:tx>
            <c:v>-N M</c:v>
          </c:tx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TABULATI!$P$2:$P$258</c:f>
              <c:numCache>
                <c:formatCode>0</c:formatCode>
                <c:ptCount val="257"/>
                <c:pt idx="0">
                  <c:v>-1229.31886444818</c:v>
                </c:pt>
                <c:pt idx="1">
                  <c:v>-1229.31886444818</c:v>
                </c:pt>
                <c:pt idx="2">
                  <c:v>-1229.31886444818</c:v>
                </c:pt>
                <c:pt idx="3">
                  <c:v>-1229.31886444818</c:v>
                </c:pt>
                <c:pt idx="4">
                  <c:v>-1229.31886444818</c:v>
                </c:pt>
                <c:pt idx="5">
                  <c:v>-1229.31886444818</c:v>
                </c:pt>
                <c:pt idx="6">
                  <c:v>-1229.31886444818</c:v>
                </c:pt>
                <c:pt idx="7">
                  <c:v>-1229.31886444818</c:v>
                </c:pt>
                <c:pt idx="8">
                  <c:v>-1229.31886444818</c:v>
                </c:pt>
                <c:pt idx="9">
                  <c:v>-1229.31886444818</c:v>
                </c:pt>
                <c:pt idx="10">
                  <c:v>-1229.31886444818</c:v>
                </c:pt>
                <c:pt idx="11">
                  <c:v>-1229.31886444818</c:v>
                </c:pt>
                <c:pt idx="12">
                  <c:v>-1229.31886444818</c:v>
                </c:pt>
                <c:pt idx="13">
                  <c:v>-1229.31886444818</c:v>
                </c:pt>
                <c:pt idx="14">
                  <c:v>-1229.31886444818</c:v>
                </c:pt>
                <c:pt idx="15">
                  <c:v>-1229.31886444818</c:v>
                </c:pt>
                <c:pt idx="16">
                  <c:v>-1229.31886444818</c:v>
                </c:pt>
                <c:pt idx="17">
                  <c:v>-1229.31886444818</c:v>
                </c:pt>
                <c:pt idx="18">
                  <c:v>-1229.31886444818</c:v>
                </c:pt>
                <c:pt idx="19">
                  <c:v>-1229.31886444818</c:v>
                </c:pt>
                <c:pt idx="20">
                  <c:v>-1229.31886444818</c:v>
                </c:pt>
                <c:pt idx="21">
                  <c:v>-1229.31886444818</c:v>
                </c:pt>
                <c:pt idx="22">
                  <c:v>-1229.31886444818</c:v>
                </c:pt>
                <c:pt idx="23">
                  <c:v>-1229.31886444818</c:v>
                </c:pt>
                <c:pt idx="24">
                  <c:v>-1229.31886444818</c:v>
                </c:pt>
                <c:pt idx="25">
                  <c:v>-1229.31886444818</c:v>
                </c:pt>
                <c:pt idx="26">
                  <c:v>-1229.31886444818</c:v>
                </c:pt>
                <c:pt idx="27">
                  <c:v>-1229.31886444818</c:v>
                </c:pt>
                <c:pt idx="28">
                  <c:v>-1229.31886444818</c:v>
                </c:pt>
                <c:pt idx="29">
                  <c:v>-1229.31886444818</c:v>
                </c:pt>
                <c:pt idx="30">
                  <c:v>-1229.31886444818</c:v>
                </c:pt>
                <c:pt idx="31">
                  <c:v>-1229.31886444818</c:v>
                </c:pt>
                <c:pt idx="32">
                  <c:v>-1229.31886444818</c:v>
                </c:pt>
                <c:pt idx="33">
                  <c:v>-1229.31886444818</c:v>
                </c:pt>
                <c:pt idx="34">
                  <c:v>-1229.31886444818</c:v>
                </c:pt>
                <c:pt idx="35">
                  <c:v>-1229.31886444818</c:v>
                </c:pt>
                <c:pt idx="36">
                  <c:v>-1229.31886444818</c:v>
                </c:pt>
                <c:pt idx="37">
                  <c:v>-1229.31886444818</c:v>
                </c:pt>
                <c:pt idx="38">
                  <c:v>-1229.31886444818</c:v>
                </c:pt>
                <c:pt idx="39">
                  <c:v>-1229.31886444818</c:v>
                </c:pt>
                <c:pt idx="40">
                  <c:v>-1229.31886444818</c:v>
                </c:pt>
                <c:pt idx="41">
                  <c:v>-1229.31886444818</c:v>
                </c:pt>
                <c:pt idx="42">
                  <c:v>-1229.31886444818</c:v>
                </c:pt>
                <c:pt idx="43">
                  <c:v>-1229.31886444818</c:v>
                </c:pt>
                <c:pt idx="44">
                  <c:v>-1229.31886444818</c:v>
                </c:pt>
                <c:pt idx="45">
                  <c:v>-1229.31886444818</c:v>
                </c:pt>
                <c:pt idx="46">
                  <c:v>-1229.31886444818</c:v>
                </c:pt>
                <c:pt idx="47">
                  <c:v>-1229.31886444818</c:v>
                </c:pt>
                <c:pt idx="48">
                  <c:v>-1229.31886444818</c:v>
                </c:pt>
                <c:pt idx="49">
                  <c:v>-1229.31886444818</c:v>
                </c:pt>
                <c:pt idx="50">
                  <c:v>-1229.31886444818</c:v>
                </c:pt>
                <c:pt idx="51">
                  <c:v>-1229.31886444818</c:v>
                </c:pt>
                <c:pt idx="52">
                  <c:v>-1229.31886444818</c:v>
                </c:pt>
                <c:pt idx="53">
                  <c:v>-1229.31886444818</c:v>
                </c:pt>
                <c:pt idx="54">
                  <c:v>-1229.31886444818</c:v>
                </c:pt>
                <c:pt idx="55">
                  <c:v>-1229.31886444818</c:v>
                </c:pt>
                <c:pt idx="56">
                  <c:v>-1229.31886444818</c:v>
                </c:pt>
                <c:pt idx="57">
                  <c:v>-1229.31886444818</c:v>
                </c:pt>
                <c:pt idx="58">
                  <c:v>-1229.31886444818</c:v>
                </c:pt>
                <c:pt idx="59">
                  <c:v>-1229.31886444818</c:v>
                </c:pt>
                <c:pt idx="60">
                  <c:v>-1229.31886444818</c:v>
                </c:pt>
                <c:pt idx="61">
                  <c:v>-1229.31886444818</c:v>
                </c:pt>
                <c:pt idx="62">
                  <c:v>-1229.31886444818</c:v>
                </c:pt>
                <c:pt idx="63">
                  <c:v>-1229.31886444818</c:v>
                </c:pt>
                <c:pt idx="64">
                  <c:v>-1229.31886444818</c:v>
                </c:pt>
                <c:pt idx="65">
                  <c:v>-1229.31886444818</c:v>
                </c:pt>
                <c:pt idx="66">
                  <c:v>-1229.31886444818</c:v>
                </c:pt>
                <c:pt idx="67">
                  <c:v>-1229.31886444818</c:v>
                </c:pt>
                <c:pt idx="68">
                  <c:v>-1229.31886444818</c:v>
                </c:pt>
                <c:pt idx="69">
                  <c:v>-1229.31886444818</c:v>
                </c:pt>
                <c:pt idx="70">
                  <c:v>-1229.31886444818</c:v>
                </c:pt>
                <c:pt idx="71">
                  <c:v>-1229.31886444818</c:v>
                </c:pt>
                <c:pt idx="72">
                  <c:v>-1229.31886444818</c:v>
                </c:pt>
                <c:pt idx="73">
                  <c:v>-1229.31886444818</c:v>
                </c:pt>
                <c:pt idx="74">
                  <c:v>-1229.31886444818</c:v>
                </c:pt>
                <c:pt idx="75">
                  <c:v>-1229.31886444818</c:v>
                </c:pt>
                <c:pt idx="76">
                  <c:v>-1229.31886444818</c:v>
                </c:pt>
                <c:pt idx="77">
                  <c:v>-1229.31886444818</c:v>
                </c:pt>
                <c:pt idx="78">
                  <c:v>-1229.31886444818</c:v>
                </c:pt>
                <c:pt idx="79">
                  <c:v>-1229.31886444818</c:v>
                </c:pt>
                <c:pt idx="80">
                  <c:v>-1229.31886444818</c:v>
                </c:pt>
                <c:pt idx="81">
                  <c:v>-1229.31886444818</c:v>
                </c:pt>
                <c:pt idx="82">
                  <c:v>-1229.31886444818</c:v>
                </c:pt>
                <c:pt idx="83">
                  <c:v>-1229.31886444818</c:v>
                </c:pt>
                <c:pt idx="84">
                  <c:v>-1229.31886444818</c:v>
                </c:pt>
                <c:pt idx="85">
                  <c:v>-1229.31886444818</c:v>
                </c:pt>
                <c:pt idx="86">
                  <c:v>-1229.31886444818</c:v>
                </c:pt>
                <c:pt idx="87">
                  <c:v>-1229.31886444818</c:v>
                </c:pt>
                <c:pt idx="88">
                  <c:v>-1229.31886444818</c:v>
                </c:pt>
                <c:pt idx="89">
                  <c:v>-1229.31886444818</c:v>
                </c:pt>
                <c:pt idx="90">
                  <c:v>-1229.31886444818</c:v>
                </c:pt>
                <c:pt idx="91">
                  <c:v>-1229.31886444818</c:v>
                </c:pt>
                <c:pt idx="92">
                  <c:v>-1229.31886444818</c:v>
                </c:pt>
                <c:pt idx="93">
                  <c:v>-1229.31886444818</c:v>
                </c:pt>
                <c:pt idx="94">
                  <c:v>-1229.31886444818</c:v>
                </c:pt>
                <c:pt idx="95">
                  <c:v>-1229.31886444818</c:v>
                </c:pt>
                <c:pt idx="96">
                  <c:v>-1229.31886444818</c:v>
                </c:pt>
                <c:pt idx="97">
                  <c:v>-1229.31886444818</c:v>
                </c:pt>
                <c:pt idx="98">
                  <c:v>-1229.31886444818</c:v>
                </c:pt>
                <c:pt idx="99">
                  <c:v>-1229.31886444818</c:v>
                </c:pt>
                <c:pt idx="100">
                  <c:v>-1229.31886444818</c:v>
                </c:pt>
                <c:pt idx="101">
                  <c:v>-1229.31886444818</c:v>
                </c:pt>
                <c:pt idx="102">
                  <c:v>-1229.3102285959242</c:v>
                </c:pt>
                <c:pt idx="103">
                  <c:v>-1229.2510489119909</c:v>
                </c:pt>
                <c:pt idx="104">
                  <c:v>-1229.0942649332462</c:v>
                </c:pt>
                <c:pt idx="105">
                  <c:v>-1228.7965907986957</c:v>
                </c:pt>
                <c:pt idx="106">
                  <c:v>-1228.318487495055</c:v>
                </c:pt>
                <c:pt idx="107">
                  <c:v>-1227.6241353468583</c:v>
                </c:pt>
                <c:pt idx="108">
                  <c:v>-1226.6814067485832</c:v>
                </c:pt>
                <c:pt idx="109">
                  <c:v>-1222.5163914786056</c:v>
                </c:pt>
                <c:pt idx="110">
                  <c:v>-1189.4063016009904</c:v>
                </c:pt>
                <c:pt idx="111">
                  <c:v>-1155.9733357761177</c:v>
                </c:pt>
                <c:pt idx="112">
                  <c:v>-1122.1998667537521</c:v>
                </c:pt>
                <c:pt idx="113">
                  <c:v>-1088.0718265587916</c:v>
                </c:pt>
                <c:pt idx="114">
                  <c:v>-1053.5786806243855</c:v>
                </c:pt>
                <c:pt idx="115">
                  <c:v>-1018.7134021504144</c:v>
                </c:pt>
                <c:pt idx="116">
                  <c:v>-983.47244668488486</c:v>
                </c:pt>
                <c:pt idx="117">
                  <c:v>-947.85572692602216</c:v>
                </c:pt>
                <c:pt idx="118">
                  <c:v>-911.86658774286832</c:v>
                </c:pt>
                <c:pt idx="119">
                  <c:v>-875.51178141215928</c:v>
                </c:pt>
                <c:pt idx="120">
                  <c:v>-838.80144306924308</c:v>
                </c:pt>
                <c:pt idx="121">
                  <c:v>-801.74906637102254</c:v>
                </c:pt>
                <c:pt idx="122">
                  <c:v>-764.36849391762428</c:v>
                </c:pt>
                <c:pt idx="123">
                  <c:v>-726.66383556326946</c:v>
                </c:pt>
                <c:pt idx="124">
                  <c:v>-688.63648422730137</c:v>
                </c:pt>
                <c:pt idx="125">
                  <c:v>-650.28782485813235</c:v>
                </c:pt>
                <c:pt idx="126">
                  <c:v>-611.61923449019571</c:v>
                </c:pt>
                <c:pt idx="127">
                  <c:v>-572.63208230037787</c:v>
                </c:pt>
                <c:pt idx="128">
                  <c:v>-533.32772966399011</c:v>
                </c:pt>
                <c:pt idx="129">
                  <c:v>-493.70753021023393</c:v>
                </c:pt>
                <c:pt idx="130">
                  <c:v>-453.77282987726528</c:v>
                </c:pt>
                <c:pt idx="131">
                  <c:v>-413.52496696669226</c:v>
                </c:pt>
                <c:pt idx="132">
                  <c:v>-372.96527219769553</c:v>
                </c:pt>
                <c:pt idx="133">
                  <c:v>-332.09506876060391</c:v>
                </c:pt>
                <c:pt idx="134">
                  <c:v>-290.91567237011435</c:v>
                </c:pt>
                <c:pt idx="135">
                  <c:v>-249.42839131800108</c:v>
                </c:pt>
                <c:pt idx="136">
                  <c:v>-207.63452652536765</c:v>
                </c:pt>
                <c:pt idx="137">
                  <c:v>-207.63452652536822</c:v>
                </c:pt>
                <c:pt idx="138">
                  <c:v>-197.39849983759714</c:v>
                </c:pt>
                <c:pt idx="139">
                  <c:v>-187.13162030744903</c:v>
                </c:pt>
                <c:pt idx="140">
                  <c:v>-176.83298214288587</c:v>
                </c:pt>
                <c:pt idx="141">
                  <c:v>-166.50164374457137</c:v>
                </c:pt>
                <c:pt idx="142">
                  <c:v>-156.13662591881439</c:v>
                </c:pt>
                <c:pt idx="143">
                  <c:v>-145.73690998241003</c:v>
                </c:pt>
                <c:pt idx="144">
                  <c:v>-135.30143575166818</c:v>
                </c:pt>
                <c:pt idx="145">
                  <c:v>-124.82909940728965</c:v>
                </c:pt>
                <c:pt idx="146">
                  <c:v>-114.31875122605345</c:v>
                </c:pt>
                <c:pt idx="147">
                  <c:v>-103.76919316952169</c:v>
                </c:pt>
                <c:pt idx="148">
                  <c:v>-93.179176319134072</c:v>
                </c:pt>
                <c:pt idx="149">
                  <c:v>-82.547398146153654</c:v>
                </c:pt>
                <c:pt idx="150">
                  <c:v>-71.872499603922947</c:v>
                </c:pt>
                <c:pt idx="151">
                  <c:v>-61.153062028790941</c:v>
                </c:pt>
                <c:pt idx="152">
                  <c:v>-50.387603834858282</c:v>
                </c:pt>
                <c:pt idx="153">
                  <c:v>-39.574576986359197</c:v>
                </c:pt>
                <c:pt idx="154">
                  <c:v>-28.712363230031333</c:v>
                </c:pt>
                <c:pt idx="155">
                  <c:v>-17.799270068195764</c:v>
                </c:pt>
                <c:pt idx="156">
                  <c:v>-6.8335264514989689</c:v>
                </c:pt>
                <c:pt idx="157">
                  <c:v>4.1867218317301012</c:v>
                </c:pt>
                <c:pt idx="158">
                  <c:v>15.263417094729142</c:v>
                </c:pt>
                <c:pt idx="159">
                  <c:v>26.398595047810346</c:v>
                </c:pt>
                <c:pt idx="160">
                  <c:v>37.594390480472008</c:v>
                </c:pt>
                <c:pt idx="161">
                  <c:v>48.853043363447071</c:v>
                </c:pt>
                <c:pt idx="162">
                  <c:v>60.176905407347014</c:v>
                </c:pt>
                <c:pt idx="163">
                  <c:v>71.56844711826939</c:v>
                </c:pt>
                <c:pt idx="164">
                  <c:v>83.030265394854013</c:v>
                </c:pt>
                <c:pt idx="165">
                  <c:v>94.56509171590011</c:v>
                </c:pt>
                <c:pt idx="166">
                  <c:v>106.17580097280373</c:v>
                </c:pt>
                <c:pt idx="167">
                  <c:v>117.86542100684845</c:v>
                </c:pt>
                <c:pt idx="168">
                  <c:v>129.63714291785797</c:v>
                </c:pt>
                <c:pt idx="169">
                  <c:v>141.49433221799578</c:v>
                </c:pt>
                <c:pt idx="170">
                  <c:v>153.44054091265903</c:v>
                </c:pt>
                <c:pt idx="171">
                  <c:v>165.47952059963976</c:v>
                </c:pt>
                <c:pt idx="172">
                  <c:v>177.61523668810864</c:v>
                </c:pt>
                <c:pt idx="173">
                  <c:v>189.85188385072095</c:v>
                </c:pt>
                <c:pt idx="174">
                  <c:v>202.1939028354428</c:v>
                </c:pt>
                <c:pt idx="175">
                  <c:v>214.64599877876336</c:v>
                </c:pt>
                <c:pt idx="176">
                  <c:v>227.21316117908549</c:v>
                </c:pt>
                <c:pt idx="177">
                  <c:v>239.9006857085781</c:v>
                </c:pt>
                <c:pt idx="178">
                  <c:v>252.7141980639887</c:v>
                </c:pt>
                <c:pt idx="179">
                  <c:v>265.65968008230345</c:v>
                </c:pt>
                <c:pt idx="180">
                  <c:v>278.74349837620593</c:v>
                </c:pt>
                <c:pt idx="181">
                  <c:v>285.09972457627111</c:v>
                </c:pt>
                <c:pt idx="182">
                  <c:v>289.83676615384616</c:v>
                </c:pt>
                <c:pt idx="183">
                  <c:v>294.73388297872339</c:v>
                </c:pt>
                <c:pt idx="184">
                  <c:v>299.79932845321463</c:v>
                </c:pt>
                <c:pt idx="185">
                  <c:v>305.0419332901555</c:v>
                </c:pt>
                <c:pt idx="186">
                  <c:v>310.471156888596</c:v>
                </c:pt>
                <c:pt idx="187">
                  <c:v>316.09714429530209</c:v>
                </c:pt>
                <c:pt idx="188">
                  <c:v>321.93078947368429</c:v>
                </c:pt>
                <c:pt idx="189">
                  <c:v>327.98380571030663</c:v>
                </c:pt>
                <c:pt idx="190">
                  <c:v>334.26880411639485</c:v>
                </c:pt>
                <c:pt idx="191">
                  <c:v>340.79938133140399</c:v>
                </c:pt>
                <c:pt idx="192">
                  <c:v>347.59021771217721</c:v>
                </c:pt>
                <c:pt idx="193">
                  <c:v>354.65718750000025</c:v>
                </c:pt>
                <c:pt idx="194">
                  <c:v>362.01748270561126</c:v>
                </c:pt>
                <c:pt idx="195">
                  <c:v>369.68975274725307</c:v>
                </c:pt>
                <c:pt idx="196">
                  <c:v>377.69426222935061</c:v>
                </c:pt>
                <c:pt idx="197">
                  <c:v>386.0530696721313</c:v>
                </c:pt>
                <c:pt idx="198">
                  <c:v>394.79023051131634</c:v>
                </c:pt>
                <c:pt idx="199">
                  <c:v>403.93202830188699</c:v>
                </c:pt>
                <c:pt idx="200">
                  <c:v>413.50723880597042</c:v>
                </c:pt>
                <c:pt idx="201">
                  <c:v>423.54743255395698</c:v>
                </c:pt>
                <c:pt idx="202">
                  <c:v>434.08732258064532</c:v>
                </c:pt>
                <c:pt idx="203">
                  <c:v>445.1651654064276</c:v>
                </c:pt>
                <c:pt idx="204">
                  <c:v>456.82322502424847</c:v>
                </c:pt>
                <c:pt idx="205">
                  <c:v>469.10831175298824</c:v>
                </c:pt>
                <c:pt idx="206">
                  <c:v>482.07241044012295</c:v>
                </c:pt>
                <c:pt idx="207">
                  <c:v>495.7734157894738</c:v>
                </c:pt>
                <c:pt idx="208">
                  <c:v>510.27599674972913</c:v>
                </c:pt>
                <c:pt idx="209">
                  <c:v>525.65261718750025</c:v>
                </c:pt>
                <c:pt idx="210">
                  <c:v>541.98474683544316</c:v>
                </c:pt>
                <c:pt idx="211">
                  <c:v>559.36430522565331</c:v>
                </c:pt>
                <c:pt idx="212">
                  <c:v>577.8953926380367</c:v>
                </c:pt>
                <c:pt idx="213">
                  <c:v>597.6963769035533</c:v>
                </c:pt>
                <c:pt idx="214">
                  <c:v>618.90242444152432</c:v>
                </c:pt>
                <c:pt idx="215">
                  <c:v>641.66858991825632</c:v>
                </c:pt>
                <c:pt idx="216">
                  <c:v>666.17361386138646</c:v>
                </c:pt>
                <c:pt idx="217">
                  <c:v>692.62462500000026</c:v>
                </c:pt>
                <c:pt idx="218">
                  <c:v>721.26300918836171</c:v>
                </c:pt>
                <c:pt idx="219">
                  <c:v>752.37179712460079</c:v>
                </c:pt>
                <c:pt idx="220">
                  <c:v>786.28505008347281</c:v>
                </c:pt>
                <c:pt idx="221">
                  <c:v>823.39990384615419</c:v>
                </c:pt>
                <c:pt idx="222">
                  <c:v>864.19219266055109</c:v>
                </c:pt>
                <c:pt idx="223">
                  <c:v>909.23695945946008</c:v>
                </c:pt>
                <c:pt idx="224">
                  <c:v>959.23573319755656</c:v>
                </c:pt>
                <c:pt idx="225">
                  <c:v>1015.0533297413801</c:v>
                </c:pt>
                <c:pt idx="226">
                  <c:v>1077.7682951945092</c:v>
                </c:pt>
                <c:pt idx="227">
                  <c:v>1148.7432804878063</c:v>
                </c:pt>
                <c:pt idx="228">
                  <c:v>1229.7251827676259</c:v>
                </c:pt>
                <c:pt idx="229">
                  <c:v>1322.9908567415753</c:v>
                </c:pt>
                <c:pt idx="230">
                  <c:v>1431.5645744680878</c:v>
                </c:pt>
                <c:pt idx="231">
                  <c:v>1559.5521357615928</c:v>
                </c:pt>
                <c:pt idx="232">
                  <c:v>1712.6718000000046</c:v>
                </c:pt>
                <c:pt idx="233">
                  <c:v>1899.1320362903282</c:v>
                </c:pt>
                <c:pt idx="234">
                  <c:v>2131.1526923076995</c:v>
                </c:pt>
                <c:pt idx="235">
                  <c:v>2598.6777569677829</c:v>
                </c:pt>
                <c:pt idx="236">
                  <c:v>3213.0583199647995</c:v>
                </c:pt>
                <c:pt idx="237">
                  <c:v>3978.8361822241177</c:v>
                </c:pt>
                <c:pt idx="238">
                  <c:v>3978.8361822241177</c:v>
                </c:pt>
                <c:pt idx="239">
                  <c:v>4110.6520455783493</c:v>
                </c:pt>
                <c:pt idx="240">
                  <c:v>4260.6529721354136</c:v>
                </c:pt>
                <c:pt idx="241">
                  <c:v>4153.049207117584</c:v>
                </c:pt>
                <c:pt idx="242">
                  <c:v>4347.7595888192127</c:v>
                </c:pt>
                <c:pt idx="243">
                  <c:v>4522.0010638541726</c:v>
                </c:pt>
                <c:pt idx="244">
                  <c:v>4677.2356969843731</c:v>
                </c:pt>
                <c:pt idx="245">
                  <c:v>4814.9255529717148</c:v>
                </c:pt>
                <c:pt idx="246">
                  <c:v>4936.5326965781051</c:v>
                </c:pt>
                <c:pt idx="247">
                  <c:v>5043.519192565449</c:v>
                </c:pt>
                <c:pt idx="248">
                  <c:v>5137.3471056956469</c:v>
                </c:pt>
                <c:pt idx="249">
                  <c:v>5219.4785007306091</c:v>
                </c:pt>
                <c:pt idx="250">
                  <c:v>5291.3754424322378</c:v>
                </c:pt>
                <c:pt idx="251">
                  <c:v>5354.499995562438</c:v>
                </c:pt>
                <c:pt idx="252">
                  <c:v>5410.3142248831127</c:v>
                </c:pt>
                <c:pt idx="253">
                  <c:v>5460.2801951561696</c:v>
                </c:pt>
                <c:pt idx="254">
                  <c:v>5505.8599711435118</c:v>
                </c:pt>
                <c:pt idx="255">
                  <c:v>5546.7351869878603</c:v>
                </c:pt>
                <c:pt idx="256">
                  <c:v>5546.9788644481778</c:v>
                </c:pt>
              </c:numCache>
            </c:numRef>
          </c:xVal>
          <c:yVal>
            <c:numRef>
              <c:f>Foglio3!$F$3:$F$259</c:f>
              <c:numCache>
                <c:formatCode>0</c:formatCode>
                <c:ptCount val="2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-5.1765721653103825E-3</c:v>
                </c:pt>
                <c:pt idx="103">
                  <c:v>-4.0611525380015376E-2</c:v>
                </c:pt>
                <c:pt idx="104">
                  <c:v>-0.13437206034463645</c:v>
                </c:pt>
                <c:pt idx="105">
                  <c:v>-0.31215849904924631</c:v>
                </c:pt>
                <c:pt idx="106">
                  <c:v>-0.59732985992431642</c:v>
                </c:pt>
                <c:pt idx="107">
                  <c:v>-1.0109291357688903</c:v>
                </c:pt>
                <c:pt idx="108">
                  <c:v>-1.5717082782431842</c:v>
                </c:pt>
                <c:pt idx="109">
                  <c:v>-3.9971489149909019</c:v>
                </c:pt>
                <c:pt idx="110">
                  <c:v>-23.142068705688178</c:v>
                </c:pt>
                <c:pt idx="111">
                  <c:v>-42.476923492622319</c:v>
                </c:pt>
                <c:pt idx="112">
                  <c:v>-62.01154516874027</c:v>
                </c:pt>
                <c:pt idx="113">
                  <c:v>-81.753595235670034</c:v>
                </c:pt>
                <c:pt idx="114">
                  <c:v>-101.70858810425982</c:v>
                </c:pt>
                <c:pt idx="115">
                  <c:v>-121.87991412669578</c:v>
                </c:pt>
                <c:pt idx="116">
                  <c:v>-142.26886236367386</c:v>
                </c:pt>
                <c:pt idx="117">
                  <c:v>-162.87464308994154</c:v>
                </c:pt>
                <c:pt idx="118">
                  <c:v>-183.69441004148084</c:v>
                </c:pt>
                <c:pt idx="119">
                  <c:v>-204.72328240758765</c:v>
                </c:pt>
                <c:pt idx="120">
                  <c:v>-225.95436657108451</c:v>
                </c:pt>
                <c:pt idx="121">
                  <c:v>-247.37877759974421</c:v>
                </c:pt>
                <c:pt idx="122">
                  <c:v>-268.98745052415802</c:v>
                </c:pt>
                <c:pt idx="123">
                  <c:v>-290.77718149424226</c:v>
                </c:pt>
                <c:pt idx="124">
                  <c:v>-312.74640669843308</c:v>
                </c:pt>
                <c:pt idx="125">
                  <c:v>-334.89357576329667</c:v>
                </c:pt>
                <c:pt idx="126">
                  <c:v>-357.2171516255126</c:v>
                </c:pt>
                <c:pt idx="127">
                  <c:v>-379.71561040524534</c:v>
                </c:pt>
                <c:pt idx="128">
                  <c:v>-402.38744128085534</c:v>
                </c:pt>
                <c:pt idx="129">
                  <c:v>-425.23114636496427</c:v>
                </c:pt>
                <c:pt idx="130">
                  <c:v>-448.24524058179912</c:v>
                </c:pt>
                <c:pt idx="131">
                  <c:v>-471.42825154589866</c:v>
                </c:pt>
                <c:pt idx="132">
                  <c:v>-494.77871944205867</c:v>
                </c:pt>
                <c:pt idx="133">
                  <c:v>-518.29519690660209</c:v>
                </c:pt>
                <c:pt idx="134">
                  <c:v>-541.9762489098506</c:v>
                </c:pt>
                <c:pt idx="135">
                  <c:v>-565.82045263987584</c:v>
                </c:pt>
                <c:pt idx="136">
                  <c:v>-589.82639738748651</c:v>
                </c:pt>
                <c:pt idx="137">
                  <c:v>-589.82639738748605</c:v>
                </c:pt>
                <c:pt idx="138">
                  <c:v>-595.69775750445626</c:v>
                </c:pt>
                <c:pt idx="139">
                  <c:v>-601.58541601996455</c:v>
                </c:pt>
                <c:pt idx="140">
                  <c:v>-607.4898293476067</c:v>
                </c:pt>
                <c:pt idx="141">
                  <c:v>-613.41147106210758</c:v>
                </c:pt>
                <c:pt idx="142">
                  <c:v>-619.35083271135693</c:v>
                </c:pt>
                <c:pt idx="143">
                  <c:v>-625.3084246748482</c:v>
                </c:pt>
                <c:pt idx="144">
                  <c:v>-631.28477707164154</c:v>
                </c:pt>
                <c:pt idx="145">
                  <c:v>-637.2804407211969</c:v>
                </c:pt>
                <c:pt idx="146">
                  <c:v>-643.29598816069608</c:v>
                </c:pt>
                <c:pt idx="147">
                  <c:v>-649.33201472274857</c:v>
                </c:pt>
                <c:pt idx="148">
                  <c:v>-655.38913967768849</c:v>
                </c:pt>
                <c:pt idx="149">
                  <c:v>-661.46800744500831</c:v>
                </c:pt>
                <c:pt idx="150">
                  <c:v>-667.56928887883646</c:v>
                </c:pt>
                <c:pt idx="151">
                  <c:v>-673.69368263277443</c:v>
                </c:pt>
                <c:pt idx="152">
                  <c:v>-679.84191660983947</c:v>
                </c:pt>
                <c:pt idx="153">
                  <c:v>-686.01474950374245</c:v>
                </c:pt>
                <c:pt idx="154">
                  <c:v>-692.21297243825188</c:v>
                </c:pt>
                <c:pt idx="155">
                  <c:v>-698.43741071196985</c:v>
                </c:pt>
                <c:pt idx="156">
                  <c:v>-704.68892565646979</c:v>
                </c:pt>
                <c:pt idx="157">
                  <c:v>-710.96841661644009</c:v>
                </c:pt>
                <c:pt idx="158">
                  <c:v>-717.27682306123302</c:v>
                </c:pt>
                <c:pt idx="159">
                  <c:v>-723.6151268380446</c:v>
                </c:pt>
                <c:pt idx="160">
                  <c:v>-729.98435457787286</c:v>
                </c:pt>
                <c:pt idx="161">
                  <c:v>-736.38558026640226</c:v>
                </c:pt>
                <c:pt idx="162">
                  <c:v>-742.81992799307295</c:v>
                </c:pt>
                <c:pt idx="163">
                  <c:v>-749.28857489281995</c:v>
                </c:pt>
                <c:pt idx="164">
                  <c:v>-755.79275429630809</c:v>
                </c:pt>
                <c:pt idx="165">
                  <c:v>-762.33375910599329</c:v>
                </c:pt>
                <c:pt idx="166">
                  <c:v>-768.91294541698164</c:v>
                </c:pt>
                <c:pt idx="167">
                  <c:v>-775.53173640348939</c:v>
                </c:pt>
                <c:pt idx="168">
                  <c:v>-782.19162649372925</c:v>
                </c:pt>
                <c:pt idx="169">
                  <c:v>-788.89418585830629</c:v>
                </c:pt>
                <c:pt idx="170">
                  <c:v>-795.64106523968849</c:v>
                </c:pt>
                <c:pt idx="171">
                  <c:v>-802.43400115310635</c:v>
                </c:pt>
                <c:pt idx="172">
                  <c:v>-809.27482149232071</c:v>
                </c:pt>
                <c:pt idx="173">
                  <c:v>-816.16545157714086</c:v>
                </c:pt>
                <c:pt idx="174">
                  <c:v>-823.10792068342209</c:v>
                </c:pt>
                <c:pt idx="175">
                  <c:v>-830.10436910055523</c:v>
                </c:pt>
                <c:pt idx="176">
                  <c:v>-837.15705576626351</c:v>
                </c:pt>
                <c:pt idx="177">
                  <c:v>-844.26836653388716</c:v>
                </c:pt>
                <c:pt idx="178">
                  <c:v>-851.440823133354</c:v>
                </c:pt>
                <c:pt idx="179">
                  <c:v>-858.67709289377706</c:v>
                </c:pt>
                <c:pt idx="180">
                  <c:v>-865.97999930320475</c:v>
                </c:pt>
                <c:pt idx="181">
                  <c:v>-869.38354277078452</c:v>
                </c:pt>
                <c:pt idx="182">
                  <c:v>-871.83682245380612</c:v>
                </c:pt>
                <c:pt idx="183">
                  <c:v>-874.3662661914359</c:v>
                </c:pt>
                <c:pt idx="184">
                  <c:v>-876.97544759921755</c:v>
                </c:pt>
                <c:pt idx="185">
                  <c:v>-879.66816511105844</c:v>
                </c:pt>
                <c:pt idx="186">
                  <c:v>-882.44845970820836</c:v>
                </c:pt>
                <c:pt idx="187">
                  <c:v>-885.32063432366158</c:v>
                </c:pt>
                <c:pt idx="188">
                  <c:v>-888.28927510525057</c:v>
                </c:pt>
                <c:pt idx="189">
                  <c:v>-891.35927474317884</c:v>
                </c:pt>
                <c:pt idx="190">
                  <c:v>-894.53585809320748</c:v>
                </c:pt>
                <c:pt idx="191">
                  <c:v>-897.8246103555656</c:v>
                </c:pt>
                <c:pt idx="192">
                  <c:v>-901.23150810234949</c:v>
                </c:pt>
                <c:pt idx="193">
                  <c:v>-904.76295348322537</c:v>
                </c:pt>
                <c:pt idx="194">
                  <c:v>-908.42581198119092</c:v>
                </c:pt>
                <c:pt idx="195">
                  <c:v>-912.22745413761402</c:v>
                </c:pt>
                <c:pt idx="196">
                  <c:v>-916.17580171935936</c:v>
                </c:pt>
                <c:pt idx="197">
                  <c:v>-920.27937886122527</c:v>
                </c:pt>
                <c:pt idx="198">
                  <c:v>-924.54736878476433</c:v>
                </c:pt>
                <c:pt idx="199">
                  <c:v>-928.98967677044379</c:v>
                </c:pt>
                <c:pt idx="200">
                  <c:v>-933.61700014441988</c:v>
                </c:pt>
                <c:pt idx="201">
                  <c:v>-938.44090613408935</c:v>
                </c:pt>
                <c:pt idx="202">
                  <c:v>-943.47391854764817</c:v>
                </c:pt>
                <c:pt idx="203">
                  <c:v>-948.72961434092008</c:v>
                </c:pt>
                <c:pt idx="204">
                  <c:v>-954.22273124718151</c:v>
                </c:pt>
                <c:pt idx="205">
                  <c:v>-959.96928775796425</c:v>
                </c:pt>
                <c:pt idx="206">
                  <c:v>-965.98671684705209</c:v>
                </c:pt>
                <c:pt idx="207">
                  <c:v>-972.29401491328383</c:v>
                </c:pt>
                <c:pt idx="208">
                  <c:v>-978.91190745995073</c:v>
                </c:pt>
                <c:pt idx="209">
                  <c:v>-985.86303299751046</c:v>
                </c:pt>
                <c:pt idx="210">
                  <c:v>-993.1721465021119</c:v>
                </c:pt>
                <c:pt idx="211">
                  <c:v>-1000.8663434077108</c:v>
                </c:pt>
                <c:pt idx="212">
                  <c:v>-1008.9753044344887</c:v>
                </c:pt>
                <c:pt idx="213">
                  <c:v>-1017.5315603751117</c:v>
                </c:pt>
                <c:pt idx="214">
                  <c:v>-1026.5707739840195</c:v>
                </c:pt>
                <c:pt idx="215">
                  <c:v>-1036.1320328915256</c:v>
                </c:pt>
                <c:pt idx="216">
                  <c:v>-1046.2581422827391</c:v>
                </c:pt>
                <c:pt idx="217">
                  <c:v>-1056.995897812574</c:v>
                </c:pt>
                <c:pt idx="218">
                  <c:v>-1068.3963060640242</c:v>
                </c:pt>
                <c:pt idx="219">
                  <c:v>-1080.5146988681261</c:v>
                </c:pt>
                <c:pt idx="220">
                  <c:v>-1093.4106541846545</c:v>
                </c:pt>
                <c:pt idx="221">
                  <c:v>-1107.1475819961909</c:v>
                </c:pt>
                <c:pt idx="222">
                  <c:v>-1121.7917452768156</c:v>
                </c:pt>
                <c:pt idx="223">
                  <c:v>-1137.4103403017311</c:v>
                </c:pt>
                <c:pt idx="224">
                  <c:v>-1154.068016553226</c:v>
                </c:pt>
                <c:pt idx="225">
                  <c:v>-1171.8208010529033</c:v>
                </c:pt>
                <c:pt idx="226">
                  <c:v>-1190.7056705830507</c:v>
                </c:pt>
                <c:pt idx="227">
                  <c:v>-1210.7227338782529</c:v>
                </c:pt>
                <c:pt idx="228">
                  <c:v>-1231.8046497117377</c:v>
                </c:pt>
                <c:pt idx="229">
                  <c:v>-1253.7635186171794</c:v>
                </c:pt>
                <c:pt idx="230">
                  <c:v>-1276.1969555587968</c:v>
                </c:pt>
                <c:pt idx="231">
                  <c:v>-1298.3177971918292</c:v>
                </c:pt>
                <c:pt idx="232">
                  <c:v>-1318.6353510188237</c:v>
                </c:pt>
                <c:pt idx="233">
                  <c:v>-1334.3343653060699</c:v>
                </c:pt>
                <c:pt idx="234">
                  <c:v>-1340.0029385975208</c:v>
                </c:pt>
                <c:pt idx="235">
                  <c:v>-1226.1506845116103</c:v>
                </c:pt>
                <c:pt idx="236">
                  <c:v>-1039.3505784773963</c:v>
                </c:pt>
                <c:pt idx="237">
                  <c:v>-757.18283648439694</c:v>
                </c:pt>
                <c:pt idx="238">
                  <c:v>-757.18283648439694</c:v>
                </c:pt>
                <c:pt idx="239">
                  <c:v>-701.09453242857842</c:v>
                </c:pt>
                <c:pt idx="240">
                  <c:v>-619.48828305256177</c:v>
                </c:pt>
                <c:pt idx="241">
                  <c:v>-683.54209216528079</c:v>
                </c:pt>
                <c:pt idx="242">
                  <c:v>-570.04272527572493</c:v>
                </c:pt>
                <c:pt idx="243">
                  <c:v>-475.48401462398795</c:v>
                </c:pt>
                <c:pt idx="244">
                  <c:v>-396.25609733279384</c:v>
                </c:pt>
                <c:pt idx="245">
                  <c:v>-329.9778965041848</c:v>
                </c:pt>
                <c:pt idx="246">
                  <c:v>-274.46884697897781</c:v>
                </c:pt>
                <c:pt idx="247">
                  <c:v>-227.74889533676284</c:v>
                </c:pt>
                <c:pt idx="248">
                  <c:v>-188.03849989591046</c:v>
                </c:pt>
                <c:pt idx="249">
                  <c:v>-153.75863071355943</c:v>
                </c:pt>
                <c:pt idx="250">
                  <c:v>-123.53076958563075</c:v>
                </c:pt>
                <c:pt idx="251">
                  <c:v>-96.176910046818165</c:v>
                </c:pt>
                <c:pt idx="252">
                  <c:v>-70.719557370591218</c:v>
                </c:pt>
                <c:pt idx="253">
                  <c:v>-46.381728569193484</c:v>
                </c:pt>
                <c:pt idx="254">
                  <c:v>-22.586952393645763</c:v>
                </c:pt>
                <c:pt idx="255">
                  <c:v>1.2531983676016331E-2</c:v>
                </c:pt>
                <c:pt idx="256">
                  <c:v>2.4437904357910157E-12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F5-4F8D-9F3A-612B4EB75BCC}"/>
            </c:ext>
          </c:extLst>
        </c:ser>
        <c:ser>
          <c:idx val="2"/>
          <c:order val="2"/>
          <c:tx>
            <c:v>1</c:v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 M KN approx'!$B$5:$B$9</c:f>
              <c:numCache>
                <c:formatCode>0</c:formatCode>
                <c:ptCount val="5"/>
                <c:pt idx="0">
                  <c:v>-1229.31886444818</c:v>
                </c:pt>
                <c:pt idx="1">
                  <c:v>0</c:v>
                </c:pt>
                <c:pt idx="2">
                  <c:v>2158.8299999999995</c:v>
                </c:pt>
                <c:pt idx="3">
                  <c:v>4317.6599999999989</c:v>
                </c:pt>
                <c:pt idx="4">
                  <c:v>5546.9788644481787</c:v>
                </c:pt>
              </c:numCache>
            </c:numRef>
          </c:xVal>
          <c:yVal>
            <c:numRef>
              <c:f>'N M KN approx'!$D$5:$D$9</c:f>
              <c:numCache>
                <c:formatCode>0</c:formatCode>
                <c:ptCount val="5"/>
                <c:pt idx="0">
                  <c:v>0</c:v>
                </c:pt>
                <c:pt idx="1">
                  <c:v>682.27196976873984</c:v>
                </c:pt>
                <c:pt idx="2">
                  <c:v>1329.9209697687397</c:v>
                </c:pt>
                <c:pt idx="3">
                  <c:v>682.27196976873984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1F5-4F8D-9F3A-612B4EB75BCC}"/>
            </c:ext>
          </c:extLst>
        </c:ser>
        <c:ser>
          <c:idx val="3"/>
          <c:order val="3"/>
          <c:tx>
            <c:v>2</c:v>
          </c:tx>
          <c:spPr>
            <a:ln w="31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 M KN approx'!$B$5:$B$9</c:f>
              <c:numCache>
                <c:formatCode>0</c:formatCode>
                <c:ptCount val="5"/>
                <c:pt idx="0">
                  <c:v>-1229.31886444818</c:v>
                </c:pt>
                <c:pt idx="1">
                  <c:v>0</c:v>
                </c:pt>
                <c:pt idx="2">
                  <c:v>2158.8299999999995</c:v>
                </c:pt>
                <c:pt idx="3">
                  <c:v>4317.6599999999989</c:v>
                </c:pt>
                <c:pt idx="4">
                  <c:v>5546.9788644481787</c:v>
                </c:pt>
              </c:numCache>
            </c:numRef>
          </c:xVal>
          <c:yVal>
            <c:numRef>
              <c:f>'N M KN approx'!$F$5:$F$9</c:f>
              <c:numCache>
                <c:formatCode>0</c:formatCode>
                <c:ptCount val="5"/>
                <c:pt idx="0">
                  <c:v>0</c:v>
                </c:pt>
                <c:pt idx="1">
                  <c:v>-682.27196976873984</c:v>
                </c:pt>
                <c:pt idx="2">
                  <c:v>-1329.9209697687397</c:v>
                </c:pt>
                <c:pt idx="3">
                  <c:v>-682.27196976873984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1F5-4F8D-9F3A-612B4EB75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244592"/>
        <c:axId val="1467245680"/>
      </c:scatterChart>
      <c:valAx>
        <c:axId val="14672445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67245680"/>
        <c:crosses val="autoZero"/>
        <c:crossBetween val="midCat"/>
      </c:valAx>
      <c:valAx>
        <c:axId val="1467245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67244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iff"/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3.tif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123824</xdr:rowOff>
    </xdr:from>
    <xdr:to>
      <xdr:col>11</xdr:col>
      <xdr:colOff>340789</xdr:colOff>
      <xdr:row>3</xdr:row>
      <xdr:rowOff>114299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6" y="123824"/>
          <a:ext cx="6417738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19</xdr:row>
      <xdr:rowOff>117230</xdr:rowOff>
    </xdr:from>
    <xdr:to>
      <xdr:col>15</xdr:col>
      <xdr:colOff>1040423</xdr:colOff>
      <xdr:row>32</xdr:row>
      <xdr:rowOff>43961</xdr:rowOff>
    </xdr:to>
    <xdr:pic>
      <xdr:nvPicPr>
        <xdr:cNvPr id="2" name="Immagin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2" t="24886" r="6607" b="4784"/>
        <a:stretch/>
      </xdr:blipFill>
      <xdr:spPr>
        <a:xfrm>
          <a:off x="5334000" y="6289430"/>
          <a:ext cx="10755923" cy="3250956"/>
        </a:xfrm>
        <a:prstGeom prst="rect">
          <a:avLst/>
        </a:prstGeom>
      </xdr:spPr>
    </xdr:pic>
    <xdr:clientData/>
  </xdr:twoCellAnchor>
  <xdr:twoCellAnchor editAs="oneCell">
    <xdr:from>
      <xdr:col>2</xdr:col>
      <xdr:colOff>835270</xdr:colOff>
      <xdr:row>35</xdr:row>
      <xdr:rowOff>117231</xdr:rowOff>
    </xdr:from>
    <xdr:to>
      <xdr:col>17</xdr:col>
      <xdr:colOff>908536</xdr:colOff>
      <xdr:row>81</xdr:row>
      <xdr:rowOff>190502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45267" y="7946784"/>
          <a:ext cx="11027021" cy="157895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40901</xdr:colOff>
      <xdr:row>3</xdr:row>
      <xdr:rowOff>93008</xdr:rowOff>
    </xdr:from>
    <xdr:to>
      <xdr:col>18</xdr:col>
      <xdr:colOff>571498</xdr:colOff>
      <xdr:row>29</xdr:row>
      <xdr:rowOff>71437</xdr:rowOff>
    </xdr:to>
    <xdr:graphicFrame macro="">
      <xdr:nvGraphicFramePr>
        <xdr:cNvPr id="3073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293595</xdr:colOff>
      <xdr:row>7</xdr:row>
      <xdr:rowOff>7844</xdr:rowOff>
    </xdr:from>
    <xdr:ext cx="216049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11790830" y="1341344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2000" i="1">
                        <a:latin typeface="Cambria Math" panose="02040503050406030204" pitchFamily="18" charset="0"/>
                      </a:rPr>
                      <m:t>ν</m:t>
                    </m:r>
                    <m:r>
                      <a:rPr lang="it-IT" sz="20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𝑠𝑑</m:t>
                            </m:r>
                          </m:sub>
                        </m:sSub>
                      </m:num>
                      <m:den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0,85 </m:t>
                        </m:r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𝑐𝑑</m:t>
                            </m:r>
                          </m:sub>
                        </m:sSub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1790830" y="1341344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2000" i="0">
                  <a:latin typeface="Cambria Math" panose="02040503050406030204" pitchFamily="18" charset="0"/>
                </a:rPr>
                <a:t>ν</a:t>
              </a:r>
              <a:r>
                <a:rPr lang="it-IT" sz="2000" b="0" i="0">
                  <a:latin typeface="Cambria Math" panose="02040503050406030204" pitchFamily="18" charset="0"/>
                </a:rPr>
                <a:t>=  𝑁_𝑠𝑑/(0,85 𝑓_𝑐𝑑  𝑏 𝑑)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19</xdr:col>
      <xdr:colOff>336177</xdr:colOff>
      <xdr:row>11</xdr:row>
      <xdr:rowOff>168089</xdr:rowOff>
    </xdr:from>
    <xdr:ext cx="2160494" cy="742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11833412" y="2263589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l-GR" sz="2000" b="0" i="1">
                        <a:latin typeface="Cambria Math" panose="02040503050406030204" pitchFamily="18" charset="0"/>
                      </a:rPr>
                      <m:t>µ</m:t>
                    </m:r>
                    <m:r>
                      <a:rPr lang="it-IT" sz="20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it-IT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𝑟𝑑</m:t>
                            </m:r>
                          </m:sub>
                        </m:sSub>
                      </m:num>
                      <m:den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0,85 </m:t>
                        </m:r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𝑓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𝑐𝑑</m:t>
                            </m:r>
                          </m:sub>
                        </m:sSub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</a:rPr>
                          <m:t> </m:t>
                        </m:r>
                        <m:sSup>
                          <m:sSupPr>
                            <m:ctrlPr>
                              <a:rPr lang="it-IT" sz="20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it-IT" sz="20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11833412" y="2263589"/>
              <a:ext cx="2160494" cy="742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2000" b="0" i="0">
                  <a:latin typeface="Cambria Math" panose="02040503050406030204" pitchFamily="18" charset="0"/>
                </a:rPr>
                <a:t>µ</a:t>
              </a:r>
              <a:r>
                <a:rPr lang="it-IT" sz="2000" b="0" i="0">
                  <a:latin typeface="Cambria Math" panose="02040503050406030204" pitchFamily="18" charset="0"/>
                </a:rPr>
                <a:t>=  𝑀_𝑟𝑑/(0,85 𝑓_𝑐𝑑  𝑏 𝑑^2 )</a:t>
              </a:r>
              <a:endParaRPr lang="it-IT" sz="1100"/>
            </a:p>
          </xdr:txBody>
        </xdr:sp>
      </mc:Fallback>
    </mc:AlternateContent>
    <xdr:clientData/>
  </xdr:oneCellAnchor>
  <xdr:twoCellAnchor editAs="oneCell">
    <xdr:from>
      <xdr:col>0</xdr:col>
      <xdr:colOff>264581</xdr:colOff>
      <xdr:row>31</xdr:row>
      <xdr:rowOff>148167</xdr:rowOff>
    </xdr:from>
    <xdr:to>
      <xdr:col>18</xdr:col>
      <xdr:colOff>402166</xdr:colOff>
      <xdr:row>70</xdr:row>
      <xdr:rowOff>21168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206623" y="4111625"/>
          <a:ext cx="7302501" cy="11186585"/>
        </a:xfrm>
        <a:prstGeom prst="rect">
          <a:avLst/>
        </a:prstGeom>
      </xdr:spPr>
    </xdr:pic>
    <xdr:clientData/>
  </xdr:twoCellAnchor>
  <xdr:twoCellAnchor editAs="oneCell">
    <xdr:from>
      <xdr:col>0</xdr:col>
      <xdr:colOff>306917</xdr:colOff>
      <xdr:row>75</xdr:row>
      <xdr:rowOff>52917</xdr:rowOff>
    </xdr:from>
    <xdr:to>
      <xdr:col>17</xdr:col>
      <xdr:colOff>190500</xdr:colOff>
      <xdr:row>89</xdr:row>
      <xdr:rowOff>182360</xdr:rowOff>
    </xdr:to>
    <xdr:pic>
      <xdr:nvPicPr>
        <xdr:cNvPr id="6" name="Immagine 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92" t="24886" r="6607" b="4784"/>
        <a:stretch/>
      </xdr:blipFill>
      <xdr:spPr>
        <a:xfrm>
          <a:off x="306917" y="14340417"/>
          <a:ext cx="10318750" cy="2796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3</xdr:row>
      <xdr:rowOff>35718</xdr:rowOff>
    </xdr:from>
    <xdr:to>
      <xdr:col>17</xdr:col>
      <xdr:colOff>353786</xdr:colOff>
      <xdr:row>32</xdr:row>
      <xdr:rowOff>122464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38100</xdr:rowOff>
    </xdr:from>
    <xdr:to>
      <xdr:col>12</xdr:col>
      <xdr:colOff>0</xdr:colOff>
      <xdr:row>22</xdr:row>
      <xdr:rowOff>76200</xdr:rowOff>
    </xdr:to>
    <xdr:graphicFrame macro="">
      <xdr:nvGraphicFramePr>
        <xdr:cNvPr id="4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47625</xdr:rowOff>
    </xdr:from>
    <xdr:to>
      <xdr:col>19</xdr:col>
      <xdr:colOff>514350</xdr:colOff>
      <xdr:row>19</xdr:row>
      <xdr:rowOff>114300</xdr:rowOff>
    </xdr:to>
    <xdr:graphicFrame macro="">
      <xdr:nvGraphicFramePr>
        <xdr:cNvPr id="5121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285750</xdr:colOff>
      <xdr:row>24</xdr:row>
      <xdr:rowOff>76200</xdr:rowOff>
    </xdr:from>
    <xdr:ext cx="1990726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285750" y="4476750"/>
              <a:ext cx="1990726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𝐴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=2 </m:t>
                  </m:r>
                  <m:sSub>
                    <m:sSub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𝑠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sub>
                  </m:sSub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𝑦𝑑</m:t>
                      </m:r>
                    </m:sub>
                  </m:sSub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285750" y="4476750"/>
              <a:ext cx="1990726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〖𝑁_𝑟𝑑〗^((𝐴))=2 𝐴_(𝑠 )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𝑓_𝑦𝑑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Fallback>
    </mc:AlternateContent>
    <xdr:clientData/>
  </xdr:oneCellAnchor>
  <xdr:oneCellAnchor>
    <xdr:from>
      <xdr:col>0</xdr:col>
      <xdr:colOff>266700</xdr:colOff>
      <xdr:row>27</xdr:row>
      <xdr:rowOff>28575</xdr:rowOff>
    </xdr:from>
    <xdr:ext cx="3162300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266700" y="5000625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=2 </m:t>
                  </m:r>
                  <m:sSub>
                    <m:sSub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𝑠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sub>
                  </m:sSub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𝑦𝑑</m:t>
                      </m:r>
                    </m:sub>
                  </m:sSub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+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𝑏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𝐻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𝑐𝑑</m:t>
                      </m:r>
                    </m:sub>
                  </m:sSub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266700" y="5000625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〖𝑁_𝑟𝑑〗^((𝐵))=2 𝐴_(𝑠 )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𝑓_𝑦𝑑+𝑏 𝐻 𝑓_𝑐𝑑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Fallback>
    </mc:AlternateContent>
    <xdr:clientData/>
  </xdr:oneCellAnchor>
  <xdr:oneCellAnchor>
    <xdr:from>
      <xdr:col>0</xdr:col>
      <xdr:colOff>276225</xdr:colOff>
      <xdr:row>29</xdr:row>
      <xdr:rowOff>180975</xdr:rowOff>
    </xdr:from>
    <xdr:ext cx="3162300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276225" y="5534025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𝐶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it-IT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0</m:t>
                  </m:r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it-IT" sz="20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276225" y="5534025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〖𝑁_𝑟𝑑〗^((𝐶))=0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it-IT" sz="2000"/>
            </a:p>
          </xdr:txBody>
        </xdr:sp>
      </mc:Fallback>
    </mc:AlternateContent>
    <xdr:clientData/>
  </xdr:oneCellAnchor>
  <xdr:oneCellAnchor>
    <xdr:from>
      <xdr:col>0</xdr:col>
      <xdr:colOff>276225</xdr:colOff>
      <xdr:row>32</xdr:row>
      <xdr:rowOff>95250</xdr:rowOff>
    </xdr:from>
    <xdr:ext cx="3162300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/>
            <xdr:cNvSpPr txBox="1"/>
          </xdr:nvSpPr>
          <xdr:spPr>
            <a:xfrm>
              <a:off x="276225" y="6019800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𝐷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𝑏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𝐻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𝑐𝑑</m:t>
                      </m:r>
                    </m:sub>
                  </m:sSub>
                </m:oMath>
              </a14:m>
              <a:endParaRPr lang="it-IT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276225" y="6019800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〖𝑁_𝑟𝑑〗^((𝐷))=1/2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𝑏 𝐻 𝑓_𝑐𝑑</a:t>
              </a:r>
              <a:endParaRPr lang="it-IT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304800</xdr:colOff>
      <xdr:row>36</xdr:row>
      <xdr:rowOff>0</xdr:rowOff>
    </xdr:from>
    <xdr:ext cx="3162300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/>
            <xdr:cNvSpPr txBox="1"/>
          </xdr:nvSpPr>
          <xdr:spPr>
            <a:xfrm>
              <a:off x="304800" y="6686550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𝑏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𝐻</m:t>
                  </m:r>
                  <m:r>
                    <a:rPr lang="it-IT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𝑐𝑑</m:t>
                      </m:r>
                    </m:sub>
                  </m:sSub>
                </m:oMath>
              </a14:m>
              <a:endParaRPr lang="it-IT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" name="CasellaDiTesto 6"/>
            <xdr:cNvSpPr txBox="1"/>
          </xdr:nvSpPr>
          <xdr:spPr>
            <a:xfrm>
              <a:off x="304800" y="6686550"/>
              <a:ext cx="3162300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〖𝑁_𝑟𝑑〗^((𝐸))=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𝑏 𝐻 𝑓_𝑐𝑑</a:t>
              </a:r>
              <a:endParaRPr lang="it-IT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171450</xdr:colOff>
      <xdr:row>24</xdr:row>
      <xdr:rowOff>66675</xdr:rowOff>
    </xdr:from>
    <xdr:ext cx="1990726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7"/>
            <xdr:cNvSpPr txBox="1"/>
          </xdr:nvSpPr>
          <xdr:spPr>
            <a:xfrm>
              <a:off x="3886200" y="4467225"/>
              <a:ext cx="1990726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𝑀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𝐴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it-IT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0</m:t>
                  </m:r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Choice>
      <mc:Fallback xmlns="">
        <xdr:sp macro="" textlink="">
          <xdr:nvSpPr>
            <xdr:cNvPr id="8" name="CasellaDiTesto 7"/>
            <xdr:cNvSpPr txBox="1"/>
          </xdr:nvSpPr>
          <xdr:spPr>
            <a:xfrm>
              <a:off x="3886200" y="4467225"/>
              <a:ext cx="1990726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〖𝑀_𝑟𝑑〗^((𝐴))=0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Fallback>
    </mc:AlternateContent>
    <xdr:clientData/>
  </xdr:oneCellAnchor>
  <xdr:oneCellAnchor>
    <xdr:from>
      <xdr:col>6</xdr:col>
      <xdr:colOff>180975</xdr:colOff>
      <xdr:row>26</xdr:row>
      <xdr:rowOff>180975</xdr:rowOff>
    </xdr:from>
    <xdr:ext cx="1990726" cy="476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sellaDiTesto 8"/>
            <xdr:cNvSpPr txBox="1"/>
          </xdr:nvSpPr>
          <xdr:spPr>
            <a:xfrm>
              <a:off x="3895725" y="4962525"/>
              <a:ext cx="1990726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𝑀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it-IT" sz="2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0</m:t>
                  </m:r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Choice>
      <mc:Fallback xmlns="">
        <xdr:sp macro="" textlink="">
          <xdr:nvSpPr>
            <xdr:cNvPr id="9" name="CasellaDiTesto 8"/>
            <xdr:cNvSpPr txBox="1"/>
          </xdr:nvSpPr>
          <xdr:spPr>
            <a:xfrm>
              <a:off x="3895725" y="4962525"/>
              <a:ext cx="1990726" cy="476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〖𝑀_𝑟𝑑〗^((𝐵))=0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 </a:t>
              </a:r>
              <a:endParaRPr lang="it-IT" sz="2000"/>
            </a:p>
          </xdr:txBody>
        </xdr:sp>
      </mc:Fallback>
    </mc:AlternateContent>
    <xdr:clientData/>
  </xdr:oneCellAnchor>
  <xdr:oneCellAnchor>
    <xdr:from>
      <xdr:col>6</xdr:col>
      <xdr:colOff>161924</xdr:colOff>
      <xdr:row>29</xdr:row>
      <xdr:rowOff>85725</xdr:rowOff>
    </xdr:from>
    <xdr:ext cx="2981325" cy="4476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sellaDiTesto 9"/>
            <xdr:cNvSpPr txBox="1"/>
          </xdr:nvSpPr>
          <xdr:spPr>
            <a:xfrm>
              <a:off x="3876674" y="5438775"/>
              <a:ext cx="2981325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𝑀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𝐶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𝐴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𝑠</m:t>
                      </m:r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 </m:t>
                      </m:r>
                    </m:sub>
                  </m:sSub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𝑦𝑑</m:t>
                      </m:r>
                    </m:sub>
                  </m:sSub>
                  <m:d>
                    <m:d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h</m:t>
                      </m:r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−2 </m:t>
                      </m:r>
                      <m:sSup>
                        <m:sSupPr>
                          <m:ctrlPr>
                            <a:rPr lang="it-IT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𝑑</m:t>
                          </m:r>
                        </m:e>
                        <m:sup>
                          <m:r>
                            <a:rPr lang="it-IT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′</m:t>
                          </m:r>
                        </m:sup>
                      </m:sSup>
                    </m:e>
                  </m:d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10" name="CasellaDiTesto 9"/>
            <xdr:cNvSpPr txBox="1"/>
          </xdr:nvSpPr>
          <xdr:spPr>
            <a:xfrm>
              <a:off x="3876674" y="5438775"/>
              <a:ext cx="2981325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〖𝑀_𝑟𝑑〗^((𝐶))=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𝐴_(𝑠 ) 𝑓_𝑦𝑑 (ℎ−2 𝑑^′ )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447675</xdr:colOff>
      <xdr:row>31</xdr:row>
      <xdr:rowOff>133349</xdr:rowOff>
    </xdr:from>
    <xdr:ext cx="5048250" cy="695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sellaDiTesto 10"/>
            <xdr:cNvSpPr txBox="1"/>
          </xdr:nvSpPr>
          <xdr:spPr>
            <a:xfrm>
              <a:off x="3552825" y="5867399"/>
              <a:ext cx="5048250" cy="695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it-IT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it-IT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𝑟𝑑</m:t>
                            </m:r>
                          </m:sub>
                        </m:sSub>
                      </m:e>
                      <m:sup>
                        <m: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(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  <m:r>
                          <a:rPr lang="it-IT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sup>
                    </m:sSup>
                    <m:r>
                      <a:rPr lang="it-IT" sz="20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</m:sub>
                    </m:sSub>
                    <m:sSub>
                      <m:sSubPr>
                        <m:ctrlP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𝑦𝑑</m:t>
                        </m:r>
                      </m:sub>
                    </m:sSub>
                    <m:d>
                      <m:dPr>
                        <m:ctrlP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h</m:t>
                        </m:r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−2 </m:t>
                        </m:r>
                        <m:sSup>
                          <m:sSupPr>
                            <m:ctrlPr>
                              <a:rPr lang="it-IT" sz="2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it-IT" sz="2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it-IT" sz="2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′</m:t>
                            </m:r>
                          </m:sup>
                        </m:sSup>
                      </m:e>
                    </m:d>
                    <m:r>
                      <a:rPr lang="it-I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+</m:t>
                    </m:r>
                    <m:f>
                      <m:fPr>
                        <m:ctrlP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  <m:r>
                      <m:rPr>
                        <m:nor/>
                      </m:rPr>
                      <a:rPr lang="it-IT" sz="2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it-I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𝑏</m:t>
                    </m:r>
                    <m:r>
                      <a:rPr lang="it-I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it-I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𝐻</m:t>
                    </m:r>
                    <m:r>
                      <a:rPr lang="it-I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𝑐𝑑</m:t>
                        </m:r>
                      </m:sub>
                    </m:sSub>
                    <m:r>
                      <a:rPr lang="it-IT" sz="2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𝐻</m:t>
                        </m:r>
                      </m:num>
                      <m:den>
                        <m:r>
                          <a:rPr lang="it-IT" sz="2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it-IT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1" name="CasellaDiTesto 10"/>
            <xdr:cNvSpPr txBox="1"/>
          </xdr:nvSpPr>
          <xdr:spPr>
            <a:xfrm>
              <a:off x="3552825" y="5867399"/>
              <a:ext cx="5048250" cy="695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〖𝑀_𝑟𝑑〗^((𝐷))=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𝐴_(𝑠 ) 𝑓_𝑦𝑑 (ℎ−2 𝑑^′ )+1/2 "</a:t>
              </a:r>
              <a:r>
                <a:rPr lang="it-IT" sz="2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 𝑏 𝐻 𝑓_𝑐𝑑   𝐻/4</a:t>
              </a:r>
              <a:endParaRPr lang="it-IT" sz="20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161925</xdr:colOff>
      <xdr:row>35</xdr:row>
      <xdr:rowOff>152400</xdr:rowOff>
    </xdr:from>
    <xdr:ext cx="2981325" cy="4476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asellaDiTesto 11"/>
            <xdr:cNvSpPr txBox="1"/>
          </xdr:nvSpPr>
          <xdr:spPr>
            <a:xfrm>
              <a:off x="3876675" y="6648450"/>
              <a:ext cx="2981325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sSub>
                        <m:sSubPr>
                          <m:ctrlP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𝑀</m:t>
                          </m:r>
                        </m:e>
                        <m:sub>
                          <m:r>
                            <a:rPr lang="it-IT" sz="20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𝑟𝑑</m:t>
                          </m:r>
                        </m:sub>
                      </m:sSub>
                    </m:e>
                    <m:sup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(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</m:t>
                      </m:r>
                      <m:r>
                        <a:rPr lang="it-IT" sz="2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)</m:t>
                      </m:r>
                    </m:sup>
                  </m:sSup>
                  <m:r>
                    <a:rPr lang="it-IT" sz="20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𝐴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𝑠</m:t>
                      </m:r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 </m:t>
                      </m:r>
                    </m:sub>
                  </m:sSub>
                  <m:sSub>
                    <m:sSub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𝑓</m:t>
                      </m:r>
                    </m:e>
                    <m:sub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𝑦𝑑</m:t>
                      </m:r>
                    </m:sub>
                  </m:sSub>
                  <m:d>
                    <m:dPr>
                      <m:ctrlP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h</m:t>
                      </m:r>
                      <m:r>
                        <a:rPr lang="it-IT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−2 </m:t>
                      </m:r>
                      <m:sSup>
                        <m:sSupPr>
                          <m:ctrlPr>
                            <a:rPr lang="it-IT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pPr>
                        <m:e>
                          <m:r>
                            <a:rPr lang="it-IT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𝑑</m:t>
                          </m:r>
                        </m:e>
                        <m:sup>
                          <m:r>
                            <a:rPr lang="it-IT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′</m:t>
                          </m:r>
                        </m:sup>
                      </m:sSup>
                    </m:e>
                  </m:d>
                </m:oMath>
              </a14:m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12" name="CasellaDiTesto 11"/>
            <xdr:cNvSpPr txBox="1"/>
          </xdr:nvSpPr>
          <xdr:spPr>
            <a:xfrm>
              <a:off x="3876675" y="6648450"/>
              <a:ext cx="2981325" cy="4476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〖𝑀_𝑟𝑑〗^((𝐸))=</a:t>
              </a:r>
              <a:r>
                <a:rPr lang="it-IT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𝐴_(𝑠 ) 𝑓_𝑦𝑑 (ℎ−2 𝑑^′ )</a:t>
              </a:r>
              <a:r>
                <a:rPr lang="it-IT" sz="200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ocuments\6.VARIE%20PER%20LA%20PROFESSIONE\PROGRAMMI%20UTILI\PROGETTO%20TRAVE\PROGETTO%20TRAVE%20PRINCIPALE%20CAP7%20+%20SLE-NTC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la\Desktop\NEW%20FILES\dominio%20di%20interazio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ecnico\f\Users\Nicla\Documents\6.VARIE%20PER%20LA%20PROFESSIONE\PROGRAMMI%20UTILI\PROGETTO%20SOLAIO%20BAUSTA\CALCOLO%20SOLAIO%20SLU+S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PROGETTO FLESSIONE E TAGLIO "/>
      <sheetName val="Verifica SLE mezzeria"/>
      <sheetName val="Foglio deposito"/>
      <sheetName val="Foglio1"/>
    </sheetNames>
    <sheetDataSet>
      <sheetData sheetId="0"/>
      <sheetData sheetId="1"/>
      <sheetData sheetId="2"/>
      <sheetData sheetId="3">
        <row r="2">
          <cell r="B2" t="str">
            <v>SI</v>
          </cell>
          <cell r="F2" t="str">
            <v>P,sle carat.</v>
          </cell>
        </row>
        <row r="3">
          <cell r="F3" t="str">
            <v>P,sle freq.</v>
          </cell>
        </row>
        <row r="4">
          <cell r="F4" t="str">
            <v>P,sle quas. Perm</v>
          </cell>
        </row>
        <row r="10">
          <cell r="P10" t="str">
            <v>Fe B450C</v>
          </cell>
        </row>
        <row r="11">
          <cell r="P11" t="str">
            <v>Fe B44k</v>
          </cell>
        </row>
        <row r="141">
          <cell r="E141" t="str">
            <v>σ c,vecchio</v>
          </cell>
          <cell r="F141" t="str">
            <v>σ s,vecchio</v>
          </cell>
        </row>
        <row r="142">
          <cell r="E142" t="str">
            <v>σ c,nuovo</v>
          </cell>
          <cell r="F142" t="str">
            <v>σ s, nuovo</v>
          </cell>
        </row>
      </sheetData>
      <sheetData sheetId="4">
        <row r="4">
          <cell r="K4">
            <v>0</v>
          </cell>
          <cell r="M4">
            <v>0</v>
          </cell>
          <cell r="N4">
            <v>8</v>
          </cell>
        </row>
        <row r="5">
          <cell r="M5">
            <v>1</v>
          </cell>
          <cell r="N5">
            <v>10</v>
          </cell>
        </row>
        <row r="6">
          <cell r="M6">
            <v>2</v>
          </cell>
          <cell r="N6">
            <v>12</v>
          </cell>
        </row>
        <row r="7">
          <cell r="M7">
            <v>3</v>
          </cell>
          <cell r="N7">
            <v>14</v>
          </cell>
        </row>
        <row r="8">
          <cell r="M8">
            <v>4</v>
          </cell>
          <cell r="N8">
            <v>16</v>
          </cell>
        </row>
        <row r="9">
          <cell r="M9">
            <v>5</v>
          </cell>
          <cell r="N9">
            <v>18</v>
          </cell>
        </row>
        <row r="10">
          <cell r="M10">
            <v>6</v>
          </cell>
        </row>
        <row r="19">
          <cell r="S19" t="str">
            <v>Classe di duttilità alta CD"A"</v>
          </cell>
        </row>
        <row r="20">
          <cell r="S20" t="str">
            <v>Classe di duttilità bassa CD"B"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 (19)"/>
      <sheetName val="Foglio2 (18)"/>
      <sheetName val="Foglio2 (17)"/>
      <sheetName val="Foglio2 (16)"/>
      <sheetName val="Foglio2 (15)"/>
      <sheetName val="Foglio2 (14)"/>
      <sheetName val="Foglio2 (13)"/>
      <sheetName val="Foglio2 (12)"/>
      <sheetName val="Foglio2 (11)"/>
      <sheetName val="Foglio2 (10)"/>
      <sheetName val="Foglio2 (9)"/>
      <sheetName val="Foglio2 (8)"/>
      <sheetName val="Foglio2 (7)"/>
      <sheetName val="Foglio2 (6)"/>
      <sheetName val="Foglio2 (5)"/>
      <sheetName val="Foglio2 (4)"/>
      <sheetName val="Foglio2 (3)"/>
      <sheetName val="Foglio2 (2)"/>
      <sheetName val="Foglio2 (20)"/>
      <sheetName val="Foglio2"/>
      <sheetName val="ISTRUZIONI"/>
      <sheetName val="DATI"/>
      <sheetName val="M-χ"/>
      <sheetName val="CERNIERA PLASTICA"/>
      <sheetName val="foglio deposito"/>
      <sheetName val="curvature"/>
      <sheetName val="LEGAMI COSTITUTIVI DI CALCOLO"/>
      <sheetName val="LIMITAZIONI TRAVI NTC08"/>
      <sheetName val="LIMITAZIONE PILASTRI NTC08"/>
      <sheetName val="CONFINAMENTO E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M6">
            <v>0.8306682652325581</v>
          </cell>
        </row>
        <row r="53">
          <cell r="C53">
            <v>2</v>
          </cell>
        </row>
        <row r="54">
          <cell r="C54">
            <v>3</v>
          </cell>
        </row>
        <row r="55">
          <cell r="C55">
            <v>4</v>
          </cell>
        </row>
        <row r="56">
          <cell r="C56">
            <v>5</v>
          </cell>
        </row>
        <row r="57">
          <cell r="C57">
            <v>6</v>
          </cell>
        </row>
        <row r="58">
          <cell r="C58">
            <v>7</v>
          </cell>
        </row>
        <row r="59">
          <cell r="C59">
            <v>8</v>
          </cell>
        </row>
        <row r="60">
          <cell r="C60">
            <v>9</v>
          </cell>
        </row>
        <row r="61">
          <cell r="C61">
            <v>10</v>
          </cell>
        </row>
        <row r="62">
          <cell r="C62">
            <v>11</v>
          </cell>
        </row>
        <row r="63">
          <cell r="C63">
            <v>12</v>
          </cell>
        </row>
        <row r="64">
          <cell r="C64">
            <v>13</v>
          </cell>
        </row>
        <row r="65">
          <cell r="C65">
            <v>14</v>
          </cell>
        </row>
        <row r="66">
          <cell r="C66">
            <v>15</v>
          </cell>
        </row>
        <row r="67">
          <cell r="C67">
            <v>16</v>
          </cell>
        </row>
        <row r="68">
          <cell r="C68">
            <v>17</v>
          </cell>
        </row>
        <row r="69">
          <cell r="C69">
            <v>18</v>
          </cell>
        </row>
        <row r="70">
          <cell r="C70">
            <v>19</v>
          </cell>
        </row>
        <row r="71">
          <cell r="C71">
            <v>20</v>
          </cell>
        </row>
      </sheetData>
      <sheetData sheetId="23"/>
      <sheetData sheetId="24"/>
      <sheetData sheetId="25">
        <row r="3">
          <cell r="G3">
            <v>0</v>
          </cell>
        </row>
      </sheetData>
      <sheetData sheetId="26">
        <row r="30">
          <cell r="N30">
            <v>0.77439604171848631</v>
          </cell>
        </row>
      </sheetData>
      <sheetData sheetId="27"/>
      <sheetData sheetId="28"/>
      <sheetData sheetId="29">
        <row r="8">
          <cell r="F8">
            <v>304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a e caratt (4)"/>
      <sheetName val="Comb. 1 (4)"/>
      <sheetName val="Comb. 2 (4)"/>
      <sheetName val="Comb. 3 (4)"/>
      <sheetName val="Comb. 4 (4)"/>
      <sheetName val="Comb. 5  (4)"/>
      <sheetName val="Comb. 6 (4)"/>
      <sheetName val="Comb. 7 (4)"/>
      <sheetName val="Comb. 8 (4)"/>
      <sheetName val="Comb. 9 (4)"/>
      <sheetName val="Comb. 10 (4)"/>
      <sheetName val="TABULATI (4)"/>
      <sheetName val="Manuale"/>
      <sheetName val="riepilogo carichi"/>
      <sheetName val="Inviluppo taglio (4)"/>
      <sheetName val="Inviluppo momento (4)"/>
      <sheetName val="DATI NASCOSTI"/>
      <sheetName val="1-Definizione Carichi"/>
      <sheetName val="Definizione Carichi (2)"/>
      <sheetName val="Definizione Carichi (3)"/>
      <sheetName val="logica e caratt (3)"/>
      <sheetName val="Definizione Carichi (4)"/>
      <sheetName val="OUTPUT SOLLECITAZIONE"/>
      <sheetName val="Comb. 1 (3)"/>
      <sheetName val="Comb. 2 (3)"/>
      <sheetName val="Comb. 3 (3)"/>
      <sheetName val="Comb. 4 (3)"/>
      <sheetName val="Comb. 5  (3)"/>
      <sheetName val="Comb. 6 (3)"/>
      <sheetName val="Comb. 7 (3)"/>
      <sheetName val="Comb. 8 (3)"/>
      <sheetName val="Comb. 9 (3)"/>
      <sheetName val="Comb. 10 (3)"/>
      <sheetName val="TABULATI (3)"/>
      <sheetName val="M TRASLATO"/>
      <sheetName val="2-Progetto Solaio"/>
      <sheetName val="INPUT SOLLEC. ARMATURE"/>
      <sheetName val="Diagramma Mrd"/>
      <sheetName val="DATI NASCOSTI ARMATURA"/>
      <sheetName val="OUTPUT PROGETTO SOLAIO"/>
      <sheetName val="Sollecitazioni SLE"/>
      <sheetName val="OUTPUT VERIFICHE SLE"/>
      <sheetName val="Verifiche COMB RARA"/>
      <sheetName val="Verifiche COMB FREQ"/>
      <sheetName val="Verifiche COMB QUAS PERM"/>
      <sheetName val="M TRASLATO (2)"/>
      <sheetName val="M TRASLATO (3)"/>
      <sheetName val="Inviluppo taglio (3)"/>
      <sheetName val="Inviluppo momento (3)"/>
      <sheetName val="logica e caratt (2)"/>
      <sheetName val="Comb. 1 (2)"/>
      <sheetName val="Comb. 2 (2)"/>
      <sheetName val="Comb. 3 (2)"/>
      <sheetName val="Comb. 4 (2)"/>
      <sheetName val="Comb. 5  (2)"/>
      <sheetName val="Comb. 6 (2)"/>
      <sheetName val="Comb. 7 (2)"/>
      <sheetName val="Comb. 8 (2)"/>
      <sheetName val="Comb. 9 (2)"/>
      <sheetName val="Comb. 10 (2)"/>
      <sheetName val="TABULATI (2)"/>
      <sheetName val="Inviluppo taglio (2)"/>
      <sheetName val="Inviluppo momento (2)"/>
      <sheetName val="M TRASLATO (4)"/>
      <sheetName val="logica e caratt"/>
      <sheetName val="Comb. 1"/>
      <sheetName val="Comb. 2"/>
      <sheetName val="Comb. 3"/>
      <sheetName val="Comb. 4"/>
      <sheetName val="Comb. 5 "/>
      <sheetName val="Comb. 6"/>
      <sheetName val="Comb. 7"/>
      <sheetName val="Comb. 8"/>
      <sheetName val="Comb. 9"/>
      <sheetName val="Comb. 10"/>
      <sheetName val="TABULATI"/>
      <sheetName val="Inviluppo taglio"/>
      <sheetName val="Inviluppo mo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5">
          <cell r="B105" t="str">
            <v>si</v>
          </cell>
          <cell r="C105">
            <v>0.2</v>
          </cell>
        </row>
        <row r="106">
          <cell r="C106">
            <v>0.3</v>
          </cell>
        </row>
        <row r="107">
          <cell r="C107">
            <v>0.4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showGridLines="0" showRowColHeaders="0" tabSelected="1" workbookViewId="0">
      <selection activeCell="J13" sqref="J13:L13"/>
    </sheetView>
  </sheetViews>
  <sheetFormatPr defaultRowHeight="15" x14ac:dyDescent="0.25"/>
  <cols>
    <col min="1" max="1" width="4.140625" customWidth="1"/>
  </cols>
  <sheetData>
    <row r="1" spans="1:14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5.75" x14ac:dyDescent="0.25">
      <c r="A5" s="20"/>
      <c r="B5" s="138" t="s">
        <v>80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5.75" x14ac:dyDescent="0.25">
      <c r="A6" s="20"/>
      <c r="B6" s="138" t="s">
        <v>81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.75" x14ac:dyDescent="0.25">
      <c r="A7" s="20"/>
      <c r="B7" s="138" t="s">
        <v>82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.75" x14ac:dyDescent="0.25">
      <c r="A8" s="20"/>
      <c r="B8" s="138" t="s">
        <v>92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15.75" x14ac:dyDescent="0.25">
      <c r="A10" s="20"/>
      <c r="B10" s="304" t="s">
        <v>279</v>
      </c>
      <c r="C10" s="304"/>
      <c r="D10" s="304"/>
      <c r="E10" s="20"/>
      <c r="F10" s="20"/>
      <c r="G10" s="20"/>
      <c r="K10" s="20"/>
      <c r="L10" s="20"/>
      <c r="M10" s="20"/>
      <c r="N10" s="20"/>
    </row>
    <row r="11" spans="1:14" x14ac:dyDescent="0.25">
      <c r="A11" s="20"/>
      <c r="B11" s="305" t="s">
        <v>96</v>
      </c>
      <c r="C11" s="305"/>
      <c r="D11" s="305"/>
      <c r="E11" s="20"/>
      <c r="F11" s="20"/>
      <c r="G11" s="20"/>
      <c r="J11" s="301" t="s">
        <v>83</v>
      </c>
      <c r="K11" s="301"/>
      <c r="L11" s="301"/>
      <c r="M11" s="20"/>
      <c r="N11" s="20"/>
    </row>
    <row r="12" spans="1:14" x14ac:dyDescent="0.25">
      <c r="A12" s="20"/>
      <c r="B12" s="20"/>
      <c r="C12" s="20"/>
      <c r="D12" s="20"/>
      <c r="E12" s="20"/>
      <c r="F12" s="20"/>
      <c r="G12" s="20"/>
      <c r="J12" s="20"/>
      <c r="K12" s="20"/>
      <c r="L12" s="20"/>
      <c r="M12" s="20"/>
      <c r="N12" s="20"/>
    </row>
    <row r="13" spans="1:14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302" t="s">
        <v>96</v>
      </c>
      <c r="K13" s="303"/>
      <c r="L13" s="303"/>
      <c r="M13" s="20"/>
      <c r="N13" s="20"/>
    </row>
    <row r="14" spans="1:14" x14ac:dyDescent="0.25">
      <c r="A14" s="20"/>
      <c r="B14" s="20"/>
      <c r="C14" s="20"/>
      <c r="D14" s="20"/>
      <c r="E14" s="20"/>
      <c r="F14" s="20"/>
      <c r="G14" s="20"/>
      <c r="H14" s="20"/>
      <c r="I14" s="20"/>
      <c r="M14" s="20"/>
      <c r="N14" s="20"/>
    </row>
    <row r="15" spans="1:14" x14ac:dyDescent="0.25">
      <c r="A15" s="20"/>
      <c r="B15" s="20"/>
      <c r="C15" s="20"/>
      <c r="D15" s="20"/>
      <c r="E15" s="20"/>
      <c r="F15" s="20"/>
      <c r="G15" s="20"/>
      <c r="H15" s="20"/>
      <c r="I15" s="20"/>
      <c r="M15" s="20"/>
      <c r="N15" s="20"/>
    </row>
    <row r="16" spans="1:14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4" x14ac:dyDescent="0.25">
      <c r="A18" s="20"/>
      <c r="B18" s="20"/>
      <c r="C18" s="20"/>
      <c r="D18" s="20"/>
      <c r="E18" s="20"/>
      <c r="F18" s="20"/>
      <c r="G18" s="20"/>
      <c r="H18" s="20"/>
      <c r="I18" s="20"/>
      <c r="M18" s="20"/>
      <c r="N18" s="20"/>
    </row>
  </sheetData>
  <sheetProtection password="C2CA" sheet="1" objects="1" scenarios="1" selectLockedCells="1"/>
  <mergeCells count="4">
    <mergeCell ref="J11:L11"/>
    <mergeCell ref="J13:L13"/>
    <mergeCell ref="B10:D10"/>
    <mergeCell ref="B11:D11"/>
  </mergeCells>
  <hyperlinks>
    <hyperlink ref="J13" r:id="rId1"/>
    <hyperlink ref="B11" r:id="rId2"/>
  </hyperlinks>
  <pageMargins left="0.7" right="0.7" top="0.75" bottom="0.75" header="0.3" footer="0.3"/>
  <pageSetup paperSize="9" orientation="portrait" verticalDpi="3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5" sqref="Q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showGridLines="0" showRowColHeaders="0" zoomScaleNormal="100" workbookViewId="0">
      <selection activeCell="B20" sqref="B20"/>
    </sheetView>
  </sheetViews>
  <sheetFormatPr defaultRowHeight="15" x14ac:dyDescent="0.25"/>
  <cols>
    <col min="5" max="5" width="10" bestFit="1" customWidth="1"/>
  </cols>
  <sheetData>
    <row r="2" spans="1:6" ht="23.25" x14ac:dyDescent="0.35">
      <c r="A2" s="354" t="s">
        <v>75</v>
      </c>
      <c r="B2" s="354"/>
      <c r="C2" s="354"/>
      <c r="D2" s="354"/>
      <c r="E2" s="354"/>
      <c r="F2" s="355"/>
    </row>
    <row r="3" spans="1:6" ht="15.75" x14ac:dyDescent="0.25">
      <c r="A3" s="353" t="s">
        <v>76</v>
      </c>
      <c r="B3" s="353"/>
      <c r="C3" s="353"/>
      <c r="D3" s="353"/>
      <c r="E3" s="353"/>
      <c r="F3" s="353"/>
    </row>
    <row r="5" spans="1:6" x14ac:dyDescent="0.25">
      <c r="A5" t="s">
        <v>66</v>
      </c>
      <c r="B5" s="12">
        <f>-(('DATI nascosti 1'!$P$11*'DATI nascosti 1'!$L$14)+('DATI nascosti 1'!$P$12*'DATI nascosti 1'!$L$14))/10^3</f>
        <v>-1229.31886444818</v>
      </c>
      <c r="C5" t="s">
        <v>67</v>
      </c>
      <c r="D5" s="12">
        <v>0</v>
      </c>
      <c r="E5" t="s">
        <v>67</v>
      </c>
      <c r="F5" s="12">
        <f>-D5</f>
        <v>0</v>
      </c>
    </row>
    <row r="6" spans="1:6" x14ac:dyDescent="0.25">
      <c r="A6" t="s">
        <v>69</v>
      </c>
      <c r="B6" s="12">
        <v>0</v>
      </c>
      <c r="C6" t="s">
        <v>70</v>
      </c>
      <c r="D6" s="12">
        <f>('DATI nascosti 1'!$P$11*'DATI nascosti 1'!$L$14*('DATI nascosti 1'!$C$8-2*'DATI nascosti 1'!$C$10))/10^6</f>
        <v>682.27196976873984</v>
      </c>
      <c r="E6" t="s">
        <v>70</v>
      </c>
      <c r="F6" s="12">
        <f>-D6</f>
        <v>-682.27196976873984</v>
      </c>
    </row>
    <row r="7" spans="1:6" x14ac:dyDescent="0.25">
      <c r="A7" t="s">
        <v>73</v>
      </c>
      <c r="B7" s="12">
        <f>B8/2</f>
        <v>2158.8299999999995</v>
      </c>
      <c r="C7" t="s">
        <v>74</v>
      </c>
      <c r="D7" s="12">
        <f>D8+(B7*'DATI nascosti 1'!C8/4)/10^3</f>
        <v>1329.9209697687397</v>
      </c>
      <c r="E7" t="s">
        <v>74</v>
      </c>
      <c r="F7" s="12">
        <f>-D7</f>
        <v>-1329.9209697687397</v>
      </c>
    </row>
    <row r="8" spans="1:6" x14ac:dyDescent="0.25">
      <c r="A8" t="s">
        <v>71</v>
      </c>
      <c r="B8" s="12">
        <f>('DATI nascosti 1'!$C$6*'DATI nascosti 1'!$C$8*'DATI nascosti 1'!$H$10*'DATI nascosti 1'!$H$16)/1000</f>
        <v>4317.6599999999989</v>
      </c>
      <c r="C8" t="s">
        <v>72</v>
      </c>
      <c r="D8" s="12">
        <f>('DATI nascosti 1'!$P$11*'DATI nascosti 1'!$L$14*('DATI nascosti 1'!$C$8-2*'DATI nascosti 1'!$C$10))/10^6</f>
        <v>682.27196976873984</v>
      </c>
      <c r="E8" t="s">
        <v>72</v>
      </c>
      <c r="F8" s="12">
        <f>-D8</f>
        <v>-682.27196976873984</v>
      </c>
    </row>
    <row r="9" spans="1:6" x14ac:dyDescent="0.25">
      <c r="A9" t="s">
        <v>65</v>
      </c>
      <c r="B9" s="12">
        <f>-B5+('DATI nascosti 1'!C6*'DATI nascosti 1'!C8*'DATI nascosti 1'!H10*'DATI nascosti 1'!H16)/10^3</f>
        <v>5546.9788644481787</v>
      </c>
      <c r="C9" t="s">
        <v>68</v>
      </c>
      <c r="D9" s="12">
        <v>0</v>
      </c>
      <c r="E9" t="s">
        <v>68</v>
      </c>
      <c r="F9" s="12">
        <f>-D9</f>
        <v>0</v>
      </c>
    </row>
    <row r="12" spans="1:6" ht="18.75" x14ac:dyDescent="0.25">
      <c r="A12" s="356" t="s">
        <v>77</v>
      </c>
      <c r="B12" s="357"/>
      <c r="C12" s="357"/>
      <c r="D12" s="357"/>
      <c r="E12" s="357"/>
      <c r="F12" s="358"/>
    </row>
    <row r="13" spans="1:6" ht="18.75" x14ac:dyDescent="0.25">
      <c r="A13" s="356" t="s">
        <v>78</v>
      </c>
      <c r="B13" s="357"/>
      <c r="C13" s="357"/>
      <c r="D13" s="357"/>
      <c r="E13" s="357"/>
      <c r="F13" s="358"/>
    </row>
    <row r="15" spans="1:6" ht="15" customHeight="1" x14ac:dyDescent="0.25">
      <c r="B15" s="359" t="s">
        <v>286</v>
      </c>
      <c r="C15" s="359"/>
      <c r="D15" s="359"/>
      <c r="E15" s="359"/>
    </row>
    <row r="16" spans="1:6" ht="15" customHeight="1" x14ac:dyDescent="0.25">
      <c r="B16" s="359"/>
      <c r="C16" s="359"/>
      <c r="D16" s="359"/>
      <c r="E16" s="359"/>
    </row>
    <row r="17" spans="2:5" ht="15" customHeight="1" x14ac:dyDescent="0.25">
      <c r="B17" s="359"/>
      <c r="C17" s="359"/>
      <c r="D17" s="359"/>
      <c r="E17" s="359"/>
    </row>
    <row r="18" spans="2:5" ht="15" customHeight="1" x14ac:dyDescent="0.25">
      <c r="B18" s="359"/>
      <c r="C18" s="359"/>
      <c r="D18" s="359"/>
      <c r="E18" s="359"/>
    </row>
    <row r="19" spans="2:5" x14ac:dyDescent="0.25">
      <c r="B19" s="359"/>
      <c r="C19" s="359"/>
      <c r="D19" s="359"/>
      <c r="E19" s="359"/>
    </row>
    <row r="22" spans="2:5" ht="21" x14ac:dyDescent="0.35">
      <c r="B22" s="134" t="s">
        <v>87</v>
      </c>
    </row>
  </sheetData>
  <sheetProtection password="C2CA" sheet="1" objects="1" scenarios="1" selectLockedCells="1" selectUnlockedCells="1"/>
  <mergeCells count="5">
    <mergeCell ref="A3:F3"/>
    <mergeCell ref="A2:F2"/>
    <mergeCell ref="A12:F12"/>
    <mergeCell ref="A13:F13"/>
    <mergeCell ref="B15:E19"/>
  </mergeCells>
  <pageMargins left="0.7" right="0.7" top="0.75" bottom="0.75" header="0.3" footer="0.3"/>
  <pageSetup paperSize="9" orientation="portrait" r:id="rId1"/>
  <ignoredErrors>
    <ignoredError sqref="D7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59"/>
  <sheetViews>
    <sheetView workbookViewId="0">
      <selection activeCell="K16" sqref="K16"/>
    </sheetView>
  </sheetViews>
  <sheetFormatPr defaultRowHeight="15" x14ac:dyDescent="0.25"/>
  <cols>
    <col min="4" max="4" width="16.5703125" customWidth="1"/>
    <col min="5" max="5" width="17.28515625" customWidth="1"/>
  </cols>
  <sheetData>
    <row r="2" spans="3:8" ht="21" x14ac:dyDescent="0.25">
      <c r="C2" s="66" t="s">
        <v>52</v>
      </c>
      <c r="F2" s="66" t="s">
        <v>86</v>
      </c>
      <c r="G2" s="66" t="s">
        <v>62</v>
      </c>
      <c r="H2" s="66" t="s">
        <v>31</v>
      </c>
    </row>
    <row r="3" spans="3:8" ht="18.75" x14ac:dyDescent="0.25">
      <c r="C3" s="70">
        <f>-1*TABULATI!S2</f>
        <v>0</v>
      </c>
      <c r="F3" s="69">
        <f>-TABULATI!O2/10^6</f>
        <v>0</v>
      </c>
      <c r="G3" s="69">
        <f>(TABULATI!K2+TABULATI!M2)/10^3</f>
        <v>1229.31886444818</v>
      </c>
      <c r="H3" s="74">
        <f>TABULATI!T2/'DATI nascosti 1'!$C$13</f>
        <v>0</v>
      </c>
    </row>
    <row r="4" spans="3:8" ht="18.75" x14ac:dyDescent="0.25">
      <c r="C4" s="70">
        <f>-1*TABULATI!S3</f>
        <v>0</v>
      </c>
      <c r="F4" s="69">
        <f>-TABULATI!O3/10^6</f>
        <v>0</v>
      </c>
      <c r="G4" s="69">
        <f>(TABULATI!K3+TABULATI!M3)/10^3</f>
        <v>1229.31886444818</v>
      </c>
      <c r="H4" s="74">
        <f>TABULATI!T3/'DATI nascosti 1'!$C$13</f>
        <v>0</v>
      </c>
    </row>
    <row r="5" spans="3:8" ht="18.75" x14ac:dyDescent="0.25">
      <c r="C5" s="70">
        <f>-1*TABULATI!S4</f>
        <v>0</v>
      </c>
      <c r="F5" s="69">
        <f>-TABULATI!O4/10^6</f>
        <v>0</v>
      </c>
      <c r="G5" s="69">
        <f>(TABULATI!K4+TABULATI!M4)/10^3</f>
        <v>1229.31886444818</v>
      </c>
      <c r="H5" s="74">
        <f>TABULATI!T4/'DATI nascosti 1'!$C$13</f>
        <v>0</v>
      </c>
    </row>
    <row r="6" spans="3:8" ht="18.75" x14ac:dyDescent="0.25">
      <c r="C6" s="70">
        <f>-1*TABULATI!S5</f>
        <v>0</v>
      </c>
      <c r="F6" s="69">
        <f>-TABULATI!O5/10^6</f>
        <v>0</v>
      </c>
      <c r="G6" s="69">
        <f>(TABULATI!K5+TABULATI!M5)/10^3</f>
        <v>1229.31886444818</v>
      </c>
      <c r="H6" s="74">
        <f>TABULATI!T5/'DATI nascosti 1'!$C$13</f>
        <v>0</v>
      </c>
    </row>
    <row r="7" spans="3:8" ht="18.75" x14ac:dyDescent="0.25">
      <c r="C7" s="70">
        <f>-1*TABULATI!S6</f>
        <v>0</v>
      </c>
      <c r="F7" s="69">
        <f>-TABULATI!O6/10^6</f>
        <v>0</v>
      </c>
      <c r="G7" s="69">
        <f>(TABULATI!K6+TABULATI!M6)/10^3</f>
        <v>1229.31886444818</v>
      </c>
      <c r="H7" s="74">
        <f>TABULATI!T6/'DATI nascosti 1'!$C$13</f>
        <v>0</v>
      </c>
    </row>
    <row r="8" spans="3:8" ht="18.75" x14ac:dyDescent="0.25">
      <c r="C8" s="70">
        <f>-1*TABULATI!S7</f>
        <v>0</v>
      </c>
      <c r="F8" s="69">
        <f>-TABULATI!O7/10^6</f>
        <v>0</v>
      </c>
      <c r="G8" s="69">
        <f>(TABULATI!K7+TABULATI!M7)/10^3</f>
        <v>1229.31886444818</v>
      </c>
      <c r="H8" s="74">
        <f>TABULATI!T7/'DATI nascosti 1'!$C$13</f>
        <v>0</v>
      </c>
    </row>
    <row r="9" spans="3:8" ht="18.75" x14ac:dyDescent="0.25">
      <c r="C9" s="70">
        <f>-1*TABULATI!S8</f>
        <v>0</v>
      </c>
      <c r="F9" s="69">
        <f>-TABULATI!O8/10^6</f>
        <v>0</v>
      </c>
      <c r="G9" s="69">
        <f>(TABULATI!K8+TABULATI!M8)/10^3</f>
        <v>1229.31886444818</v>
      </c>
      <c r="H9" s="74">
        <f>TABULATI!T8/'DATI nascosti 1'!$C$13</f>
        <v>0</v>
      </c>
    </row>
    <row r="10" spans="3:8" ht="18.75" x14ac:dyDescent="0.25">
      <c r="C10" s="70">
        <f>-1*TABULATI!S9</f>
        <v>0</v>
      </c>
      <c r="F10" s="69">
        <f>-TABULATI!O9/10^6</f>
        <v>0</v>
      </c>
      <c r="G10" s="69">
        <f>(TABULATI!K9+TABULATI!M9)/10^3</f>
        <v>1229.31886444818</v>
      </c>
      <c r="H10" s="74">
        <f>TABULATI!T9/'DATI nascosti 1'!$C$13</f>
        <v>0</v>
      </c>
    </row>
    <row r="11" spans="3:8" ht="18.75" x14ac:dyDescent="0.25">
      <c r="C11" s="70">
        <f>-1*TABULATI!S10</f>
        <v>0</v>
      </c>
      <c r="F11" s="69">
        <f>-TABULATI!O10/10^6</f>
        <v>0</v>
      </c>
      <c r="G11" s="69">
        <f>(TABULATI!K10+TABULATI!M10)/10^3</f>
        <v>1229.31886444818</v>
      </c>
      <c r="H11" s="74">
        <f>TABULATI!T10/'DATI nascosti 1'!$C$13</f>
        <v>0</v>
      </c>
    </row>
    <row r="12" spans="3:8" ht="18.75" x14ac:dyDescent="0.25">
      <c r="C12" s="70">
        <f>-1*TABULATI!S11</f>
        <v>0</v>
      </c>
      <c r="F12" s="69">
        <f>-TABULATI!O11/10^6</f>
        <v>0</v>
      </c>
      <c r="G12" s="69">
        <f>(TABULATI!K11+TABULATI!M11)/10^3</f>
        <v>1229.31886444818</v>
      </c>
      <c r="H12" s="74">
        <f>TABULATI!T11/'DATI nascosti 1'!$C$13</f>
        <v>0</v>
      </c>
    </row>
    <row r="13" spans="3:8" ht="18.75" x14ac:dyDescent="0.25">
      <c r="C13" s="70">
        <f>-1*TABULATI!S12</f>
        <v>0</v>
      </c>
      <c r="F13" s="69">
        <f>-TABULATI!O12/10^6</f>
        <v>0</v>
      </c>
      <c r="G13" s="69">
        <f>(TABULATI!K12+TABULATI!M12)/10^3</f>
        <v>1229.31886444818</v>
      </c>
      <c r="H13" s="74">
        <f>TABULATI!T12/'DATI nascosti 1'!$C$13</f>
        <v>0</v>
      </c>
    </row>
    <row r="14" spans="3:8" ht="18.75" x14ac:dyDescent="0.25">
      <c r="C14" s="70">
        <f>-1*TABULATI!S13</f>
        <v>0</v>
      </c>
      <c r="F14" s="69">
        <f>-TABULATI!O13/10^6</f>
        <v>0</v>
      </c>
      <c r="G14" s="69">
        <f>(TABULATI!K13+TABULATI!M13)/10^3</f>
        <v>1229.31886444818</v>
      </c>
      <c r="H14" s="74">
        <f>TABULATI!T13/'DATI nascosti 1'!$C$13</f>
        <v>0</v>
      </c>
    </row>
    <row r="15" spans="3:8" ht="18.75" x14ac:dyDescent="0.25">
      <c r="C15" s="70">
        <f>-1*TABULATI!S14</f>
        <v>0</v>
      </c>
      <c r="F15" s="69">
        <f>-TABULATI!O14/10^6</f>
        <v>0</v>
      </c>
      <c r="G15" s="69">
        <f>(TABULATI!K14+TABULATI!M14)/10^3</f>
        <v>1229.31886444818</v>
      </c>
      <c r="H15" s="74">
        <f>TABULATI!T14/'DATI nascosti 1'!$C$13</f>
        <v>0</v>
      </c>
    </row>
    <row r="16" spans="3:8" ht="18.75" x14ac:dyDescent="0.25">
      <c r="C16" s="70">
        <f>-1*TABULATI!S15</f>
        <v>0</v>
      </c>
      <c r="F16" s="69">
        <f>-TABULATI!O15/10^6</f>
        <v>0</v>
      </c>
      <c r="G16" s="69">
        <f>(TABULATI!K15+TABULATI!M15)/10^3</f>
        <v>1229.31886444818</v>
      </c>
      <c r="H16" s="74">
        <f>TABULATI!T15/'DATI nascosti 1'!$C$13</f>
        <v>0</v>
      </c>
    </row>
    <row r="17" spans="3:8" ht="18.75" x14ac:dyDescent="0.25">
      <c r="C17" s="70">
        <f>-1*TABULATI!S16</f>
        <v>0</v>
      </c>
      <c r="F17" s="69">
        <f>-TABULATI!O16/10^6</f>
        <v>0</v>
      </c>
      <c r="G17" s="69">
        <f>(TABULATI!K16+TABULATI!M16)/10^3</f>
        <v>1229.31886444818</v>
      </c>
      <c r="H17" s="74">
        <f>TABULATI!T16/'DATI nascosti 1'!$C$13</f>
        <v>0</v>
      </c>
    </row>
    <row r="18" spans="3:8" ht="18.75" x14ac:dyDescent="0.25">
      <c r="C18" s="70">
        <f>-1*TABULATI!S17</f>
        <v>0</v>
      </c>
      <c r="F18" s="69">
        <f>-TABULATI!O17/10^6</f>
        <v>0</v>
      </c>
      <c r="G18" s="69">
        <f>(TABULATI!K17+TABULATI!M17)/10^3</f>
        <v>1229.31886444818</v>
      </c>
      <c r="H18" s="74">
        <f>TABULATI!T17/'DATI nascosti 1'!$C$13</f>
        <v>0</v>
      </c>
    </row>
    <row r="19" spans="3:8" ht="18.75" x14ac:dyDescent="0.25">
      <c r="C19" s="70">
        <f>-1*TABULATI!S18</f>
        <v>0</v>
      </c>
      <c r="F19" s="69">
        <f>-TABULATI!O18/10^6</f>
        <v>0</v>
      </c>
      <c r="G19" s="69">
        <f>(TABULATI!K18+TABULATI!M18)/10^3</f>
        <v>1229.31886444818</v>
      </c>
      <c r="H19" s="74">
        <f>TABULATI!T18/'DATI nascosti 1'!$C$13</f>
        <v>0</v>
      </c>
    </row>
    <row r="20" spans="3:8" ht="18.75" x14ac:dyDescent="0.25">
      <c r="C20" s="70">
        <f>-1*TABULATI!S19</f>
        <v>0</v>
      </c>
      <c r="F20" s="69">
        <f>-TABULATI!O19/10^6</f>
        <v>0</v>
      </c>
      <c r="G20" s="69">
        <f>(TABULATI!K19+TABULATI!M19)/10^3</f>
        <v>1229.31886444818</v>
      </c>
      <c r="H20" s="74">
        <f>TABULATI!T19/'DATI nascosti 1'!$C$13</f>
        <v>0</v>
      </c>
    </row>
    <row r="21" spans="3:8" ht="18.75" x14ac:dyDescent="0.25">
      <c r="C21" s="70">
        <f>-1*TABULATI!S20</f>
        <v>0</v>
      </c>
      <c r="F21" s="69">
        <f>-TABULATI!O20/10^6</f>
        <v>0</v>
      </c>
      <c r="G21" s="69">
        <f>(TABULATI!K20+TABULATI!M20)/10^3</f>
        <v>1229.31886444818</v>
      </c>
      <c r="H21" s="74">
        <f>TABULATI!T20/'DATI nascosti 1'!$C$13</f>
        <v>0</v>
      </c>
    </row>
    <row r="22" spans="3:8" ht="18.75" x14ac:dyDescent="0.25">
      <c r="C22" s="70">
        <f>-1*TABULATI!S21</f>
        <v>0</v>
      </c>
      <c r="F22" s="69">
        <f>-TABULATI!O21/10^6</f>
        <v>0</v>
      </c>
      <c r="G22" s="69">
        <f>(TABULATI!K21+TABULATI!M21)/10^3</f>
        <v>1229.31886444818</v>
      </c>
      <c r="H22" s="74">
        <f>TABULATI!T21/'DATI nascosti 1'!$C$13</f>
        <v>0</v>
      </c>
    </row>
    <row r="23" spans="3:8" ht="18.75" x14ac:dyDescent="0.25">
      <c r="C23" s="70">
        <f>-1*TABULATI!S22</f>
        <v>0</v>
      </c>
      <c r="F23" s="69">
        <f>-TABULATI!O22/10^6</f>
        <v>0</v>
      </c>
      <c r="G23" s="69">
        <f>(TABULATI!K22+TABULATI!M22)/10^3</f>
        <v>1229.31886444818</v>
      </c>
      <c r="H23" s="74">
        <f>TABULATI!T22/'DATI nascosti 1'!$C$13</f>
        <v>0</v>
      </c>
    </row>
    <row r="24" spans="3:8" ht="18.75" x14ac:dyDescent="0.25">
      <c r="C24" s="70">
        <f>-1*TABULATI!S23</f>
        <v>0</v>
      </c>
      <c r="F24" s="69">
        <f>-TABULATI!O23/10^6</f>
        <v>0</v>
      </c>
      <c r="G24" s="69">
        <f>(TABULATI!K23+TABULATI!M23)/10^3</f>
        <v>1229.31886444818</v>
      </c>
      <c r="H24" s="74">
        <f>TABULATI!T23/'DATI nascosti 1'!$C$13</f>
        <v>0</v>
      </c>
    </row>
    <row r="25" spans="3:8" ht="18.75" x14ac:dyDescent="0.25">
      <c r="C25" s="70">
        <f>-1*TABULATI!S24</f>
        <v>0</v>
      </c>
      <c r="F25" s="69">
        <f>-TABULATI!O24/10^6</f>
        <v>0</v>
      </c>
      <c r="G25" s="69">
        <f>(TABULATI!K24+TABULATI!M24)/10^3</f>
        <v>1229.31886444818</v>
      </c>
      <c r="H25" s="74">
        <f>TABULATI!T24/'DATI nascosti 1'!$C$13</f>
        <v>0</v>
      </c>
    </row>
    <row r="26" spans="3:8" ht="18.75" x14ac:dyDescent="0.25">
      <c r="C26" s="70">
        <f>-1*TABULATI!S25</f>
        <v>0</v>
      </c>
      <c r="F26" s="69">
        <f>-TABULATI!O25/10^6</f>
        <v>0</v>
      </c>
      <c r="G26" s="69">
        <f>(TABULATI!K25+TABULATI!M25)/10^3</f>
        <v>1229.31886444818</v>
      </c>
      <c r="H26" s="74">
        <f>TABULATI!T25/'DATI nascosti 1'!$C$13</f>
        <v>0</v>
      </c>
    </row>
    <row r="27" spans="3:8" ht="18.75" x14ac:dyDescent="0.25">
      <c r="C27" s="70">
        <f>-1*TABULATI!S26</f>
        <v>0</v>
      </c>
      <c r="F27" s="69">
        <f>-TABULATI!O26/10^6</f>
        <v>0</v>
      </c>
      <c r="G27" s="69">
        <f>(TABULATI!K26+TABULATI!M26)/10^3</f>
        <v>1229.31886444818</v>
      </c>
      <c r="H27" s="74">
        <f>TABULATI!T26/'DATI nascosti 1'!$C$13</f>
        <v>0</v>
      </c>
    </row>
    <row r="28" spans="3:8" ht="18.75" x14ac:dyDescent="0.25">
      <c r="C28" s="70">
        <f>-1*TABULATI!S27</f>
        <v>0</v>
      </c>
      <c r="F28" s="69">
        <f>-TABULATI!O27/10^6</f>
        <v>0</v>
      </c>
      <c r="G28" s="69">
        <f>(TABULATI!K27+TABULATI!M27)/10^3</f>
        <v>1229.31886444818</v>
      </c>
      <c r="H28" s="74">
        <f>TABULATI!T27/'DATI nascosti 1'!$C$13</f>
        <v>0</v>
      </c>
    </row>
    <row r="29" spans="3:8" ht="18.75" x14ac:dyDescent="0.25">
      <c r="C29" s="70">
        <f>-1*TABULATI!S28</f>
        <v>0</v>
      </c>
      <c r="F29" s="69">
        <f>-TABULATI!O28/10^6</f>
        <v>0</v>
      </c>
      <c r="G29" s="69">
        <f>(TABULATI!K28+TABULATI!M28)/10^3</f>
        <v>1229.31886444818</v>
      </c>
      <c r="H29" s="74">
        <f>TABULATI!T28/'DATI nascosti 1'!$C$13</f>
        <v>0</v>
      </c>
    </row>
    <row r="30" spans="3:8" ht="18.75" x14ac:dyDescent="0.25">
      <c r="C30" s="70">
        <f>-1*TABULATI!S29</f>
        <v>0</v>
      </c>
      <c r="F30" s="69">
        <f>-TABULATI!O29/10^6</f>
        <v>0</v>
      </c>
      <c r="G30" s="69">
        <f>(TABULATI!K29+TABULATI!M29)/10^3</f>
        <v>1229.31886444818</v>
      </c>
      <c r="H30" s="74">
        <f>TABULATI!T29/'DATI nascosti 1'!$C$13</f>
        <v>0</v>
      </c>
    </row>
    <row r="31" spans="3:8" ht="18.75" x14ac:dyDescent="0.25">
      <c r="C31" s="70">
        <f>-1*TABULATI!S30</f>
        <v>0</v>
      </c>
      <c r="F31" s="69">
        <f>-TABULATI!O30/10^6</f>
        <v>0</v>
      </c>
      <c r="G31" s="69">
        <f>(TABULATI!K30+TABULATI!M30)/10^3</f>
        <v>1229.31886444818</v>
      </c>
      <c r="H31" s="74">
        <f>TABULATI!T30/'DATI nascosti 1'!$C$13</f>
        <v>0</v>
      </c>
    </row>
    <row r="32" spans="3:8" ht="18.75" x14ac:dyDescent="0.25">
      <c r="C32" s="70">
        <f>-1*TABULATI!S31</f>
        <v>0</v>
      </c>
      <c r="F32" s="69">
        <f>-TABULATI!O31/10^6</f>
        <v>0</v>
      </c>
      <c r="G32" s="69">
        <f>(TABULATI!K31+TABULATI!M31)/10^3</f>
        <v>1229.31886444818</v>
      </c>
      <c r="H32" s="74">
        <f>TABULATI!T31/'DATI nascosti 1'!$C$13</f>
        <v>0</v>
      </c>
    </row>
    <row r="33" spans="3:8" ht="18.75" x14ac:dyDescent="0.25">
      <c r="C33" s="70">
        <f>-1*TABULATI!S32</f>
        <v>0</v>
      </c>
      <c r="F33" s="69">
        <f>-TABULATI!O32/10^6</f>
        <v>0</v>
      </c>
      <c r="G33" s="69">
        <f>(TABULATI!K32+TABULATI!M32)/10^3</f>
        <v>1229.31886444818</v>
      </c>
      <c r="H33" s="74">
        <f>TABULATI!T32/'DATI nascosti 1'!$C$13</f>
        <v>0</v>
      </c>
    </row>
    <row r="34" spans="3:8" ht="18.75" x14ac:dyDescent="0.25">
      <c r="C34" s="70">
        <f>-1*TABULATI!S33</f>
        <v>0</v>
      </c>
      <c r="F34" s="69">
        <f>-TABULATI!O33/10^6</f>
        <v>0</v>
      </c>
      <c r="G34" s="69">
        <f>(TABULATI!K33+TABULATI!M33)/10^3</f>
        <v>1229.31886444818</v>
      </c>
      <c r="H34" s="74">
        <f>TABULATI!T33/'DATI nascosti 1'!$C$13</f>
        <v>0</v>
      </c>
    </row>
    <row r="35" spans="3:8" ht="18.75" x14ac:dyDescent="0.25">
      <c r="C35" s="70">
        <f>-1*TABULATI!S34</f>
        <v>0</v>
      </c>
      <c r="F35" s="69">
        <f>-TABULATI!O34/10^6</f>
        <v>0</v>
      </c>
      <c r="G35" s="69">
        <f>(TABULATI!K34+TABULATI!M34)/10^3</f>
        <v>1229.31886444818</v>
      </c>
      <c r="H35" s="74">
        <f>TABULATI!T34/'DATI nascosti 1'!$C$13</f>
        <v>0</v>
      </c>
    </row>
    <row r="36" spans="3:8" ht="18.75" x14ac:dyDescent="0.25">
      <c r="C36" s="70">
        <f>-1*TABULATI!S35</f>
        <v>0</v>
      </c>
      <c r="F36" s="69">
        <f>-TABULATI!O35/10^6</f>
        <v>0</v>
      </c>
      <c r="G36" s="69">
        <f>(TABULATI!K35+TABULATI!M35)/10^3</f>
        <v>1229.31886444818</v>
      </c>
      <c r="H36" s="74">
        <f>TABULATI!T35/'DATI nascosti 1'!$C$13</f>
        <v>0</v>
      </c>
    </row>
    <row r="37" spans="3:8" ht="18.75" x14ac:dyDescent="0.25">
      <c r="C37" s="70">
        <f>-1*TABULATI!S36</f>
        <v>0</v>
      </c>
      <c r="F37" s="69">
        <f>-TABULATI!O36/10^6</f>
        <v>0</v>
      </c>
      <c r="G37" s="69">
        <f>(TABULATI!K36+TABULATI!M36)/10^3</f>
        <v>1229.31886444818</v>
      </c>
      <c r="H37" s="74">
        <f>TABULATI!T36/'DATI nascosti 1'!$C$13</f>
        <v>0</v>
      </c>
    </row>
    <row r="38" spans="3:8" ht="18.75" x14ac:dyDescent="0.25">
      <c r="C38" s="70">
        <f>-1*TABULATI!S37</f>
        <v>0</v>
      </c>
      <c r="F38" s="69">
        <f>-TABULATI!O37/10^6</f>
        <v>0</v>
      </c>
      <c r="G38" s="69">
        <f>(TABULATI!K37+TABULATI!M37)/10^3</f>
        <v>1229.31886444818</v>
      </c>
      <c r="H38" s="74">
        <f>TABULATI!T37/'DATI nascosti 1'!$C$13</f>
        <v>0</v>
      </c>
    </row>
    <row r="39" spans="3:8" ht="18.75" x14ac:dyDescent="0.25">
      <c r="C39" s="70">
        <f>-1*TABULATI!S38</f>
        <v>0</v>
      </c>
      <c r="F39" s="69">
        <f>-TABULATI!O38/10^6</f>
        <v>0</v>
      </c>
      <c r="G39" s="69">
        <f>(TABULATI!K38+TABULATI!M38)/10^3</f>
        <v>1229.31886444818</v>
      </c>
      <c r="H39" s="74">
        <f>TABULATI!T38/'DATI nascosti 1'!$C$13</f>
        <v>0</v>
      </c>
    </row>
    <row r="40" spans="3:8" ht="18.75" x14ac:dyDescent="0.25">
      <c r="C40" s="70">
        <f>-1*TABULATI!S39</f>
        <v>0</v>
      </c>
      <c r="F40" s="69">
        <f>-TABULATI!O39/10^6</f>
        <v>0</v>
      </c>
      <c r="G40" s="69">
        <f>(TABULATI!K39+TABULATI!M39)/10^3</f>
        <v>1229.31886444818</v>
      </c>
      <c r="H40" s="74">
        <f>TABULATI!T39/'DATI nascosti 1'!$C$13</f>
        <v>0</v>
      </c>
    </row>
    <row r="41" spans="3:8" ht="18.75" x14ac:dyDescent="0.25">
      <c r="C41" s="70">
        <f>-1*TABULATI!S40</f>
        <v>0</v>
      </c>
      <c r="F41" s="69">
        <f>-TABULATI!O40/10^6</f>
        <v>0</v>
      </c>
      <c r="G41" s="69">
        <f>(TABULATI!K40+TABULATI!M40)/10^3</f>
        <v>1229.31886444818</v>
      </c>
      <c r="H41" s="74">
        <f>TABULATI!T40/'DATI nascosti 1'!$C$13</f>
        <v>0</v>
      </c>
    </row>
    <row r="42" spans="3:8" ht="18.75" x14ac:dyDescent="0.25">
      <c r="C42" s="70">
        <f>-1*TABULATI!S41</f>
        <v>0</v>
      </c>
      <c r="F42" s="69">
        <f>-TABULATI!O41/10^6</f>
        <v>0</v>
      </c>
      <c r="G42" s="69">
        <f>(TABULATI!K41+TABULATI!M41)/10^3</f>
        <v>1229.31886444818</v>
      </c>
      <c r="H42" s="74">
        <f>TABULATI!T41/'DATI nascosti 1'!$C$13</f>
        <v>0</v>
      </c>
    </row>
    <row r="43" spans="3:8" ht="18.75" x14ac:dyDescent="0.25">
      <c r="C43" s="70">
        <f>-1*TABULATI!S42</f>
        <v>0</v>
      </c>
      <c r="F43" s="69">
        <f>-TABULATI!O42/10^6</f>
        <v>0</v>
      </c>
      <c r="G43" s="69">
        <f>(TABULATI!K42+TABULATI!M42)/10^3</f>
        <v>1229.31886444818</v>
      </c>
      <c r="H43" s="74">
        <f>TABULATI!T42/'DATI nascosti 1'!$C$13</f>
        <v>0</v>
      </c>
    </row>
    <row r="44" spans="3:8" ht="18.75" x14ac:dyDescent="0.25">
      <c r="C44" s="70">
        <f>-1*TABULATI!S43</f>
        <v>0</v>
      </c>
      <c r="F44" s="69">
        <f>-TABULATI!O43/10^6</f>
        <v>0</v>
      </c>
      <c r="G44" s="69">
        <f>(TABULATI!K43+TABULATI!M43)/10^3</f>
        <v>1229.31886444818</v>
      </c>
      <c r="H44" s="74">
        <f>TABULATI!T43/'DATI nascosti 1'!$C$13</f>
        <v>0</v>
      </c>
    </row>
    <row r="45" spans="3:8" ht="18.75" x14ac:dyDescent="0.25">
      <c r="C45" s="70">
        <f>-1*TABULATI!S44</f>
        <v>0</v>
      </c>
      <c r="F45" s="69">
        <f>-TABULATI!O44/10^6</f>
        <v>0</v>
      </c>
      <c r="G45" s="69">
        <f>(TABULATI!K44+TABULATI!M44)/10^3</f>
        <v>1229.31886444818</v>
      </c>
      <c r="H45" s="74">
        <f>TABULATI!T44/'DATI nascosti 1'!$C$13</f>
        <v>0</v>
      </c>
    </row>
    <row r="46" spans="3:8" ht="18.75" x14ac:dyDescent="0.25">
      <c r="C46" s="70">
        <f>-1*TABULATI!S45</f>
        <v>0</v>
      </c>
      <c r="F46" s="69">
        <f>-TABULATI!O45/10^6</f>
        <v>0</v>
      </c>
      <c r="G46" s="69">
        <f>(TABULATI!K45+TABULATI!M45)/10^3</f>
        <v>1229.31886444818</v>
      </c>
      <c r="H46" s="74">
        <f>TABULATI!T45/'DATI nascosti 1'!$C$13</f>
        <v>0</v>
      </c>
    </row>
    <row r="47" spans="3:8" ht="18.75" x14ac:dyDescent="0.25">
      <c r="C47" s="70">
        <f>-1*TABULATI!S46</f>
        <v>0</v>
      </c>
      <c r="F47" s="69">
        <f>-TABULATI!O46/10^6</f>
        <v>0</v>
      </c>
      <c r="G47" s="69">
        <f>(TABULATI!K46+TABULATI!M46)/10^3</f>
        <v>1229.31886444818</v>
      </c>
      <c r="H47" s="74">
        <f>TABULATI!T46/'DATI nascosti 1'!$C$13</f>
        <v>0</v>
      </c>
    </row>
    <row r="48" spans="3:8" ht="18.75" x14ac:dyDescent="0.25">
      <c r="C48" s="70">
        <f>-1*TABULATI!S47</f>
        <v>0</v>
      </c>
      <c r="F48" s="69">
        <f>-TABULATI!O47/10^6</f>
        <v>0</v>
      </c>
      <c r="G48" s="69">
        <f>(TABULATI!K47+TABULATI!M47)/10^3</f>
        <v>1229.31886444818</v>
      </c>
      <c r="H48" s="74">
        <f>TABULATI!T47/'DATI nascosti 1'!$C$13</f>
        <v>0</v>
      </c>
    </row>
    <row r="49" spans="3:8" ht="18.75" x14ac:dyDescent="0.25">
      <c r="C49" s="70">
        <f>-1*TABULATI!S48</f>
        <v>0</v>
      </c>
      <c r="F49" s="69">
        <f>-TABULATI!O48/10^6</f>
        <v>0</v>
      </c>
      <c r="G49" s="69">
        <f>(TABULATI!K48+TABULATI!M48)/10^3</f>
        <v>1229.31886444818</v>
      </c>
      <c r="H49" s="74">
        <f>TABULATI!T48/'DATI nascosti 1'!$C$13</f>
        <v>0</v>
      </c>
    </row>
    <row r="50" spans="3:8" ht="18.75" x14ac:dyDescent="0.25">
      <c r="C50" s="70">
        <f>-1*TABULATI!S49</f>
        <v>0</v>
      </c>
      <c r="F50" s="69">
        <f>-TABULATI!O49/10^6</f>
        <v>0</v>
      </c>
      <c r="G50" s="69">
        <f>(TABULATI!K49+TABULATI!M49)/10^3</f>
        <v>1229.31886444818</v>
      </c>
      <c r="H50" s="74">
        <f>TABULATI!T49/'DATI nascosti 1'!$C$13</f>
        <v>0</v>
      </c>
    </row>
    <row r="51" spans="3:8" ht="18.75" x14ac:dyDescent="0.25">
      <c r="C51" s="70">
        <f>-1*TABULATI!S50</f>
        <v>0</v>
      </c>
      <c r="F51" s="69">
        <f>-TABULATI!O50/10^6</f>
        <v>0</v>
      </c>
      <c r="G51" s="69">
        <f>(TABULATI!K50+TABULATI!M50)/10^3</f>
        <v>1229.31886444818</v>
      </c>
      <c r="H51" s="74">
        <f>TABULATI!T50/'DATI nascosti 1'!$C$13</f>
        <v>0</v>
      </c>
    </row>
    <row r="52" spans="3:8" ht="18.75" x14ac:dyDescent="0.25">
      <c r="C52" s="70">
        <f>-1*TABULATI!S51</f>
        <v>0</v>
      </c>
      <c r="F52" s="69">
        <f>-TABULATI!O51/10^6</f>
        <v>0</v>
      </c>
      <c r="G52" s="69">
        <f>(TABULATI!K51+TABULATI!M51)/10^3</f>
        <v>1229.31886444818</v>
      </c>
      <c r="H52" s="74">
        <f>TABULATI!T51/'DATI nascosti 1'!$C$13</f>
        <v>0</v>
      </c>
    </row>
    <row r="53" spans="3:8" ht="18.75" x14ac:dyDescent="0.25">
      <c r="C53" s="70">
        <f>-1*TABULATI!S52</f>
        <v>0</v>
      </c>
      <c r="F53" s="69">
        <f>-TABULATI!O52/10^6</f>
        <v>0</v>
      </c>
      <c r="G53" s="69">
        <f>(TABULATI!K52+TABULATI!M52)/10^3</f>
        <v>1229.31886444818</v>
      </c>
      <c r="H53" s="74">
        <f>TABULATI!T52/'DATI nascosti 1'!$C$13</f>
        <v>0</v>
      </c>
    </row>
    <row r="54" spans="3:8" ht="18.75" x14ac:dyDescent="0.25">
      <c r="C54" s="70">
        <f>-1*TABULATI!S53</f>
        <v>0</v>
      </c>
      <c r="F54" s="69">
        <f>-TABULATI!O53/10^6</f>
        <v>0</v>
      </c>
      <c r="G54" s="69">
        <f>(TABULATI!K53+TABULATI!M53)/10^3</f>
        <v>1229.31886444818</v>
      </c>
      <c r="H54" s="74">
        <f>TABULATI!T53/'DATI nascosti 1'!$C$13</f>
        <v>0</v>
      </c>
    </row>
    <row r="55" spans="3:8" ht="18.75" x14ac:dyDescent="0.25">
      <c r="C55" s="70">
        <f>-1*TABULATI!S54</f>
        <v>0</v>
      </c>
      <c r="F55" s="69">
        <f>-TABULATI!O54/10^6</f>
        <v>0</v>
      </c>
      <c r="G55" s="69">
        <f>(TABULATI!K54+TABULATI!M54)/10^3</f>
        <v>1229.31886444818</v>
      </c>
      <c r="H55" s="74">
        <f>TABULATI!T54/'DATI nascosti 1'!$C$13</f>
        <v>0</v>
      </c>
    </row>
    <row r="56" spans="3:8" ht="18.75" x14ac:dyDescent="0.25">
      <c r="C56" s="70">
        <f>-1*TABULATI!S55</f>
        <v>0</v>
      </c>
      <c r="F56" s="69">
        <f>-TABULATI!O55/10^6</f>
        <v>0</v>
      </c>
      <c r="G56" s="69">
        <f>(TABULATI!K55+TABULATI!M55)/10^3</f>
        <v>1229.31886444818</v>
      </c>
      <c r="H56" s="74">
        <f>TABULATI!T55/'DATI nascosti 1'!$C$13</f>
        <v>0</v>
      </c>
    </row>
    <row r="57" spans="3:8" ht="18.75" x14ac:dyDescent="0.25">
      <c r="C57" s="70">
        <f>-1*TABULATI!S56</f>
        <v>0</v>
      </c>
      <c r="F57" s="69">
        <f>-TABULATI!O56/10^6</f>
        <v>0</v>
      </c>
      <c r="G57" s="69">
        <f>(TABULATI!K56+TABULATI!M56)/10^3</f>
        <v>1229.31886444818</v>
      </c>
      <c r="H57" s="74">
        <f>TABULATI!T56/'DATI nascosti 1'!$C$13</f>
        <v>0</v>
      </c>
    </row>
    <row r="58" spans="3:8" ht="18.75" x14ac:dyDescent="0.25">
      <c r="C58" s="70">
        <f>-1*TABULATI!S57</f>
        <v>0</v>
      </c>
      <c r="F58" s="69">
        <f>-TABULATI!O57/10^6</f>
        <v>0</v>
      </c>
      <c r="G58" s="69">
        <f>(TABULATI!K57+TABULATI!M57)/10^3</f>
        <v>1229.31886444818</v>
      </c>
      <c r="H58" s="74">
        <f>TABULATI!T57/'DATI nascosti 1'!$C$13</f>
        <v>0</v>
      </c>
    </row>
    <row r="59" spans="3:8" ht="18.75" x14ac:dyDescent="0.25">
      <c r="C59" s="70">
        <f>-1*TABULATI!S58</f>
        <v>0</v>
      </c>
      <c r="F59" s="69">
        <f>-TABULATI!O58/10^6</f>
        <v>0</v>
      </c>
      <c r="G59" s="69">
        <f>(TABULATI!K58+TABULATI!M58)/10^3</f>
        <v>1229.31886444818</v>
      </c>
      <c r="H59" s="74">
        <f>TABULATI!T58/'DATI nascosti 1'!$C$13</f>
        <v>0</v>
      </c>
    </row>
    <row r="60" spans="3:8" ht="18.75" x14ac:dyDescent="0.25">
      <c r="C60" s="70">
        <f>-1*TABULATI!S59</f>
        <v>0</v>
      </c>
      <c r="F60" s="69">
        <f>-TABULATI!O59/10^6</f>
        <v>0</v>
      </c>
      <c r="G60" s="69">
        <f>(TABULATI!K59+TABULATI!M59)/10^3</f>
        <v>1229.31886444818</v>
      </c>
      <c r="H60" s="74">
        <f>TABULATI!T59/'DATI nascosti 1'!$C$13</f>
        <v>0</v>
      </c>
    </row>
    <row r="61" spans="3:8" ht="18.75" x14ac:dyDescent="0.25">
      <c r="C61" s="70">
        <f>-1*TABULATI!S60</f>
        <v>0</v>
      </c>
      <c r="F61" s="69">
        <f>-TABULATI!O60/10^6</f>
        <v>0</v>
      </c>
      <c r="G61" s="69">
        <f>(TABULATI!K60+TABULATI!M60)/10^3</f>
        <v>1229.31886444818</v>
      </c>
      <c r="H61" s="74">
        <f>TABULATI!T60/'DATI nascosti 1'!$C$13</f>
        <v>0</v>
      </c>
    </row>
    <row r="62" spans="3:8" ht="18.75" x14ac:dyDescent="0.25">
      <c r="C62" s="70">
        <f>-1*TABULATI!S61</f>
        <v>0</v>
      </c>
      <c r="F62" s="69">
        <f>-TABULATI!O61/10^6</f>
        <v>0</v>
      </c>
      <c r="G62" s="69">
        <f>(TABULATI!K61+TABULATI!M61)/10^3</f>
        <v>1229.31886444818</v>
      </c>
      <c r="H62" s="74">
        <f>TABULATI!T61/'DATI nascosti 1'!$C$13</f>
        <v>0</v>
      </c>
    </row>
    <row r="63" spans="3:8" ht="18.75" x14ac:dyDescent="0.25">
      <c r="C63" s="70">
        <f>-1*TABULATI!S62</f>
        <v>0</v>
      </c>
      <c r="F63" s="69">
        <f>-TABULATI!O62/10^6</f>
        <v>0</v>
      </c>
      <c r="G63" s="69">
        <f>(TABULATI!K62+TABULATI!M62)/10^3</f>
        <v>1229.31886444818</v>
      </c>
      <c r="H63" s="74">
        <f>TABULATI!T62/'DATI nascosti 1'!$C$13</f>
        <v>0</v>
      </c>
    </row>
    <row r="64" spans="3:8" ht="18.75" x14ac:dyDescent="0.25">
      <c r="C64" s="70">
        <f>-1*TABULATI!S63</f>
        <v>0</v>
      </c>
      <c r="F64" s="69">
        <f>-TABULATI!O63/10^6</f>
        <v>0</v>
      </c>
      <c r="G64" s="69">
        <f>(TABULATI!K63+TABULATI!M63)/10^3</f>
        <v>1229.31886444818</v>
      </c>
      <c r="H64" s="74">
        <f>TABULATI!T63/'DATI nascosti 1'!$C$13</f>
        <v>0</v>
      </c>
    </row>
    <row r="65" spans="3:8" ht="18.75" x14ac:dyDescent="0.25">
      <c r="C65" s="70">
        <f>-1*TABULATI!S64</f>
        <v>0</v>
      </c>
      <c r="F65" s="69">
        <f>-TABULATI!O64/10^6</f>
        <v>0</v>
      </c>
      <c r="G65" s="69">
        <f>(TABULATI!K64+TABULATI!M64)/10^3</f>
        <v>1229.31886444818</v>
      </c>
      <c r="H65" s="74">
        <f>TABULATI!T64/'DATI nascosti 1'!$C$13</f>
        <v>0</v>
      </c>
    </row>
    <row r="66" spans="3:8" ht="18.75" x14ac:dyDescent="0.25">
      <c r="C66" s="70">
        <f>-1*TABULATI!S65</f>
        <v>0</v>
      </c>
      <c r="F66" s="69">
        <f>-TABULATI!O65/10^6</f>
        <v>0</v>
      </c>
      <c r="G66" s="69">
        <f>(TABULATI!K65+TABULATI!M65)/10^3</f>
        <v>1229.31886444818</v>
      </c>
      <c r="H66" s="74">
        <f>TABULATI!T65/'DATI nascosti 1'!$C$13</f>
        <v>0</v>
      </c>
    </row>
    <row r="67" spans="3:8" ht="18.75" x14ac:dyDescent="0.25">
      <c r="C67" s="70">
        <f>-1*TABULATI!S66</f>
        <v>0</v>
      </c>
      <c r="F67" s="69">
        <f>-TABULATI!O66/10^6</f>
        <v>0</v>
      </c>
      <c r="G67" s="69">
        <f>(TABULATI!K66+TABULATI!M66)/10^3</f>
        <v>1229.31886444818</v>
      </c>
      <c r="H67" s="74">
        <f>TABULATI!T66/'DATI nascosti 1'!$C$13</f>
        <v>0</v>
      </c>
    </row>
    <row r="68" spans="3:8" ht="18.75" x14ac:dyDescent="0.25">
      <c r="C68" s="70">
        <f>-1*TABULATI!S67</f>
        <v>0</v>
      </c>
      <c r="F68" s="69">
        <f>-TABULATI!O67/10^6</f>
        <v>0</v>
      </c>
      <c r="G68" s="69">
        <f>(TABULATI!K67+TABULATI!M67)/10^3</f>
        <v>1229.31886444818</v>
      </c>
      <c r="H68" s="74">
        <f>TABULATI!T67/'DATI nascosti 1'!$C$13</f>
        <v>0</v>
      </c>
    </row>
    <row r="69" spans="3:8" ht="18.75" x14ac:dyDescent="0.25">
      <c r="C69" s="70">
        <f>-1*TABULATI!S68</f>
        <v>0</v>
      </c>
      <c r="F69" s="69">
        <f>-TABULATI!O68/10^6</f>
        <v>0</v>
      </c>
      <c r="G69" s="69">
        <f>(TABULATI!K68+TABULATI!M68)/10^3</f>
        <v>1229.31886444818</v>
      </c>
      <c r="H69" s="74">
        <f>TABULATI!T68/'DATI nascosti 1'!$C$13</f>
        <v>0</v>
      </c>
    </row>
    <row r="70" spans="3:8" ht="18.75" x14ac:dyDescent="0.25">
      <c r="C70" s="70">
        <f>-1*TABULATI!S69</f>
        <v>0</v>
      </c>
      <c r="F70" s="69">
        <f>-TABULATI!O69/10^6</f>
        <v>0</v>
      </c>
      <c r="G70" s="69">
        <f>(TABULATI!K69+TABULATI!M69)/10^3</f>
        <v>1229.31886444818</v>
      </c>
      <c r="H70" s="74">
        <f>TABULATI!T69/'DATI nascosti 1'!$C$13</f>
        <v>0</v>
      </c>
    </row>
    <row r="71" spans="3:8" ht="18.75" x14ac:dyDescent="0.25">
      <c r="C71" s="70">
        <f>-1*TABULATI!S70</f>
        <v>0</v>
      </c>
      <c r="F71" s="69">
        <f>-TABULATI!O70/10^6</f>
        <v>0</v>
      </c>
      <c r="G71" s="69">
        <f>(TABULATI!K70+TABULATI!M70)/10^3</f>
        <v>1229.31886444818</v>
      </c>
      <c r="H71" s="74">
        <f>TABULATI!T70/'DATI nascosti 1'!$C$13</f>
        <v>0</v>
      </c>
    </row>
    <row r="72" spans="3:8" ht="18.75" x14ac:dyDescent="0.25">
      <c r="C72" s="70">
        <f>-1*TABULATI!S71</f>
        <v>0</v>
      </c>
      <c r="F72" s="69">
        <f>-TABULATI!O71/10^6</f>
        <v>0</v>
      </c>
      <c r="G72" s="69">
        <f>(TABULATI!K71+TABULATI!M71)/10^3</f>
        <v>1229.31886444818</v>
      </c>
      <c r="H72" s="74">
        <f>TABULATI!T71/'DATI nascosti 1'!$C$13</f>
        <v>0</v>
      </c>
    </row>
    <row r="73" spans="3:8" ht="18.75" x14ac:dyDescent="0.25">
      <c r="C73" s="70">
        <f>-1*TABULATI!S72</f>
        <v>0</v>
      </c>
      <c r="F73" s="69">
        <f>-TABULATI!O72/10^6</f>
        <v>0</v>
      </c>
      <c r="G73" s="69">
        <f>(TABULATI!K72+TABULATI!M72)/10^3</f>
        <v>1229.31886444818</v>
      </c>
      <c r="H73" s="74">
        <f>TABULATI!T72/'DATI nascosti 1'!$C$13</f>
        <v>0</v>
      </c>
    </row>
    <row r="74" spans="3:8" ht="18.75" x14ac:dyDescent="0.25">
      <c r="C74" s="70">
        <f>-1*TABULATI!S73</f>
        <v>0</v>
      </c>
      <c r="F74" s="69">
        <f>-TABULATI!O73/10^6</f>
        <v>0</v>
      </c>
      <c r="G74" s="69">
        <f>(TABULATI!K73+TABULATI!M73)/10^3</f>
        <v>1229.31886444818</v>
      </c>
      <c r="H74" s="74">
        <f>TABULATI!T73/'DATI nascosti 1'!$C$13</f>
        <v>0</v>
      </c>
    </row>
    <row r="75" spans="3:8" ht="18.75" x14ac:dyDescent="0.25">
      <c r="C75" s="70">
        <f>-1*TABULATI!S74</f>
        <v>0</v>
      </c>
      <c r="F75" s="69">
        <f>-TABULATI!O74/10^6</f>
        <v>0</v>
      </c>
      <c r="G75" s="69">
        <f>(TABULATI!K74+TABULATI!M74)/10^3</f>
        <v>1229.31886444818</v>
      </c>
      <c r="H75" s="74">
        <f>TABULATI!T74/'DATI nascosti 1'!$C$13</f>
        <v>0</v>
      </c>
    </row>
    <row r="76" spans="3:8" ht="18.75" x14ac:dyDescent="0.25">
      <c r="C76" s="70">
        <f>-1*TABULATI!S75</f>
        <v>0</v>
      </c>
      <c r="F76" s="69">
        <f>-TABULATI!O75/10^6</f>
        <v>0</v>
      </c>
      <c r="G76" s="69">
        <f>(TABULATI!K75+TABULATI!M75)/10^3</f>
        <v>1229.31886444818</v>
      </c>
      <c r="H76" s="74">
        <f>TABULATI!T75/'DATI nascosti 1'!$C$13</f>
        <v>0</v>
      </c>
    </row>
    <row r="77" spans="3:8" ht="18.75" x14ac:dyDescent="0.25">
      <c r="C77" s="70">
        <f>-1*TABULATI!S76</f>
        <v>0</v>
      </c>
      <c r="F77" s="69">
        <f>-TABULATI!O76/10^6</f>
        <v>0</v>
      </c>
      <c r="G77" s="69">
        <f>(TABULATI!K76+TABULATI!M76)/10^3</f>
        <v>1229.31886444818</v>
      </c>
      <c r="H77" s="74">
        <f>TABULATI!T76/'DATI nascosti 1'!$C$13</f>
        <v>0</v>
      </c>
    </row>
    <row r="78" spans="3:8" ht="18.75" x14ac:dyDescent="0.25">
      <c r="C78" s="70">
        <f>-1*TABULATI!S77</f>
        <v>0</v>
      </c>
      <c r="F78" s="69">
        <f>-TABULATI!O77/10^6</f>
        <v>0</v>
      </c>
      <c r="G78" s="69">
        <f>(TABULATI!K77+TABULATI!M77)/10^3</f>
        <v>1229.31886444818</v>
      </c>
      <c r="H78" s="74">
        <f>TABULATI!T77/'DATI nascosti 1'!$C$13</f>
        <v>0</v>
      </c>
    </row>
    <row r="79" spans="3:8" ht="18.75" x14ac:dyDescent="0.25">
      <c r="C79" s="70">
        <f>-1*TABULATI!S78</f>
        <v>0</v>
      </c>
      <c r="F79" s="69">
        <f>-TABULATI!O78/10^6</f>
        <v>0</v>
      </c>
      <c r="G79" s="69">
        <f>(TABULATI!K78+TABULATI!M78)/10^3</f>
        <v>1229.31886444818</v>
      </c>
      <c r="H79" s="74">
        <f>TABULATI!T78/'DATI nascosti 1'!$C$13</f>
        <v>0</v>
      </c>
    </row>
    <row r="80" spans="3:8" ht="18.75" x14ac:dyDescent="0.25">
      <c r="C80" s="70">
        <f>-1*TABULATI!S79</f>
        <v>0</v>
      </c>
      <c r="F80" s="69">
        <f>-TABULATI!O79/10^6</f>
        <v>0</v>
      </c>
      <c r="G80" s="69">
        <f>(TABULATI!K79+TABULATI!M79)/10^3</f>
        <v>1229.31886444818</v>
      </c>
      <c r="H80" s="74">
        <f>TABULATI!T79/'DATI nascosti 1'!$C$13</f>
        <v>0</v>
      </c>
    </row>
    <row r="81" spans="3:8" ht="18.75" x14ac:dyDescent="0.25">
      <c r="C81" s="70">
        <f>-1*TABULATI!S80</f>
        <v>0</v>
      </c>
      <c r="F81" s="69">
        <f>-TABULATI!O80/10^6</f>
        <v>0</v>
      </c>
      <c r="G81" s="69">
        <f>(TABULATI!K80+TABULATI!M80)/10^3</f>
        <v>1229.31886444818</v>
      </c>
      <c r="H81" s="74">
        <f>TABULATI!T80/'DATI nascosti 1'!$C$13</f>
        <v>0</v>
      </c>
    </row>
    <row r="82" spans="3:8" ht="18.75" x14ac:dyDescent="0.25">
      <c r="C82" s="70">
        <f>-1*TABULATI!S81</f>
        <v>0</v>
      </c>
      <c r="F82" s="69">
        <f>-TABULATI!O81/10^6</f>
        <v>0</v>
      </c>
      <c r="G82" s="69">
        <f>(TABULATI!K81+TABULATI!M81)/10^3</f>
        <v>1229.31886444818</v>
      </c>
      <c r="H82" s="74">
        <f>TABULATI!T81/'DATI nascosti 1'!$C$13</f>
        <v>0</v>
      </c>
    </row>
    <row r="83" spans="3:8" ht="18.75" x14ac:dyDescent="0.25">
      <c r="C83" s="70">
        <f>-1*TABULATI!S82</f>
        <v>0</v>
      </c>
      <c r="F83" s="69">
        <f>-TABULATI!O82/10^6</f>
        <v>0</v>
      </c>
      <c r="G83" s="69">
        <f>(TABULATI!K82+TABULATI!M82)/10^3</f>
        <v>1229.31886444818</v>
      </c>
      <c r="H83" s="74">
        <f>TABULATI!T82/'DATI nascosti 1'!$C$13</f>
        <v>0</v>
      </c>
    </row>
    <row r="84" spans="3:8" ht="18.75" x14ac:dyDescent="0.25">
      <c r="C84" s="70">
        <f>-1*TABULATI!S83</f>
        <v>0</v>
      </c>
      <c r="F84" s="69">
        <f>-TABULATI!O83/10^6</f>
        <v>0</v>
      </c>
      <c r="G84" s="69">
        <f>(TABULATI!K83+TABULATI!M83)/10^3</f>
        <v>1229.31886444818</v>
      </c>
      <c r="H84" s="74">
        <f>TABULATI!T83/'DATI nascosti 1'!$C$13</f>
        <v>0</v>
      </c>
    </row>
    <row r="85" spans="3:8" ht="18.75" x14ac:dyDescent="0.25">
      <c r="C85" s="70">
        <f>-1*TABULATI!S84</f>
        <v>0</v>
      </c>
      <c r="F85" s="69">
        <f>-TABULATI!O84/10^6</f>
        <v>0</v>
      </c>
      <c r="G85" s="69">
        <f>(TABULATI!K84+TABULATI!M84)/10^3</f>
        <v>1229.31886444818</v>
      </c>
      <c r="H85" s="74">
        <f>TABULATI!T84/'DATI nascosti 1'!$C$13</f>
        <v>0</v>
      </c>
    </row>
    <row r="86" spans="3:8" ht="18.75" x14ac:dyDescent="0.25">
      <c r="C86" s="70">
        <f>-1*TABULATI!S85</f>
        <v>0</v>
      </c>
      <c r="F86" s="69">
        <f>-TABULATI!O85/10^6</f>
        <v>0</v>
      </c>
      <c r="G86" s="69">
        <f>(TABULATI!K85+TABULATI!M85)/10^3</f>
        <v>1229.31886444818</v>
      </c>
      <c r="H86" s="74">
        <f>TABULATI!T85/'DATI nascosti 1'!$C$13</f>
        <v>0</v>
      </c>
    </row>
    <row r="87" spans="3:8" ht="18.75" x14ac:dyDescent="0.25">
      <c r="C87" s="70">
        <f>-1*TABULATI!S86</f>
        <v>0</v>
      </c>
      <c r="F87" s="69">
        <f>-TABULATI!O86/10^6</f>
        <v>0</v>
      </c>
      <c r="G87" s="69">
        <f>(TABULATI!K86+TABULATI!M86)/10^3</f>
        <v>1229.31886444818</v>
      </c>
      <c r="H87" s="74">
        <f>TABULATI!T86/'DATI nascosti 1'!$C$13</f>
        <v>0</v>
      </c>
    </row>
    <row r="88" spans="3:8" ht="18.75" x14ac:dyDescent="0.25">
      <c r="C88" s="70">
        <f>-1*TABULATI!S87</f>
        <v>0</v>
      </c>
      <c r="F88" s="69">
        <f>-TABULATI!O87/10^6</f>
        <v>0</v>
      </c>
      <c r="G88" s="69">
        <f>(TABULATI!K87+TABULATI!M87)/10^3</f>
        <v>1229.31886444818</v>
      </c>
      <c r="H88" s="74">
        <f>TABULATI!T87/'DATI nascosti 1'!$C$13</f>
        <v>0</v>
      </c>
    </row>
    <row r="89" spans="3:8" ht="18.75" x14ac:dyDescent="0.25">
      <c r="C89" s="70">
        <f>-1*TABULATI!S88</f>
        <v>0</v>
      </c>
      <c r="F89" s="69">
        <f>-TABULATI!O88/10^6</f>
        <v>0</v>
      </c>
      <c r="G89" s="69">
        <f>(TABULATI!K88+TABULATI!M88)/10^3</f>
        <v>1229.31886444818</v>
      </c>
      <c r="H89" s="74">
        <f>TABULATI!T88/'DATI nascosti 1'!$C$13</f>
        <v>0</v>
      </c>
    </row>
    <row r="90" spans="3:8" ht="18.75" x14ac:dyDescent="0.25">
      <c r="C90" s="70">
        <f>-1*TABULATI!S89</f>
        <v>0</v>
      </c>
      <c r="F90" s="69">
        <f>-TABULATI!O89/10^6</f>
        <v>0</v>
      </c>
      <c r="G90" s="69">
        <f>(TABULATI!K89+TABULATI!M89)/10^3</f>
        <v>1229.31886444818</v>
      </c>
      <c r="H90" s="74">
        <f>TABULATI!T89/'DATI nascosti 1'!$C$13</f>
        <v>0</v>
      </c>
    </row>
    <row r="91" spans="3:8" ht="18.75" x14ac:dyDescent="0.25">
      <c r="C91" s="70">
        <f>-1*TABULATI!S90</f>
        <v>0</v>
      </c>
      <c r="F91" s="69">
        <f>-TABULATI!O90/10^6</f>
        <v>0</v>
      </c>
      <c r="G91" s="69">
        <f>(TABULATI!K90+TABULATI!M90)/10^3</f>
        <v>1229.31886444818</v>
      </c>
      <c r="H91" s="74">
        <f>TABULATI!T90/'DATI nascosti 1'!$C$13</f>
        <v>0</v>
      </c>
    </row>
    <row r="92" spans="3:8" ht="18.75" x14ac:dyDescent="0.25">
      <c r="C92" s="70">
        <f>-1*TABULATI!S91</f>
        <v>0</v>
      </c>
      <c r="F92" s="69">
        <f>-TABULATI!O91/10^6</f>
        <v>0</v>
      </c>
      <c r="G92" s="69">
        <f>(TABULATI!K91+TABULATI!M91)/10^3</f>
        <v>1229.31886444818</v>
      </c>
      <c r="H92" s="74">
        <f>TABULATI!T91/'DATI nascosti 1'!$C$13</f>
        <v>0</v>
      </c>
    </row>
    <row r="93" spans="3:8" ht="18.75" x14ac:dyDescent="0.25">
      <c r="C93" s="70">
        <f>-1*TABULATI!S92</f>
        <v>0</v>
      </c>
      <c r="F93" s="69">
        <f>-TABULATI!O92/10^6</f>
        <v>0</v>
      </c>
      <c r="G93" s="69">
        <f>(TABULATI!K92+TABULATI!M92)/10^3</f>
        <v>1229.31886444818</v>
      </c>
      <c r="H93" s="74">
        <f>TABULATI!T92/'DATI nascosti 1'!$C$13</f>
        <v>0</v>
      </c>
    </row>
    <row r="94" spans="3:8" ht="18.75" x14ac:dyDescent="0.25">
      <c r="C94" s="70">
        <f>-1*TABULATI!S93</f>
        <v>0</v>
      </c>
      <c r="F94" s="69">
        <f>-TABULATI!O93/10^6</f>
        <v>0</v>
      </c>
      <c r="G94" s="69">
        <f>(TABULATI!K93+TABULATI!M93)/10^3</f>
        <v>1229.31886444818</v>
      </c>
      <c r="H94" s="74">
        <f>TABULATI!T93/'DATI nascosti 1'!$C$13</f>
        <v>0</v>
      </c>
    </row>
    <row r="95" spans="3:8" ht="18.75" x14ac:dyDescent="0.25">
      <c r="C95" s="70">
        <f>-1*TABULATI!S94</f>
        <v>0</v>
      </c>
      <c r="F95" s="69">
        <f>-TABULATI!O94/10^6</f>
        <v>0</v>
      </c>
      <c r="G95" s="69">
        <f>(TABULATI!K94+TABULATI!M94)/10^3</f>
        <v>1229.31886444818</v>
      </c>
      <c r="H95" s="74">
        <f>TABULATI!T94/'DATI nascosti 1'!$C$13</f>
        <v>0</v>
      </c>
    </row>
    <row r="96" spans="3:8" ht="18.75" x14ac:dyDescent="0.25">
      <c r="C96" s="70">
        <f>-1*TABULATI!S95</f>
        <v>0</v>
      </c>
      <c r="F96" s="69">
        <f>-TABULATI!O95/10^6</f>
        <v>0</v>
      </c>
      <c r="G96" s="69">
        <f>(TABULATI!K95+TABULATI!M95)/10^3</f>
        <v>1229.31886444818</v>
      </c>
      <c r="H96" s="74">
        <f>TABULATI!T95/'DATI nascosti 1'!$C$13</f>
        <v>0</v>
      </c>
    </row>
    <row r="97" spans="3:8" ht="18.75" x14ac:dyDescent="0.25">
      <c r="C97" s="70">
        <f>-1*TABULATI!S96</f>
        <v>0</v>
      </c>
      <c r="F97" s="69">
        <f>-TABULATI!O96/10^6</f>
        <v>0</v>
      </c>
      <c r="G97" s="69">
        <f>(TABULATI!K96+TABULATI!M96)/10^3</f>
        <v>1229.31886444818</v>
      </c>
      <c r="H97" s="74">
        <f>TABULATI!T96/'DATI nascosti 1'!$C$13</f>
        <v>0</v>
      </c>
    </row>
    <row r="98" spans="3:8" ht="18.75" x14ac:dyDescent="0.25">
      <c r="C98" s="70">
        <f>-1*TABULATI!S97</f>
        <v>0</v>
      </c>
      <c r="F98" s="69">
        <f>-TABULATI!O97/10^6</f>
        <v>0</v>
      </c>
      <c r="G98" s="69">
        <f>(TABULATI!K97+TABULATI!M97)/10^3</f>
        <v>1229.31886444818</v>
      </c>
      <c r="H98" s="74">
        <f>TABULATI!T97/'DATI nascosti 1'!$C$13</f>
        <v>0</v>
      </c>
    </row>
    <row r="99" spans="3:8" ht="18.75" x14ac:dyDescent="0.25">
      <c r="C99" s="70">
        <f>-1*TABULATI!S98</f>
        <v>0</v>
      </c>
      <c r="F99" s="69">
        <f>-TABULATI!O98/10^6</f>
        <v>0</v>
      </c>
      <c r="G99" s="69">
        <f>(TABULATI!K98+TABULATI!M98)/10^3</f>
        <v>1229.31886444818</v>
      </c>
      <c r="H99" s="74">
        <f>TABULATI!T98/'DATI nascosti 1'!$C$13</f>
        <v>0</v>
      </c>
    </row>
    <row r="100" spans="3:8" ht="18.75" x14ac:dyDescent="0.25">
      <c r="C100" s="70">
        <f>-1*TABULATI!S99</f>
        <v>0</v>
      </c>
      <c r="F100" s="69">
        <f>-TABULATI!O99/10^6</f>
        <v>0</v>
      </c>
      <c r="G100" s="69">
        <f>(TABULATI!K99+TABULATI!M99)/10^3</f>
        <v>1229.31886444818</v>
      </c>
      <c r="H100" s="74">
        <f>TABULATI!T99/'DATI nascosti 1'!$C$13</f>
        <v>0</v>
      </c>
    </row>
    <row r="101" spans="3:8" ht="18.75" x14ac:dyDescent="0.25">
      <c r="C101" s="70">
        <f>-1*TABULATI!S100</f>
        <v>0</v>
      </c>
      <c r="F101" s="69">
        <f>-TABULATI!O100/10^6</f>
        <v>0</v>
      </c>
      <c r="G101" s="69">
        <f>(TABULATI!K100+TABULATI!M100)/10^3</f>
        <v>1229.31886444818</v>
      </c>
      <c r="H101" s="74">
        <f>TABULATI!T100/'DATI nascosti 1'!$C$13</f>
        <v>0</v>
      </c>
    </row>
    <row r="102" spans="3:8" ht="18.75" x14ac:dyDescent="0.25">
      <c r="C102" s="70">
        <f>-1*TABULATI!S101</f>
        <v>0</v>
      </c>
      <c r="F102" s="69">
        <f>-TABULATI!O101/10^6</f>
        <v>0</v>
      </c>
      <c r="G102" s="69">
        <f>(TABULATI!K101+TABULATI!M101)/10^3</f>
        <v>1229.31886444818</v>
      </c>
      <c r="H102" s="74">
        <f>TABULATI!T101/'DATI nascosti 1'!$C$13</f>
        <v>0</v>
      </c>
    </row>
    <row r="103" spans="3:8" ht="18.75" x14ac:dyDescent="0.25">
      <c r="C103" s="70">
        <f>-1*TABULATI!S102</f>
        <v>0</v>
      </c>
      <c r="F103" s="69">
        <f>-TABULATI!O102/10^6</f>
        <v>0</v>
      </c>
      <c r="G103" s="69">
        <f>(TABULATI!K102+TABULATI!M102)/10^3</f>
        <v>1229.31886444818</v>
      </c>
      <c r="H103" s="74">
        <f>TABULATI!T102/'DATI nascosti 1'!$C$13</f>
        <v>0</v>
      </c>
    </row>
    <row r="104" spans="3:8" ht="18.75" x14ac:dyDescent="0.25">
      <c r="C104" s="70">
        <f>-1*TABULATI!S103</f>
        <v>0</v>
      </c>
      <c r="F104" s="69">
        <f>-TABULATI!O103/10^6</f>
        <v>0</v>
      </c>
      <c r="G104" s="69">
        <f>(TABULATI!K103+TABULATI!M103)/10^3</f>
        <v>1229.31886444818</v>
      </c>
      <c r="H104" s="74">
        <f>TABULATI!T103/'DATI nascosti 1'!$C$13</f>
        <v>0</v>
      </c>
    </row>
    <row r="105" spans="3:8" ht="18.75" x14ac:dyDescent="0.25">
      <c r="C105" s="70">
        <f>-1*TABULATI!S104</f>
        <v>-1.0784775525912017E-6</v>
      </c>
      <c r="F105" s="69">
        <f>-TABULATI!O104/10^6</f>
        <v>-5.1765721653103825E-3</v>
      </c>
      <c r="G105" s="69">
        <f>(TABULATI!K104+TABULATI!M104)/10^3</f>
        <v>1229.31886444818</v>
      </c>
      <c r="H105" s="74">
        <f>TABULATI!T104/'DATI nascosti 1'!$C$13</f>
        <v>3.645849972081858E-6</v>
      </c>
    </row>
    <row r="106" spans="3:8" ht="18.75" x14ac:dyDescent="0.25">
      <c r="C106" s="70">
        <f>-1*TABULATI!S105</f>
        <v>-8.4609307279324519E-6</v>
      </c>
      <c r="F106" s="69">
        <f>-TABULATI!O105/10^6</f>
        <v>-4.0611525380015376E-2</v>
      </c>
      <c r="G106" s="69">
        <f>(TABULATI!K105+TABULATI!M105)/10^3</f>
        <v>1229.31886444818</v>
      </c>
      <c r="H106" s="74">
        <f>TABULATI!T105/'DATI nascosti 1'!$C$13</f>
        <v>2.8603997423172881E-5</v>
      </c>
    </row>
    <row r="107" spans="3:8" ht="18.75" x14ac:dyDescent="0.25">
      <c r="C107" s="70">
        <f>-1*TABULATI!S106</f>
        <v>-2.7994828652877798E-5</v>
      </c>
      <c r="F107" s="69">
        <f>-TABULATI!O106/10^6</f>
        <v>-0.13437206034463645</v>
      </c>
      <c r="G107" s="69">
        <f>(TABULATI!K106+TABULATI!M106)/10^3</f>
        <v>1229.31886444818</v>
      </c>
      <c r="H107" s="74">
        <f>TABULATI!T106/'DATI nascosti 1'!$C$13</f>
        <v>9.4654616415569201E-5</v>
      </c>
    </row>
    <row r="108" spans="3:8" ht="18.75" x14ac:dyDescent="0.25">
      <c r="C108" s="70">
        <f>-1*TABULATI!S107</f>
        <v>-6.5034529283914373E-5</v>
      </c>
      <c r="F108" s="69">
        <f>-TABULATI!O107/10^6</f>
        <v>-0.31215849904924631</v>
      </c>
      <c r="G108" s="69">
        <f>(TABULATI!K107+TABULATI!M107)/10^3</f>
        <v>1229.31886444818</v>
      </c>
      <c r="H108" s="74">
        <f>TABULATI!T107/'DATI nascosti 1'!$C$13</f>
        <v>2.1994453823172432E-4</v>
      </c>
    </row>
    <row r="109" spans="3:8" ht="18.75" x14ac:dyDescent="0.25">
      <c r="C109" s="70">
        <f>-1*TABULATI!S108</f>
        <v>-1.2444660768719254E-4</v>
      </c>
      <c r="F109" s="69">
        <f>-TABULATI!O108/10^6</f>
        <v>-0.59732985992431642</v>
      </c>
      <c r="G109" s="69">
        <f>(TABULATI!K108+TABULATI!M108)/10^3</f>
        <v>1229.31886444818</v>
      </c>
      <c r="H109" s="74">
        <f>TABULATI!T108/'DATI nascosti 1'!$C$13</f>
        <v>4.2103795974434934E-4</v>
      </c>
    </row>
    <row r="110" spans="3:8" ht="18.75" x14ac:dyDescent="0.25">
      <c r="C110" s="70">
        <f>-1*TABULATI!S109</f>
        <v>-2.1061512239572926E-4</v>
      </c>
      <c r="F110" s="69">
        <f>-TABULATI!O109/10^6</f>
        <v>-1.0109291357688903</v>
      </c>
      <c r="G110" s="69">
        <f>(TABULATI!K109+TABULATI!M109)/10^3</f>
        <v>1229.31886444818</v>
      </c>
      <c r="H110" s="74">
        <f>TABULATI!T109/'DATI nascosti 1'!$C$13</f>
        <v>7.1297337337272672E-4</v>
      </c>
    </row>
    <row r="111" spans="3:8" ht="18.75" x14ac:dyDescent="0.25">
      <c r="C111" s="70">
        <f>-1*TABULATI!S110</f>
        <v>-3.2744682063278195E-4</v>
      </c>
      <c r="F111" s="69">
        <f>-TABULATI!O110/10^6</f>
        <v>-1.5717082782431842</v>
      </c>
      <c r="G111" s="69">
        <f>(TABULATI!K110+TABULATI!M110)/10^3</f>
        <v>1229.31886444818</v>
      </c>
      <c r="H111" s="74">
        <f>TABULATI!T110/'DATI nascosti 1'!$C$13</f>
        <v>1.1093233993789877E-3</v>
      </c>
    </row>
    <row r="112" spans="3:8" ht="18.75" x14ac:dyDescent="0.25">
      <c r="C112" s="70">
        <f>-1*TABULATI!S111</f>
        <v>-8.3275867533926114E-4</v>
      </c>
      <c r="F112" s="69">
        <f>-TABULATI!O111/10^6</f>
        <v>-3.9971489149909019</v>
      </c>
      <c r="G112" s="69">
        <f>(TABULATI!K111+TABULATI!M111)/10^3</f>
        <v>1226.3734167904649</v>
      </c>
      <c r="H112" s="74">
        <f>TABULATI!T111/'DATI nascosti 1'!$C$13</f>
        <v>2.8308291123593319E-3</v>
      </c>
    </row>
    <row r="113" spans="3:8" ht="18.75" x14ac:dyDescent="0.25">
      <c r="C113" s="70">
        <f>-1*TABULATI!S112</f>
        <v>-4.8213761583118103E-3</v>
      </c>
      <c r="F113" s="69">
        <f>-TABULATI!O112/10^6</f>
        <v>-23.142068705688178</v>
      </c>
      <c r="G113" s="69">
        <f>(TABULATI!K112+TABULATI!M112)/10^3</f>
        <v>1194.7845578526351</v>
      </c>
      <c r="H113" s="74">
        <f>TABULATI!T112/'DATI nascosti 1'!$C$13</f>
        <v>1.6845734796291298E-2</v>
      </c>
    </row>
    <row r="114" spans="3:8" ht="18.75" x14ac:dyDescent="0.25">
      <c r="C114" s="70">
        <f>-1*TABULATI!S113</f>
        <v>-8.84956435011474E-3</v>
      </c>
      <c r="F114" s="69">
        <f>-TABULATI!O113/10^6</f>
        <v>-42.476923492622319</v>
      </c>
      <c r="G114" s="69">
        <f>(TABULATI!K113+TABULATI!M113)/10^3</f>
        <v>1163.1956989148039</v>
      </c>
      <c r="H114" s="74">
        <f>TABULATI!T113/'DATI nascosti 1'!$C$13</f>
        <v>3.1814364569039001E-2</v>
      </c>
    </row>
    <row r="115" spans="3:8" ht="18.75" x14ac:dyDescent="0.25">
      <c r="C115" s="70">
        <f>-1*TABULATI!S114</f>
        <v>-1.2919371609295785E-2</v>
      </c>
      <c r="F115" s="69">
        <f>-TABULATI!O114/10^6</f>
        <v>-62.01154516874027</v>
      </c>
      <c r="G115" s="69">
        <f>(TABULATI!K114+TABULATI!M114)/10^3</f>
        <v>1131.6068399769663</v>
      </c>
      <c r="H115" s="74">
        <f>TABULATI!T114/'DATI nascosti 1'!$C$13</f>
        <v>4.7843214998818134E-2</v>
      </c>
    </row>
    <row r="116" spans="3:8" ht="18.75" x14ac:dyDescent="0.25">
      <c r="C116" s="70">
        <f>-1*TABULATI!S115</f>
        <v>-1.7032394119055147E-2</v>
      </c>
      <c r="F116" s="69">
        <f>-TABULATI!O115/10^6</f>
        <v>-81.753595235670034</v>
      </c>
      <c r="G116" s="69">
        <f>(TABULATI!K115+TABULATI!M115)/10^3</f>
        <v>1100.0179810391407</v>
      </c>
      <c r="H116" s="74">
        <f>TABULATI!T115/'DATI nascosti 1'!$C$13</f>
        <v>6.5052997246732844E-2</v>
      </c>
    </row>
    <row r="117" spans="3:8" ht="18.75" x14ac:dyDescent="0.25">
      <c r="C117" s="70">
        <f>-1*TABULATI!S116</f>
        <v>-2.1189780741637125E-2</v>
      </c>
      <c r="F117" s="69">
        <f>-TABULATI!O116/10^6</f>
        <v>-101.70858810425982</v>
      </c>
      <c r="G117" s="69">
        <f>(TABULATI!K116+TABULATI!M116)/10^3</f>
        <v>1068.4291221013111</v>
      </c>
      <c r="H117" s="74">
        <f>TABULATI!T116/'DATI nascosti 1'!$C$13</f>
        <v>8.3581212546807518E-2</v>
      </c>
    </row>
    <row r="118" spans="3:8" ht="18.75" x14ac:dyDescent="0.25">
      <c r="C118" s="70">
        <f>-1*TABULATI!S117</f>
        <v>-2.5392237816799251E-2</v>
      </c>
      <c r="F118" s="69">
        <f>-TABULATI!O117/10^6</f>
        <v>-121.87991412669578</v>
      </c>
      <c r="G118" s="69">
        <f>(TABULATI!K117+TABULATI!M117)/10^3</f>
        <v>1036.8402631634769</v>
      </c>
      <c r="H118" s="74">
        <f>TABULATI!T117/'DATI nascosti 1'!$C$13</f>
        <v>0.1035853017658127</v>
      </c>
    </row>
    <row r="119" spans="3:8" ht="18.75" x14ac:dyDescent="0.25">
      <c r="C119" s="70">
        <f>-1*TABULATI!S118</f>
        <v>-2.9640033905083164E-2</v>
      </c>
      <c r="F119" s="69">
        <f>-TABULATI!O118/10^6</f>
        <v>-142.26886236367386</v>
      </c>
      <c r="G119" s="69">
        <f>(TABULATI!K118+TABULATI!M118)/10^3</f>
        <v>1005.2514042256457</v>
      </c>
      <c r="H119" s="74">
        <f>TABULATI!T118/'DATI nascosti 1'!$C$13</f>
        <v>0.12524652279398338</v>
      </c>
    </row>
    <row r="120" spans="3:8" ht="18.75" x14ac:dyDescent="0.25">
      <c r="C120" s="70">
        <f>-1*TABULATI!S119</f>
        <v>-3.393300447657787E-2</v>
      </c>
      <c r="F120" s="69">
        <f>-TABULATI!O119/10^6</f>
        <v>-162.87464308994154</v>
      </c>
      <c r="G120" s="69">
        <f>(TABULATI!K119+TABULATI!M119)/10^3</f>
        <v>973.66254528781667</v>
      </c>
      <c r="H120" s="74">
        <f>TABULATI!T119/'DATI nascosti 1'!$C$13</f>
        <v>0.14877475864561021</v>
      </c>
    </row>
    <row r="121" spans="3:8" ht="18.75" x14ac:dyDescent="0.25">
      <c r="C121" s="70">
        <f>-1*TABULATI!S120</f>
        <v>-3.8270556545857093E-2</v>
      </c>
      <c r="F121" s="69">
        <f>-TABULATI!O120/10^6</f>
        <v>-183.69441004148084</v>
      </c>
      <c r="G121" s="69">
        <f>(TABULATI!K120+TABULATI!M120)/10^3</f>
        <v>942.07368634998545</v>
      </c>
      <c r="H121" s="74">
        <f>TABULATI!T120/'DATI nascosti 1'!$C$13</f>
        <v>0.17441452663636894</v>
      </c>
    </row>
    <row r="122" spans="3:8" ht="18.75" x14ac:dyDescent="0.25">
      <c r="C122" s="70">
        <f>-1*TABULATI!S121</f>
        <v>-4.2651673253768729E-2</v>
      </c>
      <c r="F122" s="69">
        <f>-TABULATI!O121/10^6</f>
        <v>-204.72328240758765</v>
      </c>
      <c r="G122" s="69">
        <f>(TABULATI!K121+TABULATI!M121)/10^3</f>
        <v>910.48482741215912</v>
      </c>
      <c r="H122" s="74">
        <f>TABULATI!T121/'DATI nascosti 1'!$C$13</f>
        <v>0.20245255280538807</v>
      </c>
    </row>
    <row r="123" spans="3:8" ht="18.75" x14ac:dyDescent="0.25">
      <c r="C123" s="70">
        <f>-1*TABULATI!S122</f>
        <v>-4.707491839675091E-2</v>
      </c>
      <c r="F123" s="69">
        <f>-TABULATI!O122/10^6</f>
        <v>-225.95436657108451</v>
      </c>
      <c r="G123" s="69">
        <f>(TABULATI!K122+TABULATI!M122)/10^3</f>
        <v>878.89596847432244</v>
      </c>
      <c r="H123" s="74">
        <f>TABULATI!T122/'DATI nascosti 1'!$C$13</f>
        <v>0.23322740777948539</v>
      </c>
    </row>
    <row r="124" spans="3:8" ht="18.75" x14ac:dyDescent="0.25">
      <c r="C124" s="70">
        <f>-1*TABULATI!S123</f>
        <v>-5.1538440904315815E-2</v>
      </c>
      <c r="F124" s="69">
        <f>-TABULATI!O123/10^6</f>
        <v>-247.37877759974421</v>
      </c>
      <c r="G124" s="69">
        <f>(TABULATI!K123+TABULATI!M123)/10^3</f>
        <v>847.30710953649043</v>
      </c>
      <c r="H124" s="74">
        <f>TABULATI!T123/'DATI nascosti 1'!$C$13</f>
        <v>0.26714188866607635</v>
      </c>
    </row>
    <row r="125" spans="3:8" ht="18.75" x14ac:dyDescent="0.25">
      <c r="C125" s="70">
        <f>-1*TABULATI!S124</f>
        <v>-5.6040352197359332E-2</v>
      </c>
      <c r="F125" s="69">
        <f>-TABULATI!O124/10^6</f>
        <v>-268.98745052415802</v>
      </c>
      <c r="G125" s="69">
        <f>(TABULATI!K124+TABULATI!M124)/10^3</f>
        <v>815.71825059865887</v>
      </c>
      <c r="H125" s="74">
        <f>TABULATI!T124/'DATI nascosti 1'!$C$13</f>
        <v>0.30468232195148798</v>
      </c>
    </row>
    <row r="126" spans="3:8" ht="18.75" x14ac:dyDescent="0.25">
      <c r="C126" s="70">
        <f>-1*TABULATI!S125</f>
        <v>-6.0579984791629973E-2</v>
      </c>
      <c r="F126" s="69">
        <f>-TABULATI!O125/10^6</f>
        <v>-290.77718149424226</v>
      </c>
      <c r="G126" s="69">
        <f>(TABULATI!K125+TABULATI!M125)/10^3</f>
        <v>784.12939166083049</v>
      </c>
      <c r="H126" s="74">
        <f>TABULATI!T125/'DATI nascosti 1'!$C$13</f>
        <v>0.34645337110756835</v>
      </c>
    </row>
    <row r="127" spans="3:8" ht="18.75" x14ac:dyDescent="0.25">
      <c r="C127" s="70">
        <f>-1*TABULATI!S126</f>
        <v>-6.5157012885494109E-2</v>
      </c>
      <c r="F127" s="69">
        <f>-TABULATI!O126/10^6</f>
        <v>-312.74640669843308</v>
      </c>
      <c r="G127" s="69">
        <f>(TABULATI!K126+TABULATI!M126)/10^3</f>
        <v>752.54053272300303</v>
      </c>
      <c r="H127" s="74">
        <f>TABULATI!T126/'DATI nascosti 1'!$C$13</f>
        <v>0.39320616304470557</v>
      </c>
    </row>
    <row r="128" spans="3:8" ht="18.75" x14ac:dyDescent="0.25">
      <c r="C128" s="70">
        <f>-1*TABULATI!S127</f>
        <v>-6.977111347699344E-2</v>
      </c>
      <c r="F128" s="69">
        <f>-TABULATI!O127/10^6</f>
        <v>-334.89357576329667</v>
      </c>
      <c r="G128" s="69">
        <f>(TABULATI!K127+TABULATI!M127)/10^3</f>
        <v>720.9516737851709</v>
      </c>
      <c r="H128" s="74">
        <f>TABULATI!T127/'DATI nascosti 1'!$C$13</f>
        <v>0.44588124944560698</v>
      </c>
    </row>
    <row r="129" spans="3:8" ht="18.75" x14ac:dyDescent="0.25">
      <c r="C129" s="70">
        <f>-1*TABULATI!S128</f>
        <v>-7.442196633717435E-2</v>
      </c>
      <c r="F129" s="69">
        <f>-TABULATI!O128/10^6</f>
        <v>-357.2171516255126</v>
      </c>
      <c r="G129" s="69">
        <f>(TABULATI!K128+TABULATI!M128)/10^3</f>
        <v>689.36281484733854</v>
      </c>
      <c r="H129" s="74">
        <f>TABULATI!T128/'DATI nascosti 1'!$C$13</f>
        <v>0.50567232309834376</v>
      </c>
    </row>
    <row r="130" spans="3:8" ht="18.75" x14ac:dyDescent="0.25">
      <c r="C130" s="70">
        <f>-1*TABULATI!S129</f>
        <v>-7.9109253983706246E-2</v>
      </c>
      <c r="F130" s="69">
        <f>-TABULATI!O129/10^6</f>
        <v>-379.71561040524534</v>
      </c>
      <c r="G130" s="69">
        <f>(TABULATI!K129+TABULATI!M129)/10^3</f>
        <v>657.77395590950766</v>
      </c>
      <c r="H130" s="74">
        <f>TABULATI!T129/'DATI nascosti 1'!$C$13</f>
        <v>0.57411750827211505</v>
      </c>
    </row>
    <row r="131" spans="3:8" ht="18.75" x14ac:dyDescent="0.25">
      <c r="C131" s="70">
        <f>-1*TABULATI!S130</f>
        <v>-8.3832661654779136E-2</v>
      </c>
      <c r="F131" s="69">
        <f>-TABULATI!O130/10^6</f>
        <v>-402.38744128085534</v>
      </c>
      <c r="G131" s="69">
        <f>(TABULATI!K130+TABULATI!M130)/10^3</f>
        <v>626.18509697168179</v>
      </c>
      <c r="H131" s="74">
        <f>TABULATI!T130/'DATI nascosti 1'!$C$13</f>
        <v>0.65323322915883719</v>
      </c>
    </row>
    <row r="132" spans="3:8" ht="18.75" x14ac:dyDescent="0.25">
      <c r="C132" s="70">
        <f>-1*TABULATI!S131</f>
        <v>-8.8591877283283327E-2</v>
      </c>
      <c r="F132" s="69">
        <f>-TABULATI!O131/10^6</f>
        <v>-425.23114636496427</v>
      </c>
      <c r="G132" s="69">
        <f>(TABULATI!K131+TABULATI!M131)/10^3</f>
        <v>594.59623803384682</v>
      </c>
      <c r="H132" s="74">
        <f>TABULATI!T131/'DATI nascosti 1'!$C$13</f>
        <v>0.74571577737837214</v>
      </c>
    </row>
    <row r="133" spans="3:8" ht="18.75" x14ac:dyDescent="0.25">
      <c r="C133" s="70">
        <f>-1*TABULATI!S132</f>
        <v>-9.3386591471255484E-2</v>
      </c>
      <c r="F133" s="69">
        <f>-TABULATI!O132/10^6</f>
        <v>-448.24524058179912</v>
      </c>
      <c r="G133" s="69">
        <f>(TABULATI!K132+TABULATI!M132)/10^3</f>
        <v>563.00737909601526</v>
      </c>
      <c r="H133" s="74">
        <f>TABULATI!T132/'DATI nascosti 1'!$C$13</f>
        <v>0.85525419732999108</v>
      </c>
    </row>
    <row r="134" spans="3:8" ht="18.75" x14ac:dyDescent="0.25">
      <c r="C134" s="70">
        <f>-1*TABULATI!S133</f>
        <v>-9.8216497464608504E-2</v>
      </c>
      <c r="F134" s="69">
        <f>-TABULATI!O133/10^6</f>
        <v>-471.42825154589866</v>
      </c>
      <c r="G134" s="69">
        <f>(TABULATI!K133+TABULATI!M133)/10^3</f>
        <v>531.41852015818176</v>
      </c>
      <c r="H134" s="74">
        <f>TABULATI!T133/'DATI nascosti 1'!$C$13</f>
        <v>0.98703348275535518</v>
      </c>
    </row>
    <row r="135" spans="3:8" ht="18.75" x14ac:dyDescent="0.25">
      <c r="C135" s="70">
        <f>-1*TABULATI!S134</f>
        <v>-0.10308129112811965</v>
      </c>
      <c r="F135" s="69">
        <f>-TABULATI!O134/10^6</f>
        <v>-494.77871944205867</v>
      </c>
      <c r="G135" s="69">
        <f>(TABULATI!K134+TABULATI!M134)/10^3</f>
        <v>499.82966122035776</v>
      </c>
      <c r="H135" s="74">
        <f>TABULATI!T134/'DATI nascosti 1'!$C$13</f>
        <v>1.1485783680302257</v>
      </c>
    </row>
    <row r="136" spans="3:8" ht="18.75" x14ac:dyDescent="0.25">
      <c r="C136" s="70">
        <f>-1*TABULATI!S135</f>
        <v>-0.10798067092069445</v>
      </c>
      <c r="F136" s="69">
        <f>-TABULATI!O135/10^6</f>
        <v>-518.29519690660209</v>
      </c>
      <c r="G136" s="69">
        <f>(TABULATI!K135+TABULATI!M135)/10^3</f>
        <v>468.24080228252683</v>
      </c>
      <c r="H136" s="74">
        <f>TABULATI!T135/'DATI nascosti 1'!$C$13</f>
        <v>1.3512408717687046</v>
      </c>
    </row>
    <row r="137" spans="3:8" ht="18.75" x14ac:dyDescent="0.25">
      <c r="C137" s="70">
        <f>-1*TABULATI!S136</f>
        <v>-0.11291433787088119</v>
      </c>
      <c r="F137" s="69">
        <f>-TABULATI!O136/10^6</f>
        <v>-541.9762489098506</v>
      </c>
      <c r="G137" s="69">
        <f>(TABULATI!K136+TABULATI!M136)/10^3</f>
        <v>436.65194334469061</v>
      </c>
      <c r="H137" s="74">
        <f>TABULATI!T136/'DATI nascosti 1'!$C$13</f>
        <v>1.6129880584524305</v>
      </c>
    </row>
    <row r="138" spans="3:8" ht="18.75" x14ac:dyDescent="0.25">
      <c r="C138" s="70">
        <f>-1*TABULATI!S137</f>
        <v>-0.11788199555265173</v>
      </c>
      <c r="F138" s="69">
        <f>-TABULATI!O137/10^6</f>
        <v>-565.82045263987584</v>
      </c>
      <c r="G138" s="69">
        <f>(TABULATI!K137+TABULATI!M137)/10^3</f>
        <v>405.06308440685882</v>
      </c>
      <c r="H138" s="74">
        <f>TABULATI!T137/'DATI nascosti 1'!$C$13</f>
        <v>1.9640420049812006</v>
      </c>
    </row>
    <row r="139" spans="3:8" ht="18.75" x14ac:dyDescent="0.25">
      <c r="C139" s="70">
        <f>-1*TABULATI!S138</f>
        <v>-0.12288335006143994</v>
      </c>
      <c r="F139" s="69">
        <f>-TABULATI!O138/10^6</f>
        <v>-589.82639738748651</v>
      </c>
      <c r="G139" s="69">
        <f>(TABULATI!K138+TABULATI!M138)/10^3</f>
        <v>373.47422546902953</v>
      </c>
      <c r="H139" s="74">
        <f>TABULATI!T138/'DATI nascosti 1'!$C$13</f>
        <v>2.4594763408382385</v>
      </c>
    </row>
    <row r="140" spans="3:8" ht="18.75" x14ac:dyDescent="0.25">
      <c r="C140" s="70">
        <f>-1*TABULATI!S139</f>
        <v>-0.12288335006143987</v>
      </c>
      <c r="F140" s="69">
        <f>-TABULATI!O139/10^6</f>
        <v>-589.82639738748605</v>
      </c>
      <c r="G140" s="69">
        <f>(TABULATI!K139+TABULATI!M139)/10^3</f>
        <v>373.4742254690301</v>
      </c>
      <c r="H140" s="74">
        <f>TABULATI!T139/'DATI nascosti 1'!$C$13</f>
        <v>2.4594763408382296</v>
      </c>
    </row>
    <row r="141" spans="3:8" ht="18.75" x14ac:dyDescent="0.25">
      <c r="C141" s="70">
        <f>-1*TABULATI!S140</f>
        <v>-0.1241065784618406</v>
      </c>
      <c r="F141" s="69">
        <f>-TABULATI!O140/10^6</f>
        <v>-595.69775750445626</v>
      </c>
      <c r="G141" s="69">
        <f>(TABULATI!K140+TABULATI!M140)/10^3</f>
        <v>364.82997690833986</v>
      </c>
      <c r="H141" s="74">
        <f>TABULATI!T140/'DATI nascosti 1'!$C$13</f>
        <v>2.6127636969243069</v>
      </c>
    </row>
    <row r="142" spans="3:8" ht="18.75" x14ac:dyDescent="0.25">
      <c r="C142" s="70">
        <f>-1*TABULATI!S141</f>
        <v>-0.12533320244070625</v>
      </c>
      <c r="F142" s="69">
        <f>-TABULATI!O141/10^6</f>
        <v>-601.58541601996455</v>
      </c>
      <c r="G142" s="69">
        <f>(TABULATI!K141+TABULATI!M141)/10^3</f>
        <v>356.18572834764984</v>
      </c>
      <c r="H142" s="74">
        <f>TABULATI!T141/'DATI nascosti 1'!$C$13</f>
        <v>2.7833520234983298</v>
      </c>
    </row>
    <row r="143" spans="3:8" ht="18.75" x14ac:dyDescent="0.25">
      <c r="C143" s="70">
        <f>-1*TABULATI!S142</f>
        <v>-0.12656331708640839</v>
      </c>
      <c r="F143" s="69">
        <f>-TABULATI!O142/10^6</f>
        <v>-607.4898293476067</v>
      </c>
      <c r="G143" s="69">
        <f>(TABULATI!K142+TABULATI!M142)/10^3</f>
        <v>347.5414797869596</v>
      </c>
      <c r="H143" s="74">
        <f>TABULATI!T142/'DATI nascosti 1'!$C$13</f>
        <v>2.9743615350522328</v>
      </c>
    </row>
    <row r="144" spans="3:8" ht="18.75" x14ac:dyDescent="0.25">
      <c r="C144" s="70">
        <f>-1*TABULATI!S143</f>
        <v>-0.12779702106263682</v>
      </c>
      <c r="F144" s="69">
        <f>-TABULATI!O143/10^6</f>
        <v>-613.41147106210758</v>
      </c>
      <c r="G144" s="69">
        <f>(TABULATI!K143+TABULATI!M143)/10^3</f>
        <v>338.89723122626958</v>
      </c>
      <c r="H144" s="74">
        <f>TABULATI!T143/'DATI nascosti 1'!$C$13</f>
        <v>3.1897113493515961</v>
      </c>
    </row>
    <row r="145" spans="3:8" ht="18.75" x14ac:dyDescent="0.25">
      <c r="C145" s="70">
        <f>-1*TABULATI!S144</f>
        <v>-0.12903441677757754</v>
      </c>
      <c r="F145" s="69">
        <f>-TABULATI!O144/10^6</f>
        <v>-619.35083271135693</v>
      </c>
      <c r="G145" s="69">
        <f>(TABULATI!K144+TABULATI!M144)/10^3</f>
        <v>330.2529826655794</v>
      </c>
      <c r="H145" s="74">
        <f>TABULATI!T144/'DATI nascosti 1'!$C$13</f>
        <v>3.434392693196811</v>
      </c>
    </row>
    <row r="146" spans="3:8" ht="18.75" x14ac:dyDescent="0.25">
      <c r="C146" s="70">
        <f>-1*TABULATI!S145</f>
        <v>-0.13027561056275833</v>
      </c>
      <c r="F146" s="69">
        <f>-TABULATI!O145/10^6</f>
        <v>-625.3084246748482</v>
      </c>
      <c r="G146" s="69">
        <f>(TABULATI!K145+TABULATI!M145)/10^3</f>
        <v>321.60873410488927</v>
      </c>
      <c r="H146" s="74">
        <f>TABULATI!T145/'DATI nascosti 1'!$C$13</f>
        <v>3.7148624568848305</v>
      </c>
    </row>
    <row r="147" spans="3:8" ht="18.75" x14ac:dyDescent="0.25">
      <c r="C147" s="70">
        <f>-1*TABULATI!S146</f>
        <v>-0.13152071286221209</v>
      </c>
      <c r="F147" s="69">
        <f>-TABULATI!O146/10^6</f>
        <v>-631.28477707164154</v>
      </c>
      <c r="G147" s="69">
        <f>(TABULATI!K146+TABULATI!M146)/10^3</f>
        <v>312.96448554419908</v>
      </c>
      <c r="H147" s="74">
        <f>TABULATI!T146/'DATI nascosti 1'!$C$13</f>
        <v>4.0396238481807467</v>
      </c>
    </row>
    <row r="148" spans="3:8" ht="18.75" x14ac:dyDescent="0.25">
      <c r="C148" s="70">
        <f>-1*TABULATI!S147</f>
        <v>-0.13276983843265505</v>
      </c>
      <c r="F148" s="69">
        <f>-TABULATI!O147/10^6</f>
        <v>-637.2804407211969</v>
      </c>
      <c r="G148" s="69">
        <f>(TABULATI!K147+TABULATI!M147)/10^3</f>
        <v>304.32023698350889</v>
      </c>
      <c r="H148" s="74">
        <f>TABULATI!T147/'DATI nascosti 1'!$C$13</f>
        <v>4.4201068497186373</v>
      </c>
    </row>
    <row r="149" spans="3:8" ht="18.75" x14ac:dyDescent="0.25">
      <c r="C149" s="70">
        <f>-1*TABULATI!S148</f>
        <v>-0.13402310655543379</v>
      </c>
      <c r="F149" s="69">
        <f>-TABULATI!O148/10^6</f>
        <v>-643.29598816069608</v>
      </c>
      <c r="G149" s="69">
        <f>(TABULATI!K148+TABULATI!M148)/10^3</f>
        <v>295.6759884228187</v>
      </c>
      <c r="H149" s="74">
        <f>TABULATI!T148/'DATI nascosti 1'!$C$13</f>
        <v>4.8720460776763677</v>
      </c>
    </row>
    <row r="150" spans="3:8" ht="18.75" x14ac:dyDescent="0.25">
      <c r="C150" s="70">
        <f>-1*TABULATI!S149</f>
        <v>-0.13528064126105255</v>
      </c>
      <c r="F150" s="69">
        <f>-TABULATI!O149/10^6</f>
        <v>-649.33201472274857</v>
      </c>
      <c r="G150" s="69">
        <f>(TABULATI!K149+TABULATI!M149)/10^3</f>
        <v>287.03173986212846</v>
      </c>
      <c r="H150" s="74">
        <f>TABULATI!T149/'DATI nascosti 1'!$C$13</f>
        <v>5.4177179504591066</v>
      </c>
    </row>
    <row r="151" spans="3:8" ht="18.75" x14ac:dyDescent="0.25">
      <c r="C151" s="70">
        <f>-1*TABULATI!S150</f>
        <v>-0.13654257156715716</v>
      </c>
      <c r="F151" s="69">
        <f>-TABULATI!O150/10^6</f>
        <v>-655.38913967768849</v>
      </c>
      <c r="G151" s="69">
        <f>(TABULATI!K150+TABULATI!M150)/10^3</f>
        <v>278.38749130143822</v>
      </c>
      <c r="H151" s="74">
        <f>TABULATI!T150/'DATI nascosti 1'!$C$13</f>
        <v>6.0897349277480775</v>
      </c>
    </row>
    <row r="152" spans="3:8" ht="18.75" x14ac:dyDescent="0.25">
      <c r="C152" s="70">
        <f>-1*TABULATI!S151</f>
        <v>-0.13780903173092299</v>
      </c>
      <c r="F152" s="69">
        <f>-TABULATI!O151/10^6</f>
        <v>-661.46800744500831</v>
      </c>
      <c r="G152" s="69">
        <f>(TABULATI!K151+TABULATI!M151)/10^3</f>
        <v>269.74324274074797</v>
      </c>
      <c r="H152" s="74">
        <f>TABULATI!T151/'DATI nascosti 1'!$C$13</f>
        <v>6.9378270715628476</v>
      </c>
    </row>
    <row r="153" spans="3:8" ht="18.75" x14ac:dyDescent="0.25">
      <c r="C153" s="70">
        <f>-1*TABULATI!S152</f>
        <v>-0.13908016151686903</v>
      </c>
      <c r="F153" s="69">
        <f>-TABULATI!O152/10^6</f>
        <v>-667.56928887883646</v>
      </c>
      <c r="G153" s="69">
        <f>(TABULATI!K152+TABULATI!M152)/10^3</f>
        <v>261.09899418005767</v>
      </c>
      <c r="H153" s="74">
        <f>TABULATI!T152/'DATI nascosti 1'!$C$13</f>
        <v>8.0417694038543992</v>
      </c>
    </row>
    <row r="154" spans="3:8" ht="18.75" x14ac:dyDescent="0.25">
      <c r="C154" s="70">
        <f>-1*TABULATI!S153</f>
        <v>-0.14035610648120544</v>
      </c>
      <c r="F154" s="69">
        <f>-TABULATI!O153/10^6</f>
        <v>-673.69368263277443</v>
      </c>
      <c r="G154" s="69">
        <f>(TABULATI!K153+TABULATI!M153)/10^3</f>
        <v>252.45474561936746</v>
      </c>
      <c r="H154" s="74">
        <f>TABULATI!T153/'DATI nascosti 1'!$C$13</f>
        <v>9.5381090391421228</v>
      </c>
    </row>
    <row r="155" spans="3:8" ht="18.75" x14ac:dyDescent="0.25">
      <c r="C155" s="70">
        <f>-1*TABULATI!S154</f>
        <v>-0.14163701827391209</v>
      </c>
      <c r="F155" s="69">
        <f>-TABULATI!O154/10^6</f>
        <v>-679.84191660983947</v>
      </c>
      <c r="G155" s="69">
        <f>(TABULATI!K154+TABULATI!M154)/10^3</f>
        <v>243.8104970586773</v>
      </c>
      <c r="H155" s="74">
        <f>TABULATI!T154/'DATI nascosti 1'!$C$13</f>
        <v>11.681597758401811</v>
      </c>
    </row>
    <row r="156" spans="3:8" ht="18.75" x14ac:dyDescent="0.25">
      <c r="C156" s="70">
        <f>-1*TABULATI!S155</f>
        <v>-0.14292305495984553</v>
      </c>
      <c r="F156" s="69">
        <f>-TABULATI!O155/10^6</f>
        <v>-686.01474950374245</v>
      </c>
      <c r="G156" s="69">
        <f>(TABULATI!K155+TABULATI!M155)/10^3</f>
        <v>235.16624849798694</v>
      </c>
      <c r="H156" s="74">
        <f>TABULATI!T155/'DATI nascosti 1'!$C$13</f>
        <v>15.008427361768925</v>
      </c>
    </row>
    <row r="157" spans="3:8" ht="18.75" x14ac:dyDescent="0.25">
      <c r="C157" s="70">
        <f>-1*TABULATI!S156</f>
        <v>-0.14421438136028095</v>
      </c>
      <c r="F157" s="69">
        <f>-TABULATI!O156/10^6</f>
        <v>-692.21297243825188</v>
      </c>
      <c r="G157" s="69">
        <f>(TABULATI!K156+TABULATI!M156)/10^3</f>
        <v>226.5219999372969</v>
      </c>
      <c r="H157" s="74">
        <f>TABULATI!T156/'DATI nascosti 1'!$C$13</f>
        <v>20.873189227028849</v>
      </c>
    </row>
    <row r="158" spans="3:8" ht="18.75" x14ac:dyDescent="0.25">
      <c r="C158" s="70">
        <f>-1*TABULATI!S157</f>
        <v>-0.14551116941641573</v>
      </c>
      <c r="F158" s="69">
        <f>-TABULATI!O157/10^6</f>
        <v>-698.43741071196985</v>
      </c>
      <c r="G158" s="69">
        <f>(TABULATI!K157+TABULATI!M157)/10^3</f>
        <v>217.87775137660671</v>
      </c>
      <c r="H158" s="74">
        <f>TABULATI!T157/'DATI nascosti 1'!$C$13</f>
        <v>33.973736708599475</v>
      </c>
    </row>
    <row r="159" spans="3:8" ht="18.75" x14ac:dyDescent="0.25">
      <c r="C159" s="70">
        <f>-1*TABULATI!S158</f>
        <v>-0.14681359857649051</v>
      </c>
      <c r="F159" s="69">
        <f>-TABULATI!O158/10^6</f>
        <v>-704.68892565646979</v>
      </c>
      <c r="G159" s="69">
        <f>(TABULATI!K158+TABULATI!M158)/10^3</f>
        <v>209.23350281591638</v>
      </c>
      <c r="H159" s="74">
        <f>TABULATI!T158/'DATI nascosti 1'!$C$13</f>
        <v>89.283371665272568</v>
      </c>
    </row>
    <row r="160" spans="3:8" ht="18.75" x14ac:dyDescent="0.25">
      <c r="C160" s="70">
        <f>-1*TABULATI!S159</f>
        <v>-0.14812185620832846</v>
      </c>
      <c r="F160" s="69">
        <f>-TABULATI!O159/10^6</f>
        <v>-710.96841661644009</v>
      </c>
      <c r="G160" s="69">
        <f>(TABULATI!K159+TABULATI!M159)/10^3</f>
        <v>200.58925425522617</v>
      </c>
      <c r="H160" s="74">
        <f>TABULATI!T159/'DATI nascosti 1'!$C$13</f>
        <v>-147.02602546900388</v>
      </c>
    </row>
    <row r="161" spans="3:8" ht="18.75" x14ac:dyDescent="0.25">
      <c r="C161" s="70">
        <f>-1*TABULATI!S160</f>
        <v>-0.14943613803925182</v>
      </c>
      <c r="F161" s="69">
        <f>-TABULATI!O160/10^6</f>
        <v>-717.27682306123302</v>
      </c>
      <c r="G161" s="69">
        <f>(TABULATI!K160+TABULATI!M160)/10^3</f>
        <v>191.94500569453598</v>
      </c>
      <c r="H161" s="74">
        <f>TABULATI!T160/'DATI nascosti 1'!$C$13</f>
        <v>-40.686753861935941</v>
      </c>
    </row>
    <row r="162" spans="3:8" ht="18.75" x14ac:dyDescent="0.25">
      <c r="C162" s="70">
        <f>-1*TABULATI!S161</f>
        <v>-0.15075664862550489</v>
      </c>
      <c r="F162" s="69">
        <f>-TABULATI!O161/10^6</f>
        <v>-723.6151268380446</v>
      </c>
      <c r="G162" s="69">
        <f>(TABULATI!K161+TABULATI!M161)/10^3</f>
        <v>183.30075713384571</v>
      </c>
      <c r="H162" s="74">
        <f>TABULATI!T161/'DATI nascosti 1'!$C$13</f>
        <v>-23.732573729333694</v>
      </c>
    </row>
    <row r="163" spans="3:8" ht="18.75" x14ac:dyDescent="0.25">
      <c r="C163" s="70">
        <f>-1*TABULATI!S162</f>
        <v>-0.15208360185350728</v>
      </c>
      <c r="F163" s="69">
        <f>-TABULATI!O162/10^6</f>
        <v>-729.98435457787286</v>
      </c>
      <c r="G163" s="69">
        <f>(TABULATI!K162+TABULATI!M162)/10^3</f>
        <v>174.65650857315549</v>
      </c>
      <c r="H163" s="74">
        <f>TABULATI!T162/'DATI nascosti 1'!$C$13</f>
        <v>-16.811579550489185</v>
      </c>
    </row>
    <row r="164" spans="3:8" ht="18.75" x14ac:dyDescent="0.25">
      <c r="C164" s="70">
        <f>-1*TABULATI!S163</f>
        <v>-0.1534172214754671</v>
      </c>
      <c r="F164" s="69">
        <f>-TABULATI!O163/10^6</f>
        <v>-736.38558026640226</v>
      </c>
      <c r="G164" s="69">
        <f>(TABULATI!K163+TABULATI!M163)/10^3</f>
        <v>166.01226001246519</v>
      </c>
      <c r="H164" s="81">
        <f>TABULATI!T163/'DATI nascosti 1'!$C$13</f>
        <v>-13.050635724262023</v>
      </c>
    </row>
    <row r="165" spans="3:8" ht="18.75" x14ac:dyDescent="0.25">
      <c r="C165" s="70">
        <f>-1*TABULATI!S164</f>
        <v>-0.15475774168211714</v>
      </c>
      <c r="F165" s="69">
        <f>-TABULATI!O164/10^6</f>
        <v>-742.81992799307295</v>
      </c>
      <c r="G165" s="69">
        <f>(TABULATI!K164+TABULATI!M164)/10^3</f>
        <v>157.36801145177515</v>
      </c>
      <c r="H165" s="81">
        <f>TABULATI!T164/'DATI nascosti 1'!$C$13</f>
        <v>-10.687391324579794</v>
      </c>
    </row>
    <row r="166" spans="3:8" ht="18.75" x14ac:dyDescent="0.25">
      <c r="C166" s="70">
        <f>-1*TABULATI!S165</f>
        <v>-0.15610540771559114</v>
      </c>
      <c r="F166" s="69">
        <f>-TABULATI!O165/10^6</f>
        <v>-749.28857489281995</v>
      </c>
      <c r="G166" s="69">
        <f>(TABULATI!K165+TABULATI!M165)/10^3</f>
        <v>148.72376289108487</v>
      </c>
      <c r="H166" s="81">
        <f>TABULATI!T165/'DATI nascosti 1'!$C$13</f>
        <v>-9.0645350430035645</v>
      </c>
    </row>
    <row r="167" spans="3:8" ht="18.75" x14ac:dyDescent="0.25">
      <c r="C167" s="70">
        <f>-1*TABULATI!S166</f>
        <v>-0.15746047652573827</v>
      </c>
      <c r="F167" s="69">
        <f>-TABULATI!O166/10^6</f>
        <v>-755.79275429630809</v>
      </c>
      <c r="G167" s="69">
        <f>(TABULATI!K166+TABULATI!M166)/10^3</f>
        <v>140.07951433039452</v>
      </c>
      <c r="H167" s="81">
        <f>TABULATI!T166/'DATI nascosti 1'!$C$13</f>
        <v>-7.8810541905881992</v>
      </c>
    </row>
    <row r="168" spans="3:8" ht="18.75" x14ac:dyDescent="0.25">
      <c r="C168" s="70">
        <f>-1*TABULATI!S167</f>
        <v>-0.15882321747348543</v>
      </c>
      <c r="F168" s="69">
        <f>-TABULATI!O167/10^6</f>
        <v>-762.33375910599329</v>
      </c>
      <c r="G168" s="69">
        <f>(TABULATI!K167+TABULATI!M167)/10^3</f>
        <v>131.4352657697043</v>
      </c>
      <c r="H168" s="81">
        <f>TABULATI!T167/'DATI nascosti 1'!$C$13</f>
        <v>-6.9796287053377943</v>
      </c>
    </row>
    <row r="169" spans="3:8" ht="18.75" x14ac:dyDescent="0.25">
      <c r="C169" s="70">
        <f>-1*TABULATI!S168</f>
        <v>-0.16019391308520031</v>
      </c>
      <c r="F169" s="69">
        <f>-TABULATI!O168/10^6</f>
        <v>-768.91294541698164</v>
      </c>
      <c r="G169" s="69">
        <f>(TABULATI!K168+TABULATI!M168)/10^3</f>
        <v>122.79101720901421</v>
      </c>
      <c r="H169" s="81">
        <f>TABULATI!T168/'DATI nascosti 1'!$C$13</f>
        <v>-6.2700303437130467</v>
      </c>
    </row>
    <row r="170" spans="3:8" ht="18.75" x14ac:dyDescent="0.25">
      <c r="C170" s="70">
        <f>-1*TABULATI!S169</f>
        <v>-0.1615728598623894</v>
      </c>
      <c r="F170" s="69">
        <f>-TABULATI!O169/10^6</f>
        <v>-775.53173640348939</v>
      </c>
      <c r="G170" s="69">
        <f>(TABULATI!K169+TABULATI!M169)/10^3</f>
        <v>114.14676864832384</v>
      </c>
      <c r="H170" s="81">
        <f>TABULATI!T169/'DATI nascosti 1'!$C$13</f>
        <v>-5.6968027017455407</v>
      </c>
    </row>
    <row r="171" spans="3:8" ht="18.75" x14ac:dyDescent="0.25">
      <c r="C171" s="70">
        <f>-1*TABULATI!S170</f>
        <v>-0.16296036915148623</v>
      </c>
      <c r="F171" s="69">
        <f>-TABULATI!O170/10^6</f>
        <v>-782.19162649372925</v>
      </c>
      <c r="G171" s="69">
        <f>(TABULATI!K170+TABULATI!M170)/10^3</f>
        <v>105.50252008763363</v>
      </c>
      <c r="H171" s="81">
        <f>TABULATI!T170/'DATI nascosti 1'!$C$13</f>
        <v>-5.2239826657516408</v>
      </c>
    </row>
    <row r="172" spans="3:8" ht="18.75" x14ac:dyDescent="0.25">
      <c r="C172" s="70">
        <f>-1*TABULATI!S171</f>
        <v>-0.16435676807895544</v>
      </c>
      <c r="F172" s="69">
        <f>-TABULATI!O171/10^6</f>
        <v>-788.89418585830629</v>
      </c>
      <c r="G172" s="69">
        <f>(TABULATI!K171+TABULATI!M171)/10^3</f>
        <v>96.858271526943369</v>
      </c>
      <c r="H172" s="81">
        <f>TABULATI!T171/'DATI nascosti 1'!$C$13</f>
        <v>-4.8272270587423645</v>
      </c>
    </row>
    <row r="173" spans="3:8" ht="18.75" x14ac:dyDescent="0.25">
      <c r="C173" s="70">
        <f>-1*TABULATI!S172</f>
        <v>-0.16576240055745578</v>
      </c>
      <c r="F173" s="69">
        <f>-TABULATI!O172/10^6</f>
        <v>-795.64106523968849</v>
      </c>
      <c r="G173" s="69">
        <f>(TABULATI!K172+TABULATI!M172)/10^3</f>
        <v>88.214022966253111</v>
      </c>
      <c r="H173" s="74">
        <f>TABULATI!T172/'DATI nascosti 1'!$C$13</f>
        <v>-4.4894701169188407</v>
      </c>
    </row>
    <row r="174" spans="3:8" ht="18.75" x14ac:dyDescent="0.25">
      <c r="C174" s="70">
        <f>-1*TABULATI!S173</f>
        <v>-0.16717762836938613</v>
      </c>
      <c r="F174" s="69">
        <f>-TABULATI!O173/10^6</f>
        <v>-802.43400115310635</v>
      </c>
      <c r="G174" s="69">
        <f>(TABULATI!K173+TABULATI!M173)/10^3</f>
        <v>79.569774405563024</v>
      </c>
      <c r="H174" s="74">
        <f>TABULATI!T173/'DATI nascosti 1'!$C$13</f>
        <v>-4.198392951761579</v>
      </c>
    </row>
    <row r="175" spans="3:8" ht="18.75" x14ac:dyDescent="0.25">
      <c r="C175" s="70">
        <f>-1*TABULATI!S174</f>
        <v>-0.16860283233478079</v>
      </c>
      <c r="F175" s="69">
        <f>-TABULATI!O174/10^6</f>
        <v>-809.27482149232071</v>
      </c>
      <c r="G175" s="69">
        <f>(TABULATI!K174+TABULATI!M174)/10^3</f>
        <v>70.925525844872695</v>
      </c>
      <c r="H175" s="74">
        <f>TABULATI!T174/'DATI nascosti 1'!$C$13</f>
        <v>-3.9448802601843576</v>
      </c>
    </row>
    <row r="176" spans="3:8" ht="18.75" x14ac:dyDescent="0.25">
      <c r="C176" s="70">
        <f>-1*TABULATI!S175</f>
        <v>-0.17003841357123836</v>
      </c>
      <c r="F176" s="69">
        <f>-TABULATI!O175/10^6</f>
        <v>-816.16545157714086</v>
      </c>
      <c r="G176" s="69">
        <f>(TABULATI!K175+TABULATI!M175)/10^3</f>
        <v>62.281277284182607</v>
      </c>
      <c r="H176" s="74">
        <f>TABULATI!T175/'DATI nascosti 1'!$C$13</f>
        <v>-3.7220423641825233</v>
      </c>
    </row>
    <row r="177" spans="3:8" ht="18.75" x14ac:dyDescent="0.25">
      <c r="C177" s="70">
        <f>-1*TABULATI!S176</f>
        <v>-0.17148479485436943</v>
      </c>
      <c r="F177" s="69">
        <f>-TABULATI!O176/10^6</f>
        <v>-823.10792068342209</v>
      </c>
      <c r="G177" s="69">
        <f>(TABULATI!K176+TABULATI!M176)/10^3</f>
        <v>53.637028723492406</v>
      </c>
      <c r="H177" s="74">
        <f>TABULATI!T176/'DATI nascosti 1'!$C$13</f>
        <v>-3.5245748777857626</v>
      </c>
    </row>
    <row r="178" spans="3:8" ht="18.75" x14ac:dyDescent="0.25">
      <c r="C178" s="70">
        <f>-1*TABULATI!S177</f>
        <v>-0.17294242208814101</v>
      </c>
      <c r="F178" s="69">
        <f>-TABULATI!O177/10^6</f>
        <v>-830.10436910055523</v>
      </c>
      <c r="G178" s="69">
        <f>(TABULATI!K177+TABULATI!M177)/10^3</f>
        <v>44.992780162802084</v>
      </c>
      <c r="H178" s="74">
        <f>TABULATI!T177/'DATI nascosti 1'!$C$13</f>
        <v>-3.3483274114655868</v>
      </c>
    </row>
    <row r="179" spans="3:8" ht="18.75" x14ac:dyDescent="0.25">
      <c r="C179" s="70">
        <f>-1*TABULATI!S178</f>
        <v>-0.17441176589549612</v>
      </c>
      <c r="F179" s="69">
        <f>-TABULATI!O178/10^6</f>
        <v>-837.15705576626351</v>
      </c>
      <c r="G179" s="69">
        <f>(TABULATI!K178+TABULATI!M178)/10^3</f>
        <v>36.348531602111876</v>
      </c>
      <c r="H179" s="74">
        <f>TABULATI!T178/'DATI nascosti 1'!$C$13</f>
        <v>-3.1900058074648712</v>
      </c>
    </row>
    <row r="180" spans="3:8" ht="18.75" x14ac:dyDescent="0.25">
      <c r="C180" s="70">
        <f>-1*TABULATI!S179</f>
        <v>-0.17589332334074473</v>
      </c>
      <c r="F180" s="69">
        <f>-TABULATI!O179/10^6</f>
        <v>-844.26836653388716</v>
      </c>
      <c r="G180" s="69">
        <f>(TABULATI!K179+TABULATI!M179)/10^3</f>
        <v>27.704283041421789</v>
      </c>
      <c r="H180" s="74">
        <f>TABULATI!T179/'DATI nascosti 1'!$C$13</f>
        <v>-3.0469620399554578</v>
      </c>
    </row>
    <row r="181" spans="3:8" ht="18.75" x14ac:dyDescent="0.25">
      <c r="C181" s="70">
        <f>-1*TABULATI!S180</f>
        <v>-0.17738761979647583</v>
      </c>
      <c r="F181" s="69">
        <f>-TABULATI!O180/10^6</f>
        <v>-851.440823133354</v>
      </c>
      <c r="G181" s="69">
        <f>(TABULATI!K180+TABULATI!M180)/10^3</f>
        <v>19.060034480731353</v>
      </c>
      <c r="H181" s="74">
        <f>TABULATI!T180/'DATI nascosti 1'!$C$13</f>
        <v>-2.917043076702805</v>
      </c>
    </row>
    <row r="182" spans="3:8" ht="18.75" x14ac:dyDescent="0.25">
      <c r="C182" s="70">
        <f>-1*TABULATI!S181</f>
        <v>-0.17889521096914573</v>
      </c>
      <c r="F182" s="69">
        <f>-TABULATI!O181/10^6</f>
        <v>-858.67709289377706</v>
      </c>
      <c r="G182" s="69">
        <f>(TABULATI!K181+TABULATI!M181)/10^3</f>
        <v>10.415785920041147</v>
      </c>
      <c r="H182" s="74">
        <f>TABULATI!T181/'DATI nascosti 1'!$C$13</f>
        <v>-2.7984802595579348</v>
      </c>
    </row>
    <row r="183" spans="3:8" ht="18.75" x14ac:dyDescent="0.25">
      <c r="C183" s="70">
        <f>-1*TABULATI!S182</f>
        <v>-0.18041668509907705</v>
      </c>
      <c r="F183" s="69">
        <f>-TABULATI!O182/10^6</f>
        <v>-865.97999930320475</v>
      </c>
      <c r="G183" s="69">
        <f>(TABULATI!K182+TABULATI!M182)/10^3</f>
        <v>1.7715373593509429</v>
      </c>
      <c r="H183" s="74">
        <f>TABULATI!T182/'DATI nascosti 1'!$C$13</f>
        <v>-2.6898070718443323</v>
      </c>
    </row>
    <row r="184" spans="3:8" ht="18.75" x14ac:dyDescent="0.25">
      <c r="C184" s="70">
        <f>-1*TABULATI!S183</f>
        <v>-0.18112577310400263</v>
      </c>
      <c r="F184" s="69">
        <f>-TABULATI!O183/10^6</f>
        <v>-869.38354277078452</v>
      </c>
      <c r="G184" s="69">
        <f>(TABULATI!K183+TABULATI!M183)/10^3</f>
        <v>0</v>
      </c>
      <c r="H184" s="74">
        <f>TABULATI!T183/'DATI nascosti 1'!$C$13</f>
        <v>-2.6401745044218736</v>
      </c>
    </row>
    <row r="185" spans="3:8" ht="18.75" x14ac:dyDescent="0.25">
      <c r="C185" s="70">
        <f>-1*TABULATI!S184</f>
        <v>-0.18163688489456109</v>
      </c>
      <c r="F185" s="69">
        <f>-TABULATI!O184/10^6</f>
        <v>-871.83682245380612</v>
      </c>
      <c r="G185" s="69">
        <f>(TABULATI!K184+TABULATI!M184)/10^3</f>
        <v>0</v>
      </c>
      <c r="H185" s="74">
        <f>TABULATI!T184/'DATI nascosti 1'!$C$13</f>
        <v>-2.6043523937087798</v>
      </c>
    </row>
    <row r="186" spans="3:8" ht="18.75" x14ac:dyDescent="0.25">
      <c r="C186" s="70">
        <f>-1*TABULATI!S185</f>
        <v>-0.18216386456459385</v>
      </c>
      <c r="F186" s="69">
        <f>-TABULATI!O185/10^6</f>
        <v>-874.3662661914359</v>
      </c>
      <c r="G186" s="69">
        <f>(TABULATI!K185+TABULATI!M185)/10^3</f>
        <v>0</v>
      </c>
      <c r="H186" s="74">
        <f>TABULATI!T185/'DATI nascosti 1'!$C$13</f>
        <v>-2.5685104903607732</v>
      </c>
    </row>
    <row r="187" spans="3:8" ht="18.75" x14ac:dyDescent="0.25">
      <c r="C187" s="70">
        <f>-1*TABULATI!S186</f>
        <v>-0.18270745663461035</v>
      </c>
      <c r="F187" s="69">
        <f>-TABULATI!O186/10^6</f>
        <v>-876.97544759921755</v>
      </c>
      <c r="G187" s="69">
        <f>(TABULATI!K186+TABULATI!M186)/10^3</f>
        <v>0</v>
      </c>
      <c r="H187" s="74">
        <f>TABULATI!T186/'DATI nascosti 1'!$C$13</f>
        <v>-2.5326477738791708</v>
      </c>
    </row>
    <row r="188" spans="3:8" ht="18.75" x14ac:dyDescent="0.25">
      <c r="C188" s="70">
        <f>-1*TABULATI!S187</f>
        <v>-0.18326845246336559</v>
      </c>
      <c r="F188" s="69">
        <f>-TABULATI!O187/10^6</f>
        <v>-879.66816511105844</v>
      </c>
      <c r="G188" s="69">
        <f>(TABULATI!K187+TABULATI!M187)/10^3</f>
        <v>0</v>
      </c>
      <c r="H188" s="74">
        <f>TABULATI!T187/'DATI nascosti 1'!$C$13</f>
        <v>-2.4967631523832621</v>
      </c>
    </row>
    <row r="189" spans="3:8" ht="18.75" x14ac:dyDescent="0.25">
      <c r="C189" s="70">
        <f>-1*TABULATI!S188</f>
        <v>-0.18384769394148318</v>
      </c>
      <c r="F189" s="69">
        <f>-TABULATI!O188/10^6</f>
        <v>-882.44845970820836</v>
      </c>
      <c r="G189" s="69">
        <f>(TABULATI!K188+TABULATI!M188)/10^3</f>
        <v>0</v>
      </c>
      <c r="H189" s="74">
        <f>TABULATI!T188/'DATI nascosti 1'!$C$13</f>
        <v>-2.4608554562579101</v>
      </c>
    </row>
    <row r="190" spans="3:8" ht="18.75" x14ac:dyDescent="0.25">
      <c r="C190" s="70">
        <f>-1*TABULATI!S189</f>
        <v>-0.18444607753413284</v>
      </c>
      <c r="F190" s="69">
        <f>-TABULATI!O189/10^6</f>
        <v>-885.32063432366158</v>
      </c>
      <c r="G190" s="69">
        <f>(TABULATI!K189+TABULATI!M189)/10^3</f>
        <v>0</v>
      </c>
      <c r="H190" s="74">
        <f>TABULATI!T189/'DATI nascosti 1'!$C$13</f>
        <v>-2.4249234311105097</v>
      </c>
    </row>
    <row r="191" spans="3:8" ht="18.75" x14ac:dyDescent="0.25">
      <c r="C191" s="70">
        <f>-1*TABULATI!S190</f>
        <v>-0.18506455871094427</v>
      </c>
      <c r="F191" s="69">
        <f>-TABULATI!O190/10^6</f>
        <v>-888.28927510525057</v>
      </c>
      <c r="G191" s="69">
        <f>(TABULATI!K190+TABULATI!M190)/10^3</f>
        <v>0</v>
      </c>
      <c r="H191" s="74">
        <f>TABULATI!T190/'DATI nascosti 1'!$C$13</f>
        <v>-2.3889657299480413</v>
      </c>
    </row>
    <row r="192" spans="3:8" ht="18.75" x14ac:dyDescent="0.25">
      <c r="C192" s="70">
        <f>-1*TABULATI!S191</f>
        <v>-0.18570415680602276</v>
      </c>
      <c r="F192" s="69">
        <f>-TABULATI!O191/10^6</f>
        <v>-891.35927474317884</v>
      </c>
      <c r="G192" s="69">
        <f>(TABULATI!K191+TABULATI!M191)/10^3</f>
        <v>0</v>
      </c>
      <c r="H192" s="74">
        <f>TABULATI!T191/'DATI nascosti 1'!$C$13</f>
        <v>-2.3529809044716039</v>
      </c>
    </row>
    <row r="193" spans="3:8" ht="18.75" x14ac:dyDescent="0.25">
      <c r="C193" s="70">
        <f>-1*TABULATI!S192</f>
        <v>-0.18636596035623665</v>
      </c>
      <c r="F193" s="69">
        <f>-TABULATI!O192/10^6</f>
        <v>-894.53585809320748</v>
      </c>
      <c r="G193" s="69">
        <f>(TABULATI!K192+TABULATI!M192)/10^3</f>
        <v>0</v>
      </c>
      <c r="H193" s="74">
        <f>TABULATI!T192/'DATI nascosti 1'!$C$13</f>
        <v>-2.316967395370034</v>
      </c>
    </row>
    <row r="194" spans="3:8" ht="18.75" x14ac:dyDescent="0.25">
      <c r="C194" s="70">
        <f>-1*TABULATI!S193</f>
        <v>-0.18705113297196005</v>
      </c>
      <c r="F194" s="69">
        <f>-TABULATI!O193/10^6</f>
        <v>-897.8246103555656</v>
      </c>
      <c r="G194" s="69">
        <f>(TABULATI!K193+TABULATI!M193)/10^3</f>
        <v>0</v>
      </c>
      <c r="H194" s="74">
        <f>TABULATI!T193/'DATI nascosti 1'!$C$13</f>
        <v>-2.2809235214757226</v>
      </c>
    </row>
    <row r="195" spans="3:8" ht="18.75" x14ac:dyDescent="0.25">
      <c r="C195" s="70">
        <f>-1*TABULATI!S194</f>
        <v>-0.18776091980126425</v>
      </c>
      <c r="F195" s="69">
        <f>-TABULATI!O194/10^6</f>
        <v>-901.23150810234949</v>
      </c>
      <c r="G195" s="69">
        <f>(TABULATI!K194+TABULATI!M194)/10^3</f>
        <v>0</v>
      </c>
      <c r="H195" s="74">
        <f>TABULATI!T194/'DATI nascosti 1'!$C$13</f>
        <v>-2.2448474676239378</v>
      </c>
    </row>
    <row r="196" spans="3:8" ht="18.75" x14ac:dyDescent="0.25">
      <c r="C196" s="70">
        <f>-1*TABULATI!S195</f>
        <v>-0.18849665465627097</v>
      </c>
      <c r="F196" s="69">
        <f>-TABULATI!O195/10^6</f>
        <v>-904.76295348322537</v>
      </c>
      <c r="G196" s="69">
        <f>(TABULATI!K195+TABULATI!M195)/10^3</f>
        <v>0</v>
      </c>
      <c r="H196" s="74">
        <f>TABULATI!T195/'DATI nascosti 1'!$C$13</f>
        <v>-2.2087372710311262</v>
      </c>
    </row>
    <row r="197" spans="3:8" ht="18.75" x14ac:dyDescent="0.25">
      <c r="C197" s="70">
        <f>-1*TABULATI!S196</f>
        <v>-0.18925976787911869</v>
      </c>
      <c r="F197" s="69">
        <f>-TABULATI!O196/10^6</f>
        <v>-908.42581198119092</v>
      </c>
      <c r="G197" s="69">
        <f>(TABULATI!K196+TABULATI!M196)/10^3</f>
        <v>0</v>
      </c>
      <c r="H197" s="74">
        <f>TABULATI!T196/'DATI nascosti 1'!$C$13</f>
        <v>-2.172590805977058</v>
      </c>
    </row>
    <row r="198" spans="3:8" ht="18.75" x14ac:dyDescent="0.25">
      <c r="C198" s="70">
        <f>-1*TABULATI!S197</f>
        <v>-0.19005179503488054</v>
      </c>
      <c r="F198" s="69">
        <f>-TABULATI!O197/10^6</f>
        <v>-912.22745413761402</v>
      </c>
      <c r="G198" s="69">
        <f>(TABULATI!K197+TABULATI!M197)/10^3</f>
        <v>0</v>
      </c>
      <c r="H198" s="74">
        <f>TABULATI!T197/'DATI nascosti 1'!$C$13</f>
        <v>-2.1364057665391547</v>
      </c>
    </row>
    <row r="199" spans="3:8" ht="18.75" x14ac:dyDescent="0.25">
      <c r="C199" s="70">
        <f>-1*TABULATI!S198</f>
        <v>-0.19087438652993891</v>
      </c>
      <c r="F199" s="69">
        <f>-TABULATI!O198/10^6</f>
        <v>-916.17580171935936</v>
      </c>
      <c r="G199" s="69">
        <f>(TABULATI!K198+TABULATI!M198)/10^3</f>
        <v>0</v>
      </c>
      <c r="H199" s="74">
        <f>TABULATI!T198/'DATI nascosti 1'!$C$13</f>
        <v>-2.1001796470838263</v>
      </c>
    </row>
    <row r="200" spans="3:8" ht="18.75" x14ac:dyDescent="0.25">
      <c r="C200" s="70">
        <f>-1*TABULATI!S199</f>
        <v>-0.19172931826690684</v>
      </c>
      <c r="F200" s="69">
        <f>-TABULATI!O199/10^6</f>
        <v>-920.27937886122527</v>
      </c>
      <c r="G200" s="69">
        <f>(TABULATI!K199+TABULATI!M199)/10^3</f>
        <v>0</v>
      </c>
      <c r="H200" s="74">
        <f>TABULATI!T199/'DATI nascosti 1'!$C$13</f>
        <v>-2.0639097201672896</v>
      </c>
    </row>
    <row r="201" spans="3:8" ht="18.75" x14ac:dyDescent="0.25">
      <c r="C201" s="70">
        <f>-1*TABULATI!S200</f>
        <v>-0.19261850346132328</v>
      </c>
      <c r="F201" s="69">
        <f>-TABULATI!O200/10^6</f>
        <v>-924.54736878476433</v>
      </c>
      <c r="G201" s="69">
        <f>(TABULATI!K200+TABULATI!M200)/10^3</f>
        <v>0</v>
      </c>
      <c r="H201" s="74">
        <f>TABULATI!T200/'DATI nascosti 1'!$C$13</f>
        <v>-2.0275930114355156</v>
      </c>
    </row>
    <row r="202" spans="3:8" ht="18.75" x14ac:dyDescent="0.25">
      <c r="C202" s="70">
        <f>-1*TABULATI!S201</f>
        <v>-0.19354400576115738</v>
      </c>
      <c r="F202" s="69">
        <f>-TABULATI!O201/10^6</f>
        <v>-928.98967677044379</v>
      </c>
      <c r="G202" s="69">
        <f>(TABULATI!K201+TABULATI!M201)/10^3</f>
        <v>0</v>
      </c>
      <c r="H202" s="74">
        <f>TABULATI!T201/'DATI nascosti 1'!$C$13</f>
        <v>-1.9912262710368471</v>
      </c>
    </row>
    <row r="203" spans="3:8" ht="18.75" x14ac:dyDescent="0.25">
      <c r="C203" s="70">
        <f>-1*TABULATI!S202</f>
        <v>-0.19450805382772474</v>
      </c>
      <c r="F203" s="69">
        <f>-TABULATI!O202/10^6</f>
        <v>-933.61700014441988</v>
      </c>
      <c r="G203" s="69">
        <f>(TABULATI!K202+TABULATI!M202)/10^3</f>
        <v>0</v>
      </c>
      <c r="H203" s="74">
        <f>TABULATI!T202/'DATI nascosti 1'!$C$13</f>
        <v>-1.954805940968632</v>
      </c>
    </row>
    <row r="204" spans="3:8" ht="18.75" x14ac:dyDescent="0.25">
      <c r="C204" s="70">
        <f>-1*TABULATI!S203</f>
        <v>-0.19551305755597023</v>
      </c>
      <c r="F204" s="69">
        <f>-TABULATI!O203/10^6</f>
        <v>-938.44090613408935</v>
      </c>
      <c r="G204" s="69">
        <f>(TABULATI!K203+TABULATI!M203)/10^3</f>
        <v>0</v>
      </c>
      <c r="H204" s="74">
        <f>TABULATI!T203/'DATI nascosti 1'!$C$13</f>
        <v>-1.9183281176668128</v>
      </c>
    </row>
    <row r="205" spans="3:8" ht="18.75" x14ac:dyDescent="0.25">
      <c r="C205" s="70">
        <f>-1*TABULATI!S204</f>
        <v>-0.19656162613312839</v>
      </c>
      <c r="F205" s="69">
        <f>-TABULATI!O204/10^6</f>
        <v>-943.47391854764817</v>
      </c>
      <c r="G205" s="69">
        <f>(TABULATI!K204+TABULATI!M204)/10^3</f>
        <v>0</v>
      </c>
      <c r="H205" s="74">
        <f>TABULATI!T204/'DATI nascosti 1'!$C$13</f>
        <v>-1.8817885090098017</v>
      </c>
    </row>
    <row r="206" spans="3:8" ht="18.75" x14ac:dyDescent="0.25">
      <c r="C206" s="70">
        <f>-1*TABULATI!S205</f>
        <v>-0.19765658815727935</v>
      </c>
      <c r="F206" s="69">
        <f>-TABULATI!O205/10^6</f>
        <v>-948.72961434092008</v>
      </c>
      <c r="G206" s="69">
        <f>(TABULATI!K205+TABULATI!M205)/10^3</f>
        <v>0</v>
      </c>
      <c r="H206" s="74">
        <f>TABULATI!T205/'DATI nascosti 1'!$C$13</f>
        <v>-1.8451823847388353</v>
      </c>
    </row>
    <row r="207" spans="3:8" ht="18.75" x14ac:dyDescent="0.25">
      <c r="C207" s="70">
        <f>-1*TABULATI!S206</f>
        <v>-0.19880101406074918</v>
      </c>
      <c r="F207" s="69">
        <f>-TABULATI!O206/10^6</f>
        <v>-954.22273124718151</v>
      </c>
      <c r="G207" s="69">
        <f>(TABULATI!K206+TABULATI!M206)/10^3</f>
        <v>0</v>
      </c>
      <c r="H207" s="74">
        <f>TABULATI!T206/'DATI nascosti 1'!$C$13</f>
        <v>-1.8085045190879321</v>
      </c>
    </row>
    <row r="208" spans="3:8" ht="18.75" x14ac:dyDescent="0.25">
      <c r="C208" s="70">
        <f>-1*TABULATI!S207</f>
        <v>-0.1999982411066904</v>
      </c>
      <c r="F208" s="69">
        <f>-TABULATI!O207/10^6</f>
        <v>-959.96928775796425</v>
      </c>
      <c r="G208" s="69">
        <f>(TABULATI!K207+TABULATI!M207)/10^3</f>
        <v>0</v>
      </c>
      <c r="H208" s="74">
        <f>TABULATI!T207/'DATI nascosti 1'!$C$13</f>
        <v>-1.771749124156915</v>
      </c>
    </row>
    <row r="209" spans="3:8" ht="18.75" x14ac:dyDescent="0.25">
      <c r="C209" s="70">
        <f>-1*TABULATI!S208</f>
        <v>-0.20125190124889406</v>
      </c>
      <c r="F209" s="69">
        <f>-TABULATI!O208/10^6</f>
        <v>-965.98671684705209</v>
      </c>
      <c r="G209" s="69">
        <f>(TABULATI!K208+TABULATI!M208)/10^3</f>
        <v>0</v>
      </c>
      <c r="H209" s="74">
        <f>TABULATI!T208/'DATI nascosti 1'!$C$13</f>
        <v>-1.734909772236789</v>
      </c>
    </row>
    <row r="210" spans="3:8" ht="18.75" x14ac:dyDescent="0.25">
      <c r="C210" s="70">
        <f>-1*TABULATI!S209</f>
        <v>-0.20256595216226039</v>
      </c>
      <c r="F210" s="69">
        <f>-TABULATI!O209/10^6</f>
        <v>-972.29401491328383</v>
      </c>
      <c r="G210" s="69">
        <f>(TABULATI!K209+TABULATI!M209)/10^3</f>
        <v>0</v>
      </c>
      <c r="H210" s="74">
        <f>TABULATI!T209/'DATI nascosti 1'!$C$13</f>
        <v>-1.6979793048895349</v>
      </c>
    </row>
    <row r="211" spans="3:8" ht="18.75" x14ac:dyDescent="0.25">
      <c r="C211" s="70">
        <f>-1*TABULATI!S210</f>
        <v>-0.20394471176014051</v>
      </c>
      <c r="F211" s="69">
        <f>-TABULATI!O210/10^6</f>
        <v>-978.91190745995073</v>
      </c>
      <c r="G211" s="69">
        <f>(TABULATI!K210+TABULATI!M210)/10^3</f>
        <v>0</v>
      </c>
      <c r="H211" s="74">
        <f>TABULATI!T210/'DATI nascosti 1'!$C$13</f>
        <v>-1.6609497260700854</v>
      </c>
    </row>
    <row r="212" spans="3:8" ht="18.75" x14ac:dyDescent="0.25">
      <c r="C212" s="70">
        <f>-1*TABULATI!S211</f>
        <v>-0.20539289650829076</v>
      </c>
      <c r="F212" s="69">
        <f>-TABULATI!O211/10^6</f>
        <v>-985.86303299751046</v>
      </c>
      <c r="G212" s="69">
        <f>(TABULATI!K211+TABULATI!M211)/10^3</f>
        <v>0</v>
      </c>
      <c r="H212" s="74">
        <f>TABULATI!T211/'DATI nascosti 1'!$C$13</f>
        <v>-1.6238120759243684</v>
      </c>
    </row>
    <row r="213" spans="3:8" ht="18.75" x14ac:dyDescent="0.25">
      <c r="C213" s="70">
        <f>-1*TABULATI!S212</f>
        <v>-0.20691566381304857</v>
      </c>
      <c r="F213" s="69">
        <f>-TABULATI!O212/10^6</f>
        <v>-993.1721465021119</v>
      </c>
      <c r="G213" s="69">
        <f>(TABULATI!K212+TABULATI!M212)/10^3</f>
        <v>0</v>
      </c>
      <c r="H213" s="74">
        <f>TABULATI!T212/'DATI nascosti 1'!$C$13</f>
        <v>-1.5865562810606393</v>
      </c>
    </row>
    <row r="214" spans="3:8" ht="18.75" x14ac:dyDescent="0.25">
      <c r="C214" s="70">
        <f>-1*TABULATI!S213</f>
        <v>-0.20851865868743907</v>
      </c>
      <c r="F214" s="69">
        <f>-TABULATI!O213/10^6</f>
        <v>-1000.8663434077108</v>
      </c>
      <c r="G214" s="69">
        <f>(TABULATI!K213+TABULATI!M213)/10^3</f>
        <v>0</v>
      </c>
      <c r="H214" s="74">
        <f>TABULATI!T213/'DATI nascosti 1'!$C$13</f>
        <v>-1.5491709760131496</v>
      </c>
    </row>
    <row r="215" spans="3:8" ht="18.75" x14ac:dyDescent="0.25">
      <c r="C215" s="70">
        <f>-1*TABULATI!S214</f>
        <v>-0.21020806475827911</v>
      </c>
      <c r="F215" s="69">
        <f>-TABULATI!O214/10^6</f>
        <v>-1008.9753044344887</v>
      </c>
      <c r="G215" s="69">
        <f>(TABULATI!K214+TABULATI!M214)/10^3</f>
        <v>0</v>
      </c>
      <c r="H215" s="74">
        <f>TABULATI!T214/'DATI nascosti 1'!$C$13</f>
        <v>-1.5116432892176246</v>
      </c>
    </row>
    <row r="216" spans="3:8" ht="18.75" x14ac:dyDescent="0.25">
      <c r="C216" s="70">
        <f>-1*TABULATI!S215</f>
        <v>-0.21199065943126066</v>
      </c>
      <c r="F216" s="69">
        <f>-TABULATI!O215/10^6</f>
        <v>-1017.5315603751117</v>
      </c>
      <c r="G216" s="69">
        <f>(TABULATI!K215+TABULATI!M215)/10^3</f>
        <v>0</v>
      </c>
      <c r="H216" s="74">
        <f>TABULATI!T215/'DATI nascosti 1'!$C$13</f>
        <v>-1.4739585849867651</v>
      </c>
    </row>
    <row r="217" spans="3:8" ht="18.75" x14ac:dyDescent="0.25">
      <c r="C217" s="70">
        <f>-1*TABULATI!S216</f>
        <v>-0.21387387261924867</v>
      </c>
      <c r="F217" s="69">
        <f>-TABULATI!O216/10^6</f>
        <v>-1026.5707739840195</v>
      </c>
      <c r="G217" s="69">
        <f>(TABULATI!K216+TABULATI!M216)/10^3</f>
        <v>0</v>
      </c>
      <c r="H217" s="74">
        <f>TABULATI!T216/'DATI nascosti 1'!$C$13</f>
        <v>-1.4361001505580724</v>
      </c>
    </row>
    <row r="218" spans="3:8" ht="18.75" x14ac:dyDescent="0.25">
      <c r="C218" s="70">
        <f>-1*TABULATI!S217</f>
        <v>-0.21586584776746714</v>
      </c>
      <c r="F218" s="69">
        <f>-TABULATI!O217/10^6</f>
        <v>-1036.1320328915256</v>
      </c>
      <c r="G218" s="69">
        <f>(TABULATI!K217+TABULATI!M217)/10^3</f>
        <v>0</v>
      </c>
      <c r="H218" s="74">
        <f>TABULATI!T217/'DATI nascosti 1'!$C$13</f>
        <v>-1.3980488140704779</v>
      </c>
    </row>
    <row r="219" spans="3:8" ht="18.75" x14ac:dyDescent="0.25">
      <c r="C219" s="70">
        <f>-1*TABULATI!S218</f>
        <v>-0.21797550282968961</v>
      </c>
      <c r="F219" s="69">
        <f>-TABULATI!O218/10^6</f>
        <v>-1046.2581422827391</v>
      </c>
      <c r="G219" s="69">
        <f>(TABULATI!K218+TABULATI!M218)/10^3</f>
        <v>0</v>
      </c>
      <c r="H219" s="74">
        <f>TABULATI!T218/'DATI nascosti 1'!$C$13</f>
        <v>-1.3597824750052099</v>
      </c>
    </row>
    <row r="220" spans="3:8" ht="18.75" x14ac:dyDescent="0.25">
      <c r="C220" s="70">
        <f>-1*TABULATI!S219</f>
        <v>-0.22021258712685104</v>
      </c>
      <c r="F220" s="69">
        <f>-TABULATI!O219/10^6</f>
        <v>-1056.995897812574</v>
      </c>
      <c r="G220" s="69">
        <f>(TABULATI!K219+TABULATI!M219)/10^3</f>
        <v>0</v>
      </c>
      <c r="H220" s="74">
        <f>TABULATI!T219/'DATI nascosti 1'!$C$13</f>
        <v>-1.3212755227611055</v>
      </c>
    </row>
    <row r="221" spans="3:8" ht="18.75" x14ac:dyDescent="0.25">
      <c r="C221" s="70">
        <f>-1*TABULATI!S220</f>
        <v>-0.22258772727692125</v>
      </c>
      <c r="F221" s="69">
        <f>-TABULATI!O220/10^6</f>
        <v>-1068.3963060640242</v>
      </c>
      <c r="G221" s="69">
        <f>(TABULATI!K220+TABULATI!M220)/10^3</f>
        <v>0</v>
      </c>
      <c r="H221" s="74">
        <f>TABULATI!T220/'DATI nascosti 1'!$C$13</f>
        <v>-1.2824981109867308</v>
      </c>
    </row>
    <row r="222" spans="3:8" ht="18.75" x14ac:dyDescent="0.25">
      <c r="C222" s="70">
        <f>-1*TABULATI!S221</f>
        <v>-0.22511245101211583</v>
      </c>
      <c r="F222" s="69">
        <f>-TABULATI!O221/10^6</f>
        <v>-1080.5146988681261</v>
      </c>
      <c r="G222" s="69">
        <f>(TABULATI!K221+TABULATI!M221)/10^3</f>
        <v>0</v>
      </c>
      <c r="H222" s="74">
        <f>TABULATI!T221/'DATI nascosti 1'!$C$13</f>
        <v>-1.2434152441198629</v>
      </c>
    </row>
    <row r="223" spans="3:8" ht="18.75" x14ac:dyDescent="0.25">
      <c r="C223" s="70">
        <f>-1*TABULATI!S222</f>
        <v>-0.22779917069532554</v>
      </c>
      <c r="F223" s="69">
        <f>-TABULATI!O222/10^6</f>
        <v>-1093.4106541846545</v>
      </c>
      <c r="G223" s="69">
        <f>(TABULATI!K222+TABULATI!M222)/10^3</f>
        <v>0</v>
      </c>
      <c r="H223" s="74">
        <f>TABULATI!T222/'DATI nascosti 1'!$C$13</f>
        <v>-1.2039856168808816</v>
      </c>
    </row>
    <row r="224" spans="3:8" ht="18.75" x14ac:dyDescent="0.25">
      <c r="C224" s="70">
        <f>-1*TABULATI!S223</f>
        <v>-0.23066109704604598</v>
      </c>
      <c r="F224" s="69">
        <f>-TABULATI!O223/10^6</f>
        <v>-1107.1475819961909</v>
      </c>
      <c r="G224" s="69">
        <f>(TABULATI!K223+TABULATI!M223)/10^3</f>
        <v>0</v>
      </c>
      <c r="H224" s="74">
        <f>TABULATI!T223/'DATI nascosti 1'!$C$13</f>
        <v>-1.1641601250912197</v>
      </c>
    </row>
    <row r="225" spans="3:8" ht="18.75" x14ac:dyDescent="0.25">
      <c r="C225" s="70">
        <f>-1*TABULATI!S224</f>
        <v>-0.23371203517079003</v>
      </c>
      <c r="F225" s="69">
        <f>-TABULATI!O224/10^6</f>
        <v>-1121.7917452768156</v>
      </c>
      <c r="G225" s="69">
        <f>(TABULATI!K224+TABULATI!M224)/10^3</f>
        <v>0</v>
      </c>
      <c r="H225" s="74">
        <f>TABULATI!T224/'DATI nascosti 1'!$C$13</f>
        <v>-1.1238799338360039</v>
      </c>
    </row>
    <row r="226" spans="3:8" ht="18.75" x14ac:dyDescent="0.25">
      <c r="C226" s="70">
        <f>-1*TABULATI!S225</f>
        <v>-0.23696598461831481</v>
      </c>
      <c r="F226" s="69">
        <f>-TABULATI!O225/10^6</f>
        <v>-1137.4103403017311</v>
      </c>
      <c r="G226" s="69">
        <f>(TABULATI!K225+TABULATI!M225)/10^3</f>
        <v>0</v>
      </c>
      <c r="H226" s="74">
        <f>TABULATI!T225/'DATI nascosti 1'!$C$13</f>
        <v>-1.0830739414613555</v>
      </c>
    </row>
    <row r="227" spans="3:8" ht="18.75" x14ac:dyDescent="0.25">
      <c r="C227" s="70">
        <f>-1*TABULATI!S226</f>
        <v>-0.24043641434321206</v>
      </c>
      <c r="F227" s="69">
        <f>-TABULATI!O226/10^6</f>
        <v>-1154.068016553226</v>
      </c>
      <c r="G227" s="69">
        <f>(TABULATI!K226+TABULATI!M226)/10^3</f>
        <v>0</v>
      </c>
      <c r="H227" s="74">
        <f>TABULATI!T226/'DATI nascosti 1'!$C$13</f>
        <v>-1.0416554068457384</v>
      </c>
    </row>
    <row r="228" spans="3:8" ht="18.75" x14ac:dyDescent="0.25">
      <c r="C228" s="70">
        <f>-1*TABULATI!S227</f>
        <v>-0.24413499691242524</v>
      </c>
      <c r="F228" s="69">
        <f>-TABULATI!O227/10^6</f>
        <v>-1171.8208010529033</v>
      </c>
      <c r="G228" s="69">
        <f>(TABULATI!K227+TABULATI!M227)/10^3</f>
        <v>0</v>
      </c>
      <c r="H228" s="74">
        <f>TABULATI!T227/'DATI nascosti 1'!$C$13</f>
        <v>-0.99951739912381055</v>
      </c>
    </row>
    <row r="229" spans="3:8" ht="18.75" x14ac:dyDescent="0.25">
      <c r="C229" s="70">
        <f>-1*TABULATI!S228</f>
        <v>-0.24806943600097142</v>
      </c>
      <c r="F229" s="69">
        <f>-TABULATI!O228/10^6</f>
        <v>-1190.7056705830507</v>
      </c>
      <c r="G229" s="69">
        <f>(TABULATI!K228+TABULATI!M228)/10^3</f>
        <v>0</v>
      </c>
      <c r="H229" s="74">
        <f>TABULATI!T228/'DATI nascosti 1'!$C$13</f>
        <v>-0.95652656058021512</v>
      </c>
    </row>
    <row r="230" spans="3:8" ht="18.75" x14ac:dyDescent="0.25">
      <c r="C230" s="70">
        <f>-1*TABULATI!S229</f>
        <v>-0.25223975426241474</v>
      </c>
      <c r="F230" s="69">
        <f>-TABULATI!O229/10^6</f>
        <v>-1210.7227338782529</v>
      </c>
      <c r="G230" s="69">
        <f>(TABULATI!K229+TABULATI!M229)/10^3</f>
        <v>0</v>
      </c>
      <c r="H230" s="74">
        <f>TABULATI!T229/'DATI nascosti 1'!$C$13</f>
        <v>-0.91251440512579307</v>
      </c>
    </row>
    <row r="231" spans="3:8" ht="18.75" x14ac:dyDescent="0.25">
      <c r="C231" s="70">
        <f>-1*TABULATI!S230</f>
        <v>-0.25663192194905354</v>
      </c>
      <c r="F231" s="69">
        <f>-TABULATI!O230/10^6</f>
        <v>-1231.8046497117377</v>
      </c>
      <c r="G231" s="69">
        <f>(TABULATI!K230+TABULATI!M230)/10^3</f>
        <v>0</v>
      </c>
      <c r="H231" s="74">
        <f>TABULATI!T230/'DATI nascosti 1'!$C$13</f>
        <v>-0.86726493623371181</v>
      </c>
    </row>
    <row r="232" spans="3:8" ht="18.75" x14ac:dyDescent="0.25">
      <c r="C232" s="70">
        <f>-1*TABULATI!S231</f>
        <v>-0.26120679243062672</v>
      </c>
      <c r="F232" s="69">
        <f>-TABULATI!O231/10^6</f>
        <v>-1253.7635186171794</v>
      </c>
      <c r="G232" s="69">
        <f>(TABULATI!K231+TABULATI!M231)/10^3</f>
        <v>0</v>
      </c>
      <c r="H232" s="74">
        <f>TABULATI!T231/'DATI nascosti 1'!$C$13</f>
        <v>-0.82049663034090825</v>
      </c>
    </row>
    <row r="233" spans="3:8" ht="18.75" x14ac:dyDescent="0.25">
      <c r="C233" s="70">
        <f>-1*TABULATI!S232</f>
        <v>-0.26588053354663688</v>
      </c>
      <c r="F233" s="69">
        <f>-TABULATI!O232/10^6</f>
        <v>-1276.1969555587968</v>
      </c>
      <c r="G233" s="69">
        <f>(TABULATI!K232+TABULATI!M232)/10^3</f>
        <v>0</v>
      </c>
      <c r="H233" s="74">
        <f>TABULATI!T232/'DATI nascosti 1'!$C$13</f>
        <v>-0.77183554885450001</v>
      </c>
    </row>
    <row r="234" spans="3:8" ht="18.75" x14ac:dyDescent="0.25">
      <c r="C234" s="70">
        <f>-1*TABULATI!S233</f>
        <v>-0.2704891491292653</v>
      </c>
      <c r="F234" s="69">
        <f>-TABULATI!O233/10^6</f>
        <v>-1298.3177971918292</v>
      </c>
      <c r="G234" s="69">
        <f>(TABULATI!K233+TABULATI!M233)/10^3</f>
        <v>0</v>
      </c>
      <c r="H234" s="74">
        <f>TABULATI!T233/'DATI nascosti 1'!$C$13</f>
        <v>-0.72077402679739355</v>
      </c>
    </row>
    <row r="235" spans="3:8" ht="18.75" x14ac:dyDescent="0.25">
      <c r="C235" s="70">
        <f>-1*TABULATI!S234</f>
        <v>-0.27472207103708984</v>
      </c>
      <c r="F235" s="69">
        <f>-TABULATI!O234/10^6</f>
        <v>-1318.6353510188237</v>
      </c>
      <c r="G235" s="69">
        <f>(TABULATI!K234+TABULATI!M234)/10^3</f>
        <v>0</v>
      </c>
      <c r="H235" s="74">
        <f>TABULATI!T234/'DATI nascosti 1'!$C$13</f>
        <v>-0.66660502531058363</v>
      </c>
    </row>
    <row r="236" spans="3:8" ht="18.75" x14ac:dyDescent="0.25">
      <c r="C236" s="70">
        <f>-1*TABULATI!S235</f>
        <v>-0.27799277488626306</v>
      </c>
      <c r="F236" s="69">
        <f>-TABULATI!O235/10^6</f>
        <v>-1334.3343653060699</v>
      </c>
      <c r="G236" s="69">
        <f>(TABULATI!K235+TABULATI!M235)/10^3</f>
        <v>0</v>
      </c>
      <c r="H236" s="74">
        <f>TABULATI!T235/'DATI nascosti 1'!$C$13</f>
        <v>-0.60831360151582081</v>
      </c>
    </row>
    <row r="237" spans="3:8" ht="18.75" x14ac:dyDescent="0.25">
      <c r="C237" s="70">
        <f>-1*TABULATI!S236</f>
        <v>-0.27917375505128728</v>
      </c>
      <c r="F237" s="69">
        <f>-TABULATI!O236/10^6</f>
        <v>-1340.0029385975208</v>
      </c>
      <c r="G237" s="69">
        <f>(TABULATI!K236+TABULATI!M236)/10^3</f>
        <v>0</v>
      </c>
      <c r="H237" s="74">
        <f>TABULATI!T236/'DATI nascosti 1'!$C$13</f>
        <v>-0.54438882235000818</v>
      </c>
    </row>
    <row r="238" spans="3:8" ht="18.75" x14ac:dyDescent="0.25">
      <c r="C238" s="70">
        <f>-1*TABULATI!S237</f>
        <v>-0.2554539852069887</v>
      </c>
      <c r="F238" s="69">
        <f>-TABULATI!O237/10^6</f>
        <v>-1226.1506845116103</v>
      </c>
      <c r="G238" s="69">
        <f>(TABULATI!K237+TABULATI!M237)/10^3</f>
        <v>-170.92133944200071</v>
      </c>
      <c r="H238" s="74">
        <f>TABULATI!T237/'DATI nascosti 1'!$C$13</f>
        <v>-0.40851633928293851</v>
      </c>
    </row>
    <row r="239" spans="3:8" ht="18.75" x14ac:dyDescent="0.25">
      <c r="C239" s="70">
        <f>-1*TABULATI!S238</f>
        <v>-0.21653639365294983</v>
      </c>
      <c r="F239" s="69">
        <f>-TABULATI!O238/10^6</f>
        <v>-1039.3505784773963</v>
      </c>
      <c r="G239" s="69">
        <f>(TABULATI!K238+TABULATI!M238)/10^3</f>
        <v>-392.79038583304919</v>
      </c>
      <c r="H239" s="74">
        <f>TABULATI!T238/'DATI nascosti 1'!$C$13</f>
        <v>-0.28006669693011327</v>
      </c>
    </row>
    <row r="240" spans="3:8" ht="18.75" x14ac:dyDescent="0.25">
      <c r="C240" s="70">
        <f>-1*TABULATI!S239</f>
        <v>-0.15775008369979782</v>
      </c>
      <c r="F240" s="69">
        <f>-TABULATI!O239/10^6</f>
        <v>-757.18283648439694</v>
      </c>
      <c r="G240" s="69">
        <f>(TABULATI!K239+TABULATI!M239)/10^3</f>
        <v>-614.65943222409783</v>
      </c>
      <c r="H240" s="74">
        <f>TABULATI!T239/'DATI nascosti 1'!$C$13</f>
        <v>-0.16476414845290047</v>
      </c>
    </row>
    <row r="241" spans="3:8" ht="18.75" x14ac:dyDescent="0.25">
      <c r="C241" s="70">
        <f>-1*TABULATI!S240</f>
        <v>-0.15775008369979782</v>
      </c>
      <c r="F241" s="69">
        <f>-TABULATI!O240/10^6</f>
        <v>-757.18283648439694</v>
      </c>
      <c r="G241" s="69">
        <f>(TABULATI!K240+TABULATI!M240)/10^3</f>
        <v>-614.65943222409783</v>
      </c>
      <c r="H241" s="74">
        <f>TABULATI!T240/'DATI nascosti 1'!$C$13</f>
        <v>-0.16476414845290047</v>
      </c>
    </row>
    <row r="242" spans="3:8" ht="18.75" x14ac:dyDescent="0.25">
      <c r="C242" s="70">
        <f>-1*TABULATI!S241</f>
        <v>-0.14606474928246463</v>
      </c>
      <c r="F242" s="69">
        <f>-TABULATI!O241/10^6</f>
        <v>-701.09453242857842</v>
      </c>
      <c r="G242" s="69">
        <f>(TABULATI!K241+TABULATI!M241)/10^3</f>
        <v>-647.52892057832719</v>
      </c>
      <c r="H242" s="74">
        <f>TABULATI!T241/'DATI nascosti 1'!$C$13</f>
        <v>-0.14766714537121889</v>
      </c>
    </row>
    <row r="243" spans="3:8" ht="18.75" x14ac:dyDescent="0.25">
      <c r="C243" s="70">
        <f>-1*TABULATI!S242</f>
        <v>-0.12906305292962017</v>
      </c>
      <c r="F243" s="69">
        <f>-TABULATI!O242/10^6</f>
        <v>-619.48828305256177</v>
      </c>
      <c r="G243" s="69">
        <f>(TABULATI!K242+TABULATI!M242)/10^3</f>
        <v>-680.39840893255666</v>
      </c>
      <c r="H243" s="74">
        <f>TABULATI!T242/'DATI nascosti 1'!$C$13</f>
        <v>-0.1258852798686354</v>
      </c>
    </row>
    <row r="244" spans="3:8" ht="18.75" x14ac:dyDescent="0.25">
      <c r="C244" s="70">
        <f>-1*TABULATI!S243</f>
        <v>-0.14240790606408568</v>
      </c>
      <c r="F244" s="69">
        <f>-TABULATI!O243/10^6</f>
        <v>-683.54209216528079</v>
      </c>
      <c r="G244" s="69">
        <f>(TABULATI!K243+TABULATI!M243)/10^3</f>
        <v>-657.80063568901585</v>
      </c>
      <c r="H244" s="74">
        <f>TABULATI!T243/'DATI nascosti 1'!$C$13</f>
        <v>-0.14250043900124673</v>
      </c>
    </row>
    <row r="245" spans="3:8" ht="18.75" x14ac:dyDescent="0.25">
      <c r="C245" s="70">
        <f>-1*TABULATI!S244</f>
        <v>-0.11876165609118305</v>
      </c>
      <c r="F245" s="69">
        <f>-TABULATI!O244/10^6</f>
        <v>-570.04272527572493</v>
      </c>
      <c r="G245" s="69">
        <f>(TABULATI!K244+TABULATI!M244)/10^3</f>
        <v>-698.75053993032691</v>
      </c>
      <c r="H245" s="74">
        <f>TABULATI!T244/'DATI nascosti 1'!$C$13</f>
        <v>-0.1135167377599291</v>
      </c>
    </row>
    <row r="246" spans="3:8" ht="18.75" x14ac:dyDescent="0.25">
      <c r="C246" s="70">
        <f>-1*TABULATI!S245</f>
        <v>-9.9061467707206335E-2</v>
      </c>
      <c r="F246" s="69">
        <f>-TABULATI!O245/10^6</f>
        <v>-475.48401462398795</v>
      </c>
      <c r="G246" s="69">
        <f>(TABULATI!K245+TABULATI!M245)/10^3</f>
        <v>-739.70044417163729</v>
      </c>
      <c r="H246" s="74">
        <f>TABULATI!T245/'DATI nascosti 1'!$C$13</f>
        <v>-9.1038119125306821E-2</v>
      </c>
    </row>
    <row r="247" spans="3:8" ht="18.75" x14ac:dyDescent="0.25">
      <c r="C247" s="70">
        <f>-1*TABULATI!S246</f>
        <v>-8.2555268699743653E-2</v>
      </c>
      <c r="F247" s="69">
        <f>-TABULATI!O246/10^6</f>
        <v>-396.25609733279384</v>
      </c>
      <c r="G247" s="69">
        <f>(TABULATI!K246+TABULATI!M246)/10^3</f>
        <v>-780.65034841294823</v>
      </c>
      <c r="H247" s="74">
        <f>TABULATI!T246/'DATI nascosti 1'!$C$13</f>
        <v>-7.3350776906710866E-2</v>
      </c>
    </row>
    <row r="248" spans="3:8" ht="18.75" x14ac:dyDescent="0.25">
      <c r="C248" s="70">
        <f>-1*TABULATI!S247</f>
        <v>-6.8746989874077832E-2</v>
      </c>
      <c r="F248" s="69">
        <f>-TABULATI!O247/10^6</f>
        <v>-329.9778965041848</v>
      </c>
      <c r="G248" s="69">
        <f>(TABULATI!K247+TABULATI!M247)/10^3</f>
        <v>-821.60025265425895</v>
      </c>
      <c r="H248" s="74">
        <f>TABULATI!T247/'DATI nascosti 1'!$C$13</f>
        <v>-5.9335320005549003E-2</v>
      </c>
    </row>
    <row r="249" spans="3:8" ht="18.75" x14ac:dyDescent="0.25">
      <c r="C249" s="70">
        <f>-1*TABULATI!S248</f>
        <v>-5.7182336283467729E-2</v>
      </c>
      <c r="F249" s="69">
        <f>-TABULATI!O248/10^6</f>
        <v>-274.46884697897781</v>
      </c>
      <c r="G249" s="69">
        <f>(TABULATI!K248+TABULATI!M248)/10^3</f>
        <v>-862.55015689556967</v>
      </c>
      <c r="H249" s="74">
        <f>TABULATI!T248/'DATI nascosti 1'!$C$13</f>
        <v>-4.8138112305928391E-2</v>
      </c>
    </row>
    <row r="250" spans="3:8" ht="18.75" x14ac:dyDescent="0.25">
      <c r="C250" s="70">
        <f>-1*TABULATI!S249</f>
        <v>-4.7448787229147887E-2</v>
      </c>
      <c r="F250" s="69">
        <f>-TABULATI!O249/10^6</f>
        <v>-227.74889533676284</v>
      </c>
      <c r="G250" s="69">
        <f>(TABULATI!K249+TABULATI!M249)/10^3</f>
        <v>-903.50006113688039</v>
      </c>
      <c r="H250" s="74">
        <f>TABULATI!T249/'DATI nascosti 1'!$C$13</f>
        <v>-3.9096746386615686E-2</v>
      </c>
    </row>
    <row r="251" spans="3:8" ht="18.75" x14ac:dyDescent="0.25">
      <c r="C251" s="70">
        <f>-1*TABULATI!S250</f>
        <v>-3.9175596260330126E-2</v>
      </c>
      <c r="F251" s="69">
        <f>-TABULATI!O250/10^6</f>
        <v>-188.03849989591046</v>
      </c>
      <c r="G251" s="69">
        <f>(TABULATI!K250+TABULATI!M250)/10^3</f>
        <v>-944.44996537819122</v>
      </c>
      <c r="H251" s="74">
        <f>TABULATI!T250/'DATI nascosti 1'!$C$13</f>
        <v>-3.1690265941594395E-2</v>
      </c>
    </row>
    <row r="252" spans="3:8" ht="18.75" x14ac:dyDescent="0.25">
      <c r="C252" s="70">
        <f>-1*TABULATI!S251</f>
        <v>-3.203379117420093E-2</v>
      </c>
      <c r="F252" s="69">
        <f>-TABULATI!O251/10^6</f>
        <v>-153.75863071355943</v>
      </c>
      <c r="G252" s="69">
        <f>(TABULATI!K251+TABULATI!M251)/10^3</f>
        <v>-985.39986961950194</v>
      </c>
      <c r="H252" s="74">
        <f>TABULATI!T251/'DATI nascosti 1'!$C$13</f>
        <v>-2.5505298197419712E-2</v>
      </c>
    </row>
    <row r="253" spans="3:8" ht="18.75" x14ac:dyDescent="0.25">
      <c r="C253" s="70">
        <f>-1*TABULATI!S252</f>
        <v>-2.5736174015924422E-2</v>
      </c>
      <c r="F253" s="69">
        <f>-TABULATI!O252/10^6</f>
        <v>-123.53076958563075</v>
      </c>
      <c r="G253" s="69">
        <f>(TABULATI!K252+TABULATI!M252)/10^3</f>
        <v>-1026.3497738608125</v>
      </c>
      <c r="H253" s="74">
        <f>TABULATI!T252/'DATI nascosti 1'!$C$13</f>
        <v>-2.0212711878770832E-2</v>
      </c>
    </row>
    <row r="254" spans="3:8" ht="18.75" x14ac:dyDescent="0.25">
      <c r="C254" s="70">
        <f>-1*TABULATI!S253</f>
        <v>-2.0037321078640341E-2</v>
      </c>
      <c r="F254" s="69">
        <f>-TABULATI!O253/10^6</f>
        <v>-96.176910046818165</v>
      </c>
      <c r="G254" s="69">
        <f>(TABULATI!K253+TABULATI!M253)/10^3</f>
        <v>-1067.2996781021236</v>
      </c>
      <c r="H254" s="74">
        <f>TABULATI!T253/'DATI nascosti 1'!$C$13</f>
        <v>-1.5551415082192085E-2</v>
      </c>
    </row>
    <row r="255" spans="3:8" ht="18.75" x14ac:dyDescent="0.25">
      <c r="C255" s="70">
        <f>-1*TABULATI!S254</f>
        <v>-1.4733582903464699E-2</v>
      </c>
      <c r="F255" s="69">
        <f>-TABULATI!O254/10^6</f>
        <v>-70.719557370591218</v>
      </c>
      <c r="G255" s="69">
        <f>(TABULATI!K254+TABULATI!M254)/10^3</f>
        <v>-1108.2495823434342</v>
      </c>
      <c r="H255" s="74">
        <f>TABULATI!T254/'DATI nascosti 1'!$C$13</f>
        <v>-1.1317097576127328E-2</v>
      </c>
    </row>
    <row r="256" spans="3:8" ht="18.75" x14ac:dyDescent="0.25">
      <c r="C256" s="70">
        <f>-1*TABULATI!S255</f>
        <v>-9.6630842794894079E-3</v>
      </c>
      <c r="F256" s="69">
        <f>-TABULATI!O255/10^6</f>
        <v>-46.381728569193484</v>
      </c>
      <c r="G256" s="69">
        <f>(TABULATI!K255+TABULATI!M255)/10^3</f>
        <v>-1149.1994865847448</v>
      </c>
      <c r="H256" s="74">
        <f>TABULATI!T255/'DATI nascosti 1'!$C$13</f>
        <v>-7.354446899661333E-3</v>
      </c>
    </row>
    <row r="257" spans="3:8" ht="18.75" x14ac:dyDescent="0.25">
      <c r="C257" s="70">
        <f>-1*TABULATI!S256</f>
        <v>-4.7057242437829492E-3</v>
      </c>
      <c r="F257" s="69">
        <f>-TABULATI!O256/10^6</f>
        <v>-22.586952393645763</v>
      </c>
      <c r="G257" s="69">
        <f>(TABULATI!K256+TABULATI!M256)/10^3</f>
        <v>-1190.1493908260559</v>
      </c>
      <c r="H257" s="74">
        <f>TABULATI!T256/'DATI nascosti 1'!$C$13</f>
        <v>-3.5518162540846268E-3</v>
      </c>
    </row>
    <row r="258" spans="3:8" ht="18.75" x14ac:dyDescent="0.25">
      <c r="C258" s="70">
        <f>-1*TABULATI!S257</f>
        <v>2.6108904990437059E-6</v>
      </c>
      <c r="F258" s="69">
        <f>-TABULATI!O257/10^6</f>
        <v>1.2531983676016331E-2</v>
      </c>
      <c r="G258" s="69">
        <f>(TABULATI!K257+TABULATI!M257)/10^3</f>
        <v>-1229.31886444818</v>
      </c>
      <c r="H258" s="74">
        <f>TABULATI!T257/'DATI nascosti 1'!$C$13</f>
        <v>1.9561421180428538E-6</v>
      </c>
    </row>
    <row r="259" spans="3:8" ht="18.75" x14ac:dyDescent="0.25">
      <c r="C259" s="70">
        <f>-1*TABULATI!S258</f>
        <v>5.09134818190959E-16</v>
      </c>
      <c r="F259" s="69">
        <f>-TABULATI!O258/10^6</f>
        <v>2.4437904357910157E-12</v>
      </c>
      <c r="G259" s="69">
        <f>(TABULATI!K258+TABULATI!M258)/10^3</f>
        <v>-1229.31886444818</v>
      </c>
      <c r="H259" s="74">
        <f>TABULATI!T258/'DATI nascosti 1'!$C$13</f>
        <v>3.814393252342459E-16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137"/>
  <sheetViews>
    <sheetView showGridLines="0" showRowColHeaders="0" zoomScaleNormal="100" workbookViewId="0">
      <selection activeCell="F36" sqref="F36"/>
    </sheetView>
  </sheetViews>
  <sheetFormatPr defaultRowHeight="15" x14ac:dyDescent="0.25"/>
  <cols>
    <col min="1" max="1" width="3" customWidth="1"/>
    <col min="2" max="3" width="19.28515625" customWidth="1"/>
    <col min="4" max="4" width="24.85546875" customWidth="1"/>
    <col min="5" max="6" width="17.42578125" customWidth="1"/>
    <col min="7" max="7" width="6.140625" customWidth="1"/>
    <col min="8" max="8" width="6.42578125" customWidth="1"/>
    <col min="9" max="9" width="16.140625" customWidth="1"/>
    <col min="10" max="10" width="4.85546875" customWidth="1"/>
    <col min="12" max="12" width="10.7109375" customWidth="1"/>
    <col min="13" max="13" width="9.140625" customWidth="1"/>
    <col min="14" max="14" width="4.85546875" customWidth="1"/>
    <col min="16" max="16" width="10.7109375" bestFit="1" customWidth="1"/>
  </cols>
  <sheetData>
    <row r="2" spans="2:23" x14ac:dyDescent="0.25">
      <c r="B2" s="306" t="s">
        <v>224</v>
      </c>
      <c r="C2" s="306"/>
      <c r="D2" s="20"/>
      <c r="E2" s="20"/>
      <c r="F2" s="20"/>
      <c r="G2" s="220"/>
      <c r="H2" s="20"/>
      <c r="I2" s="20"/>
      <c r="J2" s="20"/>
      <c r="K2" s="20"/>
    </row>
    <row r="3" spans="2:23" ht="15.75" thickBot="1" x14ac:dyDescent="0.3">
      <c r="B3" s="139"/>
      <c r="C3" s="139"/>
      <c r="D3" s="20"/>
      <c r="E3" s="20"/>
      <c r="F3" s="20"/>
      <c r="G3" s="220"/>
      <c r="H3" s="139"/>
      <c r="I3" s="20"/>
    </row>
    <row r="4" spans="2:23" ht="16.5" thickTop="1" thickBot="1" x14ac:dyDescent="0.3">
      <c r="B4" s="20" t="s">
        <v>223</v>
      </c>
      <c r="C4" s="20"/>
      <c r="D4" s="20"/>
      <c r="E4" s="137" t="s">
        <v>222</v>
      </c>
      <c r="F4" s="147">
        <v>300</v>
      </c>
      <c r="G4" s="242"/>
      <c r="H4" s="20"/>
      <c r="I4" s="20"/>
    </row>
    <row r="5" spans="2:23" ht="17.25" thickTop="1" thickBot="1" x14ac:dyDescent="0.3">
      <c r="B5" s="20" t="s">
        <v>221</v>
      </c>
      <c r="C5" s="20"/>
      <c r="D5" s="20"/>
      <c r="E5" s="137" t="s">
        <v>7</v>
      </c>
      <c r="F5" s="147">
        <v>1200</v>
      </c>
      <c r="G5" s="239"/>
      <c r="H5" s="20"/>
      <c r="I5" s="20"/>
    </row>
    <row r="6" spans="2:23" ht="17.25" thickTop="1" thickBot="1" x14ac:dyDescent="0.3">
      <c r="B6" s="20" t="s">
        <v>220</v>
      </c>
      <c r="C6" s="20"/>
      <c r="D6" s="20"/>
      <c r="E6" s="137" t="s">
        <v>219</v>
      </c>
      <c r="F6" s="147">
        <v>45</v>
      </c>
      <c r="G6" s="239"/>
      <c r="H6" s="20"/>
      <c r="I6" s="20"/>
    </row>
    <row r="7" spans="2:23" ht="16.5" thickTop="1" x14ac:dyDescent="0.25">
      <c r="B7" s="20" t="s">
        <v>218</v>
      </c>
      <c r="C7" s="20"/>
      <c r="D7" s="20"/>
      <c r="E7" s="137" t="s">
        <v>19</v>
      </c>
      <c r="F7" s="241">
        <f>F5-F6</f>
        <v>1155</v>
      </c>
      <c r="G7" s="239"/>
      <c r="H7" s="20"/>
      <c r="I7" s="20"/>
    </row>
    <row r="8" spans="2:23" ht="15.75" x14ac:dyDescent="0.25">
      <c r="B8" s="20" t="s">
        <v>217</v>
      </c>
      <c r="C8" s="20"/>
      <c r="D8" s="20"/>
      <c r="E8" s="137" t="s">
        <v>216</v>
      </c>
      <c r="F8" s="240">
        <f>'foglio deposito'!C38-DATI!F62/2-'foglio deposito'!G81</f>
        <v>27</v>
      </c>
      <c r="G8" s="239"/>
      <c r="H8" s="20"/>
      <c r="I8" s="21"/>
    </row>
    <row r="9" spans="2:23" ht="15.75" x14ac:dyDescent="0.25">
      <c r="G9" s="239"/>
      <c r="H9" s="20"/>
      <c r="I9" s="20"/>
    </row>
    <row r="10" spans="2:23" x14ac:dyDescent="0.25">
      <c r="B10" s="20"/>
      <c r="C10" s="20"/>
      <c r="D10" s="20"/>
      <c r="E10" s="20"/>
      <c r="F10" s="20"/>
      <c r="G10" s="20"/>
      <c r="H10" s="20"/>
      <c r="I10" s="20"/>
      <c r="Q10" s="225"/>
      <c r="R10" s="225"/>
      <c r="S10" s="225"/>
      <c r="T10" s="225"/>
      <c r="U10" s="225"/>
      <c r="V10" s="225"/>
      <c r="W10" s="225"/>
    </row>
    <row r="11" spans="2:23" x14ac:dyDescent="0.25">
      <c r="B11" s="306" t="s">
        <v>211</v>
      </c>
      <c r="C11" s="306"/>
      <c r="D11" s="20"/>
      <c r="E11" s="20"/>
      <c r="F11" s="20"/>
      <c r="G11" s="20"/>
      <c r="Q11" s="225"/>
      <c r="R11" s="225"/>
      <c r="S11" s="225"/>
      <c r="T11" s="225"/>
      <c r="U11" s="225"/>
      <c r="V11" s="225"/>
      <c r="W11" s="225"/>
    </row>
    <row r="12" spans="2:23" x14ac:dyDescent="0.25">
      <c r="B12" s="198"/>
      <c r="C12" s="198"/>
      <c r="D12" s="20"/>
      <c r="E12" s="20"/>
      <c r="F12" s="20"/>
      <c r="G12" s="20"/>
      <c r="Q12" s="225"/>
      <c r="R12" s="225"/>
      <c r="S12" s="225"/>
      <c r="T12" s="225"/>
      <c r="U12" s="225"/>
      <c r="V12" s="225"/>
      <c r="W12" s="225"/>
    </row>
    <row r="13" spans="2:23" ht="15.75" x14ac:dyDescent="0.25">
      <c r="B13" s="198" t="s">
        <v>172</v>
      </c>
      <c r="C13" s="198"/>
      <c r="D13" s="20"/>
      <c r="E13" s="20"/>
      <c r="F13" s="20"/>
      <c r="G13" s="20"/>
      <c r="Q13" s="180"/>
      <c r="R13" s="180"/>
      <c r="S13" s="225"/>
      <c r="T13" s="225"/>
      <c r="U13" s="225"/>
      <c r="V13" s="225"/>
      <c r="W13" s="225"/>
    </row>
    <row r="14" spans="2:23" ht="16.5" thickBot="1" x14ac:dyDescent="0.3">
      <c r="B14" s="198"/>
      <c r="C14" s="198"/>
      <c r="D14" s="20"/>
      <c r="E14" s="20"/>
      <c r="F14" s="20"/>
      <c r="G14" s="20"/>
      <c r="Q14" s="180"/>
      <c r="R14" s="180"/>
      <c r="S14" s="225"/>
      <c r="T14" s="225"/>
      <c r="U14" s="238"/>
      <c r="V14" s="238"/>
      <c r="W14" s="238"/>
    </row>
    <row r="15" spans="2:23" ht="17.25" customHeight="1" thickTop="1" thickBot="1" x14ac:dyDescent="0.3">
      <c r="B15" s="20" t="s">
        <v>210</v>
      </c>
      <c r="C15" s="198"/>
      <c r="D15" s="20"/>
      <c r="E15" s="20"/>
      <c r="F15" s="182" t="s">
        <v>264</v>
      </c>
      <c r="H15" s="307" t="s">
        <v>282</v>
      </c>
      <c r="I15" s="307"/>
      <c r="J15" s="307"/>
      <c r="K15" s="307"/>
      <c r="L15" s="307"/>
      <c r="M15" s="307"/>
      <c r="P15" s="180"/>
      <c r="Q15" s="180"/>
      <c r="R15" s="180"/>
      <c r="S15" s="225"/>
      <c r="T15" s="225"/>
      <c r="U15" s="232"/>
      <c r="V15" s="232"/>
      <c r="W15" s="232"/>
    </row>
    <row r="16" spans="2:23" ht="17.25" thickTop="1" thickBot="1" x14ac:dyDescent="0.3">
      <c r="B16" s="20"/>
      <c r="C16" s="198"/>
      <c r="D16" s="20"/>
      <c r="E16" s="20"/>
      <c r="F16" s="237"/>
      <c r="H16" s="307"/>
      <c r="I16" s="307"/>
      <c r="J16" s="307"/>
      <c r="K16" s="307"/>
      <c r="L16" s="307"/>
      <c r="M16" s="307"/>
      <c r="P16" s="180"/>
      <c r="Q16" s="180"/>
      <c r="R16" s="180"/>
      <c r="S16" s="225"/>
      <c r="T16" s="225"/>
      <c r="U16" s="232"/>
      <c r="V16" s="232"/>
      <c r="W16" s="232"/>
    </row>
    <row r="17" spans="2:23" ht="17.25" thickTop="1" thickBot="1" x14ac:dyDescent="0.3">
      <c r="B17" s="20" t="s">
        <v>208</v>
      </c>
      <c r="C17" s="198"/>
      <c r="D17" s="20"/>
      <c r="E17" s="9" t="s">
        <v>207</v>
      </c>
      <c r="F17" s="182" t="s">
        <v>206</v>
      </c>
      <c r="H17" s="307"/>
      <c r="I17" s="307"/>
      <c r="J17" s="307"/>
      <c r="K17" s="307"/>
      <c r="L17" s="307"/>
      <c r="M17" s="307"/>
      <c r="P17" s="180"/>
      <c r="Q17" s="180"/>
      <c r="R17" s="180"/>
      <c r="S17" s="225"/>
      <c r="T17" s="225"/>
      <c r="U17" s="232"/>
      <c r="V17" s="232"/>
      <c r="W17" s="232"/>
    </row>
    <row r="18" spans="2:23" ht="17.25" thickTop="1" thickBot="1" x14ac:dyDescent="0.3">
      <c r="B18" s="20" t="s">
        <v>284</v>
      </c>
      <c r="C18" s="198"/>
      <c r="D18" s="20"/>
      <c r="E18" s="136" t="s">
        <v>205</v>
      </c>
      <c r="F18" s="236">
        <v>15</v>
      </c>
      <c r="H18" s="307"/>
      <c r="I18" s="307"/>
      <c r="J18" s="307"/>
      <c r="K18" s="307"/>
      <c r="L18" s="307"/>
      <c r="M18" s="307"/>
      <c r="P18" s="180"/>
      <c r="Q18" s="180"/>
      <c r="R18" s="180"/>
      <c r="S18" s="225"/>
      <c r="T18" s="225"/>
      <c r="U18" s="232"/>
      <c r="V18" s="232"/>
      <c r="W18" s="232"/>
    </row>
    <row r="19" spans="2:23" ht="16.5" thickTop="1" x14ac:dyDescent="0.25">
      <c r="B19" s="20" t="s">
        <v>204</v>
      </c>
      <c r="C19" s="198"/>
      <c r="D19" s="20"/>
      <c r="E19" s="9" t="s">
        <v>203</v>
      </c>
      <c r="F19" s="234">
        <f>VLOOKUP(F17,'foglio deposito'!K18:L20,2,FALSE)</f>
        <v>1.2</v>
      </c>
      <c r="H19" s="307"/>
      <c r="I19" s="307"/>
      <c r="J19" s="307"/>
      <c r="K19" s="307"/>
      <c r="L19" s="307"/>
      <c r="M19" s="307"/>
      <c r="P19" s="180"/>
      <c r="Q19" s="180"/>
      <c r="R19" s="180"/>
      <c r="S19" s="225"/>
      <c r="T19" s="225"/>
      <c r="U19" s="232"/>
      <c r="V19" s="232"/>
      <c r="W19" s="232"/>
    </row>
    <row r="20" spans="2:23" ht="15.75" x14ac:dyDescent="0.25">
      <c r="B20" s="20"/>
      <c r="C20" s="20"/>
      <c r="D20" s="20"/>
      <c r="E20" s="20"/>
      <c r="F20" s="20"/>
      <c r="G20" s="20"/>
      <c r="H20" s="307"/>
      <c r="I20" s="307"/>
      <c r="J20" s="307"/>
      <c r="K20" s="307"/>
      <c r="L20" s="307"/>
      <c r="M20" s="307"/>
      <c r="N20" s="233"/>
      <c r="O20" s="233"/>
      <c r="P20" s="233"/>
      <c r="Q20" s="233"/>
      <c r="R20" s="233"/>
      <c r="S20" s="225"/>
      <c r="T20" s="225"/>
      <c r="U20" s="232"/>
      <c r="V20" s="232"/>
      <c r="W20" s="232"/>
    </row>
    <row r="21" spans="2:23" x14ac:dyDescent="0.25">
      <c r="B21" s="20" t="s">
        <v>202</v>
      </c>
      <c r="C21" s="20"/>
      <c r="D21" s="20"/>
      <c r="E21" s="56" t="s">
        <v>201</v>
      </c>
      <c r="F21" s="230">
        <f>VLOOKUP(F15,'foglio deposito'!G6:H17,2,FALSE)</f>
        <v>30</v>
      </c>
      <c r="G21" s="20"/>
      <c r="H21" s="307"/>
      <c r="I21" s="307"/>
      <c r="J21" s="307"/>
      <c r="K21" s="307"/>
      <c r="L21" s="307"/>
      <c r="M21" s="307"/>
      <c r="P21" s="228"/>
      <c r="Q21" s="228"/>
      <c r="R21" s="225"/>
      <c r="S21" s="225"/>
      <c r="T21" s="225"/>
      <c r="U21" s="225"/>
      <c r="V21" s="225"/>
      <c r="W21" s="225"/>
    </row>
    <row r="22" spans="2:23" x14ac:dyDescent="0.25">
      <c r="B22" s="20" t="s">
        <v>200</v>
      </c>
      <c r="C22" s="20"/>
      <c r="D22" s="20"/>
      <c r="E22" s="56" t="s">
        <v>199</v>
      </c>
      <c r="F22" s="230">
        <f>IF(F15="esistente",F18,DATI!F23+8)</f>
        <v>32.9</v>
      </c>
      <c r="G22" s="20"/>
      <c r="H22" s="307"/>
      <c r="I22" s="307"/>
      <c r="J22" s="307"/>
      <c r="K22" s="307"/>
      <c r="L22" s="307"/>
      <c r="M22" s="307"/>
      <c r="P22" s="228"/>
      <c r="Q22" s="228"/>
      <c r="R22" s="225"/>
      <c r="S22" s="225"/>
      <c r="T22" s="225"/>
      <c r="U22" s="225"/>
      <c r="V22" s="225"/>
      <c r="W22" s="225"/>
    </row>
    <row r="23" spans="2:23" x14ac:dyDescent="0.25">
      <c r="B23" s="20" t="s">
        <v>198</v>
      </c>
      <c r="C23" s="20"/>
      <c r="D23" s="20"/>
      <c r="E23" s="56" t="s">
        <v>197</v>
      </c>
      <c r="F23" s="230">
        <f>F21*0.83</f>
        <v>24.9</v>
      </c>
      <c r="G23" s="20"/>
      <c r="H23" s="307"/>
      <c r="I23" s="307"/>
      <c r="J23" s="307"/>
      <c r="K23" s="307"/>
      <c r="L23" s="307"/>
      <c r="M23" s="307"/>
      <c r="P23" s="228"/>
      <c r="Q23" s="228"/>
      <c r="R23" s="225"/>
      <c r="S23" s="225"/>
      <c r="T23" s="225"/>
      <c r="U23" s="225"/>
      <c r="V23" s="225"/>
      <c r="W23" s="225"/>
    </row>
    <row r="24" spans="2:23" x14ac:dyDescent="0.25">
      <c r="B24" s="20" t="s">
        <v>196</v>
      </c>
      <c r="C24" s="20"/>
      <c r="D24" s="20"/>
      <c r="E24" s="56" t="s">
        <v>195</v>
      </c>
      <c r="F24" s="230">
        <f>(0.83*F21)/F32*F31</f>
        <v>14.109999999999998</v>
      </c>
      <c r="G24" s="20"/>
      <c r="H24" s="307"/>
      <c r="I24" s="307"/>
      <c r="J24" s="307"/>
      <c r="K24" s="307"/>
      <c r="L24" s="307"/>
      <c r="M24" s="307"/>
      <c r="P24" s="228"/>
      <c r="Q24" s="228"/>
      <c r="R24" s="225"/>
      <c r="S24" s="225"/>
      <c r="T24" s="225"/>
      <c r="U24" s="225"/>
      <c r="V24" s="225"/>
      <c r="W24" s="225"/>
    </row>
    <row r="25" spans="2:23" x14ac:dyDescent="0.25">
      <c r="B25" s="20" t="s">
        <v>194</v>
      </c>
      <c r="C25" s="20"/>
      <c r="D25" s="20"/>
      <c r="E25" s="231" t="s">
        <v>193</v>
      </c>
      <c r="F25" s="230">
        <f>0.3*F23^(2/3)</f>
        <v>2.5581194481669618</v>
      </c>
      <c r="G25" s="20"/>
      <c r="H25" s="21"/>
      <c r="I25" s="21"/>
      <c r="J25" s="190"/>
      <c r="K25" s="190"/>
      <c r="L25" s="190"/>
      <c r="M25" s="190"/>
      <c r="P25" s="228"/>
      <c r="Q25" s="228"/>
      <c r="R25" s="225"/>
      <c r="S25" s="225"/>
      <c r="T25" s="225"/>
      <c r="U25" s="225"/>
      <c r="V25" s="225"/>
      <c r="W25" s="225"/>
    </row>
    <row r="26" spans="2:23" x14ac:dyDescent="0.25">
      <c r="B26" s="20" t="s">
        <v>192</v>
      </c>
      <c r="C26" s="20"/>
      <c r="D26" s="20"/>
      <c r="E26" s="56" t="s">
        <v>191</v>
      </c>
      <c r="F26" s="230">
        <f>0.7*F25</f>
        <v>1.7906836137168731</v>
      </c>
      <c r="G26" s="20"/>
      <c r="H26" s="307" t="s">
        <v>283</v>
      </c>
      <c r="I26" s="307"/>
      <c r="J26" s="307"/>
      <c r="K26" s="307"/>
      <c r="L26" s="307"/>
      <c r="M26" s="307"/>
      <c r="P26" s="228"/>
      <c r="Q26" s="228"/>
      <c r="R26" s="225"/>
      <c r="S26" s="225"/>
      <c r="T26" s="225"/>
      <c r="U26" s="225"/>
      <c r="V26" s="225"/>
      <c r="W26" s="225"/>
    </row>
    <row r="27" spans="2:23" x14ac:dyDescent="0.25">
      <c r="B27" s="20" t="s">
        <v>190</v>
      </c>
      <c r="C27" s="20"/>
      <c r="D27" s="20"/>
      <c r="E27" s="56" t="s">
        <v>189</v>
      </c>
      <c r="F27" s="230">
        <f>F26/F32</f>
        <v>1.1937890758112488</v>
      </c>
      <c r="G27" s="20"/>
      <c r="H27" s="307"/>
      <c r="I27" s="307"/>
      <c r="J27" s="307"/>
      <c r="K27" s="307"/>
      <c r="L27" s="307"/>
      <c r="M27" s="307"/>
      <c r="P27" s="228"/>
      <c r="Q27" s="228"/>
      <c r="R27" s="225"/>
      <c r="S27" s="225"/>
      <c r="T27" s="225"/>
      <c r="U27" s="225"/>
      <c r="V27" s="225"/>
      <c r="W27" s="225"/>
    </row>
    <row r="28" spans="2:23" x14ac:dyDescent="0.25">
      <c r="B28" s="20" t="s">
        <v>188</v>
      </c>
      <c r="C28" s="20"/>
      <c r="D28" s="20"/>
      <c r="E28" s="56" t="s">
        <v>187</v>
      </c>
      <c r="F28" s="230">
        <f>(2.25*F26)/F32</f>
        <v>2.68602542057531</v>
      </c>
      <c r="G28" s="20"/>
      <c r="H28" s="20"/>
      <c r="I28" s="20"/>
      <c r="P28" s="228"/>
      <c r="Q28" s="228"/>
      <c r="R28" s="225"/>
      <c r="S28" s="225"/>
      <c r="T28" s="225"/>
      <c r="U28" s="225"/>
      <c r="V28" s="225"/>
      <c r="W28" s="225"/>
    </row>
    <row r="29" spans="2:23" x14ac:dyDescent="0.25">
      <c r="B29" s="20" t="s">
        <v>175</v>
      </c>
      <c r="C29" s="20"/>
      <c r="D29" s="20"/>
      <c r="E29" s="56" t="s">
        <v>174</v>
      </c>
      <c r="F29" s="229">
        <f>22000*((0.83*F21+8)/10)^0.3</f>
        <v>31447.161439943484</v>
      </c>
      <c r="G29" s="20"/>
      <c r="H29" s="20"/>
      <c r="I29" s="20"/>
      <c r="P29" s="228"/>
      <c r="Q29" s="228"/>
      <c r="R29" s="225"/>
      <c r="S29" s="225"/>
      <c r="T29" s="225"/>
      <c r="U29" s="225"/>
      <c r="V29" s="225"/>
      <c r="W29" s="225"/>
    </row>
    <row r="30" spans="2:23" x14ac:dyDescent="0.25">
      <c r="B30" s="20" t="s">
        <v>186</v>
      </c>
      <c r="C30" s="20"/>
      <c r="D30" s="20"/>
      <c r="E30" s="20"/>
      <c r="F30" s="152"/>
      <c r="G30" s="20"/>
      <c r="H30" s="20"/>
      <c r="I30" s="20"/>
      <c r="P30" s="228"/>
      <c r="Q30" s="228"/>
      <c r="R30" s="225"/>
      <c r="S30" s="225"/>
      <c r="T30" s="225"/>
      <c r="U30" s="225"/>
      <c r="V30" s="225"/>
      <c r="W30" s="225"/>
    </row>
    <row r="31" spans="2:23" ht="15.75" thickBot="1" x14ac:dyDescent="0.3">
      <c r="B31" s="20" t="s">
        <v>185</v>
      </c>
      <c r="C31" s="20"/>
      <c r="D31" s="20"/>
      <c r="E31" s="227" t="s">
        <v>184</v>
      </c>
      <c r="F31" s="300">
        <f>IF(F15="esistente",1,0.85)</f>
        <v>0.85</v>
      </c>
      <c r="G31" s="20"/>
      <c r="H31" s="20"/>
      <c r="I31" s="20"/>
      <c r="P31" s="225"/>
      <c r="Q31" s="225"/>
      <c r="R31" s="225"/>
      <c r="S31" s="225"/>
      <c r="T31" s="225"/>
      <c r="U31" s="225"/>
      <c r="V31" s="225"/>
      <c r="W31" s="225"/>
    </row>
    <row r="32" spans="2:23" ht="16.5" thickTop="1" thickBot="1" x14ac:dyDescent="0.3">
      <c r="B32" s="20" t="s">
        <v>280</v>
      </c>
      <c r="C32" s="20"/>
      <c r="D32" s="20"/>
      <c r="E32" s="227" t="s">
        <v>281</v>
      </c>
      <c r="F32" s="182">
        <v>1.5</v>
      </c>
      <c r="G32" s="20"/>
      <c r="H32" s="20"/>
      <c r="I32" s="20"/>
      <c r="P32" s="225"/>
      <c r="Q32" s="225"/>
      <c r="R32" s="225"/>
      <c r="S32" s="225"/>
      <c r="T32" s="225"/>
      <c r="U32" s="225"/>
      <c r="V32" s="225"/>
      <c r="W32" s="225"/>
    </row>
    <row r="33" spans="2:23" ht="15.75" thickTop="1" x14ac:dyDescent="0.25">
      <c r="B33" s="20"/>
      <c r="C33" s="20"/>
      <c r="D33" s="20"/>
      <c r="E33" s="20"/>
      <c r="F33" s="20"/>
      <c r="G33" s="20"/>
      <c r="H33" s="20"/>
      <c r="I33" s="20"/>
      <c r="P33" s="225"/>
      <c r="Q33" s="225"/>
      <c r="R33" s="225"/>
      <c r="S33" s="225"/>
      <c r="T33" s="225"/>
      <c r="U33" s="225"/>
      <c r="V33" s="225"/>
      <c r="W33" s="225"/>
    </row>
    <row r="34" spans="2:23" x14ac:dyDescent="0.25">
      <c r="B34" s="198" t="s">
        <v>167</v>
      </c>
      <c r="C34" s="20"/>
      <c r="D34" s="20"/>
      <c r="E34" s="20"/>
      <c r="F34" s="20"/>
      <c r="G34" s="20"/>
      <c r="P34" s="225"/>
      <c r="Q34" s="225"/>
      <c r="R34" s="225"/>
      <c r="S34" s="225"/>
      <c r="T34" s="225"/>
      <c r="U34" s="225"/>
      <c r="V34" s="225"/>
      <c r="W34" s="225"/>
    </row>
    <row r="35" spans="2:23" ht="15.75" thickBot="1" x14ac:dyDescent="0.3">
      <c r="B35" s="20"/>
      <c r="C35" s="20"/>
      <c r="D35" s="20"/>
      <c r="E35" s="20"/>
      <c r="F35" s="20"/>
      <c r="G35" s="20"/>
    </row>
    <row r="36" spans="2:23" ht="16.5" thickTop="1" thickBot="1" x14ac:dyDescent="0.3">
      <c r="B36" s="20" t="s">
        <v>183</v>
      </c>
      <c r="C36" s="20"/>
      <c r="D36" s="20"/>
      <c r="E36" s="20"/>
      <c r="F36" s="182" t="s">
        <v>270</v>
      </c>
      <c r="G36" s="20"/>
    </row>
    <row r="37" spans="2:23" ht="15.75" thickTop="1" x14ac:dyDescent="0.25">
      <c r="B37" s="20"/>
      <c r="C37" s="20"/>
      <c r="D37" s="20"/>
      <c r="E37" s="20"/>
      <c r="F37" s="47"/>
      <c r="G37" s="20"/>
    </row>
    <row r="38" spans="2:23" x14ac:dyDescent="0.25">
      <c r="B38" s="20" t="s">
        <v>181</v>
      </c>
      <c r="C38" s="20"/>
      <c r="D38" s="20"/>
      <c r="E38" s="56" t="s">
        <v>180</v>
      </c>
      <c r="F38" s="224">
        <f>(VLOOKUP(F36,'foglio deposito'!J6:L10,3,FALSE))</f>
        <v>540</v>
      </c>
      <c r="G38" s="20"/>
    </row>
    <row r="39" spans="2:23" x14ac:dyDescent="0.25">
      <c r="B39" s="20" t="s">
        <v>179</v>
      </c>
      <c r="C39" s="36"/>
      <c r="D39" s="152"/>
      <c r="E39" s="56" t="s">
        <v>178</v>
      </c>
      <c r="F39" s="224">
        <f>(VLOOKUP(DATI!F36,'foglio deposito'!J6:K10,2,FALSE))</f>
        <v>450</v>
      </c>
      <c r="G39" s="20"/>
    </row>
    <row r="40" spans="2:23" ht="15.75" thickBot="1" x14ac:dyDescent="0.3">
      <c r="B40" s="20" t="s">
        <v>177</v>
      </c>
      <c r="C40" s="20"/>
      <c r="D40" s="20"/>
      <c r="E40" s="56" t="s">
        <v>176</v>
      </c>
      <c r="F40" s="223">
        <f>(VLOOKUP(F36,'foglio deposito'!J6:K10,2,FALSE)/1.15)</f>
        <v>391.304347826087</v>
      </c>
      <c r="G40" s="20"/>
    </row>
    <row r="41" spans="2:23" ht="16.5" thickTop="1" thickBot="1" x14ac:dyDescent="0.3">
      <c r="B41" s="20" t="s">
        <v>175</v>
      </c>
      <c r="C41" s="20"/>
      <c r="D41" s="20"/>
      <c r="E41" s="36" t="s">
        <v>174</v>
      </c>
      <c r="F41" s="222">
        <v>210000</v>
      </c>
      <c r="G41" s="20"/>
    </row>
    <row r="42" spans="2:23" ht="15.75" thickTop="1" x14ac:dyDescent="0.25">
      <c r="B42" s="20"/>
      <c r="C42" s="36"/>
      <c r="D42" s="152"/>
      <c r="E42" s="20"/>
      <c r="F42" s="20"/>
      <c r="G42" s="20"/>
      <c r="H42" s="20"/>
      <c r="I42" s="20"/>
      <c r="J42" s="20"/>
      <c r="K42" s="20"/>
    </row>
    <row r="43" spans="2:23" x14ac:dyDescent="0.25">
      <c r="B43" s="20"/>
      <c r="C43" s="36"/>
      <c r="D43" s="152"/>
      <c r="E43" s="20"/>
      <c r="F43" s="20"/>
      <c r="G43" s="20"/>
      <c r="H43" s="20"/>
      <c r="I43" s="20"/>
      <c r="J43" s="20"/>
      <c r="K43" s="20"/>
    </row>
    <row r="44" spans="2:23" x14ac:dyDescent="0.25">
      <c r="B44" s="221" t="s">
        <v>173</v>
      </c>
      <c r="C44" s="220"/>
      <c r="D44" s="20"/>
      <c r="E44" s="20"/>
      <c r="F44" s="20"/>
      <c r="G44" s="20"/>
      <c r="I44" s="20"/>
      <c r="J44" s="20"/>
      <c r="K44" s="20"/>
    </row>
    <row r="45" spans="2:23" x14ac:dyDescent="0.25">
      <c r="B45" s="220"/>
      <c r="C45" s="220"/>
      <c r="D45" s="20"/>
      <c r="E45" s="20"/>
      <c r="F45" s="20"/>
      <c r="G45" s="20"/>
      <c r="I45" s="20"/>
      <c r="J45" s="20"/>
      <c r="K45" s="20"/>
    </row>
    <row r="46" spans="2:23" x14ac:dyDescent="0.25">
      <c r="B46" s="198" t="s">
        <v>172</v>
      </c>
      <c r="C46" s="20"/>
      <c r="D46" s="20"/>
      <c r="E46" s="151"/>
      <c r="F46" s="219"/>
      <c r="G46" s="20"/>
      <c r="I46" s="20"/>
      <c r="J46" s="20"/>
      <c r="K46" s="20"/>
    </row>
    <row r="47" spans="2:23" ht="15.75" thickBot="1" x14ac:dyDescent="0.3">
      <c r="B47" s="20"/>
      <c r="C47" s="20"/>
      <c r="D47" s="20"/>
      <c r="E47" s="20"/>
      <c r="F47" s="20"/>
      <c r="G47" s="20"/>
      <c r="I47" s="20"/>
      <c r="J47" s="20"/>
      <c r="K47" s="20"/>
    </row>
    <row r="48" spans="2:23" ht="16.5" thickTop="1" thickBot="1" x14ac:dyDescent="0.3">
      <c r="B48" s="20" t="s">
        <v>171</v>
      </c>
      <c r="C48" s="20"/>
      <c r="D48" s="20"/>
      <c r="E48" s="151" t="s">
        <v>29</v>
      </c>
      <c r="F48" s="218">
        <v>-2</v>
      </c>
      <c r="I48" s="20"/>
      <c r="J48" s="20"/>
    </row>
    <row r="49" spans="2:15" ht="17.25" thickTop="1" thickBot="1" x14ac:dyDescent="0.3">
      <c r="B49" s="20" t="s">
        <v>170</v>
      </c>
      <c r="C49" s="20"/>
      <c r="D49" s="20"/>
      <c r="E49" s="214" t="s">
        <v>28</v>
      </c>
      <c r="F49" s="217">
        <v>-3.5</v>
      </c>
    </row>
    <row r="50" spans="2:15" ht="16.5" thickTop="1" x14ac:dyDescent="0.25">
      <c r="B50" s="20" t="s">
        <v>169</v>
      </c>
      <c r="C50" s="20"/>
      <c r="D50" s="20"/>
      <c r="E50" s="214" t="s">
        <v>168</v>
      </c>
      <c r="F50" s="216">
        <v>0</v>
      </c>
    </row>
    <row r="52" spans="2:15" x14ac:dyDescent="0.25">
      <c r="B52" s="198" t="s">
        <v>167</v>
      </c>
      <c r="C52" s="20"/>
      <c r="D52" s="20"/>
      <c r="E52" s="20"/>
      <c r="F52" s="20"/>
      <c r="G52" s="20"/>
    </row>
    <row r="53" spans="2:15" x14ac:dyDescent="0.25">
      <c r="B53" s="20"/>
      <c r="C53" s="20"/>
      <c r="D53" s="20"/>
      <c r="E53" s="20"/>
      <c r="F53" s="20"/>
      <c r="G53" s="20"/>
    </row>
    <row r="54" spans="2:15" ht="15.75" customHeight="1" x14ac:dyDescent="0.25">
      <c r="B54" s="20" t="s">
        <v>166</v>
      </c>
      <c r="C54" s="20"/>
      <c r="D54" s="20"/>
      <c r="E54" s="214" t="s">
        <v>43</v>
      </c>
      <c r="F54" s="215">
        <v>1.87</v>
      </c>
      <c r="H54" s="307" t="s">
        <v>285</v>
      </c>
      <c r="I54" s="307"/>
      <c r="J54" s="307"/>
      <c r="K54" s="307"/>
      <c r="L54" s="307"/>
      <c r="M54" s="307"/>
    </row>
    <row r="55" spans="2:15" ht="15.75" customHeight="1" x14ac:dyDescent="0.25">
      <c r="B55" s="20" t="s">
        <v>165</v>
      </c>
      <c r="C55" s="20"/>
      <c r="D55" s="20"/>
      <c r="E55" s="214" t="s">
        <v>61</v>
      </c>
      <c r="F55" s="213">
        <f>VLOOKUP(F36,'foglio deposito'!J6:M10,4,FALSE)</f>
        <v>67.5</v>
      </c>
      <c r="H55" s="307"/>
      <c r="I55" s="307"/>
      <c r="J55" s="307"/>
      <c r="K55" s="307"/>
      <c r="L55" s="307"/>
      <c r="M55" s="307"/>
    </row>
    <row r="56" spans="2:15" x14ac:dyDescent="0.25">
      <c r="H56" s="307"/>
      <c r="I56" s="307"/>
      <c r="J56" s="307"/>
      <c r="K56" s="307"/>
      <c r="L56" s="307"/>
      <c r="M56" s="307"/>
    </row>
    <row r="58" spans="2:15" x14ac:dyDescent="0.25">
      <c r="B58" s="306" t="s">
        <v>164</v>
      </c>
      <c r="C58" s="306"/>
      <c r="D58" s="20"/>
      <c r="E58" s="20"/>
      <c r="F58" s="20"/>
      <c r="G58" s="20"/>
      <c r="H58" s="20"/>
    </row>
    <row r="59" spans="2:15" x14ac:dyDescent="0.25">
      <c r="B59" s="198"/>
      <c r="C59" s="198"/>
      <c r="D59" s="20"/>
      <c r="E59" s="20"/>
      <c r="F59" s="20"/>
      <c r="G59" s="20"/>
      <c r="H59" s="20"/>
    </row>
    <row r="60" spans="2:15" x14ac:dyDescent="0.25">
      <c r="B60" s="198" t="s">
        <v>163</v>
      </c>
      <c r="C60" s="198"/>
      <c r="D60" s="20"/>
      <c r="E60" s="20"/>
      <c r="F60" s="20"/>
      <c r="G60" s="20"/>
      <c r="H60" s="20"/>
    </row>
    <row r="61" spans="2:15" ht="16.5" thickBot="1" x14ac:dyDescent="0.3">
      <c r="C61" s="139"/>
      <c r="D61" s="20"/>
      <c r="E61" s="136" t="s">
        <v>158</v>
      </c>
      <c r="F61" s="136" t="s">
        <v>157</v>
      </c>
      <c r="G61" s="20"/>
      <c r="I61" s="172"/>
      <c r="J61" s="159"/>
      <c r="K61" s="164">
        <f>E63</f>
        <v>5</v>
      </c>
      <c r="L61" s="211" t="s">
        <v>160</v>
      </c>
      <c r="M61" s="162">
        <f>F63</f>
        <v>20</v>
      </c>
      <c r="N61" s="159"/>
      <c r="O61" s="159"/>
    </row>
    <row r="62" spans="2:15" ht="21" customHeight="1" thickTop="1" thickBot="1" x14ac:dyDescent="0.35">
      <c r="B62" s="212" t="s">
        <v>162</v>
      </c>
      <c r="C62" s="212"/>
      <c r="D62" s="20"/>
      <c r="E62" s="208">
        <v>5</v>
      </c>
      <c r="F62" s="197">
        <v>20</v>
      </c>
      <c r="G62" s="20"/>
      <c r="I62" s="172"/>
      <c r="J62" s="196"/>
      <c r="K62" s="195"/>
      <c r="L62" s="195"/>
      <c r="M62" s="195"/>
      <c r="N62" s="194"/>
      <c r="O62" s="163">
        <f>O72</f>
        <v>45</v>
      </c>
    </row>
    <row r="63" spans="2:15" ht="21" customHeight="1" thickTop="1" thickBot="1" x14ac:dyDescent="0.35">
      <c r="B63" s="212" t="s">
        <v>161</v>
      </c>
      <c r="C63" s="212"/>
      <c r="D63" s="20"/>
      <c r="E63" s="208">
        <v>5</v>
      </c>
      <c r="F63" s="197">
        <v>20</v>
      </c>
      <c r="G63" s="20"/>
      <c r="I63" s="172"/>
      <c r="J63" s="171"/>
      <c r="K63" s="184"/>
      <c r="L63" s="209"/>
      <c r="M63" s="184"/>
      <c r="N63" s="168"/>
      <c r="O63" s="159"/>
    </row>
    <row r="64" spans="2:15" ht="15.75" thickTop="1" x14ac:dyDescent="0.25">
      <c r="B64" s="20"/>
      <c r="C64" s="20"/>
      <c r="D64" s="20"/>
      <c r="E64" s="20"/>
      <c r="F64" s="20"/>
      <c r="G64" s="20"/>
      <c r="I64" s="159"/>
      <c r="J64" s="171"/>
      <c r="K64" s="184"/>
      <c r="L64" s="184"/>
      <c r="M64" s="184"/>
      <c r="N64" s="168"/>
      <c r="O64" s="159"/>
    </row>
    <row r="65" spans="2:17" ht="15" customHeight="1" x14ac:dyDescent="0.25">
      <c r="B65" s="20" t="s">
        <v>154</v>
      </c>
      <c r="C65" s="20"/>
      <c r="D65" s="20"/>
      <c r="E65" s="151" t="s">
        <v>9</v>
      </c>
      <c r="F65" s="201">
        <f>E62*(F62/2)^2*PI()</f>
        <v>1570.7963267948965</v>
      </c>
      <c r="G65" s="20"/>
      <c r="J65" s="171"/>
      <c r="K65" s="184"/>
      <c r="L65" s="184"/>
      <c r="M65" s="184"/>
      <c r="N65" s="168"/>
    </row>
    <row r="66" spans="2:17" ht="15" customHeight="1" x14ac:dyDescent="0.25">
      <c r="B66" s="20" t="s">
        <v>153</v>
      </c>
      <c r="C66" s="20"/>
      <c r="D66" s="20"/>
      <c r="E66" s="151" t="s">
        <v>152</v>
      </c>
      <c r="F66" s="201">
        <f>E63*(F63/2)^2*PI()</f>
        <v>1570.7963267948965</v>
      </c>
      <c r="G66" s="20"/>
      <c r="I66" s="293">
        <f>F5</f>
        <v>1200</v>
      </c>
      <c r="J66" s="184"/>
      <c r="K66" s="184"/>
      <c r="L66" s="184"/>
      <c r="M66" s="184"/>
      <c r="N66" s="168"/>
    </row>
    <row r="67" spans="2:17" ht="15" customHeight="1" x14ac:dyDescent="0.25">
      <c r="B67" s="20" t="s">
        <v>151</v>
      </c>
      <c r="C67" s="20"/>
      <c r="D67" s="20"/>
      <c r="E67" s="151" t="s">
        <v>48</v>
      </c>
      <c r="F67" s="156">
        <f>F65*'foglio deposito'!K45/(F4*F5*'foglio deposito'!K44)</f>
        <v>0.12100547921570401</v>
      </c>
      <c r="G67" s="20"/>
      <c r="J67" s="171"/>
      <c r="K67" s="184"/>
      <c r="L67" s="184"/>
      <c r="M67" s="184"/>
      <c r="N67" s="168"/>
    </row>
    <row r="68" spans="2:17" ht="21" customHeight="1" x14ac:dyDescent="0.25">
      <c r="B68" s="20" t="s">
        <v>150</v>
      </c>
      <c r="C68" s="20"/>
      <c r="D68" s="20"/>
      <c r="E68" s="151" t="s">
        <v>49</v>
      </c>
      <c r="F68" s="156">
        <f>F66*'foglio deposito'!K45/(F4*F5*'foglio deposito'!K44)</f>
        <v>0.12100547921570401</v>
      </c>
      <c r="G68" s="146"/>
      <c r="I68" s="204"/>
      <c r="J68" s="171"/>
      <c r="K68" s="184"/>
      <c r="L68" s="184"/>
      <c r="M68" s="184"/>
      <c r="N68" s="168"/>
      <c r="O68" s="159"/>
    </row>
    <row r="69" spans="2:17" ht="21" customHeight="1" x14ac:dyDescent="0.25">
      <c r="B69" s="20" t="s">
        <v>149</v>
      </c>
      <c r="C69" s="36"/>
      <c r="D69" s="152"/>
      <c r="E69" s="151" t="s">
        <v>115</v>
      </c>
      <c r="F69" s="156">
        <f>F65/(F4*F5)</f>
        <v>4.3633231299858239E-3</v>
      </c>
      <c r="G69" s="146"/>
      <c r="I69" s="172"/>
      <c r="J69" s="171"/>
      <c r="K69" s="184"/>
      <c r="L69" s="184"/>
      <c r="M69" s="184"/>
      <c r="N69" s="168"/>
      <c r="O69" s="159"/>
    </row>
    <row r="70" spans="2:17" ht="15" customHeight="1" x14ac:dyDescent="0.25">
      <c r="B70" s="20" t="s">
        <v>148</v>
      </c>
      <c r="C70" s="36"/>
      <c r="D70" s="152"/>
      <c r="E70" s="151" t="s">
        <v>147</v>
      </c>
      <c r="F70" s="156">
        <f>F66/(F4*F5)</f>
        <v>4.3633231299858239E-3</v>
      </c>
      <c r="G70" s="20"/>
      <c r="I70" s="172"/>
      <c r="J70" s="171"/>
      <c r="K70" s="184"/>
      <c r="L70" s="184"/>
      <c r="M70" s="184"/>
      <c r="N70" s="168"/>
      <c r="O70" s="159"/>
    </row>
    <row r="71" spans="2:17" ht="7.5" customHeight="1" thickBot="1" x14ac:dyDescent="0.3">
      <c r="G71" s="20"/>
      <c r="I71" s="159"/>
      <c r="J71" s="171"/>
      <c r="K71" s="184"/>
      <c r="L71" s="203"/>
      <c r="M71" s="184"/>
      <c r="N71" s="168"/>
      <c r="O71" s="159"/>
    </row>
    <row r="72" spans="2:17" ht="15" customHeight="1" x14ac:dyDescent="0.25">
      <c r="B72" s="20" t="s">
        <v>134</v>
      </c>
      <c r="C72" s="20"/>
      <c r="D72" s="20"/>
      <c r="E72" s="151" t="s">
        <v>133</v>
      </c>
      <c r="F72" s="156">
        <f>(F66+F65+'foglio deposito'!G73+'foglio deposito'!G74)*'foglio deposito'!K45/(F4*F5*'foglio deposito'!K44)</f>
        <v>0.24202050374391507</v>
      </c>
      <c r="G72" s="20"/>
      <c r="I72" s="159"/>
      <c r="J72" s="167"/>
      <c r="K72" s="166"/>
      <c r="L72" s="166"/>
      <c r="M72" s="166"/>
      <c r="N72" s="165"/>
      <c r="O72" s="163">
        <f>F6</f>
        <v>45</v>
      </c>
    </row>
    <row r="73" spans="2:17" ht="15" customHeight="1" x14ac:dyDescent="0.25">
      <c r="B73" s="20" t="s">
        <v>132</v>
      </c>
      <c r="C73" s="36"/>
      <c r="D73" s="152"/>
      <c r="E73" s="151" t="s">
        <v>131</v>
      </c>
      <c r="F73" s="156">
        <f>('foglio deposito'!G72+'foglio deposito'!G71+F65+F66)/(F4*F5)</f>
        <v>1.319468914507713E-2</v>
      </c>
      <c r="G73" s="20"/>
      <c r="I73" s="159"/>
      <c r="J73" s="159"/>
      <c r="K73" s="164">
        <f>E62</f>
        <v>5</v>
      </c>
      <c r="L73" s="202" t="str">
        <f>L61</f>
        <v>F</v>
      </c>
      <c r="M73" s="162">
        <f>F62</f>
        <v>20</v>
      </c>
      <c r="N73" s="159"/>
      <c r="O73" s="159"/>
    </row>
    <row r="74" spans="2:17" ht="15" customHeight="1" x14ac:dyDescent="0.25">
      <c r="B74" s="20" t="s">
        <v>130</v>
      </c>
      <c r="E74" s="151" t="s">
        <v>129</v>
      </c>
      <c r="F74" s="200">
        <f>F65+F66+'foglio deposito'!G71+'foglio deposito'!G72</f>
        <v>4750.0880922277665</v>
      </c>
      <c r="I74" s="159"/>
      <c r="J74" s="159"/>
      <c r="K74" s="159"/>
      <c r="L74" s="159"/>
      <c r="M74" s="159"/>
      <c r="N74" s="159"/>
      <c r="O74" s="159"/>
    </row>
    <row r="75" spans="2:17" ht="15" customHeight="1" x14ac:dyDescent="0.3">
      <c r="I75" s="159"/>
      <c r="J75" s="159"/>
      <c r="K75" s="159"/>
      <c r="L75" s="163">
        <f>F4</f>
        <v>300</v>
      </c>
      <c r="M75" s="158"/>
      <c r="N75" s="159"/>
      <c r="O75" s="159"/>
      <c r="P75" s="158"/>
      <c r="Q75" s="159"/>
    </row>
    <row r="76" spans="2:17" ht="15" customHeight="1" x14ac:dyDescent="0.25">
      <c r="P76" s="159"/>
      <c r="Q76" s="159"/>
    </row>
    <row r="77" spans="2:17" ht="15" customHeight="1" x14ac:dyDescent="0.25">
      <c r="F77" s="190"/>
      <c r="P77" s="159"/>
      <c r="Q77" s="159"/>
    </row>
    <row r="78" spans="2:17" ht="15" customHeight="1" x14ac:dyDescent="0.25">
      <c r="P78" s="159"/>
      <c r="Q78" s="159"/>
    </row>
    <row r="79" spans="2:17" ht="15" customHeight="1" x14ac:dyDescent="0.25"/>
    <row r="80" spans="2:17" ht="15" customHeight="1" x14ac:dyDescent="0.25"/>
    <row r="81" spans="2:6" x14ac:dyDescent="0.25">
      <c r="B81" s="20"/>
      <c r="E81" s="151"/>
      <c r="F81" s="200"/>
    </row>
    <row r="84" spans="2:6" x14ac:dyDescent="0.25">
      <c r="F84" s="190"/>
    </row>
    <row r="92" spans="2:6" ht="14.25" customHeight="1" x14ac:dyDescent="0.25"/>
    <row r="94" spans="2:6" ht="9" customHeight="1" x14ac:dyDescent="0.25"/>
    <row r="96" spans="2:6" ht="11.25" customHeight="1" x14ac:dyDescent="0.25"/>
    <row r="113" spans="2:13" ht="10.5" customHeight="1" x14ac:dyDescent="0.25"/>
    <row r="115" spans="2:13" ht="15" customHeight="1" x14ac:dyDescent="0.25"/>
    <row r="125" spans="2:13" x14ac:dyDescent="0.25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</row>
    <row r="126" spans="2:13" x14ac:dyDescent="0.25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2:13" x14ac:dyDescent="0.25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</row>
    <row r="128" spans="2:13" x14ac:dyDescent="0.25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</row>
    <row r="129" spans="2:13" x14ac:dyDescent="0.25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</row>
    <row r="130" spans="2:13" x14ac:dyDescent="0.25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</row>
    <row r="131" spans="2:13" x14ac:dyDescent="0.25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2:13" x14ac:dyDescent="0.25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</row>
    <row r="133" spans="2:13" x14ac:dyDescent="0.25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</row>
    <row r="134" spans="2:13" x14ac:dyDescent="0.25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</row>
    <row r="135" spans="2:13" x14ac:dyDescent="0.25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2:13" x14ac:dyDescent="0.25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2:13" x14ac:dyDescent="0.25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</row>
  </sheetData>
  <sheetProtection password="C2CA" sheet="1" objects="1" scenarios="1" selectLockedCells="1"/>
  <mergeCells count="6">
    <mergeCell ref="B2:C2"/>
    <mergeCell ref="B11:C11"/>
    <mergeCell ref="B58:C58"/>
    <mergeCell ref="H15:M24"/>
    <mergeCell ref="H26:M27"/>
    <mergeCell ref="H54:M56"/>
  </mergeCells>
  <conditionalFormatting sqref="O20">
    <cfRule type="cellIs" dxfId="15" priority="8" operator="equal">
      <formula>"verificato"</formula>
    </cfRule>
  </conditionalFormatting>
  <conditionalFormatting sqref="B17:F19">
    <cfRule type="expression" dxfId="14" priority="5">
      <formula>IF($F$15="esistente",FALSE,TRUE)</formula>
    </cfRule>
  </conditionalFormatting>
  <conditionalFormatting sqref="H15">
    <cfRule type="expression" dxfId="13" priority="4">
      <formula>IF($F$15="esistente",FALSE,TRUE)</formula>
    </cfRule>
  </conditionalFormatting>
  <conditionalFormatting sqref="H26">
    <cfRule type="expression" dxfId="12" priority="3">
      <formula>IF($F$15="esistente",FALSE,TRUE)</formula>
    </cfRule>
  </conditionalFormatting>
  <conditionalFormatting sqref="F32">
    <cfRule type="cellIs" dxfId="11" priority="2" operator="notEqual">
      <formula>1.5</formula>
    </cfRule>
  </conditionalFormatting>
  <conditionalFormatting sqref="H54">
    <cfRule type="expression" dxfId="10" priority="1">
      <formula>IF($F$15="esistente",FALSE,TRUE)</formula>
    </cfRule>
  </conditionalFormatting>
  <dataValidations count="3">
    <dataValidation type="list" allowBlank="1" showInputMessage="1" showErrorMessage="1" sqref="F17">
      <formula1>LC</formula1>
    </dataValidation>
    <dataValidation type="list" allowBlank="1" showInputMessage="1" showErrorMessage="1" sqref="F15">
      <formula1>CLASS</formula1>
    </dataValidation>
    <dataValidation type="list" allowBlank="1" showInputMessage="1" showErrorMessage="1" sqref="F36">
      <formula1>FERR</formula1>
    </dataValidation>
  </dataValidations>
  <pageMargins left="0.7" right="0.7" top="0.75" bottom="0.75" header="0.3" footer="0.3"/>
  <pageSetup paperSize="9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128"/>
  <sheetViews>
    <sheetView zoomScale="80" zoomScaleNormal="80" workbookViewId="0">
      <selection activeCell="N20" sqref="N20"/>
    </sheetView>
  </sheetViews>
  <sheetFormatPr defaultRowHeight="15" x14ac:dyDescent="0.25"/>
  <cols>
    <col min="2" max="2" width="11" bestFit="1" customWidth="1"/>
    <col min="3" max="3" width="39.5703125" customWidth="1"/>
    <col min="4" max="4" width="10.140625" customWidth="1"/>
    <col min="5" max="5" width="11" bestFit="1" customWidth="1"/>
    <col min="6" max="6" width="33.140625" customWidth="1"/>
    <col min="7" max="7" width="11.5703125" customWidth="1"/>
    <col min="8" max="8" width="15.42578125" customWidth="1"/>
    <col min="9" max="9" width="11.5703125" customWidth="1"/>
    <col min="11" max="11" width="12.28515625" customWidth="1"/>
    <col min="12" max="12" width="13.42578125" customWidth="1"/>
    <col min="13" max="13" width="15.42578125" customWidth="1"/>
    <col min="15" max="15" width="11" customWidth="1"/>
    <col min="16" max="16" width="18.85546875" customWidth="1"/>
    <col min="19" max="19" width="10.5703125" bestFit="1" customWidth="1"/>
    <col min="20" max="20" width="11" bestFit="1" customWidth="1"/>
    <col min="21" max="21" width="12" bestFit="1" customWidth="1"/>
    <col min="22" max="22" width="13.5703125" customWidth="1"/>
    <col min="23" max="23" width="11" bestFit="1" customWidth="1"/>
    <col min="24" max="24" width="11.140625" customWidth="1"/>
  </cols>
  <sheetData>
    <row r="1" spans="2:25" x14ac:dyDescent="0.25">
      <c r="F1" t="s">
        <v>277</v>
      </c>
    </row>
    <row r="2" spans="2:25" ht="15.75" thickBot="1" x14ac:dyDescent="0.3">
      <c r="F2" t="s">
        <v>214</v>
      </c>
      <c r="H2" s="248" t="s">
        <v>276</v>
      </c>
      <c r="P2" s="294"/>
      <c r="Q2" s="235"/>
      <c r="R2" s="190"/>
      <c r="S2" s="190"/>
      <c r="T2" s="190"/>
      <c r="U2" s="190"/>
      <c r="V2" s="190"/>
      <c r="W2" s="190"/>
      <c r="X2" s="190"/>
      <c r="Y2" s="190"/>
    </row>
    <row r="3" spans="2:25" ht="16.5" thickTop="1" thickBot="1" x14ac:dyDescent="0.3">
      <c r="B3" s="248"/>
      <c r="F3" s="149">
        <f>IF('foglio deposito'!G110="trave",0,'foglio deposito'!G102)</f>
        <v>450</v>
      </c>
      <c r="H3" s="284">
        <f>IF('foglio deposito'!G110="trave",0,'foglio deposito'!F118)</f>
        <v>4</v>
      </c>
      <c r="P3" s="295"/>
      <c r="Q3" s="235"/>
      <c r="R3" s="190"/>
      <c r="S3" s="190"/>
      <c r="T3" s="190"/>
      <c r="U3" s="190"/>
      <c r="V3" s="190"/>
      <c r="W3" s="190"/>
      <c r="X3" s="190"/>
      <c r="Y3" s="190"/>
    </row>
    <row r="4" spans="2:25" ht="15.75" thickTop="1" x14ac:dyDescent="0.25">
      <c r="B4" s="135"/>
      <c r="H4" s="284">
        <f>IF('foglio deposito'!G110="trave",0,'foglio deposito'!F119)</f>
        <v>4</v>
      </c>
      <c r="O4" s="190"/>
      <c r="P4" s="296"/>
      <c r="Q4" s="297"/>
      <c r="R4" s="190"/>
      <c r="S4" s="190"/>
      <c r="T4" s="190"/>
      <c r="U4" s="190"/>
      <c r="V4" s="190"/>
      <c r="W4" s="190"/>
      <c r="X4" s="190"/>
      <c r="Y4" s="190"/>
    </row>
    <row r="5" spans="2:25" x14ac:dyDescent="0.25">
      <c r="J5" s="9"/>
      <c r="K5" s="9" t="s">
        <v>275</v>
      </c>
      <c r="L5" s="9" t="s">
        <v>274</v>
      </c>
      <c r="M5" t="s">
        <v>273</v>
      </c>
      <c r="N5" s="9"/>
      <c r="O5" s="190"/>
      <c r="P5" s="296"/>
      <c r="Q5" s="297"/>
      <c r="R5" s="190"/>
      <c r="S5" s="190"/>
      <c r="T5" s="190"/>
      <c r="U5" s="190"/>
      <c r="V5" s="190"/>
      <c r="W5" s="190"/>
      <c r="X5" s="190"/>
      <c r="Y5" s="190"/>
    </row>
    <row r="6" spans="2:25" x14ac:dyDescent="0.25">
      <c r="B6" s="319" t="s">
        <v>272</v>
      </c>
      <c r="C6" s="319"/>
      <c r="D6" s="283" t="s">
        <v>29</v>
      </c>
      <c r="E6" s="248">
        <f>DATI!F48*10^-3</f>
        <v>-2E-3</v>
      </c>
      <c r="G6" s="9" t="s">
        <v>271</v>
      </c>
      <c r="H6" s="9">
        <f>10</f>
        <v>10</v>
      </c>
      <c r="J6" s="9" t="s">
        <v>270</v>
      </c>
      <c r="K6" s="9">
        <v>450</v>
      </c>
      <c r="L6" s="9">
        <v>540</v>
      </c>
      <c r="M6" s="9">
        <v>67.5</v>
      </c>
      <c r="O6" s="190"/>
      <c r="P6" s="296"/>
      <c r="Q6" s="297"/>
      <c r="R6" s="235"/>
      <c r="S6" s="298"/>
      <c r="T6" s="190"/>
      <c r="U6" s="190"/>
      <c r="V6" s="190"/>
      <c r="W6" s="190"/>
      <c r="X6" s="190"/>
      <c r="Y6" s="190"/>
    </row>
    <row r="7" spans="2:25" ht="15.75" x14ac:dyDescent="0.25">
      <c r="B7" s="9">
        <f>-ABS('foglio deposito'!F3)</f>
        <v>-450</v>
      </c>
      <c r="C7" s="9"/>
      <c r="D7" s="281" t="s">
        <v>28</v>
      </c>
      <c r="E7" s="248">
        <f>'foglio deposito'!D13*10^-3</f>
        <v>-1.164817900413753E-2</v>
      </c>
      <c r="G7" s="9" t="s">
        <v>269</v>
      </c>
      <c r="H7" s="9">
        <v>15</v>
      </c>
      <c r="J7" s="9" t="s">
        <v>182</v>
      </c>
      <c r="K7" s="9">
        <v>430</v>
      </c>
      <c r="L7" s="9">
        <v>540</v>
      </c>
      <c r="M7" s="9">
        <v>40</v>
      </c>
      <c r="O7" s="190"/>
      <c r="P7" s="296"/>
      <c r="Q7" s="297"/>
      <c r="R7" s="235"/>
      <c r="S7" s="298"/>
      <c r="T7" s="190"/>
      <c r="U7" s="190"/>
      <c r="V7" s="190"/>
      <c r="W7" s="190"/>
      <c r="X7" s="190"/>
      <c r="Y7" s="190"/>
    </row>
    <row r="8" spans="2:25" ht="15.75" x14ac:dyDescent="0.25">
      <c r="D8" s="281" t="s">
        <v>43</v>
      </c>
      <c r="E8" s="248">
        <f>DATI!F54*10^-3</f>
        <v>1.8700000000000001E-3</v>
      </c>
      <c r="G8" s="9" t="s">
        <v>268</v>
      </c>
      <c r="H8" s="9">
        <v>20</v>
      </c>
      <c r="J8" s="9" t="s">
        <v>267</v>
      </c>
      <c r="K8" s="9">
        <v>375</v>
      </c>
      <c r="L8" s="9">
        <v>450</v>
      </c>
      <c r="M8" s="9">
        <v>40</v>
      </c>
      <c r="O8" s="190"/>
      <c r="P8" s="296"/>
      <c r="Q8" s="297"/>
      <c r="R8" s="235"/>
      <c r="S8" s="298"/>
      <c r="T8" s="190"/>
      <c r="U8" s="190"/>
      <c r="V8" s="190"/>
      <c r="W8" s="190"/>
      <c r="X8" s="190"/>
      <c r="Y8" s="190"/>
    </row>
    <row r="9" spans="2:25" ht="15.75" x14ac:dyDescent="0.25">
      <c r="B9" s="282" t="s">
        <v>106</v>
      </c>
      <c r="C9" s="243">
        <f>'foglio deposito'!B7*10^3/(DATI!F4*DATI!F5*'foglio deposito'!K44*'foglio deposito'!K47)</f>
        <v>-0.10422312085713097</v>
      </c>
      <c r="D9" s="281" t="s">
        <v>61</v>
      </c>
      <c r="E9" s="248">
        <f>DATI!F55*10^-3</f>
        <v>6.7500000000000004E-2</v>
      </c>
      <c r="G9" s="9" t="s">
        <v>266</v>
      </c>
      <c r="H9" s="9">
        <v>25</v>
      </c>
      <c r="J9" s="9" t="s">
        <v>265</v>
      </c>
      <c r="K9" s="9">
        <v>315</v>
      </c>
      <c r="L9" s="9">
        <v>490</v>
      </c>
      <c r="M9" s="9">
        <v>10</v>
      </c>
      <c r="P9" s="296"/>
      <c r="Q9" s="297"/>
      <c r="R9" s="235"/>
      <c r="S9" s="298"/>
      <c r="T9" s="190"/>
      <c r="U9" s="190"/>
      <c r="V9" s="190"/>
      <c r="W9" s="190"/>
      <c r="X9" s="190"/>
      <c r="Y9" s="190"/>
    </row>
    <row r="10" spans="2:25" x14ac:dyDescent="0.25">
      <c r="G10" s="9" t="s">
        <v>264</v>
      </c>
      <c r="H10" s="9">
        <v>30</v>
      </c>
      <c r="J10" s="9" t="s">
        <v>263</v>
      </c>
      <c r="K10" s="9">
        <v>215</v>
      </c>
      <c r="L10" s="9">
        <v>335</v>
      </c>
      <c r="M10" s="9">
        <v>10</v>
      </c>
      <c r="P10" s="296"/>
      <c r="Q10" s="297"/>
      <c r="R10" s="235"/>
      <c r="S10" s="298"/>
      <c r="T10" s="190"/>
      <c r="U10" s="190"/>
      <c r="V10" s="190"/>
      <c r="W10" s="190"/>
      <c r="X10" s="190"/>
      <c r="Y10" s="190"/>
    </row>
    <row r="11" spans="2:25" x14ac:dyDescent="0.25">
      <c r="G11" s="9" t="s">
        <v>262</v>
      </c>
      <c r="H11" s="9">
        <v>35</v>
      </c>
      <c r="P11" s="296"/>
      <c r="Q11" s="297"/>
      <c r="R11" s="235"/>
      <c r="S11" s="298"/>
      <c r="T11" s="190"/>
      <c r="U11" s="190"/>
      <c r="V11" s="190"/>
      <c r="W11" s="190"/>
      <c r="X11" s="190"/>
      <c r="Y11" s="190"/>
    </row>
    <row r="12" spans="2:25" ht="19.5" thickBot="1" x14ac:dyDescent="0.3">
      <c r="C12" s="251" t="s">
        <v>231</v>
      </c>
      <c r="D12" s="262">
        <v>-8.1481790041375302</v>
      </c>
      <c r="G12" s="9" t="s">
        <v>261</v>
      </c>
      <c r="H12" s="9">
        <v>40</v>
      </c>
      <c r="P12" s="296"/>
      <c r="Q12" s="297"/>
      <c r="R12" s="235"/>
      <c r="S12" s="298"/>
      <c r="T12" s="190"/>
      <c r="U12" s="190"/>
      <c r="V12" s="190"/>
      <c r="W12" s="190"/>
      <c r="X12" s="190"/>
      <c r="Y12" s="190"/>
    </row>
    <row r="13" spans="2:25" ht="17.25" thickTop="1" thickBot="1" x14ac:dyDescent="0.3">
      <c r="D13" s="217">
        <v>-11.64817900413753</v>
      </c>
      <c r="G13" s="9" t="s">
        <v>260</v>
      </c>
      <c r="H13" s="9">
        <v>45</v>
      </c>
      <c r="P13" s="296"/>
      <c r="Q13" s="297"/>
      <c r="R13" s="235"/>
      <c r="S13" s="298"/>
      <c r="T13" s="190"/>
      <c r="U13" s="190"/>
      <c r="V13" s="190"/>
      <c r="W13" s="190"/>
      <c r="X13" s="190"/>
      <c r="Y13" s="190"/>
    </row>
    <row r="14" spans="2:25" ht="16.5" thickTop="1" thickBot="1" x14ac:dyDescent="0.3">
      <c r="G14" s="9" t="s">
        <v>259</v>
      </c>
      <c r="H14" s="9">
        <v>50</v>
      </c>
      <c r="J14" s="280" t="s">
        <v>258</v>
      </c>
      <c r="K14" s="279">
        <f>DATI!F39</f>
        <v>450</v>
      </c>
      <c r="L14" s="235" t="s">
        <v>257</v>
      </c>
      <c r="P14" s="296"/>
      <c r="Q14" s="297"/>
      <c r="R14" s="235"/>
      <c r="S14" s="298"/>
      <c r="T14" s="190"/>
      <c r="U14" s="190"/>
      <c r="V14" s="190"/>
      <c r="W14" s="190"/>
      <c r="X14" s="190"/>
      <c r="Y14" s="190"/>
    </row>
    <row r="15" spans="2:25" ht="15.75" thickTop="1" x14ac:dyDescent="0.25">
      <c r="D15">
        <f>DATI!F49</f>
        <v>-3.5</v>
      </c>
      <c r="G15" s="9" t="s">
        <v>256</v>
      </c>
      <c r="H15" s="9">
        <v>55</v>
      </c>
      <c r="P15" s="296"/>
      <c r="Q15" s="297"/>
      <c r="R15" s="235"/>
      <c r="S15" s="298"/>
      <c r="T15" s="190"/>
      <c r="U15" s="190"/>
      <c r="V15" s="190"/>
      <c r="W15" s="190"/>
      <c r="X15" s="190"/>
      <c r="Y15" s="190"/>
    </row>
    <row r="16" spans="2:25" x14ac:dyDescent="0.25">
      <c r="G16" s="9" t="s">
        <v>255</v>
      </c>
      <c r="H16" s="9">
        <v>60</v>
      </c>
      <c r="P16" s="296"/>
      <c r="Q16" s="297"/>
      <c r="R16" s="235"/>
      <c r="S16" s="298"/>
      <c r="T16" s="190"/>
      <c r="U16" s="190"/>
      <c r="V16" s="190"/>
      <c r="W16" s="190"/>
      <c r="X16" s="190"/>
      <c r="Y16" s="190"/>
    </row>
    <row r="17" spans="2:25" x14ac:dyDescent="0.25">
      <c r="G17" t="s">
        <v>209</v>
      </c>
      <c r="H17">
        <f>'foglio deposito'!H19/0.83</f>
        <v>15.060240963855422</v>
      </c>
      <c r="K17" s="9"/>
      <c r="L17" s="9" t="s">
        <v>203</v>
      </c>
      <c r="P17" s="296"/>
      <c r="Q17" s="297"/>
      <c r="R17" s="235"/>
      <c r="S17" s="298"/>
      <c r="T17" s="190"/>
      <c r="U17" s="190"/>
      <c r="V17" s="190"/>
      <c r="W17" s="190"/>
      <c r="X17" s="190"/>
      <c r="Y17" s="190"/>
    </row>
    <row r="18" spans="2:25" x14ac:dyDescent="0.25">
      <c r="K18" s="9" t="s">
        <v>254</v>
      </c>
      <c r="L18" s="16">
        <v>1.35</v>
      </c>
      <c r="P18" s="296"/>
      <c r="Q18" s="297"/>
      <c r="R18" s="235"/>
      <c r="S18" s="298"/>
      <c r="T18" s="190"/>
      <c r="U18" s="190"/>
      <c r="V18" s="190"/>
      <c r="W18" s="190"/>
      <c r="X18" s="190"/>
      <c r="Y18" s="190"/>
    </row>
    <row r="19" spans="2:25" x14ac:dyDescent="0.25">
      <c r="G19" s="136" t="s">
        <v>253</v>
      </c>
      <c r="H19" s="230">
        <f>DATI!F18/DATI!F19</f>
        <v>12.5</v>
      </c>
      <c r="K19" s="9" t="s">
        <v>206</v>
      </c>
      <c r="L19" s="16">
        <v>1.2</v>
      </c>
      <c r="P19" s="296"/>
      <c r="Q19" s="297"/>
      <c r="R19" s="235"/>
      <c r="S19" s="298"/>
      <c r="T19" s="190"/>
      <c r="U19" s="190"/>
      <c r="V19" s="190"/>
      <c r="W19" s="190"/>
      <c r="X19" s="190"/>
      <c r="Y19" s="190"/>
    </row>
    <row r="20" spans="2:25" x14ac:dyDescent="0.25">
      <c r="K20" s="9" t="s">
        <v>252</v>
      </c>
      <c r="L20" s="16">
        <v>1</v>
      </c>
      <c r="P20" s="296"/>
      <c r="Q20" s="297"/>
      <c r="R20" s="235"/>
      <c r="S20" s="298"/>
      <c r="T20" s="190"/>
      <c r="U20" s="190"/>
      <c r="V20" s="190"/>
      <c r="W20" s="190"/>
      <c r="X20" s="190"/>
      <c r="Y20" s="190"/>
    </row>
    <row r="21" spans="2:25" ht="15.75" thickBot="1" x14ac:dyDescent="0.3">
      <c r="B21" s="20" t="s">
        <v>134</v>
      </c>
      <c r="C21" s="20"/>
      <c r="D21" s="20"/>
      <c r="E21" s="151" t="s">
        <v>251</v>
      </c>
      <c r="F21" s="278">
        <f>(DATI!F66+DATI!F65)*'foglio deposito'!K45/(DATI!F4*DATI!F5*'foglio deposito'!K44)</f>
        <v>0.24201095843140802</v>
      </c>
      <c r="I21" s="136" t="s">
        <v>157</v>
      </c>
      <c r="P21" s="296"/>
      <c r="Q21" s="297"/>
      <c r="R21" s="235"/>
      <c r="S21" s="298"/>
      <c r="T21" s="190"/>
      <c r="U21" s="190"/>
      <c r="V21" s="190"/>
      <c r="W21" s="190"/>
      <c r="X21" s="190"/>
      <c r="Y21" s="190"/>
    </row>
    <row r="22" spans="2:25" ht="16.5" thickTop="1" thickBot="1" x14ac:dyDescent="0.3">
      <c r="I22" s="197">
        <f>'foglio deposito'!G81</f>
        <v>8</v>
      </c>
      <c r="K22" t="s">
        <v>246</v>
      </c>
      <c r="P22" s="296"/>
      <c r="Q22" s="297"/>
      <c r="R22" s="235"/>
      <c r="S22" s="298"/>
      <c r="T22" s="190"/>
      <c r="U22" s="190"/>
      <c r="V22" s="190"/>
      <c r="W22" s="190"/>
      <c r="X22" s="190"/>
      <c r="Y22" s="190"/>
    </row>
    <row r="23" spans="2:25" ht="16.5" thickTop="1" thickBot="1" x14ac:dyDescent="0.3">
      <c r="B23" s="20" t="s">
        <v>134</v>
      </c>
      <c r="C23" s="20"/>
      <c r="D23" s="20"/>
      <c r="E23" s="151" t="s">
        <v>250</v>
      </c>
      <c r="F23" s="278">
        <f>('foglio deposito'!G72+'foglio deposito'!G71)*'foglio deposito'!K45/(DATI!F4*DATI!F5*'foglio deposito'!K44)</f>
        <v>0.12390961071688091</v>
      </c>
      <c r="I23" s="197">
        <f>'foglio deposito'!G81</f>
        <v>8</v>
      </c>
      <c r="K23" t="s">
        <v>247</v>
      </c>
      <c r="P23" s="296"/>
      <c r="Q23" s="297"/>
      <c r="R23" s="235"/>
      <c r="S23" s="298"/>
      <c r="T23" s="190"/>
      <c r="U23" s="190"/>
      <c r="V23" s="190"/>
      <c r="W23" s="190"/>
      <c r="X23" s="190"/>
      <c r="Y23" s="190"/>
    </row>
    <row r="24" spans="2:25" ht="15.75" thickTop="1" x14ac:dyDescent="0.25">
      <c r="P24" s="296"/>
      <c r="Q24" s="297"/>
      <c r="R24" s="235"/>
      <c r="S24" s="298"/>
      <c r="T24" s="190"/>
      <c r="U24" s="190"/>
      <c r="V24" s="190"/>
      <c r="W24" s="190"/>
      <c r="X24" s="190"/>
      <c r="Y24" s="190"/>
    </row>
    <row r="25" spans="2:25" x14ac:dyDescent="0.25">
      <c r="B25" s="20" t="s">
        <v>132</v>
      </c>
      <c r="C25" s="36"/>
      <c r="D25" s="152"/>
      <c r="E25" s="151" t="s">
        <v>249</v>
      </c>
      <c r="F25" s="278">
        <f>(DATI!F66+DATI!F65)/(DATI!F4*DATI!F5)</f>
        <v>8.7266462599716477E-3</v>
      </c>
      <c r="P25" s="190"/>
      <c r="Q25" s="190"/>
      <c r="R25" s="190"/>
      <c r="S25" s="190"/>
      <c r="T25" s="190"/>
      <c r="U25" s="190"/>
      <c r="V25" s="190"/>
      <c r="W25" s="190"/>
      <c r="X25" s="190"/>
      <c r="Y25" s="190"/>
    </row>
    <row r="26" spans="2:25" x14ac:dyDescent="0.25">
      <c r="P26" s="190"/>
      <c r="Q26" s="190"/>
      <c r="R26" s="190"/>
      <c r="S26" s="190"/>
      <c r="T26" s="190"/>
      <c r="U26" s="190"/>
      <c r="V26" s="190"/>
      <c r="W26" s="190"/>
      <c r="X26" s="190"/>
      <c r="Y26" s="190"/>
    </row>
    <row r="27" spans="2:25" x14ac:dyDescent="0.25">
      <c r="B27" s="20" t="s">
        <v>132</v>
      </c>
      <c r="C27" s="36"/>
      <c r="D27" s="152"/>
      <c r="E27" s="151" t="s">
        <v>248</v>
      </c>
      <c r="F27" s="278">
        <f>('foglio deposito'!G72+'foglio deposito'!G71)/(DATI!F4*DATI!F5)</f>
        <v>4.4680428851054839E-3</v>
      </c>
      <c r="P27" s="190"/>
      <c r="Q27" s="190"/>
      <c r="R27" s="190"/>
      <c r="S27" s="190"/>
      <c r="T27" s="190"/>
      <c r="U27" s="190"/>
      <c r="V27" s="190"/>
      <c r="W27" s="190"/>
      <c r="X27" s="190"/>
      <c r="Y27" s="190"/>
    </row>
    <row r="32" spans="2:25" ht="15.75" x14ac:dyDescent="0.25">
      <c r="B32" s="320" t="s">
        <v>88</v>
      </c>
      <c r="C32" s="321"/>
      <c r="D32" s="321"/>
      <c r="E32" s="321"/>
      <c r="F32" s="321"/>
      <c r="G32" s="20"/>
      <c r="H32" s="189" t="s">
        <v>0</v>
      </c>
      <c r="I32" s="277">
        <f>DATI!F40</f>
        <v>391.304347826087</v>
      </c>
      <c r="J32" s="189" t="s">
        <v>13</v>
      </c>
      <c r="L32" s="267" t="s">
        <v>245</v>
      </c>
      <c r="P32" s="240"/>
    </row>
    <row r="33" spans="2:19" ht="16.5" thickBot="1" x14ac:dyDescent="0.3">
      <c r="B33" s="269"/>
      <c r="C33" s="180"/>
      <c r="D33" s="180"/>
      <c r="E33" s="180"/>
      <c r="F33" s="180"/>
      <c r="G33" s="20"/>
      <c r="H33" s="268"/>
      <c r="I33" s="270"/>
      <c r="J33" s="268"/>
      <c r="L33" s="267" t="s">
        <v>244</v>
      </c>
      <c r="M33" s="244"/>
      <c r="P33" s="240"/>
    </row>
    <row r="34" spans="2:19" ht="17.25" thickTop="1" thickBot="1" x14ac:dyDescent="0.3">
      <c r="B34" s="271" t="s">
        <v>6</v>
      </c>
      <c r="C34" s="273">
        <f>DATI!F4</f>
        <v>300</v>
      </c>
      <c r="D34" s="189" t="s">
        <v>17</v>
      </c>
      <c r="E34" s="180" t="s">
        <v>34</v>
      </c>
      <c r="F34" s="180"/>
      <c r="G34" s="20"/>
      <c r="H34" s="189" t="s">
        <v>58</v>
      </c>
      <c r="I34" s="276">
        <f>DATI!F41</f>
        <v>210000</v>
      </c>
      <c r="J34" s="189" t="s">
        <v>13</v>
      </c>
    </row>
    <row r="35" spans="2:19" ht="17.25" thickTop="1" thickBot="1" x14ac:dyDescent="0.3">
      <c r="B35" s="274"/>
      <c r="C35" s="270"/>
      <c r="D35" s="268"/>
      <c r="E35" s="180"/>
      <c r="F35" s="180"/>
      <c r="G35" s="20"/>
      <c r="H35" s="20"/>
      <c r="I35" s="20"/>
      <c r="J35" s="21"/>
      <c r="L35" t="s">
        <v>243</v>
      </c>
      <c r="M35" s="275">
        <f>IF('foglio deposito'!G85-2&lt;0,0,'foglio deposito'!G85-2)</f>
        <v>2</v>
      </c>
    </row>
    <row r="36" spans="2:19" ht="17.25" thickTop="1" thickBot="1" x14ac:dyDescent="0.3">
      <c r="B36" s="271" t="s">
        <v>7</v>
      </c>
      <c r="C36" s="273">
        <f>DATI!F5</f>
        <v>1200</v>
      </c>
      <c r="D36" s="189" t="s">
        <v>17</v>
      </c>
      <c r="E36" s="180" t="s">
        <v>33</v>
      </c>
      <c r="F36" s="180"/>
      <c r="G36" s="20"/>
      <c r="H36" s="20"/>
      <c r="I36" s="20"/>
      <c r="J36" s="21"/>
      <c r="L36" t="s">
        <v>242</v>
      </c>
      <c r="M36" s="275">
        <f>IF('foglio deposito'!G86-2&lt;0,0,'foglio deposito'!G86-2)</f>
        <v>0</v>
      </c>
    </row>
    <row r="37" spans="2:19" ht="17.25" thickTop="1" thickBot="1" x14ac:dyDescent="0.3">
      <c r="B37" s="274"/>
      <c r="C37" s="270"/>
      <c r="D37" s="268"/>
      <c r="E37" s="180"/>
      <c r="F37" s="180"/>
      <c r="G37" s="20"/>
      <c r="H37" s="20"/>
      <c r="I37" s="20"/>
      <c r="J37" s="21"/>
    </row>
    <row r="38" spans="2:19" ht="17.25" thickTop="1" thickBot="1" x14ac:dyDescent="0.3">
      <c r="B38" s="271" t="s">
        <v>8</v>
      </c>
      <c r="C38" s="273">
        <f>DATI!F6</f>
        <v>45</v>
      </c>
      <c r="D38" s="189" t="s">
        <v>17</v>
      </c>
      <c r="E38" s="180" t="s">
        <v>241</v>
      </c>
      <c r="F38" s="180"/>
      <c r="G38" s="20"/>
      <c r="H38" t="s">
        <v>239</v>
      </c>
      <c r="I38" s="20"/>
      <c r="J38" s="21"/>
    </row>
    <row r="39" spans="2:19" ht="16.5" thickTop="1" x14ac:dyDescent="0.25">
      <c r="B39" s="269"/>
      <c r="C39" s="180" t="s">
        <v>63</v>
      </c>
      <c r="D39" s="268"/>
      <c r="E39" s="272"/>
      <c r="F39" s="180"/>
      <c r="G39" s="20"/>
      <c r="H39" t="s">
        <v>112</v>
      </c>
      <c r="I39" s="20"/>
      <c r="J39" s="21"/>
    </row>
    <row r="40" spans="2:19" ht="15.75" x14ac:dyDescent="0.25">
      <c r="B40" s="269"/>
      <c r="C40" s="272"/>
      <c r="D40" s="272"/>
      <c r="E40" s="272"/>
      <c r="F40" s="180"/>
      <c r="G40" s="20"/>
      <c r="H40" s="20"/>
      <c r="I40" s="20"/>
      <c r="J40" s="21"/>
    </row>
    <row r="41" spans="2:19" ht="15.75" x14ac:dyDescent="0.25">
      <c r="B41" s="271" t="s">
        <v>19</v>
      </c>
      <c r="C41" s="270">
        <f>DATI!F7</f>
        <v>1155</v>
      </c>
      <c r="D41" s="189" t="s">
        <v>17</v>
      </c>
      <c r="E41" s="180" t="s">
        <v>16</v>
      </c>
      <c r="F41" s="180"/>
      <c r="G41" s="20"/>
      <c r="H41" s="20"/>
      <c r="I41" s="20"/>
      <c r="J41" s="21"/>
    </row>
    <row r="42" spans="2:19" ht="15.75" x14ac:dyDescent="0.25">
      <c r="B42" s="269"/>
      <c r="C42" s="180"/>
      <c r="D42" s="268"/>
      <c r="E42" s="180"/>
      <c r="F42" s="180"/>
      <c r="G42" s="20"/>
      <c r="H42" s="20"/>
      <c r="I42" s="20"/>
      <c r="J42" s="21"/>
    </row>
    <row r="44" spans="2:19" ht="16.5" thickBot="1" x14ac:dyDescent="0.3">
      <c r="J44" s="136" t="s">
        <v>60</v>
      </c>
      <c r="K44" s="263">
        <f>DATI!F24</f>
        <v>14.109999999999998</v>
      </c>
      <c r="O44" s="267" t="s">
        <v>240</v>
      </c>
      <c r="S44" s="266">
        <f>IF('foglio deposito'!G81=0,0,2*(1+'foglio deposito'!M36))</f>
        <v>2</v>
      </c>
    </row>
    <row r="45" spans="2:19" ht="17.25" thickTop="1" thickBot="1" x14ac:dyDescent="0.3">
      <c r="C45" s="257" t="s">
        <v>235</v>
      </c>
      <c r="D45" s="256"/>
      <c r="E45" s="256"/>
      <c r="F45" s="255" t="s">
        <v>222</v>
      </c>
      <c r="G45" s="254">
        <f>DATI!F4</f>
        <v>300</v>
      </c>
      <c r="H45" s="258" t="s">
        <v>234</v>
      </c>
      <c r="J45" s="136" t="s">
        <v>0</v>
      </c>
      <c r="K45" s="249">
        <f>DATI!F40</f>
        <v>391.304347826087</v>
      </c>
      <c r="L45" s="260">
        <f>-L49</f>
        <v>-40</v>
      </c>
      <c r="M45" s="259">
        <f>-M49</f>
        <v>-373.91304347826087</v>
      </c>
      <c r="O45" s="244"/>
      <c r="P45" s="244"/>
      <c r="S45" s="244"/>
    </row>
    <row r="46" spans="2:19" ht="17.25" thickTop="1" thickBot="1" x14ac:dyDescent="0.3">
      <c r="C46" s="257" t="s">
        <v>233</v>
      </c>
      <c r="D46" s="256"/>
      <c r="E46" s="256"/>
      <c r="F46" s="255" t="s">
        <v>7</v>
      </c>
      <c r="G46" s="254">
        <f>DATI!F5</f>
        <v>1200</v>
      </c>
      <c r="H46" s="253" t="s">
        <v>232</v>
      </c>
      <c r="J46" s="265" t="s">
        <v>58</v>
      </c>
      <c r="K46" s="264">
        <f>DATI!F41</f>
        <v>210000</v>
      </c>
      <c r="L46" s="260">
        <v>-1.87</v>
      </c>
      <c r="M46" s="259">
        <f>-M49</f>
        <v>-373.91304347826087</v>
      </c>
      <c r="O46" s="267" t="s">
        <v>238</v>
      </c>
      <c r="S46" s="266">
        <f>IF('foglio deposito'!G81=0,0,2*(1+'foglio deposito'!M35))</f>
        <v>6</v>
      </c>
    </row>
    <row r="47" spans="2:19" ht="17.25" thickTop="1" thickBot="1" x14ac:dyDescent="0.3">
      <c r="C47" s="20"/>
      <c r="D47" s="20"/>
      <c r="E47" s="20"/>
      <c r="F47" s="20"/>
      <c r="G47" s="252" t="str">
        <f>IF('foglio deposito'!C96='foglio deposito'!H38,"A","B")</f>
        <v>B</v>
      </c>
      <c r="H47" s="317">
        <f>'foglio deposito'!G81</f>
        <v>8</v>
      </c>
      <c r="J47" s="151" t="s">
        <v>184</v>
      </c>
      <c r="K47" s="226">
        <f>DATI!F31</f>
        <v>0.85</v>
      </c>
      <c r="L47" s="262">
        <v>0</v>
      </c>
      <c r="M47" s="259">
        <v>0</v>
      </c>
    </row>
    <row r="48" spans="2:19" ht="17.25" thickTop="1" thickBot="1" x14ac:dyDescent="0.3">
      <c r="C48" s="20"/>
      <c r="D48" s="20"/>
      <c r="E48" s="20"/>
      <c r="F48" s="20"/>
      <c r="H48" s="318"/>
      <c r="J48" s="151" t="s">
        <v>237</v>
      </c>
      <c r="K48" s="263">
        <f>DATI!F27</f>
        <v>1.1937890758112488</v>
      </c>
      <c r="L48" s="262">
        <v>1.87</v>
      </c>
      <c r="M48" s="259">
        <v>373.91304347826087</v>
      </c>
    </row>
    <row r="49" spans="3:13" ht="19.5" thickTop="1" x14ac:dyDescent="0.25">
      <c r="C49" s="244"/>
      <c r="D49" s="20"/>
      <c r="E49" s="20"/>
      <c r="F49" s="251"/>
      <c r="G49" s="215"/>
      <c r="J49" s="151" t="s">
        <v>236</v>
      </c>
      <c r="K49" s="261">
        <f>DATI!F29</f>
        <v>31447.161439943484</v>
      </c>
      <c r="L49" s="260">
        <v>40</v>
      </c>
      <c r="M49" s="259">
        <f>M48</f>
        <v>373.91304347826087</v>
      </c>
    </row>
    <row r="52" spans="3:13" x14ac:dyDescent="0.25">
      <c r="D52" s="9"/>
    </row>
    <row r="53" spans="3:13" ht="18.75" x14ac:dyDescent="0.25">
      <c r="C53" s="250" t="s">
        <v>230</v>
      </c>
      <c r="D53" s="249">
        <f>DATI!F49</f>
        <v>-3.5</v>
      </c>
    </row>
    <row r="54" spans="3:13" ht="18.75" x14ac:dyDescent="0.25">
      <c r="C54" s="250"/>
      <c r="D54" s="249"/>
    </row>
    <row r="60" spans="3:13" x14ac:dyDescent="0.25">
      <c r="C60" s="56" t="s">
        <v>199</v>
      </c>
      <c r="D60" s="247">
        <f>DATI!F22</f>
        <v>32.9</v>
      </c>
      <c r="E60" s="20"/>
      <c r="F60" s="157" t="s">
        <v>229</v>
      </c>
      <c r="G60" s="20"/>
      <c r="H60" s="20"/>
      <c r="I60" s="20"/>
      <c r="J60" s="20"/>
    </row>
    <row r="61" spans="3:13" x14ac:dyDescent="0.25">
      <c r="C61" s="56" t="s">
        <v>178</v>
      </c>
      <c r="D61" s="246">
        <f>DATI!F39</f>
        <v>450</v>
      </c>
      <c r="E61" s="20"/>
      <c r="F61" s="157" t="s">
        <v>228</v>
      </c>
      <c r="G61" s="20"/>
      <c r="H61" s="20"/>
      <c r="I61" s="20"/>
      <c r="J61" s="20"/>
    </row>
    <row r="62" spans="3:13" x14ac:dyDescent="0.25">
      <c r="C62" s="36"/>
      <c r="D62" s="246"/>
      <c r="E62" s="20"/>
      <c r="F62" s="157"/>
      <c r="G62" s="20"/>
      <c r="H62" s="20"/>
      <c r="I62" s="20"/>
      <c r="J62" s="20"/>
    </row>
    <row r="63" spans="3:13" x14ac:dyDescent="0.25">
      <c r="C63" s="36"/>
      <c r="D63" s="246"/>
      <c r="E63" s="20"/>
      <c r="F63" s="157"/>
      <c r="G63" s="20"/>
      <c r="H63" s="20"/>
      <c r="I63" s="20"/>
      <c r="J63" s="20"/>
    </row>
    <row r="64" spans="3:13" x14ac:dyDescent="0.25">
      <c r="C64" s="36"/>
      <c r="D64" s="20" t="s">
        <v>227</v>
      </c>
      <c r="E64" s="20"/>
      <c r="F64" s="20"/>
      <c r="G64" s="20"/>
      <c r="H64" s="20"/>
      <c r="I64" s="151" t="s">
        <v>226</v>
      </c>
      <c r="J64" s="245">
        <f>'foglio deposito'!G102*1000/(DATI!F4*DATI!F5*'foglio deposito'!D60)</f>
        <v>3.7993920972644375E-2</v>
      </c>
    </row>
    <row r="65" spans="3:10" x14ac:dyDescent="0.25">
      <c r="C65" s="36"/>
      <c r="D65" s="20" t="s">
        <v>225</v>
      </c>
      <c r="E65" s="20"/>
      <c r="F65" s="20"/>
      <c r="G65" s="20"/>
      <c r="H65" s="20"/>
      <c r="I65" s="20"/>
      <c r="J65" s="20"/>
    </row>
    <row r="66" spans="3:10" x14ac:dyDescent="0.25">
      <c r="C66" s="20"/>
      <c r="D66" s="20"/>
      <c r="E66" s="20"/>
      <c r="F66" s="20"/>
      <c r="G66" s="20"/>
      <c r="H66" s="20"/>
      <c r="I66" s="20"/>
      <c r="J66" s="20"/>
    </row>
    <row r="71" spans="3:10" x14ac:dyDescent="0.25">
      <c r="C71" s="20" t="s">
        <v>146</v>
      </c>
      <c r="D71" s="20"/>
      <c r="E71" s="20"/>
      <c r="F71" s="151" t="s">
        <v>145</v>
      </c>
      <c r="G71" s="201">
        <f>'foglio deposito'!H3*('foglio deposito'!G118/2)^2*PI()</f>
        <v>804.24771931898704</v>
      </c>
    </row>
    <row r="72" spans="3:10" x14ac:dyDescent="0.25">
      <c r="C72" s="20" t="s">
        <v>144</v>
      </c>
      <c r="D72" s="20"/>
      <c r="E72" s="20"/>
      <c r="F72" s="151" t="s">
        <v>143</v>
      </c>
      <c r="G72" s="201">
        <f>'foglio deposito'!H4*('foglio deposito'!G119/2)^2*PI()</f>
        <v>804.24771931898704</v>
      </c>
    </row>
    <row r="73" spans="3:10" x14ac:dyDescent="0.25">
      <c r="C73" s="20" t="s">
        <v>142</v>
      </c>
      <c r="D73" s="20"/>
      <c r="E73" s="20"/>
      <c r="F73" s="151" t="s">
        <v>141</v>
      </c>
      <c r="G73" s="156">
        <f>G71*'foglio deposito'!K45/(DATI!F4*DATI!F5*'foglio deposito'!K44)</f>
        <v>6.1954805358440453E-2</v>
      </c>
    </row>
    <row r="74" spans="3:10" x14ac:dyDescent="0.25">
      <c r="C74" s="20" t="s">
        <v>140</v>
      </c>
      <c r="D74" s="20"/>
      <c r="E74" s="20"/>
      <c r="F74" s="151" t="s">
        <v>139</v>
      </c>
      <c r="G74" s="156">
        <f>G72*'foglio deposito'!K45/(DATI!F4*DATI!F5*'foglio deposito'!K44)</f>
        <v>6.1954805358440453E-2</v>
      </c>
    </row>
    <row r="75" spans="3:10" x14ac:dyDescent="0.25">
      <c r="C75" s="20" t="s">
        <v>138</v>
      </c>
      <c r="D75" s="36"/>
      <c r="E75" s="152"/>
      <c r="F75" s="151" t="s">
        <v>137</v>
      </c>
      <c r="G75" s="156">
        <f>G71/(DATI!F4*DATI!F5)</f>
        <v>2.2340214425527419E-3</v>
      </c>
    </row>
    <row r="76" spans="3:10" x14ac:dyDescent="0.25">
      <c r="C76" s="20" t="s">
        <v>136</v>
      </c>
      <c r="D76" s="36"/>
      <c r="E76" s="152"/>
      <c r="F76" s="151" t="s">
        <v>135</v>
      </c>
      <c r="G76" s="156">
        <f>G72/(DATI!F4*DATI!F5)</f>
        <v>2.2340214425527419E-3</v>
      </c>
    </row>
    <row r="79" spans="3:10" x14ac:dyDescent="0.25">
      <c r="C79" s="198" t="s">
        <v>126</v>
      </c>
    </row>
    <row r="80" spans="3:10" ht="16.5" thickBot="1" x14ac:dyDescent="0.3">
      <c r="C80" s="187"/>
      <c r="D80" s="187"/>
      <c r="E80" s="187"/>
      <c r="F80" s="187"/>
      <c r="G80" s="180"/>
    </row>
    <row r="81" spans="3:17" ht="17.25" thickTop="1" thickBot="1" x14ac:dyDescent="0.3">
      <c r="C81" s="20" t="s">
        <v>125</v>
      </c>
      <c r="D81" s="20"/>
      <c r="E81" s="190"/>
      <c r="F81" s="189"/>
      <c r="G81" s="197">
        <v>8</v>
      </c>
      <c r="J81" s="172"/>
      <c r="K81" s="196"/>
      <c r="L81" s="195"/>
      <c r="M81" s="195"/>
      <c r="N81" s="195"/>
      <c r="O81" s="194"/>
      <c r="P81" s="163">
        <f>DATI!O62</f>
        <v>45</v>
      </c>
      <c r="Q81" s="159"/>
    </row>
    <row r="82" spans="3:17" ht="17.25" thickTop="1" thickBot="1" x14ac:dyDescent="0.3">
      <c r="C82" s="187"/>
      <c r="D82" s="180"/>
      <c r="E82" s="190"/>
      <c r="F82" s="187"/>
      <c r="G82" s="193"/>
      <c r="J82" s="172"/>
      <c r="K82" s="171"/>
      <c r="L82" s="314" t="s">
        <v>124</v>
      </c>
      <c r="M82" s="192"/>
      <c r="N82" s="191"/>
      <c r="O82" s="168"/>
      <c r="P82" s="159"/>
    </row>
    <row r="83" spans="3:17" ht="17.25" thickTop="1" thickBot="1" x14ac:dyDescent="0.3">
      <c r="C83" s="20" t="s">
        <v>123</v>
      </c>
      <c r="D83" s="20"/>
      <c r="E83" s="190"/>
      <c r="F83" s="189"/>
      <c r="G83" s="147">
        <v>200</v>
      </c>
      <c r="J83" s="172"/>
      <c r="K83" s="171"/>
      <c r="L83" s="315"/>
      <c r="M83" s="174"/>
      <c r="N83" s="173"/>
      <c r="O83" s="168"/>
      <c r="P83" s="159"/>
      <c r="Q83" s="159"/>
    </row>
    <row r="84" spans="3:17" ht="17.25" thickTop="1" thickBot="1" x14ac:dyDescent="0.3">
      <c r="C84" s="180"/>
      <c r="D84" s="188" t="str">
        <f>IF(G83&gt;334,"FUORI LEGGE","")</f>
        <v/>
      </c>
      <c r="E84" s="180"/>
      <c r="F84" s="187"/>
      <c r="G84" s="180"/>
      <c r="J84" s="159"/>
      <c r="K84" s="171"/>
      <c r="L84" s="315"/>
      <c r="M84" s="186">
        <f>G86-2</f>
        <v>0</v>
      </c>
      <c r="N84" s="173"/>
      <c r="O84" s="168"/>
      <c r="P84" s="185"/>
      <c r="Q84" s="159"/>
    </row>
    <row r="85" spans="3:17" ht="17.25" thickTop="1" thickBot="1" x14ac:dyDescent="0.3">
      <c r="C85" s="20" t="s">
        <v>122</v>
      </c>
      <c r="G85" s="182">
        <v>4</v>
      </c>
      <c r="H85" s="181" t="str">
        <f>IF(G85&gt;=2,"","staffe insufficienti")</f>
        <v/>
      </c>
      <c r="J85" s="179"/>
      <c r="K85" s="184"/>
      <c r="L85" s="315"/>
      <c r="M85" s="174"/>
      <c r="N85" s="173"/>
      <c r="O85" s="168"/>
      <c r="P85" s="183">
        <f>DATI!I66</f>
        <v>1200</v>
      </c>
      <c r="Q85" s="159"/>
    </row>
    <row r="86" spans="3:17" ht="16.5" thickTop="1" thickBot="1" x14ac:dyDescent="0.3">
      <c r="C86" s="20" t="s">
        <v>121</v>
      </c>
      <c r="G86" s="182">
        <v>2</v>
      </c>
      <c r="H86" s="181" t="str">
        <f>IF(G86&gt;=2,"","staffe insufficienti")</f>
        <v/>
      </c>
      <c r="K86" s="171"/>
      <c r="L86" s="316"/>
      <c r="M86" s="170">
        <f>G85-2</f>
        <v>2</v>
      </c>
      <c r="N86" s="169"/>
      <c r="O86" s="168"/>
      <c r="Q86" s="159"/>
    </row>
    <row r="87" spans="3:17" ht="16.5" thickTop="1" x14ac:dyDescent="0.25">
      <c r="C87" s="180"/>
      <c r="D87" s="180"/>
      <c r="E87" s="180"/>
      <c r="F87" s="180"/>
      <c r="G87" s="180"/>
      <c r="J87" s="179"/>
      <c r="K87" s="171"/>
      <c r="L87" s="174"/>
      <c r="M87" s="308" t="s">
        <v>120</v>
      </c>
      <c r="N87" s="309"/>
      <c r="O87" s="168"/>
      <c r="P87" s="159"/>
    </row>
    <row r="88" spans="3:17" ht="15.75" x14ac:dyDescent="0.25">
      <c r="C88" s="20" t="s">
        <v>119</v>
      </c>
      <c r="D88" s="178"/>
      <c r="F88" s="161" t="s">
        <v>114</v>
      </c>
      <c r="G88" s="175">
        <f>PI()*(G81/2)^2*G85</f>
        <v>201.06192982974676</v>
      </c>
      <c r="I88" s="177" t="s">
        <v>117</v>
      </c>
      <c r="J88" s="176">
        <f>G89</f>
        <v>100.53096491487338</v>
      </c>
      <c r="K88" s="171"/>
      <c r="L88" s="174"/>
      <c r="M88" s="310"/>
      <c r="N88" s="311"/>
      <c r="O88" s="168"/>
      <c r="P88" s="159"/>
      <c r="Q88" s="159"/>
    </row>
    <row r="89" spans="3:17" ht="15.75" x14ac:dyDescent="0.25">
      <c r="C89" s="20" t="s">
        <v>118</v>
      </c>
      <c r="F89" s="161" t="s">
        <v>117</v>
      </c>
      <c r="G89" s="175">
        <f>PI()*(G81/2)^2*G86</f>
        <v>100.53096491487338</v>
      </c>
      <c r="J89" s="172"/>
      <c r="K89" s="171"/>
      <c r="L89" s="174"/>
      <c r="M89" s="174"/>
      <c r="N89" s="173"/>
      <c r="O89" s="168"/>
      <c r="P89" s="159"/>
      <c r="Q89" s="159"/>
    </row>
    <row r="90" spans="3:17" ht="15.75" thickBot="1" x14ac:dyDescent="0.3">
      <c r="J90" s="172"/>
      <c r="K90" s="171"/>
      <c r="L90" s="170"/>
      <c r="M90" s="170"/>
      <c r="N90" s="169"/>
      <c r="O90" s="168"/>
      <c r="P90" s="159"/>
      <c r="Q90" s="159"/>
    </row>
    <row r="91" spans="3:17" ht="15.75" x14ac:dyDescent="0.25">
      <c r="C91" s="20" t="s">
        <v>116</v>
      </c>
      <c r="F91" s="151" t="s">
        <v>115</v>
      </c>
      <c r="G91" s="156">
        <v>3.5587961579865175E-3</v>
      </c>
      <c r="J91" s="159"/>
      <c r="K91" s="167"/>
      <c r="L91" s="166"/>
      <c r="M91" s="166"/>
      <c r="N91" s="166"/>
      <c r="O91" s="165"/>
      <c r="P91" s="163">
        <f>DATI!O72</f>
        <v>45</v>
      </c>
      <c r="Q91" s="159"/>
    </row>
    <row r="92" spans="3:17" ht="15.75" x14ac:dyDescent="0.25">
      <c r="J92" s="159"/>
      <c r="K92" s="159"/>
      <c r="L92" s="164"/>
      <c r="M92" s="163">
        <f>DATI!L75</f>
        <v>300</v>
      </c>
      <c r="N92" s="162"/>
      <c r="O92" s="159"/>
      <c r="P92" s="159"/>
      <c r="Q92" s="159"/>
    </row>
    <row r="93" spans="3:17" ht="18.75" x14ac:dyDescent="0.3">
      <c r="J93" s="159"/>
      <c r="K93" s="159"/>
      <c r="L93" s="161" t="s">
        <v>114</v>
      </c>
      <c r="M93" s="160">
        <f>G88</f>
        <v>201.06192982974676</v>
      </c>
      <c r="N93" s="159"/>
      <c r="O93" s="159"/>
      <c r="P93" s="159"/>
      <c r="Q93" s="158"/>
    </row>
    <row r="94" spans="3:17" x14ac:dyDescent="0.25">
      <c r="C94" s="306" t="s">
        <v>113</v>
      </c>
      <c r="D94" s="306"/>
      <c r="E94" s="20"/>
      <c r="F94" s="20"/>
      <c r="G94" s="20"/>
      <c r="H94" s="20"/>
      <c r="I94" s="20"/>
      <c r="J94" s="20"/>
      <c r="K94" s="20"/>
      <c r="L94" s="20"/>
      <c r="M94" s="20"/>
      <c r="N94" s="20"/>
    </row>
    <row r="95" spans="3:17" ht="15.75" thickBot="1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</row>
    <row r="96" spans="3:17" ht="16.5" thickTop="1" thickBot="1" x14ac:dyDescent="0.3">
      <c r="C96" s="312" t="s">
        <v>112</v>
      </c>
      <c r="D96" s="313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3:14" ht="15.75" thickTop="1" x14ac:dyDescent="0.2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</row>
    <row r="98" spans="3:14" x14ac:dyDescent="0.2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</row>
    <row r="99" spans="3:14" x14ac:dyDescent="0.25">
      <c r="C99" s="306" t="s">
        <v>111</v>
      </c>
      <c r="D99" s="306"/>
      <c r="E99" s="152"/>
      <c r="F99" s="151"/>
      <c r="G99" s="156"/>
      <c r="H99" s="20"/>
      <c r="I99" s="20"/>
      <c r="J99" s="20"/>
      <c r="K99" s="20"/>
      <c r="L99" s="20"/>
      <c r="M99" s="20"/>
      <c r="N99" s="20"/>
    </row>
    <row r="100" spans="3:14" x14ac:dyDescent="0.25">
      <c r="C100" s="157" t="s">
        <v>110</v>
      </c>
      <c r="D100" s="36"/>
      <c r="E100" s="152"/>
      <c r="F100" s="151"/>
      <c r="G100" s="156"/>
      <c r="H100" s="20"/>
      <c r="I100" s="20"/>
      <c r="J100" s="20"/>
      <c r="K100" s="20"/>
      <c r="L100" s="20"/>
      <c r="M100" s="20"/>
      <c r="N100" s="20"/>
    </row>
    <row r="101" spans="3:14" ht="15.75" thickBot="1" x14ac:dyDescent="0.3">
      <c r="C101" s="20"/>
      <c r="D101" s="36"/>
      <c r="E101" s="152"/>
      <c r="F101" s="151"/>
      <c r="G101" s="155"/>
      <c r="H101" s="20"/>
      <c r="I101" s="20"/>
      <c r="J101" s="20"/>
      <c r="K101" s="20"/>
      <c r="L101" s="20"/>
      <c r="M101" s="20"/>
      <c r="N101" s="20"/>
    </row>
    <row r="102" spans="3:14" ht="17.25" thickTop="1" thickBot="1" x14ac:dyDescent="0.3">
      <c r="C102" s="20" t="s">
        <v>109</v>
      </c>
      <c r="D102" s="36"/>
      <c r="E102" s="152"/>
      <c r="F102" s="154" t="s">
        <v>108</v>
      </c>
      <c r="G102" s="149">
        <v>450</v>
      </c>
      <c r="H102" s="146"/>
      <c r="I102" s="20"/>
      <c r="J102" s="20"/>
      <c r="K102" s="20"/>
      <c r="L102" s="20"/>
      <c r="M102" s="20"/>
      <c r="N102" s="20"/>
    </row>
    <row r="103" spans="3:14" ht="15.75" thickTop="1" x14ac:dyDescent="0.25">
      <c r="C103" s="20" t="s">
        <v>107</v>
      </c>
      <c r="D103" s="36"/>
      <c r="E103" s="152"/>
      <c r="F103" s="151" t="s">
        <v>106</v>
      </c>
      <c r="G103" s="153">
        <f>ABS('foglio deposito'!C9)</f>
        <v>0.10422312085713097</v>
      </c>
      <c r="H103" s="20"/>
      <c r="I103" s="20"/>
      <c r="J103" s="20"/>
      <c r="K103" s="20"/>
      <c r="L103" s="20"/>
      <c r="M103" s="20"/>
      <c r="N103" s="20"/>
    </row>
    <row r="104" spans="3:14" ht="15.75" thickBot="1" x14ac:dyDescent="0.3">
      <c r="C104" s="20"/>
      <c r="D104" s="36"/>
      <c r="E104" s="152"/>
      <c r="F104" s="151"/>
      <c r="G104" s="150"/>
      <c r="H104" s="20"/>
      <c r="I104" s="20"/>
      <c r="J104" s="20"/>
      <c r="K104" s="20"/>
      <c r="L104" s="20"/>
      <c r="M104" s="20"/>
      <c r="N104" s="20"/>
    </row>
    <row r="105" spans="3:14" ht="17.25" thickTop="1" thickBot="1" x14ac:dyDescent="0.3">
      <c r="C105" t="s">
        <v>105</v>
      </c>
      <c r="F105" s="9" t="s">
        <v>104</v>
      </c>
      <c r="G105" s="147">
        <v>20</v>
      </c>
      <c r="H105" s="146"/>
      <c r="I105" s="20"/>
      <c r="J105" s="20"/>
      <c r="K105" s="20"/>
      <c r="L105" s="20"/>
      <c r="M105" s="20"/>
      <c r="N105" s="20"/>
    </row>
    <row r="106" spans="3:14" ht="17.25" thickTop="1" thickBot="1" x14ac:dyDescent="0.3">
      <c r="C106" s="20" t="s">
        <v>103</v>
      </c>
      <c r="F106" s="148" t="s">
        <v>102</v>
      </c>
      <c r="G106" s="149">
        <v>120</v>
      </c>
      <c r="H106" s="146"/>
      <c r="I106" s="20"/>
      <c r="J106" s="20"/>
      <c r="K106" s="20"/>
      <c r="L106" s="20"/>
      <c r="M106" s="20"/>
      <c r="N106" s="20"/>
    </row>
    <row r="107" spans="3:14" ht="17.25" thickTop="1" thickBot="1" x14ac:dyDescent="0.3">
      <c r="C107" s="20" t="s">
        <v>101</v>
      </c>
      <c r="F107" s="148" t="s">
        <v>100</v>
      </c>
      <c r="G107" s="147">
        <v>3000</v>
      </c>
      <c r="H107" s="146"/>
      <c r="I107" s="20"/>
      <c r="J107" s="20"/>
      <c r="K107" s="20"/>
      <c r="L107" s="20"/>
      <c r="M107" s="20"/>
      <c r="N107" s="20"/>
    </row>
    <row r="108" spans="3:14" ht="16.5" thickTop="1" x14ac:dyDescent="0.25">
      <c r="H108" s="146"/>
      <c r="I108" s="20"/>
      <c r="J108" s="20"/>
      <c r="K108" s="20"/>
      <c r="L108" s="20"/>
      <c r="M108" s="20"/>
      <c r="N108" s="20"/>
    </row>
    <row r="109" spans="3:14" ht="15.75" thickBot="1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</row>
    <row r="110" spans="3:14" ht="16.5" thickTop="1" thickBot="1" x14ac:dyDescent="0.3">
      <c r="C110" s="20" t="s">
        <v>215</v>
      </c>
      <c r="D110" s="20"/>
      <c r="E110" s="20"/>
      <c r="F110" s="137"/>
      <c r="G110" s="147" t="s">
        <v>214</v>
      </c>
      <c r="H110" s="20"/>
      <c r="I110" s="20"/>
      <c r="J110" s="20"/>
      <c r="K110" s="20"/>
      <c r="L110" s="20"/>
      <c r="M110" s="20"/>
      <c r="N110" s="20"/>
    </row>
    <row r="111" spans="3:14" ht="16.5" thickTop="1" thickBot="1" x14ac:dyDescent="0.3">
      <c r="C111" s="20" t="s">
        <v>213</v>
      </c>
      <c r="F111" s="148" t="s">
        <v>212</v>
      </c>
      <c r="G111" s="147">
        <v>2800</v>
      </c>
      <c r="H111" s="20"/>
      <c r="I111" s="20"/>
      <c r="J111" s="20"/>
      <c r="K111" s="20"/>
      <c r="L111" s="20"/>
      <c r="M111" s="20"/>
      <c r="N111" s="20"/>
    </row>
    <row r="112" spans="3:14" ht="15.75" thickTop="1" x14ac:dyDescent="0.2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5" spans="3:7" x14ac:dyDescent="0.25">
      <c r="C115" s="210" t="s">
        <v>159</v>
      </c>
    </row>
    <row r="116" spans="3:7" x14ac:dyDescent="0.25">
      <c r="C116" s="20"/>
    </row>
    <row r="117" spans="3:7" ht="15.75" thickBot="1" x14ac:dyDescent="0.3">
      <c r="D117" s="139"/>
      <c r="E117" s="20"/>
      <c r="F117" s="136" t="s">
        <v>158</v>
      </c>
      <c r="G117" s="136" t="s">
        <v>157</v>
      </c>
    </row>
    <row r="118" spans="3:7" ht="16.5" thickTop="1" thickBot="1" x14ac:dyDescent="0.3">
      <c r="C118" s="20" t="s">
        <v>156</v>
      </c>
      <c r="D118" s="20"/>
      <c r="E118" s="20"/>
      <c r="F118" s="208">
        <v>4</v>
      </c>
      <c r="G118" s="197">
        <v>16</v>
      </c>
    </row>
    <row r="119" spans="3:7" ht="16.5" thickTop="1" thickBot="1" x14ac:dyDescent="0.3">
      <c r="C119" s="20" t="s">
        <v>155</v>
      </c>
      <c r="D119" s="20"/>
      <c r="E119" s="20"/>
      <c r="F119" s="208">
        <v>4</v>
      </c>
      <c r="G119" s="197">
        <v>16</v>
      </c>
    </row>
    <row r="120" spans="3:7" ht="15.75" thickTop="1" x14ac:dyDescent="0.25"/>
    <row r="122" spans="3:7" x14ac:dyDescent="0.25">
      <c r="C122" s="20" t="s">
        <v>128</v>
      </c>
      <c r="F122" s="47" t="s">
        <v>127</v>
      </c>
      <c r="G122" s="199">
        <f>(DATI!E62*DATI!F62^2+DATI!E63*DATI!F63^2+'foglio deposito'!H3*'foglio deposito'!G118^2+'foglio deposito'!H4*'foglio deposito'!G119^2)/(DATI!E62*DATI!F62+DATI!E63*DATI!F63+'foglio deposito'!H3*'foglio deposito'!G118+'foglio deposito'!H4*'foglio deposito'!G119)</f>
        <v>18.439024390243901</v>
      </c>
    </row>
    <row r="126" spans="3:7" ht="17.25" x14ac:dyDescent="0.25">
      <c r="C126" s="205">
        <f>IF('foglio deposito'!H3=0,"",'foglio deposito'!G118)</f>
        <v>16</v>
      </c>
      <c r="E126" s="185">
        <f>IF('foglio deposito'!H4=0,"",'foglio deposito'!G119)</f>
        <v>16</v>
      </c>
    </row>
    <row r="127" spans="3:7" x14ac:dyDescent="0.25">
      <c r="C127" s="207" t="str">
        <f>IF('foglio deposito'!H3=0,"","F")</f>
        <v>F</v>
      </c>
      <c r="E127" s="206" t="str">
        <f>IF('foglio deposito'!H4=0,"","F")</f>
        <v>F</v>
      </c>
    </row>
    <row r="128" spans="3:7" x14ac:dyDescent="0.25">
      <c r="C128" s="205">
        <f>IF('foglio deposito'!H3=0,"",'foglio deposito'!H3)</f>
        <v>4</v>
      </c>
      <c r="E128" s="185">
        <f>IF('foglio deposito'!H4=0,"",'foglio deposito'!H4)</f>
        <v>4</v>
      </c>
    </row>
  </sheetData>
  <protectedRanges>
    <protectedRange sqref="K14" name="Intervallo1_1"/>
    <protectedRange sqref="I22:I23" name="Intervallo1_1_1"/>
    <protectedRange sqref="C34 C36 C38" name="Intervallo1_2"/>
    <protectedRange sqref="M35:M36" name="Intervallo1_1_3"/>
    <protectedRange sqref="G45:G46" name="Intervallo2_1_1"/>
    <protectedRange sqref="H47" name="Intervallo1_3"/>
    <protectedRange sqref="H47:H48" name="Intervallo3_2"/>
    <protectedRange sqref="G47" name="Intervallo3_1_1"/>
    <protectedRange sqref="G81 G83" name="Intervallo1_1_2"/>
  </protectedRanges>
  <mergeCells count="8">
    <mergeCell ref="H47:H48"/>
    <mergeCell ref="B6:C6"/>
    <mergeCell ref="B32:F32"/>
    <mergeCell ref="M87:N88"/>
    <mergeCell ref="C94:D94"/>
    <mergeCell ref="C96:D96"/>
    <mergeCell ref="C99:D99"/>
    <mergeCell ref="L82:L86"/>
  </mergeCells>
  <conditionalFormatting sqref="H3:H4">
    <cfRule type="expression" dxfId="9" priority="10">
      <formula>IF($F$10="trave",TRUE,FALSE)</formula>
    </cfRule>
  </conditionalFormatting>
  <conditionalFormatting sqref="H3:H4">
    <cfRule type="expression" dxfId="8" priority="9">
      <formula>IF($F$10="pilastro",TRUE,FALSE)</formula>
    </cfRule>
  </conditionalFormatting>
  <conditionalFormatting sqref="I64:J64">
    <cfRule type="expression" dxfId="7" priority="7">
      <formula>IF($Q$17="trave",TRUE,FALSE)</formula>
    </cfRule>
  </conditionalFormatting>
  <conditionalFormatting sqref="J64">
    <cfRule type="expression" dxfId="6" priority="8">
      <formula>IF($Q$17="trave",TRUE,FALSE)</formula>
    </cfRule>
  </conditionalFormatting>
  <conditionalFormatting sqref="C60:J66">
    <cfRule type="containsErrors" dxfId="5" priority="6">
      <formula>ISERROR(C60)</formula>
    </cfRule>
  </conditionalFormatting>
  <conditionalFormatting sqref="C71:G76">
    <cfRule type="expression" dxfId="4" priority="5">
      <formula>IF(#REF!="trave",TRUE,FALSE)</formula>
    </cfRule>
  </conditionalFormatting>
  <conditionalFormatting sqref="C99:G107">
    <cfRule type="expression" dxfId="3" priority="3">
      <formula>IF(#REF!="trave",TRUE,FALSE)</formula>
    </cfRule>
  </conditionalFormatting>
  <conditionalFormatting sqref="G105:G107 G102:G103">
    <cfRule type="expression" dxfId="2" priority="4">
      <formula>IF(#REF!="trave",TRUE,FALSE)</formula>
    </cfRule>
  </conditionalFormatting>
  <conditionalFormatting sqref="C115:G119">
    <cfRule type="expression" dxfId="1" priority="1">
      <formula>IF($G$110="trave",TRUE,FALSE)</formula>
    </cfRule>
  </conditionalFormatting>
  <conditionalFormatting sqref="F118:G119">
    <cfRule type="expression" dxfId="0" priority="2">
      <formula>IF($G$110="trave",TRUE,FALSE)</formula>
    </cfRule>
  </conditionalFormatting>
  <dataValidations count="2">
    <dataValidation type="list" allowBlank="1" showInputMessage="1" showErrorMessage="1" sqref="C96">
      <formula1>dut</formula1>
    </dataValidation>
    <dataValidation type="list" allowBlank="1" showInputMessage="1" showErrorMessage="1" sqref="G110">
      <formula1>tp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0"/>
  <sheetViews>
    <sheetView zoomScale="65" zoomScaleNormal="65" workbookViewId="0">
      <selection activeCell="H32" sqref="H32"/>
    </sheetView>
  </sheetViews>
  <sheetFormatPr defaultRowHeight="15" x14ac:dyDescent="0.25"/>
  <cols>
    <col min="1" max="1" width="5.7109375" customWidth="1"/>
    <col min="2" max="19" width="15.7109375" customWidth="1"/>
    <col min="20" max="20" width="34" customWidth="1"/>
    <col min="21" max="21" width="31.42578125" customWidth="1"/>
    <col min="22" max="22" width="15.85546875" customWidth="1"/>
    <col min="23" max="23" width="18.140625" customWidth="1"/>
    <col min="24" max="24" width="22.140625" customWidth="1"/>
    <col min="25" max="25" width="16.42578125" customWidth="1"/>
    <col min="26" max="26" width="32.42578125" customWidth="1"/>
    <col min="27" max="27" width="16.42578125" customWidth="1"/>
    <col min="28" max="28" width="15" customWidth="1"/>
  </cols>
  <sheetData>
    <row r="1" spans="2:30" ht="68.25" x14ac:dyDescent="0.25">
      <c r="B1" s="323" t="s">
        <v>44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2:30" ht="28.5" x14ac:dyDescent="0.25">
      <c r="B2" s="322" t="s">
        <v>50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2:30" ht="36" x14ac:dyDescent="0.25">
      <c r="B3" s="332" t="s">
        <v>46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4"/>
      <c r="T3" s="21"/>
      <c r="U3" s="21"/>
      <c r="V3" s="21"/>
      <c r="W3" s="21"/>
      <c r="X3" s="21"/>
      <c r="Y3" s="21"/>
      <c r="Z3" s="20"/>
      <c r="AA3" s="20"/>
      <c r="AB3" s="20"/>
      <c r="AC3" s="20"/>
      <c r="AD3" s="20"/>
    </row>
    <row r="4" spans="2:30" ht="26.25" x14ac:dyDescent="0.25">
      <c r="B4" s="339" t="s">
        <v>88</v>
      </c>
      <c r="C4" s="342"/>
      <c r="D4" s="342"/>
      <c r="E4" s="342"/>
      <c r="F4" s="343"/>
      <c r="G4" s="339" t="s">
        <v>89</v>
      </c>
      <c r="H4" s="340"/>
      <c r="I4" s="340"/>
      <c r="J4" s="341"/>
      <c r="K4" s="339" t="s">
        <v>90</v>
      </c>
      <c r="L4" s="346"/>
      <c r="M4" s="346"/>
      <c r="N4" s="347"/>
      <c r="O4" s="324" t="s">
        <v>91</v>
      </c>
      <c r="P4" s="325"/>
      <c r="Q4" s="325"/>
      <c r="R4" s="325"/>
      <c r="S4" s="326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2:30" ht="21.75" thickBot="1" x14ac:dyDescent="0.4">
      <c r="B5" s="105"/>
      <c r="C5" s="22"/>
      <c r="D5" s="22"/>
      <c r="E5" s="21"/>
      <c r="F5" s="23"/>
      <c r="G5" s="24"/>
      <c r="H5" s="21"/>
      <c r="I5" s="21"/>
      <c r="J5" s="23"/>
      <c r="K5" s="20"/>
      <c r="L5" s="20"/>
      <c r="M5" s="20"/>
      <c r="N5" s="20"/>
      <c r="O5" s="25"/>
      <c r="P5" s="21"/>
      <c r="Q5" s="21"/>
      <c r="R5" s="21"/>
      <c r="S5" s="23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2:30" ht="22.5" thickTop="1" thickBot="1" x14ac:dyDescent="0.4">
      <c r="B6" s="106" t="s">
        <v>6</v>
      </c>
      <c r="C6" s="26">
        <f>DATI!F4</f>
        <v>300</v>
      </c>
      <c r="D6" s="27" t="s">
        <v>17</v>
      </c>
      <c r="E6" s="22" t="s">
        <v>34</v>
      </c>
      <c r="F6" s="23"/>
      <c r="G6" s="28" t="s">
        <v>47</v>
      </c>
      <c r="H6" s="29">
        <f>DATI!F21</f>
        <v>30</v>
      </c>
      <c r="I6" s="27" t="s">
        <v>13</v>
      </c>
      <c r="J6" s="23"/>
      <c r="K6" s="30" t="s">
        <v>1</v>
      </c>
      <c r="L6" s="31">
        <f>DATI!F39</f>
        <v>450</v>
      </c>
      <c r="M6" s="27" t="s">
        <v>13</v>
      </c>
      <c r="N6" s="32"/>
      <c r="O6" s="25"/>
      <c r="Q6" s="27" t="s">
        <v>41</v>
      </c>
      <c r="R6" s="33" t="s">
        <v>54</v>
      </c>
      <c r="S6" s="23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2:30" ht="22.5" thickTop="1" thickBot="1" x14ac:dyDescent="0.4">
      <c r="B7" s="107"/>
      <c r="C7" s="35"/>
      <c r="D7" s="22"/>
      <c r="E7" s="21"/>
      <c r="F7" s="23"/>
      <c r="G7" s="36"/>
      <c r="H7" s="37" t="str">
        <f>IF(H6&gt;50,"CONCRETE ERROR",IF(H6&lt;5,"CONCRETE ERROR",""))</f>
        <v/>
      </c>
      <c r="I7" s="36"/>
      <c r="J7" s="23"/>
      <c r="K7" s="30"/>
      <c r="L7" s="38"/>
      <c r="M7" s="30"/>
      <c r="N7" s="30"/>
      <c r="O7" s="330" t="s">
        <v>55</v>
      </c>
      <c r="P7" s="338"/>
      <c r="Q7" s="291">
        <f>DATI!E62</f>
        <v>5</v>
      </c>
      <c r="R7" s="111">
        <f>DATI!F62</f>
        <v>20</v>
      </c>
      <c r="S7" s="23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22.5" thickTop="1" thickBot="1" x14ac:dyDescent="0.4">
      <c r="B8" s="106" t="s">
        <v>7</v>
      </c>
      <c r="C8" s="26">
        <f>DATI!F5</f>
        <v>1200</v>
      </c>
      <c r="D8" s="27" t="s">
        <v>17</v>
      </c>
      <c r="E8" s="22" t="s">
        <v>33</v>
      </c>
      <c r="F8" s="23"/>
      <c r="G8" s="30" t="s">
        <v>59</v>
      </c>
      <c r="H8" s="40">
        <v>1.5</v>
      </c>
      <c r="I8" s="27" t="s">
        <v>42</v>
      </c>
      <c r="J8" s="23"/>
      <c r="K8" s="41" t="s">
        <v>61</v>
      </c>
      <c r="L8" s="42">
        <f>DATI!F55</f>
        <v>67.5</v>
      </c>
      <c r="M8" s="27" t="s">
        <v>15</v>
      </c>
      <c r="N8" s="30"/>
      <c r="O8" s="330" t="s">
        <v>56</v>
      </c>
      <c r="P8" s="331"/>
      <c r="Q8" s="292">
        <f>DATI!E63</f>
        <v>5</v>
      </c>
      <c r="R8" s="43">
        <f>DATI!F63</f>
        <v>20</v>
      </c>
      <c r="S8" s="23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2:30" ht="22.5" thickTop="1" thickBot="1" x14ac:dyDescent="0.4">
      <c r="B9" s="107"/>
      <c r="C9" s="35"/>
      <c r="D9" s="22"/>
      <c r="E9" s="21"/>
      <c r="F9" s="23"/>
      <c r="G9" s="44"/>
      <c r="H9" s="20"/>
      <c r="I9" s="45"/>
      <c r="J9" s="23"/>
      <c r="K9" s="45"/>
      <c r="L9" s="46" t="str">
        <f>IF(L8&lt;-H12, "steel ERROR","")</f>
        <v/>
      </c>
      <c r="M9" s="45"/>
      <c r="N9" s="30"/>
      <c r="O9" s="25"/>
      <c r="P9" s="47"/>
      <c r="Q9" s="47"/>
      <c r="R9" s="21"/>
      <c r="S9" s="23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2:30" ht="22.5" thickTop="1" thickBot="1" x14ac:dyDescent="0.4">
      <c r="B10" s="106" t="s">
        <v>8</v>
      </c>
      <c r="C10" s="26">
        <f>DATI!F6</f>
        <v>45</v>
      </c>
      <c r="D10" s="27" t="s">
        <v>17</v>
      </c>
      <c r="E10" s="22" t="s">
        <v>32</v>
      </c>
      <c r="F10" s="1"/>
      <c r="G10" s="28" t="s">
        <v>60</v>
      </c>
      <c r="H10" s="48">
        <f>DATI!F24</f>
        <v>14.109999999999998</v>
      </c>
      <c r="I10" s="27" t="s">
        <v>13</v>
      </c>
      <c r="J10" s="23"/>
      <c r="K10" s="41" t="s">
        <v>43</v>
      </c>
      <c r="L10" s="31">
        <f>DATI!F54</f>
        <v>1.87</v>
      </c>
      <c r="M10" s="27" t="s">
        <v>15</v>
      </c>
      <c r="N10" s="30"/>
      <c r="O10" s="25"/>
      <c r="P10" s="21"/>
      <c r="Q10" s="21"/>
      <c r="R10" s="47"/>
      <c r="S10" s="23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2:30" ht="22.5" thickTop="1" thickBot="1" x14ac:dyDescent="0.4">
      <c r="B11" s="108" t="str">
        <f>IF(C10&lt;10,"h' ERROR","")</f>
        <v/>
      </c>
      <c r="C11" s="22" t="s">
        <v>63</v>
      </c>
      <c r="E11" s="21"/>
      <c r="F11" s="23"/>
      <c r="G11" s="36"/>
      <c r="H11" s="47"/>
      <c r="I11" s="36"/>
      <c r="J11" s="23"/>
      <c r="K11" s="20"/>
      <c r="L11" s="20"/>
      <c r="M11" s="20"/>
      <c r="N11" s="49"/>
      <c r="O11" s="39" t="s">
        <v>9</v>
      </c>
      <c r="P11" s="48">
        <f>Q7*(R7/2)^2*PI()</f>
        <v>1570.7963267948965</v>
      </c>
      <c r="Q11" s="27" t="s">
        <v>45</v>
      </c>
      <c r="R11" s="21"/>
      <c r="S11" s="23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2:30" ht="22.5" thickTop="1" thickBot="1" x14ac:dyDescent="0.3">
      <c r="B12" s="109"/>
      <c r="C12" s="20"/>
      <c r="D12" s="20"/>
      <c r="E12" s="21"/>
      <c r="F12" s="23"/>
      <c r="G12" s="41" t="s">
        <v>28</v>
      </c>
      <c r="H12" s="31">
        <f>DATI!F49</f>
        <v>-3.5</v>
      </c>
      <c r="I12" s="27" t="s">
        <v>15</v>
      </c>
      <c r="J12" s="23"/>
      <c r="K12" s="30" t="s">
        <v>2</v>
      </c>
      <c r="L12" s="31">
        <v>1.1499999999999999</v>
      </c>
      <c r="M12" s="30" t="s">
        <v>42</v>
      </c>
      <c r="N12" s="49"/>
      <c r="O12" s="39" t="s">
        <v>10</v>
      </c>
      <c r="P12" s="48">
        <f>Q8*(R8/2)^2*PI()</f>
        <v>1570.7963267948965</v>
      </c>
      <c r="Q12" s="27" t="s">
        <v>45</v>
      </c>
      <c r="R12" s="21"/>
      <c r="S12" s="23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2:30" ht="22.5" thickTop="1" thickBot="1" x14ac:dyDescent="0.4">
      <c r="B13" s="106" t="s">
        <v>19</v>
      </c>
      <c r="C13" s="34">
        <f>IF((C10*2+(R7/2+R8/2))&gt;C8, "h' ERROR", C8-C10 )</f>
        <v>1155</v>
      </c>
      <c r="D13" s="27" t="s">
        <v>17</v>
      </c>
      <c r="E13" s="22" t="s">
        <v>16</v>
      </c>
      <c r="F13" s="23"/>
      <c r="G13" s="51"/>
      <c r="H13" s="52"/>
      <c r="I13" s="51"/>
      <c r="J13" s="23"/>
      <c r="K13" s="30"/>
      <c r="L13" s="32"/>
      <c r="M13" s="49"/>
      <c r="N13" s="53"/>
      <c r="O13" s="41" t="s">
        <v>48</v>
      </c>
      <c r="P13" s="54">
        <f>P11*$L$14/($C$6*$C$8*$H$10)</f>
        <v>0.12100547921570401</v>
      </c>
      <c r="Q13" s="30" t="s">
        <v>42</v>
      </c>
      <c r="R13" s="21"/>
      <c r="S13" s="23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2:30" ht="22.5" thickTop="1" thickBot="1" x14ac:dyDescent="0.4">
      <c r="B14" s="105"/>
      <c r="C14" s="35"/>
      <c r="D14" s="22"/>
      <c r="E14" s="21"/>
      <c r="F14" s="23"/>
      <c r="G14" s="41" t="s">
        <v>29</v>
      </c>
      <c r="H14" s="42">
        <f>DATI!F48</f>
        <v>-2</v>
      </c>
      <c r="I14" s="27" t="s">
        <v>15</v>
      </c>
      <c r="J14" s="23"/>
      <c r="K14" s="30" t="s">
        <v>0</v>
      </c>
      <c r="L14" s="55">
        <f>L6/L12</f>
        <v>391.304347826087</v>
      </c>
      <c r="M14" s="27" t="s">
        <v>13</v>
      </c>
      <c r="N14" s="56"/>
      <c r="O14" s="41" t="s">
        <v>49</v>
      </c>
      <c r="P14" s="54">
        <f>P12*$L$14/($C$6*$C$8*$H$10)</f>
        <v>0.12100547921570401</v>
      </c>
      <c r="Q14" s="30" t="s">
        <v>42</v>
      </c>
      <c r="R14" s="21"/>
      <c r="S14" s="23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2:30" ht="22.5" thickTop="1" thickBot="1" x14ac:dyDescent="0.4">
      <c r="B15" s="109"/>
      <c r="C15" s="21"/>
      <c r="D15" s="21"/>
      <c r="E15" s="21"/>
      <c r="F15" s="23"/>
      <c r="G15" s="57"/>
      <c r="H15" s="58"/>
      <c r="I15" s="59"/>
      <c r="J15" s="23"/>
      <c r="K15" s="45"/>
      <c r="L15" s="60"/>
      <c r="M15" s="45"/>
      <c r="N15" s="61"/>
      <c r="O15" s="20"/>
      <c r="P15" s="20"/>
      <c r="Q15" s="20"/>
      <c r="R15" s="21"/>
      <c r="S15" s="23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ht="22.5" thickTop="1" thickBot="1" x14ac:dyDescent="0.4">
      <c r="B16" s="109"/>
      <c r="C16" s="21"/>
      <c r="D16" s="21"/>
      <c r="E16" s="21"/>
      <c r="F16" s="23"/>
      <c r="G16" s="62" t="s">
        <v>14</v>
      </c>
      <c r="H16" s="31">
        <f>DATI!F31</f>
        <v>0.85</v>
      </c>
      <c r="I16" s="27" t="s">
        <v>42</v>
      </c>
      <c r="J16" s="23"/>
      <c r="K16" s="30" t="s">
        <v>58</v>
      </c>
      <c r="L16" s="63">
        <f>L14/(L10*10^-3)</f>
        <v>209253.66193908395</v>
      </c>
      <c r="M16" s="27" t="s">
        <v>13</v>
      </c>
      <c r="N16" s="61"/>
      <c r="O16" s="20"/>
      <c r="P16" s="20"/>
      <c r="Q16" s="20"/>
      <c r="R16" s="21"/>
      <c r="S16" s="23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.75" thickTop="1" x14ac:dyDescent="0.25">
      <c r="B17" s="110"/>
      <c r="C17" s="20"/>
      <c r="D17" s="20"/>
      <c r="E17" s="20"/>
      <c r="F17" s="64"/>
      <c r="G17" s="20"/>
      <c r="H17" s="20"/>
      <c r="I17" s="20"/>
      <c r="J17" s="23"/>
      <c r="K17" s="20"/>
      <c r="L17" s="20"/>
      <c r="M17" s="20"/>
      <c r="N17" s="65"/>
      <c r="O17" s="20"/>
      <c r="P17" s="20"/>
      <c r="Q17" s="20"/>
      <c r="R17" s="21"/>
      <c r="S17" s="2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ht="21" x14ac:dyDescent="0.25">
      <c r="B18" s="344" t="str">
        <f>IF(C6=C8,"SEZIONE QUADRATA","SEZIONE RETTANGOLARE")</f>
        <v>SEZIONE RETTANGOLARE</v>
      </c>
      <c r="C18" s="345"/>
      <c r="D18" s="345"/>
      <c r="E18" s="345"/>
      <c r="F18" s="345"/>
      <c r="G18" s="327" t="s">
        <v>93</v>
      </c>
      <c r="H18" s="328"/>
      <c r="I18" s="328"/>
      <c r="J18" s="329"/>
      <c r="K18" s="327" t="s">
        <v>51</v>
      </c>
      <c r="L18" s="328"/>
      <c r="M18" s="328"/>
      <c r="N18" s="329"/>
      <c r="O18" s="335" t="str">
        <f>IF(P11=P12, "ARMATURA SIMMETRICA", "-")</f>
        <v>ARMATURA SIMMETRICA</v>
      </c>
      <c r="P18" s="336"/>
      <c r="Q18" s="336"/>
      <c r="R18" s="336"/>
      <c r="S18" s="337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ht="21" x14ac:dyDescent="0.35">
      <c r="B19" s="21"/>
      <c r="C19" s="21"/>
      <c r="D19" s="21"/>
      <c r="E19" s="21"/>
      <c r="F19" s="21"/>
      <c r="G19" s="21"/>
      <c r="H19" s="21"/>
      <c r="I19" s="21"/>
      <c r="J19" s="22"/>
      <c r="K19" s="50"/>
      <c r="L19" s="50"/>
      <c r="M19" s="50"/>
      <c r="N19" s="50"/>
      <c r="O19" s="41"/>
      <c r="P19" s="30"/>
      <c r="Q19" s="30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ht="36" x14ac:dyDescent="0.25">
      <c r="B20" s="132"/>
      <c r="C20" s="133"/>
      <c r="F20" s="21"/>
      <c r="G20" s="21"/>
      <c r="H20" s="21"/>
      <c r="I20" s="21"/>
      <c r="J20" s="21"/>
      <c r="K20" s="21"/>
      <c r="L20" s="21"/>
      <c r="M20" s="21"/>
      <c r="N20" s="47"/>
      <c r="O20" s="21"/>
      <c r="P20" s="21"/>
      <c r="Q20" s="21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ht="21" x14ac:dyDescent="0.35">
      <c r="B21" s="52"/>
      <c r="C21" s="20"/>
      <c r="D21" s="20"/>
      <c r="E21" s="20"/>
      <c r="F21" s="20"/>
      <c r="G21" s="21"/>
      <c r="H21" s="20"/>
      <c r="I21" s="20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x14ac:dyDescent="0.25">
      <c r="B22" s="20"/>
      <c r="C22" s="20"/>
      <c r="D22" s="20"/>
      <c r="E22" s="20"/>
      <c r="F22" s="20"/>
      <c r="G22" s="21"/>
      <c r="H22" s="20"/>
      <c r="I22" s="20"/>
      <c r="J22" s="20"/>
      <c r="K22" s="20"/>
      <c r="L22" s="20"/>
      <c r="M22" s="20"/>
      <c r="N22" s="32"/>
      <c r="O22" s="32"/>
      <c r="P22" s="32"/>
      <c r="Q22" s="32"/>
      <c r="R22" s="32"/>
      <c r="S22" s="32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ht="21" x14ac:dyDescent="0.25">
      <c r="AA23" s="30"/>
      <c r="AB23" s="20"/>
      <c r="AC23" s="20"/>
      <c r="AD23" s="20"/>
    </row>
    <row r="24" spans="2:30" ht="18.75" x14ac:dyDescent="0.25">
      <c r="AA24" s="75"/>
      <c r="AB24" s="54"/>
      <c r="AC24" s="20"/>
      <c r="AD24" s="20"/>
    </row>
    <row r="25" spans="2:30" ht="18.75" x14ac:dyDescent="0.25">
      <c r="AA25" s="75"/>
      <c r="AB25" s="54"/>
      <c r="AC25" s="20"/>
      <c r="AD25" s="20"/>
    </row>
    <row r="26" spans="2:30" ht="18.75" x14ac:dyDescent="0.25">
      <c r="AA26" s="75"/>
      <c r="AB26" s="54"/>
      <c r="AC26" s="20"/>
      <c r="AD26" s="20"/>
    </row>
    <row r="27" spans="2:30" ht="18.75" x14ac:dyDescent="0.25">
      <c r="AA27" s="75"/>
      <c r="AB27" s="54"/>
      <c r="AC27" s="20"/>
      <c r="AD27" s="20"/>
    </row>
    <row r="28" spans="2:30" ht="18.75" x14ac:dyDescent="0.25">
      <c r="AA28" s="75"/>
      <c r="AB28" s="54"/>
      <c r="AC28" s="20"/>
      <c r="AD28" s="20"/>
    </row>
    <row r="29" spans="2:30" ht="18.75" x14ac:dyDescent="0.25">
      <c r="AA29" s="75"/>
      <c r="AB29" s="54"/>
      <c r="AC29" s="20"/>
      <c r="AD29" s="20"/>
    </row>
    <row r="30" spans="2:30" ht="18.75" x14ac:dyDescent="0.25">
      <c r="AA30" s="75"/>
      <c r="AB30" s="54"/>
      <c r="AC30" s="20"/>
      <c r="AD30" s="20"/>
    </row>
    <row r="31" spans="2:30" ht="18.75" x14ac:dyDescent="0.25">
      <c r="AA31" s="75"/>
      <c r="AB31" s="54"/>
      <c r="AC31" s="20"/>
      <c r="AD31" s="20"/>
    </row>
    <row r="32" spans="2:30" ht="18.75" x14ac:dyDescent="0.25">
      <c r="AA32" s="75"/>
      <c r="AB32" s="54"/>
      <c r="AC32" s="20"/>
      <c r="AD32" s="20"/>
    </row>
    <row r="33" spans="27:30" ht="18.75" x14ac:dyDescent="0.25">
      <c r="AA33" s="75"/>
      <c r="AB33" s="54"/>
      <c r="AC33" s="20"/>
      <c r="AD33" s="20"/>
    </row>
    <row r="34" spans="27:30" ht="18.75" x14ac:dyDescent="0.25">
      <c r="AA34" s="75"/>
      <c r="AB34" s="54"/>
      <c r="AC34" s="20"/>
      <c r="AD34" s="20"/>
    </row>
    <row r="35" spans="27:30" ht="18.75" x14ac:dyDescent="0.25">
      <c r="AA35" s="75"/>
      <c r="AB35" s="54"/>
      <c r="AC35" s="20"/>
      <c r="AD35" s="20"/>
    </row>
    <row r="36" spans="27:30" ht="18.75" x14ac:dyDescent="0.25">
      <c r="AA36" s="75"/>
      <c r="AB36" s="54"/>
      <c r="AC36" s="20"/>
      <c r="AD36" s="20"/>
    </row>
    <row r="37" spans="27:30" ht="18.75" x14ac:dyDescent="0.25">
      <c r="AA37" s="75"/>
      <c r="AB37" s="54"/>
      <c r="AC37" s="20"/>
      <c r="AD37" s="20"/>
    </row>
    <row r="38" spans="27:30" ht="18.75" x14ac:dyDescent="0.25">
      <c r="AA38" s="75"/>
      <c r="AB38" s="54"/>
      <c r="AC38" s="20"/>
      <c r="AD38" s="20"/>
    </row>
    <row r="39" spans="27:30" ht="18.75" x14ac:dyDescent="0.25">
      <c r="AA39" s="75"/>
      <c r="AB39" s="54"/>
      <c r="AC39" s="20"/>
      <c r="AD39" s="20"/>
    </row>
    <row r="40" spans="27:30" ht="18.75" x14ac:dyDescent="0.25">
      <c r="AA40" s="75"/>
      <c r="AB40" s="54"/>
      <c r="AC40" s="20"/>
      <c r="AD40" s="20"/>
    </row>
    <row r="41" spans="27:30" ht="18.75" x14ac:dyDescent="0.25">
      <c r="AA41" s="75"/>
      <c r="AB41" s="54"/>
      <c r="AC41" s="20"/>
      <c r="AD41" s="20"/>
    </row>
    <row r="42" spans="27:30" ht="18.75" x14ac:dyDescent="0.25">
      <c r="AA42" s="75"/>
      <c r="AB42" s="54"/>
      <c r="AC42" s="20"/>
      <c r="AD42" s="20"/>
    </row>
    <row r="43" spans="27:30" ht="18.75" x14ac:dyDescent="0.25">
      <c r="AA43" s="75"/>
      <c r="AB43" s="54"/>
      <c r="AC43" s="20"/>
      <c r="AD43" s="20"/>
    </row>
    <row r="44" spans="27:30" ht="18.75" x14ac:dyDescent="0.25">
      <c r="AA44" s="75"/>
      <c r="AB44" s="54"/>
      <c r="AC44" s="20"/>
      <c r="AD44" s="20"/>
    </row>
    <row r="45" spans="27:30" ht="18.75" x14ac:dyDescent="0.25">
      <c r="AA45" s="75"/>
      <c r="AB45" s="54"/>
      <c r="AC45" s="20"/>
      <c r="AD45" s="20"/>
    </row>
    <row r="46" spans="27:30" ht="18.75" x14ac:dyDescent="0.25">
      <c r="AA46" s="75"/>
      <c r="AB46" s="54"/>
      <c r="AC46" s="20"/>
      <c r="AD46" s="20"/>
    </row>
    <row r="47" spans="27:30" ht="18.75" x14ac:dyDescent="0.25">
      <c r="AA47" s="75"/>
      <c r="AB47" s="54"/>
      <c r="AC47" s="20"/>
      <c r="AD47" s="20"/>
    </row>
    <row r="48" spans="27:30" ht="18.75" x14ac:dyDescent="0.25">
      <c r="AA48" s="75"/>
      <c r="AB48" s="54"/>
      <c r="AC48" s="20"/>
      <c r="AD48" s="20"/>
    </row>
    <row r="49" spans="27:30" ht="18.75" x14ac:dyDescent="0.25">
      <c r="AA49" s="75"/>
      <c r="AB49" s="54"/>
      <c r="AC49" s="20"/>
      <c r="AD49" s="20"/>
    </row>
    <row r="50" spans="27:30" ht="18.75" x14ac:dyDescent="0.25">
      <c r="AA50" s="75"/>
      <c r="AB50" s="54"/>
      <c r="AC50" s="20"/>
      <c r="AD50" s="20"/>
    </row>
    <row r="51" spans="27:30" ht="18.75" x14ac:dyDescent="0.25">
      <c r="AA51" s="75"/>
      <c r="AB51" s="54"/>
      <c r="AC51" s="20"/>
      <c r="AD51" s="20"/>
    </row>
    <row r="52" spans="27:30" ht="18.75" x14ac:dyDescent="0.25">
      <c r="AA52" s="75"/>
      <c r="AB52" s="54"/>
      <c r="AC52" s="20"/>
      <c r="AD52" s="20"/>
    </row>
    <row r="53" spans="27:30" ht="18.75" x14ac:dyDescent="0.25">
      <c r="AA53" s="75"/>
      <c r="AB53" s="54"/>
      <c r="AC53" s="20"/>
      <c r="AD53" s="20"/>
    </row>
    <row r="54" spans="27:30" ht="18.75" x14ac:dyDescent="0.25">
      <c r="AA54" s="75"/>
      <c r="AB54" s="54"/>
      <c r="AC54" s="20"/>
      <c r="AD54" s="20"/>
    </row>
    <row r="55" spans="27:30" ht="18.75" x14ac:dyDescent="0.25">
      <c r="AA55" s="75"/>
      <c r="AB55" s="54"/>
      <c r="AC55" s="20"/>
      <c r="AD55" s="20"/>
    </row>
    <row r="56" spans="27:30" ht="18.75" x14ac:dyDescent="0.25">
      <c r="AA56" s="75"/>
      <c r="AB56" s="54"/>
      <c r="AC56" s="20"/>
      <c r="AD56" s="20"/>
    </row>
    <row r="57" spans="27:30" ht="18.75" x14ac:dyDescent="0.25">
      <c r="AA57" s="75"/>
      <c r="AB57" s="54"/>
      <c r="AC57" s="20"/>
      <c r="AD57" s="20"/>
    </row>
    <row r="58" spans="27:30" ht="18.75" x14ac:dyDescent="0.25">
      <c r="AA58" s="75"/>
      <c r="AB58" s="54"/>
      <c r="AC58" s="20"/>
      <c r="AD58" s="20"/>
    </row>
    <row r="59" spans="27:30" ht="18.75" x14ac:dyDescent="0.25">
      <c r="AA59" s="75"/>
      <c r="AB59" s="54"/>
      <c r="AC59" s="20"/>
      <c r="AD59" s="20"/>
    </row>
    <row r="60" spans="27:30" ht="18.75" x14ac:dyDescent="0.25">
      <c r="AA60" s="75"/>
      <c r="AB60" s="54"/>
      <c r="AC60" s="20"/>
      <c r="AD60" s="20"/>
    </row>
    <row r="61" spans="27:30" ht="18.75" x14ac:dyDescent="0.25">
      <c r="AA61" s="75"/>
      <c r="AB61" s="54"/>
      <c r="AC61" s="20"/>
      <c r="AD61" s="20"/>
    </row>
    <row r="62" spans="27:30" ht="18.75" x14ac:dyDescent="0.25">
      <c r="AA62" s="75"/>
      <c r="AB62" s="54"/>
      <c r="AC62" s="20"/>
      <c r="AD62" s="20"/>
    </row>
    <row r="63" spans="27:30" ht="18.75" x14ac:dyDescent="0.25">
      <c r="AA63" s="75"/>
      <c r="AB63" s="54"/>
      <c r="AC63" s="20"/>
      <c r="AD63" s="20"/>
    </row>
    <row r="64" spans="27:30" ht="18.75" x14ac:dyDescent="0.25">
      <c r="AA64" s="75"/>
      <c r="AB64" s="54"/>
      <c r="AC64" s="20"/>
      <c r="AD64" s="20"/>
    </row>
    <row r="65" spans="27:30" ht="18.75" x14ac:dyDescent="0.25">
      <c r="AA65" s="75"/>
      <c r="AB65" s="54"/>
      <c r="AC65" s="20"/>
      <c r="AD65" s="20"/>
    </row>
    <row r="66" spans="27:30" ht="18.75" x14ac:dyDescent="0.25">
      <c r="AA66" s="75"/>
      <c r="AB66" s="54"/>
      <c r="AC66" s="20"/>
      <c r="AD66" s="20"/>
    </row>
    <row r="67" spans="27:30" ht="18.75" x14ac:dyDescent="0.25">
      <c r="AA67" s="75"/>
      <c r="AB67" s="54"/>
      <c r="AC67" s="20"/>
      <c r="AD67" s="20"/>
    </row>
    <row r="68" spans="27:30" ht="18.75" x14ac:dyDescent="0.25">
      <c r="AA68" s="75"/>
      <c r="AB68" s="54"/>
      <c r="AC68" s="20"/>
      <c r="AD68" s="20"/>
    </row>
    <row r="69" spans="27:30" ht="18.75" x14ac:dyDescent="0.25">
      <c r="AA69" s="75"/>
      <c r="AB69" s="54"/>
      <c r="AC69" s="20"/>
      <c r="AD69" s="20"/>
    </row>
    <row r="70" spans="27:30" ht="18.75" x14ac:dyDescent="0.25">
      <c r="AA70" s="75"/>
      <c r="AB70" s="54"/>
      <c r="AC70" s="20"/>
      <c r="AD70" s="20"/>
    </row>
    <row r="71" spans="27:30" ht="18.75" x14ac:dyDescent="0.25">
      <c r="AA71" s="75"/>
      <c r="AB71" s="54"/>
      <c r="AC71" s="20"/>
      <c r="AD71" s="20"/>
    </row>
    <row r="72" spans="27:30" ht="18.75" x14ac:dyDescent="0.25">
      <c r="AA72" s="75"/>
      <c r="AB72" s="54"/>
      <c r="AC72" s="20"/>
      <c r="AD72" s="20"/>
    </row>
    <row r="73" spans="27:30" ht="18.75" x14ac:dyDescent="0.25">
      <c r="AA73" s="75"/>
      <c r="AB73" s="54"/>
      <c r="AC73" s="20"/>
      <c r="AD73" s="20"/>
    </row>
    <row r="74" spans="27:30" ht="18.75" x14ac:dyDescent="0.25">
      <c r="AA74" s="75"/>
      <c r="AB74" s="54"/>
      <c r="AC74" s="20"/>
      <c r="AD74" s="20"/>
    </row>
    <row r="75" spans="27:30" ht="18.75" x14ac:dyDescent="0.25">
      <c r="AA75" s="75"/>
      <c r="AB75" s="54"/>
      <c r="AC75" s="20"/>
      <c r="AD75" s="20"/>
    </row>
    <row r="76" spans="27:30" ht="18.75" x14ac:dyDescent="0.25">
      <c r="AA76" s="75"/>
      <c r="AB76" s="54"/>
      <c r="AC76" s="20"/>
      <c r="AD76" s="20"/>
    </row>
    <row r="77" spans="27:30" ht="18.75" x14ac:dyDescent="0.25">
      <c r="AA77" s="75"/>
      <c r="AB77" s="54"/>
      <c r="AC77" s="20"/>
      <c r="AD77" s="20"/>
    </row>
    <row r="78" spans="27:30" ht="18.75" x14ac:dyDescent="0.25">
      <c r="AA78" s="75"/>
      <c r="AB78" s="54"/>
      <c r="AC78" s="20"/>
      <c r="AD78" s="20"/>
    </row>
    <row r="79" spans="27:30" ht="18.75" x14ac:dyDescent="0.25">
      <c r="AA79" s="75"/>
      <c r="AB79" s="54"/>
      <c r="AC79" s="20"/>
      <c r="AD79" s="20"/>
    </row>
    <row r="80" spans="27:30" ht="18.75" x14ac:dyDescent="0.25">
      <c r="AA80" s="75"/>
      <c r="AB80" s="54"/>
      <c r="AC80" s="20"/>
      <c r="AD80" s="20"/>
    </row>
    <row r="81" spans="27:30" ht="18.75" x14ac:dyDescent="0.25">
      <c r="AA81" s="75"/>
      <c r="AB81" s="54"/>
      <c r="AC81" s="20"/>
      <c r="AD81" s="20"/>
    </row>
    <row r="82" spans="27:30" ht="18.75" x14ac:dyDescent="0.25">
      <c r="AA82" s="75"/>
      <c r="AB82" s="54"/>
      <c r="AC82" s="20"/>
      <c r="AD82" s="20"/>
    </row>
    <row r="83" spans="27:30" ht="18.75" x14ac:dyDescent="0.25">
      <c r="AA83" s="75"/>
      <c r="AB83" s="54"/>
      <c r="AC83" s="20"/>
      <c r="AD83" s="20"/>
    </row>
    <row r="84" spans="27:30" ht="18.75" x14ac:dyDescent="0.25">
      <c r="AA84" s="75"/>
      <c r="AB84" s="54"/>
      <c r="AC84" s="20"/>
      <c r="AD84" s="20"/>
    </row>
    <row r="85" spans="27:30" ht="18.75" x14ac:dyDescent="0.25">
      <c r="AA85" s="75"/>
      <c r="AB85" s="54"/>
      <c r="AC85" s="20"/>
      <c r="AD85" s="20"/>
    </row>
    <row r="86" spans="27:30" ht="18.75" x14ac:dyDescent="0.25">
      <c r="AA86" s="75"/>
      <c r="AB86" s="54"/>
      <c r="AC86" s="20"/>
      <c r="AD86" s="20"/>
    </row>
    <row r="87" spans="27:30" ht="18.75" x14ac:dyDescent="0.25">
      <c r="AA87" s="75"/>
      <c r="AB87" s="54"/>
      <c r="AC87" s="20"/>
      <c r="AD87" s="20"/>
    </row>
    <row r="88" spans="27:30" ht="18.75" x14ac:dyDescent="0.25">
      <c r="AA88" s="75"/>
      <c r="AB88" s="54"/>
      <c r="AC88" s="20"/>
      <c r="AD88" s="20"/>
    </row>
    <row r="89" spans="27:30" ht="18.75" x14ac:dyDescent="0.25">
      <c r="AA89" s="75"/>
      <c r="AB89" s="54"/>
      <c r="AC89" s="20"/>
      <c r="AD89" s="20"/>
    </row>
    <row r="90" spans="27:30" ht="18.75" x14ac:dyDescent="0.25">
      <c r="AA90" s="75"/>
      <c r="AB90" s="54"/>
      <c r="AC90" s="20"/>
      <c r="AD90" s="20"/>
    </row>
    <row r="91" spans="27:30" ht="18.75" x14ac:dyDescent="0.25">
      <c r="AA91" s="75"/>
      <c r="AB91" s="54"/>
      <c r="AC91" s="20"/>
      <c r="AD91" s="20"/>
    </row>
    <row r="92" spans="27:30" ht="18.75" x14ac:dyDescent="0.25">
      <c r="AA92" s="75"/>
      <c r="AB92" s="54"/>
      <c r="AC92" s="20"/>
      <c r="AD92" s="20"/>
    </row>
    <row r="93" spans="27:30" ht="18.75" x14ac:dyDescent="0.25">
      <c r="AA93" s="75"/>
      <c r="AB93" s="54"/>
      <c r="AC93" s="20"/>
      <c r="AD93" s="20"/>
    </row>
    <row r="94" spans="27:30" ht="18.75" x14ac:dyDescent="0.25">
      <c r="AA94" s="75"/>
      <c r="AB94" s="54"/>
      <c r="AC94" s="20"/>
      <c r="AD94" s="20"/>
    </row>
    <row r="95" spans="27:30" ht="18.75" x14ac:dyDescent="0.25">
      <c r="AA95" s="75"/>
      <c r="AB95" s="54"/>
      <c r="AC95" s="20"/>
      <c r="AD95" s="20"/>
    </row>
    <row r="96" spans="27:30" ht="18.75" x14ac:dyDescent="0.25">
      <c r="AA96" s="75"/>
      <c r="AB96" s="54"/>
      <c r="AC96" s="20"/>
      <c r="AD96" s="20"/>
    </row>
    <row r="97" spans="27:30" ht="18.75" x14ac:dyDescent="0.25">
      <c r="AA97" s="75"/>
      <c r="AB97" s="54"/>
      <c r="AC97" s="20"/>
      <c r="AD97" s="20"/>
    </row>
    <row r="98" spans="27:30" ht="18.75" x14ac:dyDescent="0.25">
      <c r="AA98" s="75"/>
      <c r="AB98" s="54"/>
      <c r="AC98" s="20"/>
      <c r="AD98" s="20"/>
    </row>
    <row r="99" spans="27:30" ht="18.75" x14ac:dyDescent="0.25">
      <c r="AA99" s="75"/>
      <c r="AB99" s="54"/>
      <c r="AC99" s="20"/>
      <c r="AD99" s="20"/>
    </row>
    <row r="100" spans="27:30" ht="18.75" x14ac:dyDescent="0.25">
      <c r="AA100" s="75"/>
      <c r="AB100" s="54"/>
      <c r="AC100" s="20"/>
      <c r="AD100" s="20"/>
    </row>
    <row r="101" spans="27:30" ht="18.75" x14ac:dyDescent="0.25">
      <c r="AA101" s="75"/>
      <c r="AB101" s="54"/>
      <c r="AC101" s="20"/>
      <c r="AD101" s="20"/>
    </row>
    <row r="102" spans="27:30" ht="18.75" x14ac:dyDescent="0.25">
      <c r="AA102" s="75"/>
      <c r="AB102" s="54"/>
      <c r="AC102" s="20"/>
      <c r="AD102" s="20"/>
    </row>
    <row r="103" spans="27:30" ht="18.75" x14ac:dyDescent="0.25">
      <c r="AA103" s="75"/>
      <c r="AB103" s="54"/>
      <c r="AC103" s="20"/>
      <c r="AD103" s="20"/>
    </row>
    <row r="104" spans="27:30" ht="18.75" x14ac:dyDescent="0.25">
      <c r="AA104" s="75"/>
      <c r="AB104" s="54"/>
      <c r="AC104" s="20"/>
      <c r="AD104" s="20"/>
    </row>
    <row r="105" spans="27:30" ht="18.75" x14ac:dyDescent="0.25">
      <c r="AA105" s="75"/>
      <c r="AB105" s="54"/>
      <c r="AC105" s="20"/>
      <c r="AD105" s="20"/>
    </row>
    <row r="106" spans="27:30" ht="18.75" x14ac:dyDescent="0.25">
      <c r="AA106" s="75"/>
      <c r="AB106" s="54"/>
      <c r="AC106" s="20"/>
      <c r="AD106" s="20"/>
    </row>
    <row r="107" spans="27:30" ht="18.75" x14ac:dyDescent="0.25">
      <c r="AA107" s="75"/>
      <c r="AB107" s="54"/>
      <c r="AC107" s="20"/>
      <c r="AD107" s="20"/>
    </row>
    <row r="108" spans="27:30" ht="18.75" x14ac:dyDescent="0.25">
      <c r="AA108" s="75"/>
      <c r="AB108" s="54"/>
      <c r="AC108" s="20"/>
      <c r="AD108" s="20"/>
    </row>
    <row r="109" spans="27:30" ht="18.75" x14ac:dyDescent="0.25">
      <c r="AA109" s="75"/>
      <c r="AB109" s="54"/>
      <c r="AC109" s="20"/>
      <c r="AD109" s="20"/>
    </row>
    <row r="110" spans="27:30" ht="18.75" x14ac:dyDescent="0.25">
      <c r="AA110" s="75"/>
      <c r="AB110" s="54"/>
      <c r="AC110" s="20"/>
      <c r="AD110" s="20"/>
    </row>
    <row r="111" spans="27:30" ht="18.75" x14ac:dyDescent="0.25">
      <c r="AA111" s="75"/>
      <c r="AB111" s="54"/>
      <c r="AC111" s="20"/>
      <c r="AD111" s="20"/>
    </row>
    <row r="112" spans="27:30" ht="18.75" x14ac:dyDescent="0.25">
      <c r="AA112" s="75"/>
      <c r="AB112" s="54"/>
      <c r="AC112" s="20"/>
      <c r="AD112" s="20"/>
    </row>
    <row r="113" spans="27:30" ht="18.75" x14ac:dyDescent="0.25">
      <c r="AA113" s="75"/>
      <c r="AB113" s="54"/>
      <c r="AC113" s="20"/>
      <c r="AD113" s="20"/>
    </row>
    <row r="114" spans="27:30" ht="18.75" x14ac:dyDescent="0.25">
      <c r="AA114" s="75"/>
      <c r="AB114" s="54"/>
      <c r="AC114" s="20"/>
      <c r="AD114" s="20"/>
    </row>
    <row r="115" spans="27:30" ht="18.75" x14ac:dyDescent="0.25">
      <c r="AA115" s="75"/>
      <c r="AB115" s="54"/>
      <c r="AC115" s="20"/>
      <c r="AD115" s="20"/>
    </row>
    <row r="116" spans="27:30" ht="18.75" x14ac:dyDescent="0.25">
      <c r="AA116" s="75"/>
      <c r="AB116" s="54"/>
      <c r="AC116" s="20"/>
      <c r="AD116" s="20"/>
    </row>
    <row r="117" spans="27:30" ht="18.75" x14ac:dyDescent="0.25">
      <c r="AA117" s="75"/>
      <c r="AB117" s="54"/>
      <c r="AC117" s="20"/>
      <c r="AD117" s="20"/>
    </row>
    <row r="118" spans="27:30" ht="18.75" x14ac:dyDescent="0.25">
      <c r="AA118" s="75"/>
      <c r="AB118" s="54"/>
      <c r="AC118" s="20"/>
      <c r="AD118" s="20"/>
    </row>
    <row r="119" spans="27:30" ht="18.75" x14ac:dyDescent="0.25">
      <c r="AA119" s="75"/>
      <c r="AB119" s="54"/>
      <c r="AC119" s="20"/>
      <c r="AD119" s="20"/>
    </row>
    <row r="120" spans="27:30" ht="18.75" x14ac:dyDescent="0.25">
      <c r="AA120" s="75"/>
      <c r="AB120" s="54"/>
      <c r="AC120" s="20"/>
      <c r="AD120" s="20"/>
    </row>
    <row r="121" spans="27:30" ht="18.75" x14ac:dyDescent="0.25">
      <c r="AA121" s="75"/>
      <c r="AB121" s="54"/>
      <c r="AC121" s="20"/>
      <c r="AD121" s="20"/>
    </row>
    <row r="122" spans="27:30" ht="18.75" x14ac:dyDescent="0.25">
      <c r="AA122" s="75"/>
      <c r="AB122" s="54"/>
      <c r="AC122" s="20"/>
      <c r="AD122" s="20"/>
    </row>
    <row r="123" spans="27:30" ht="18.75" x14ac:dyDescent="0.25">
      <c r="AA123" s="75"/>
      <c r="AB123" s="54"/>
      <c r="AC123" s="20"/>
      <c r="AD123" s="20"/>
    </row>
    <row r="124" spans="27:30" ht="18.75" x14ac:dyDescent="0.25">
      <c r="AA124" s="75"/>
      <c r="AB124" s="54"/>
      <c r="AC124" s="20"/>
      <c r="AD124" s="20"/>
    </row>
    <row r="125" spans="27:30" ht="18.75" x14ac:dyDescent="0.25">
      <c r="AA125" s="75"/>
      <c r="AB125" s="54"/>
      <c r="AC125" s="20"/>
      <c r="AD125" s="20"/>
    </row>
    <row r="126" spans="27:30" ht="18.75" x14ac:dyDescent="0.25">
      <c r="AA126" s="75"/>
      <c r="AB126" s="54"/>
      <c r="AC126" s="20"/>
      <c r="AD126" s="20"/>
    </row>
    <row r="127" spans="27:30" ht="18.75" x14ac:dyDescent="0.25">
      <c r="AA127" s="75"/>
      <c r="AB127" s="54"/>
      <c r="AC127" s="20"/>
      <c r="AD127" s="20"/>
    </row>
    <row r="128" spans="27:30" ht="18.75" x14ac:dyDescent="0.25">
      <c r="AA128" s="75"/>
      <c r="AB128" s="54"/>
      <c r="AC128" s="20"/>
      <c r="AD128" s="20"/>
    </row>
    <row r="129" spans="27:30" ht="18.75" x14ac:dyDescent="0.25">
      <c r="AA129" s="75"/>
      <c r="AB129" s="54"/>
      <c r="AC129" s="20"/>
      <c r="AD129" s="20"/>
    </row>
    <row r="130" spans="27:30" ht="18.75" x14ac:dyDescent="0.25">
      <c r="AA130" s="75"/>
      <c r="AB130" s="54"/>
      <c r="AC130" s="20"/>
      <c r="AD130" s="20"/>
    </row>
    <row r="131" spans="27:30" ht="18.75" x14ac:dyDescent="0.25">
      <c r="AA131" s="75"/>
      <c r="AB131" s="54"/>
      <c r="AC131" s="20"/>
      <c r="AD131" s="20"/>
    </row>
    <row r="132" spans="27:30" ht="18.75" x14ac:dyDescent="0.25">
      <c r="AA132" s="75"/>
      <c r="AB132" s="54"/>
      <c r="AC132" s="20"/>
      <c r="AD132" s="20"/>
    </row>
    <row r="133" spans="27:30" ht="18.75" x14ac:dyDescent="0.25">
      <c r="AA133" s="75"/>
      <c r="AB133" s="54"/>
      <c r="AC133" s="20"/>
      <c r="AD133" s="20"/>
    </row>
    <row r="134" spans="27:30" ht="18.75" x14ac:dyDescent="0.25">
      <c r="AA134" s="75"/>
      <c r="AB134" s="54"/>
      <c r="AC134" s="20"/>
      <c r="AD134" s="20"/>
    </row>
    <row r="135" spans="27:30" ht="18.75" x14ac:dyDescent="0.25">
      <c r="AA135" s="75"/>
      <c r="AB135" s="54"/>
      <c r="AC135" s="20"/>
      <c r="AD135" s="20"/>
    </row>
    <row r="136" spans="27:30" ht="18.75" x14ac:dyDescent="0.25">
      <c r="AA136" s="75"/>
      <c r="AB136" s="54"/>
      <c r="AC136" s="20"/>
      <c r="AD136" s="20"/>
    </row>
    <row r="137" spans="27:30" ht="18.75" x14ac:dyDescent="0.25">
      <c r="AA137" s="75"/>
      <c r="AB137" s="54"/>
      <c r="AC137" s="20"/>
      <c r="AD137" s="20"/>
    </row>
    <row r="138" spans="27:30" ht="18.75" x14ac:dyDescent="0.25">
      <c r="AA138" s="75"/>
      <c r="AB138" s="54"/>
      <c r="AC138" s="20"/>
      <c r="AD138" s="20"/>
    </row>
    <row r="139" spans="27:30" ht="18.75" x14ac:dyDescent="0.25">
      <c r="AA139" s="75"/>
      <c r="AB139" s="54"/>
      <c r="AC139" s="20"/>
      <c r="AD139" s="20"/>
    </row>
    <row r="140" spans="27:30" ht="18.75" x14ac:dyDescent="0.25">
      <c r="AA140" s="75"/>
      <c r="AB140" s="54"/>
      <c r="AC140" s="20"/>
      <c r="AD140" s="20"/>
    </row>
    <row r="141" spans="27:30" ht="18.75" x14ac:dyDescent="0.25">
      <c r="AA141" s="75"/>
      <c r="AB141" s="54"/>
      <c r="AC141" s="20"/>
      <c r="AD141" s="20"/>
    </row>
    <row r="142" spans="27:30" ht="18.75" x14ac:dyDescent="0.25">
      <c r="AA142" s="75"/>
      <c r="AB142" s="54"/>
      <c r="AC142" s="20"/>
      <c r="AD142" s="20"/>
    </row>
    <row r="143" spans="27:30" ht="18.75" x14ac:dyDescent="0.25">
      <c r="AA143" s="75"/>
      <c r="AB143" s="54"/>
      <c r="AC143" s="20"/>
      <c r="AD143" s="20"/>
    </row>
    <row r="144" spans="27:30" ht="18.75" x14ac:dyDescent="0.25">
      <c r="AA144" s="75"/>
      <c r="AB144" s="54"/>
      <c r="AC144" s="20"/>
      <c r="AD144" s="20"/>
    </row>
    <row r="145" spans="27:30" ht="18.75" x14ac:dyDescent="0.25">
      <c r="AA145" s="75"/>
      <c r="AB145" s="54"/>
      <c r="AC145" s="20"/>
      <c r="AD145" s="20"/>
    </row>
    <row r="146" spans="27:30" ht="18.75" x14ac:dyDescent="0.25">
      <c r="AA146" s="75"/>
      <c r="AB146" s="54"/>
      <c r="AC146" s="20"/>
      <c r="AD146" s="20"/>
    </row>
    <row r="147" spans="27:30" ht="18.75" x14ac:dyDescent="0.25">
      <c r="AA147" s="75"/>
      <c r="AB147" s="54"/>
      <c r="AC147" s="20"/>
      <c r="AD147" s="20"/>
    </row>
    <row r="148" spans="27:30" ht="18.75" x14ac:dyDescent="0.25">
      <c r="AA148" s="75"/>
      <c r="AB148" s="54"/>
      <c r="AC148" s="20"/>
      <c r="AD148" s="20"/>
    </row>
    <row r="149" spans="27:30" ht="18.75" x14ac:dyDescent="0.25">
      <c r="AA149" s="75"/>
      <c r="AB149" s="54"/>
      <c r="AC149" s="20"/>
      <c r="AD149" s="20"/>
    </row>
    <row r="150" spans="27:30" ht="18.75" x14ac:dyDescent="0.25">
      <c r="AA150" s="75"/>
      <c r="AB150" s="54"/>
      <c r="AC150" s="20"/>
      <c r="AD150" s="20"/>
    </row>
    <row r="151" spans="27:30" ht="18.75" x14ac:dyDescent="0.25">
      <c r="AA151" s="75"/>
      <c r="AB151" s="54"/>
      <c r="AC151" s="20"/>
      <c r="AD151" s="20"/>
    </row>
    <row r="152" spans="27:30" ht="18.75" x14ac:dyDescent="0.25">
      <c r="AA152" s="75"/>
      <c r="AB152" s="54"/>
      <c r="AC152" s="20"/>
      <c r="AD152" s="20"/>
    </row>
    <row r="153" spans="27:30" ht="18.75" x14ac:dyDescent="0.25">
      <c r="AA153" s="75"/>
      <c r="AB153" s="54"/>
      <c r="AC153" s="20"/>
      <c r="AD153" s="20"/>
    </row>
    <row r="154" spans="27:30" ht="18.75" x14ac:dyDescent="0.25">
      <c r="AA154" s="75"/>
      <c r="AB154" s="54"/>
      <c r="AC154" s="20"/>
      <c r="AD154" s="20"/>
    </row>
    <row r="155" spans="27:30" ht="18.75" x14ac:dyDescent="0.25">
      <c r="AA155" s="75"/>
      <c r="AB155" s="54"/>
      <c r="AC155" s="20"/>
      <c r="AD155" s="20"/>
    </row>
    <row r="156" spans="27:30" ht="18.75" x14ac:dyDescent="0.25">
      <c r="AA156" s="75"/>
      <c r="AB156" s="54"/>
      <c r="AC156" s="20"/>
      <c r="AD156" s="20"/>
    </row>
    <row r="157" spans="27:30" ht="18.75" x14ac:dyDescent="0.25">
      <c r="AA157" s="75"/>
      <c r="AB157" s="54"/>
      <c r="AC157" s="20"/>
      <c r="AD157" s="20"/>
    </row>
    <row r="158" spans="27:30" ht="18.75" x14ac:dyDescent="0.25">
      <c r="AA158" s="75"/>
      <c r="AB158" s="54"/>
      <c r="AC158" s="20"/>
      <c r="AD158" s="20"/>
    </row>
    <row r="159" spans="27:30" ht="18.75" x14ac:dyDescent="0.25">
      <c r="AA159" s="75"/>
      <c r="AB159" s="54"/>
      <c r="AC159" s="20"/>
      <c r="AD159" s="20"/>
    </row>
    <row r="160" spans="27:30" ht="18.75" x14ac:dyDescent="0.25">
      <c r="AA160" s="75"/>
      <c r="AB160" s="54"/>
      <c r="AC160" s="20"/>
      <c r="AD160" s="20"/>
    </row>
    <row r="161" spans="27:30" ht="18.75" x14ac:dyDescent="0.25">
      <c r="AA161" s="75"/>
      <c r="AB161" s="54"/>
      <c r="AC161" s="20"/>
      <c r="AD161" s="20"/>
    </row>
    <row r="162" spans="27:30" ht="18.75" x14ac:dyDescent="0.25">
      <c r="AA162" s="75"/>
      <c r="AB162" s="54"/>
      <c r="AC162" s="20"/>
      <c r="AD162" s="20"/>
    </row>
    <row r="163" spans="27:30" ht="18.75" x14ac:dyDescent="0.25">
      <c r="AA163" s="75"/>
      <c r="AB163" s="54"/>
      <c r="AC163" s="20"/>
      <c r="AD163" s="20"/>
    </row>
    <row r="164" spans="27:30" ht="18.75" x14ac:dyDescent="0.25">
      <c r="AA164" s="75"/>
      <c r="AB164" s="54"/>
      <c r="AC164" s="20"/>
      <c r="AD164" s="20"/>
    </row>
    <row r="165" spans="27:30" ht="18.75" x14ac:dyDescent="0.25">
      <c r="AA165" s="75"/>
      <c r="AB165" s="54"/>
      <c r="AC165" s="20"/>
      <c r="AD165" s="20"/>
    </row>
    <row r="166" spans="27:30" ht="18.75" x14ac:dyDescent="0.25">
      <c r="AA166" s="75"/>
      <c r="AB166" s="54"/>
      <c r="AC166" s="20"/>
      <c r="AD166" s="20"/>
    </row>
    <row r="167" spans="27:30" ht="18.75" x14ac:dyDescent="0.25">
      <c r="AA167" s="75"/>
      <c r="AB167" s="54"/>
      <c r="AC167" s="20"/>
      <c r="AD167" s="20"/>
    </row>
    <row r="168" spans="27:30" ht="18.75" x14ac:dyDescent="0.25">
      <c r="AA168" s="75"/>
      <c r="AB168" s="54"/>
      <c r="AC168" s="20"/>
      <c r="AD168" s="20"/>
    </row>
    <row r="169" spans="27:30" ht="18.75" x14ac:dyDescent="0.25">
      <c r="AA169" s="75"/>
      <c r="AB169" s="54"/>
      <c r="AC169" s="20"/>
      <c r="AD169" s="20"/>
    </row>
    <row r="170" spans="27:30" ht="18.75" x14ac:dyDescent="0.25">
      <c r="AA170" s="75"/>
      <c r="AB170" s="54"/>
      <c r="AC170" s="20"/>
      <c r="AD170" s="20"/>
    </row>
    <row r="171" spans="27:30" ht="18.75" x14ac:dyDescent="0.25">
      <c r="AA171" s="75"/>
      <c r="AB171" s="54"/>
      <c r="AC171" s="20"/>
      <c r="AD171" s="20"/>
    </row>
    <row r="172" spans="27:30" ht="18.75" x14ac:dyDescent="0.25">
      <c r="AA172" s="75"/>
      <c r="AB172" s="54"/>
      <c r="AC172" s="20"/>
      <c r="AD172" s="20"/>
    </row>
    <row r="173" spans="27:30" ht="18.75" x14ac:dyDescent="0.25">
      <c r="AA173" s="75"/>
      <c r="AB173" s="54"/>
      <c r="AC173" s="20"/>
      <c r="AD173" s="20"/>
    </row>
    <row r="174" spans="27:30" ht="18.75" x14ac:dyDescent="0.25">
      <c r="AA174" s="75"/>
      <c r="AB174" s="54"/>
      <c r="AC174" s="20"/>
      <c r="AD174" s="20"/>
    </row>
    <row r="175" spans="27:30" ht="18.75" x14ac:dyDescent="0.25">
      <c r="AA175" s="75"/>
      <c r="AB175" s="54"/>
      <c r="AC175" s="20"/>
      <c r="AD175" s="20"/>
    </row>
    <row r="176" spans="27:30" ht="18.75" x14ac:dyDescent="0.25">
      <c r="AA176" s="75"/>
      <c r="AB176" s="54"/>
      <c r="AC176" s="20"/>
      <c r="AD176" s="20"/>
    </row>
    <row r="177" spans="27:30" ht="18.75" x14ac:dyDescent="0.25">
      <c r="AA177" s="75"/>
      <c r="AB177" s="54"/>
      <c r="AC177" s="20"/>
      <c r="AD177" s="20"/>
    </row>
    <row r="178" spans="27:30" ht="18.75" x14ac:dyDescent="0.25">
      <c r="AA178" s="75"/>
      <c r="AB178" s="54"/>
      <c r="AC178" s="20"/>
      <c r="AD178" s="20"/>
    </row>
    <row r="179" spans="27:30" ht="18.75" x14ac:dyDescent="0.25">
      <c r="AA179" s="75"/>
      <c r="AB179" s="54"/>
      <c r="AC179" s="20"/>
      <c r="AD179" s="20"/>
    </row>
    <row r="180" spans="27:30" ht="18.75" x14ac:dyDescent="0.25">
      <c r="AA180" s="75"/>
      <c r="AB180" s="54"/>
      <c r="AC180" s="20"/>
      <c r="AD180" s="20"/>
    </row>
    <row r="181" spans="27:30" ht="18.75" x14ac:dyDescent="0.25">
      <c r="AA181" s="75"/>
      <c r="AB181" s="54"/>
      <c r="AC181" s="20"/>
      <c r="AD181" s="20"/>
    </row>
    <row r="182" spans="27:30" ht="18.75" x14ac:dyDescent="0.25">
      <c r="AA182" s="75"/>
      <c r="AB182" s="54"/>
      <c r="AC182" s="20"/>
      <c r="AD182" s="20"/>
    </row>
    <row r="183" spans="27:30" ht="18.75" x14ac:dyDescent="0.25">
      <c r="AA183" s="75"/>
      <c r="AB183" s="54"/>
      <c r="AC183" s="20"/>
      <c r="AD183" s="20"/>
    </row>
    <row r="184" spans="27:30" ht="18.75" x14ac:dyDescent="0.25">
      <c r="AA184" s="75"/>
      <c r="AB184" s="54"/>
      <c r="AC184" s="20"/>
      <c r="AD184" s="20"/>
    </row>
    <row r="185" spans="27:30" ht="18.75" x14ac:dyDescent="0.25">
      <c r="AA185" s="75"/>
      <c r="AB185" s="54"/>
      <c r="AC185" s="20"/>
      <c r="AD185" s="20"/>
    </row>
    <row r="186" spans="27:30" ht="18.75" x14ac:dyDescent="0.25">
      <c r="AA186" s="75"/>
      <c r="AB186" s="54"/>
      <c r="AC186" s="20"/>
      <c r="AD186" s="20"/>
    </row>
    <row r="187" spans="27:30" ht="18.75" x14ac:dyDescent="0.25">
      <c r="AA187" s="75"/>
      <c r="AB187" s="54"/>
      <c r="AC187" s="20"/>
      <c r="AD187" s="20"/>
    </row>
    <row r="188" spans="27:30" ht="18.75" x14ac:dyDescent="0.25">
      <c r="AA188" s="75"/>
      <c r="AB188" s="54"/>
      <c r="AC188" s="20"/>
      <c r="AD188" s="20"/>
    </row>
    <row r="189" spans="27:30" ht="18.75" x14ac:dyDescent="0.25">
      <c r="AA189" s="75"/>
      <c r="AB189" s="54"/>
      <c r="AC189" s="20"/>
      <c r="AD189" s="20"/>
    </row>
    <row r="190" spans="27:30" ht="18.75" x14ac:dyDescent="0.25">
      <c r="AA190" s="75"/>
      <c r="AB190" s="54"/>
      <c r="AC190" s="20"/>
      <c r="AD190" s="20"/>
    </row>
    <row r="191" spans="27:30" ht="18.75" x14ac:dyDescent="0.25">
      <c r="AA191" s="75"/>
      <c r="AB191" s="54"/>
      <c r="AC191" s="20"/>
      <c r="AD191" s="20"/>
    </row>
    <row r="192" spans="27:30" ht="18.75" x14ac:dyDescent="0.25">
      <c r="AA192" s="75"/>
      <c r="AB192" s="54"/>
      <c r="AC192" s="20"/>
      <c r="AD192" s="20"/>
    </row>
    <row r="193" spans="27:30" ht="18.75" x14ac:dyDescent="0.25">
      <c r="AA193" s="75"/>
      <c r="AB193" s="54"/>
      <c r="AC193" s="20"/>
      <c r="AD193" s="20"/>
    </row>
    <row r="194" spans="27:30" ht="18.75" x14ac:dyDescent="0.25">
      <c r="AA194" s="75"/>
      <c r="AB194" s="54"/>
      <c r="AC194" s="20"/>
      <c r="AD194" s="20"/>
    </row>
    <row r="195" spans="27:30" ht="18.75" x14ac:dyDescent="0.25">
      <c r="AA195" s="75"/>
      <c r="AB195" s="54"/>
      <c r="AC195" s="20"/>
      <c r="AD195" s="20"/>
    </row>
    <row r="196" spans="27:30" ht="18.75" x14ac:dyDescent="0.25">
      <c r="AA196" s="75"/>
      <c r="AB196" s="54"/>
      <c r="AC196" s="20"/>
      <c r="AD196" s="20"/>
    </row>
    <row r="197" spans="27:30" ht="18.75" x14ac:dyDescent="0.25">
      <c r="AA197" s="75"/>
      <c r="AB197" s="54"/>
      <c r="AC197" s="20"/>
      <c r="AD197" s="20"/>
    </row>
    <row r="198" spans="27:30" ht="18.75" x14ac:dyDescent="0.25">
      <c r="AA198" s="75"/>
      <c r="AB198" s="54"/>
      <c r="AC198" s="20"/>
      <c r="AD198" s="20"/>
    </row>
    <row r="199" spans="27:30" ht="18.75" x14ac:dyDescent="0.25">
      <c r="AA199" s="75"/>
      <c r="AB199" s="54"/>
      <c r="AC199" s="20"/>
      <c r="AD199" s="20"/>
    </row>
    <row r="200" spans="27:30" ht="18.75" x14ac:dyDescent="0.25">
      <c r="AA200" s="75"/>
      <c r="AB200" s="54"/>
      <c r="AC200" s="20"/>
      <c r="AD200" s="20"/>
    </row>
    <row r="201" spans="27:30" ht="18.75" x14ac:dyDescent="0.25">
      <c r="AA201" s="75"/>
      <c r="AB201" s="54"/>
      <c r="AC201" s="20"/>
      <c r="AD201" s="20"/>
    </row>
    <row r="202" spans="27:30" ht="18.75" x14ac:dyDescent="0.25">
      <c r="AA202" s="75"/>
      <c r="AB202" s="54"/>
      <c r="AC202" s="20"/>
      <c r="AD202" s="20"/>
    </row>
    <row r="203" spans="27:30" ht="18.75" x14ac:dyDescent="0.25">
      <c r="AA203" s="75"/>
      <c r="AB203" s="54"/>
      <c r="AC203" s="20"/>
      <c r="AD203" s="20"/>
    </row>
    <row r="204" spans="27:30" ht="18.75" x14ac:dyDescent="0.25">
      <c r="AA204" s="75"/>
      <c r="AB204" s="54"/>
      <c r="AC204" s="20"/>
      <c r="AD204" s="20"/>
    </row>
    <row r="205" spans="27:30" ht="18.75" x14ac:dyDescent="0.25">
      <c r="AA205" s="75"/>
      <c r="AB205" s="54"/>
      <c r="AC205" s="20"/>
      <c r="AD205" s="20"/>
    </row>
    <row r="206" spans="27:30" ht="18.75" x14ac:dyDescent="0.25">
      <c r="AA206" s="75"/>
      <c r="AB206" s="54"/>
      <c r="AC206" s="20"/>
      <c r="AD206" s="20"/>
    </row>
    <row r="207" spans="27:30" ht="18.75" x14ac:dyDescent="0.25">
      <c r="AA207" s="75"/>
      <c r="AB207" s="54"/>
      <c r="AC207" s="20"/>
      <c r="AD207" s="20"/>
    </row>
    <row r="208" spans="27:30" ht="18.75" x14ac:dyDescent="0.25">
      <c r="AA208" s="75"/>
      <c r="AB208" s="54"/>
      <c r="AC208" s="20"/>
      <c r="AD208" s="20"/>
    </row>
    <row r="209" spans="27:30" ht="18.75" x14ac:dyDescent="0.25">
      <c r="AA209" s="75"/>
      <c r="AB209" s="54"/>
      <c r="AC209" s="20"/>
      <c r="AD209" s="20"/>
    </row>
    <row r="210" spans="27:30" ht="18.75" x14ac:dyDescent="0.25">
      <c r="AA210" s="75"/>
      <c r="AB210" s="54"/>
      <c r="AC210" s="20"/>
      <c r="AD210" s="20"/>
    </row>
    <row r="211" spans="27:30" ht="18.75" x14ac:dyDescent="0.25">
      <c r="AA211" s="75"/>
      <c r="AB211" s="54"/>
      <c r="AC211" s="20"/>
      <c r="AD211" s="20"/>
    </row>
    <row r="212" spans="27:30" ht="18.75" x14ac:dyDescent="0.25">
      <c r="AA212" s="75"/>
      <c r="AB212" s="54"/>
      <c r="AC212" s="20"/>
      <c r="AD212" s="20"/>
    </row>
    <row r="213" spans="27:30" ht="18.75" x14ac:dyDescent="0.25">
      <c r="AA213" s="75"/>
      <c r="AB213" s="54"/>
      <c r="AC213" s="20"/>
      <c r="AD213" s="20"/>
    </row>
    <row r="214" spans="27:30" ht="18.75" x14ac:dyDescent="0.25">
      <c r="AA214" s="75"/>
      <c r="AB214" s="54"/>
      <c r="AC214" s="20"/>
      <c r="AD214" s="20"/>
    </row>
    <row r="215" spans="27:30" ht="18.75" x14ac:dyDescent="0.25">
      <c r="AA215" s="75"/>
      <c r="AB215" s="54"/>
      <c r="AC215" s="20"/>
      <c r="AD215" s="20"/>
    </row>
    <row r="216" spans="27:30" ht="18.75" x14ac:dyDescent="0.25">
      <c r="AA216" s="75"/>
      <c r="AB216" s="54"/>
      <c r="AC216" s="20"/>
      <c r="AD216" s="20"/>
    </row>
    <row r="217" spans="27:30" ht="18.75" x14ac:dyDescent="0.25">
      <c r="AA217" s="75"/>
      <c r="AB217" s="54"/>
      <c r="AC217" s="20"/>
      <c r="AD217" s="20"/>
    </row>
    <row r="218" spans="27:30" ht="18.75" x14ac:dyDescent="0.25">
      <c r="AA218" s="75"/>
      <c r="AB218" s="54"/>
      <c r="AC218" s="20"/>
      <c r="AD218" s="20"/>
    </row>
    <row r="219" spans="27:30" ht="18.75" x14ac:dyDescent="0.25">
      <c r="AA219" s="75"/>
      <c r="AB219" s="54"/>
      <c r="AC219" s="20"/>
      <c r="AD219" s="20"/>
    </row>
    <row r="220" spans="27:30" ht="18.75" x14ac:dyDescent="0.25">
      <c r="AA220" s="75"/>
      <c r="AB220" s="54"/>
      <c r="AC220" s="20"/>
      <c r="AD220" s="20"/>
    </row>
    <row r="221" spans="27:30" ht="18.75" x14ac:dyDescent="0.25">
      <c r="AA221" s="75"/>
      <c r="AB221" s="54"/>
      <c r="AC221" s="20"/>
      <c r="AD221" s="20"/>
    </row>
    <row r="222" spans="27:30" ht="18.75" x14ac:dyDescent="0.25">
      <c r="AA222" s="75"/>
      <c r="AB222" s="54"/>
      <c r="AC222" s="20"/>
      <c r="AD222" s="20"/>
    </row>
    <row r="223" spans="27:30" ht="18.75" x14ac:dyDescent="0.25">
      <c r="AA223" s="75"/>
      <c r="AB223" s="54"/>
      <c r="AC223" s="20"/>
      <c r="AD223" s="20"/>
    </row>
    <row r="224" spans="27:30" ht="18.75" x14ac:dyDescent="0.25">
      <c r="AA224" s="75"/>
      <c r="AB224" s="54"/>
      <c r="AC224" s="20"/>
      <c r="AD224" s="20"/>
    </row>
    <row r="225" spans="27:30" ht="18.75" x14ac:dyDescent="0.25">
      <c r="AA225" s="75"/>
      <c r="AB225" s="54"/>
      <c r="AC225" s="20"/>
      <c r="AD225" s="20"/>
    </row>
    <row r="226" spans="27:30" ht="18.75" x14ac:dyDescent="0.25">
      <c r="AA226" s="75"/>
      <c r="AB226" s="54"/>
      <c r="AC226" s="20"/>
      <c r="AD226" s="20"/>
    </row>
    <row r="227" spans="27:30" ht="18.75" x14ac:dyDescent="0.25">
      <c r="AA227" s="75"/>
      <c r="AB227" s="54"/>
      <c r="AC227" s="20"/>
      <c r="AD227" s="20"/>
    </row>
    <row r="228" spans="27:30" ht="18.75" x14ac:dyDescent="0.25">
      <c r="AA228" s="75"/>
      <c r="AB228" s="54"/>
      <c r="AC228" s="20"/>
      <c r="AD228" s="20"/>
    </row>
    <row r="229" spans="27:30" ht="18.75" x14ac:dyDescent="0.25">
      <c r="AA229" s="75"/>
      <c r="AB229" s="54"/>
      <c r="AC229" s="20"/>
      <c r="AD229" s="20"/>
    </row>
    <row r="230" spans="27:30" ht="18.75" x14ac:dyDescent="0.25">
      <c r="AA230" s="75"/>
      <c r="AB230" s="54"/>
      <c r="AC230" s="20"/>
      <c r="AD230" s="20"/>
    </row>
    <row r="231" spans="27:30" ht="18.75" x14ac:dyDescent="0.25">
      <c r="AA231" s="75"/>
      <c r="AB231" s="54"/>
      <c r="AC231" s="20"/>
      <c r="AD231" s="20"/>
    </row>
    <row r="232" spans="27:30" ht="18.75" x14ac:dyDescent="0.25">
      <c r="AA232" s="75"/>
      <c r="AB232" s="54"/>
      <c r="AC232" s="20"/>
      <c r="AD232" s="20"/>
    </row>
    <row r="233" spans="27:30" ht="18.75" x14ac:dyDescent="0.25">
      <c r="AA233" s="75"/>
      <c r="AB233" s="54"/>
      <c r="AC233" s="20"/>
      <c r="AD233" s="20"/>
    </row>
    <row r="234" spans="27:30" ht="18.75" x14ac:dyDescent="0.25">
      <c r="AA234" s="75"/>
      <c r="AB234" s="54"/>
      <c r="AC234" s="20"/>
      <c r="AD234" s="20"/>
    </row>
    <row r="235" spans="27:30" ht="18.75" x14ac:dyDescent="0.25">
      <c r="AA235" s="75"/>
      <c r="AB235" s="54"/>
      <c r="AC235" s="20"/>
      <c r="AD235" s="20"/>
    </row>
    <row r="236" spans="27:30" ht="18.75" x14ac:dyDescent="0.25">
      <c r="AA236" s="75"/>
      <c r="AB236" s="54"/>
      <c r="AC236" s="20"/>
      <c r="AD236" s="20"/>
    </row>
    <row r="237" spans="27:30" ht="18.75" x14ac:dyDescent="0.25">
      <c r="AA237" s="75"/>
      <c r="AB237" s="54"/>
      <c r="AC237" s="20"/>
      <c r="AD237" s="20"/>
    </row>
    <row r="238" spans="27:30" ht="18.75" x14ac:dyDescent="0.25">
      <c r="AA238" s="75"/>
      <c r="AB238" s="54"/>
      <c r="AC238" s="20"/>
      <c r="AD238" s="20"/>
    </row>
    <row r="239" spans="27:30" ht="18.75" x14ac:dyDescent="0.25">
      <c r="AA239" s="75"/>
      <c r="AB239" s="54"/>
      <c r="AC239" s="20"/>
      <c r="AD239" s="20"/>
    </row>
    <row r="240" spans="27:30" ht="18.75" x14ac:dyDescent="0.25">
      <c r="AA240" s="75"/>
      <c r="AB240" s="54"/>
      <c r="AC240" s="20"/>
      <c r="AD240" s="20"/>
    </row>
    <row r="241" spans="27:30" ht="18.75" x14ac:dyDescent="0.25">
      <c r="AA241" s="75"/>
      <c r="AB241" s="54"/>
      <c r="AC241" s="20"/>
      <c r="AD241" s="20"/>
    </row>
    <row r="242" spans="27:30" ht="18.75" x14ac:dyDescent="0.25">
      <c r="AA242" s="75"/>
      <c r="AB242" s="54"/>
      <c r="AC242" s="20"/>
      <c r="AD242" s="20"/>
    </row>
    <row r="243" spans="27:30" ht="18.75" x14ac:dyDescent="0.25">
      <c r="AA243" s="75"/>
      <c r="AB243" s="54"/>
      <c r="AC243" s="20"/>
      <c r="AD243" s="20"/>
    </row>
    <row r="244" spans="27:30" ht="18.75" x14ac:dyDescent="0.25">
      <c r="AA244" s="75"/>
      <c r="AB244" s="54"/>
      <c r="AC244" s="20"/>
      <c r="AD244" s="20"/>
    </row>
    <row r="245" spans="27:30" ht="18.75" x14ac:dyDescent="0.25">
      <c r="AA245" s="75"/>
      <c r="AB245" s="54"/>
      <c r="AC245" s="20"/>
      <c r="AD245" s="20"/>
    </row>
    <row r="246" spans="27:30" ht="18.75" x14ac:dyDescent="0.25">
      <c r="AA246" s="75"/>
      <c r="AB246" s="54"/>
      <c r="AC246" s="20"/>
      <c r="AD246" s="20"/>
    </row>
    <row r="247" spans="27:30" ht="18.75" x14ac:dyDescent="0.25">
      <c r="AA247" s="75"/>
      <c r="AB247" s="54"/>
      <c r="AC247" s="20"/>
      <c r="AD247" s="20"/>
    </row>
    <row r="248" spans="27:30" ht="18.75" x14ac:dyDescent="0.25">
      <c r="AA248" s="75"/>
      <c r="AB248" s="54"/>
      <c r="AC248" s="20"/>
      <c r="AD248" s="20"/>
    </row>
    <row r="249" spans="27:30" ht="18.75" x14ac:dyDescent="0.25">
      <c r="AA249" s="75"/>
      <c r="AB249" s="54"/>
      <c r="AC249" s="20"/>
      <c r="AD249" s="20"/>
    </row>
    <row r="250" spans="27:30" ht="18.75" x14ac:dyDescent="0.25">
      <c r="AA250" s="75"/>
      <c r="AB250" s="54"/>
      <c r="AC250" s="20"/>
      <c r="AD250" s="20"/>
    </row>
    <row r="251" spans="27:30" ht="18.75" x14ac:dyDescent="0.25">
      <c r="AA251" s="75"/>
      <c r="AB251" s="54"/>
      <c r="AC251" s="20"/>
      <c r="AD251" s="20"/>
    </row>
    <row r="252" spans="27:30" ht="18.75" x14ac:dyDescent="0.25">
      <c r="AA252" s="75"/>
      <c r="AB252" s="54"/>
      <c r="AC252" s="20"/>
      <c r="AD252" s="20"/>
    </row>
    <row r="253" spans="27:30" ht="18.75" x14ac:dyDescent="0.25">
      <c r="AA253" s="75"/>
      <c r="AB253" s="54"/>
      <c r="AC253" s="20"/>
      <c r="AD253" s="20"/>
    </row>
    <row r="254" spans="27:30" ht="18.75" x14ac:dyDescent="0.25">
      <c r="AA254" s="75"/>
      <c r="AB254" s="54"/>
      <c r="AC254" s="20"/>
      <c r="AD254" s="20"/>
    </row>
    <row r="255" spans="27:30" ht="18.75" x14ac:dyDescent="0.25">
      <c r="AA255" s="75"/>
      <c r="AB255" s="54"/>
      <c r="AC255" s="20"/>
      <c r="AD255" s="20"/>
    </row>
    <row r="256" spans="27:30" ht="18.75" x14ac:dyDescent="0.25">
      <c r="AA256" s="75"/>
      <c r="AB256" s="54"/>
      <c r="AC256" s="20"/>
      <c r="AD256" s="20"/>
    </row>
    <row r="257" spans="27:30" ht="18.75" x14ac:dyDescent="0.25">
      <c r="AA257" s="75"/>
      <c r="AB257" s="54"/>
      <c r="AC257" s="20"/>
      <c r="AD257" s="20"/>
    </row>
    <row r="258" spans="27:30" ht="18.75" x14ac:dyDescent="0.25">
      <c r="AA258" s="75"/>
      <c r="AB258" s="54"/>
      <c r="AC258" s="20"/>
      <c r="AD258" s="20"/>
    </row>
    <row r="259" spans="27:30" ht="18.75" x14ac:dyDescent="0.25">
      <c r="AA259" s="75"/>
      <c r="AB259" s="54"/>
      <c r="AC259" s="20"/>
      <c r="AD259" s="20"/>
    </row>
    <row r="260" spans="27:30" ht="18.75" x14ac:dyDescent="0.25">
      <c r="AA260" s="75"/>
      <c r="AB260" s="54"/>
      <c r="AC260" s="20"/>
      <c r="AD260" s="20"/>
    </row>
    <row r="261" spans="27:30" ht="18.75" x14ac:dyDescent="0.25">
      <c r="AA261" s="75"/>
      <c r="AB261" s="54"/>
      <c r="AC261" s="20"/>
      <c r="AD261" s="20"/>
    </row>
    <row r="262" spans="27:30" ht="18.75" x14ac:dyDescent="0.25">
      <c r="AA262" s="75"/>
      <c r="AB262" s="54"/>
      <c r="AC262" s="20"/>
      <c r="AD262" s="20"/>
    </row>
    <row r="263" spans="27:30" ht="18.75" x14ac:dyDescent="0.25">
      <c r="AA263" s="75"/>
      <c r="AB263" s="54"/>
      <c r="AC263" s="20"/>
      <c r="AD263" s="20"/>
    </row>
    <row r="264" spans="27:30" ht="18.75" x14ac:dyDescent="0.25">
      <c r="AA264" s="75"/>
      <c r="AB264" s="54"/>
      <c r="AC264" s="20"/>
      <c r="AD264" s="20"/>
    </row>
    <row r="265" spans="27:30" ht="18.75" x14ac:dyDescent="0.25">
      <c r="AA265" s="75"/>
      <c r="AB265" s="54"/>
      <c r="AC265" s="20"/>
      <c r="AD265" s="20"/>
    </row>
    <row r="266" spans="27:30" ht="18.75" x14ac:dyDescent="0.25">
      <c r="AA266" s="75"/>
      <c r="AB266" s="54"/>
      <c r="AC266" s="20"/>
      <c r="AD266" s="20"/>
    </row>
    <row r="267" spans="27:30" ht="18.75" x14ac:dyDescent="0.25">
      <c r="AA267" s="75"/>
      <c r="AB267" s="54"/>
      <c r="AC267" s="20"/>
      <c r="AD267" s="20"/>
    </row>
    <row r="268" spans="27:30" ht="18.75" x14ac:dyDescent="0.25">
      <c r="AA268" s="75"/>
      <c r="AB268" s="54"/>
      <c r="AC268" s="20"/>
      <c r="AD268" s="20"/>
    </row>
    <row r="269" spans="27:30" ht="18.75" x14ac:dyDescent="0.25">
      <c r="AA269" s="75"/>
      <c r="AB269" s="54"/>
      <c r="AC269" s="20"/>
      <c r="AD269" s="20"/>
    </row>
    <row r="270" spans="27:30" ht="18.75" x14ac:dyDescent="0.25">
      <c r="AA270" s="75"/>
      <c r="AB270" s="54"/>
      <c r="AC270" s="20"/>
      <c r="AD270" s="20"/>
    </row>
    <row r="271" spans="27:30" ht="18.75" x14ac:dyDescent="0.25">
      <c r="AA271" s="75"/>
      <c r="AB271" s="54"/>
      <c r="AC271" s="20"/>
      <c r="AD271" s="20"/>
    </row>
    <row r="272" spans="27:30" ht="18.75" x14ac:dyDescent="0.25">
      <c r="AA272" s="75"/>
      <c r="AB272" s="54"/>
      <c r="AC272" s="20"/>
      <c r="AD272" s="20"/>
    </row>
    <row r="273" spans="2:30" ht="18.75" x14ac:dyDescent="0.25">
      <c r="AA273" s="75"/>
      <c r="AB273" s="54"/>
      <c r="AC273" s="20"/>
      <c r="AD273" s="20"/>
    </row>
    <row r="274" spans="2:30" ht="18.75" x14ac:dyDescent="0.25">
      <c r="AA274" s="75"/>
      <c r="AB274" s="54"/>
      <c r="AC274" s="20"/>
      <c r="AD274" s="20"/>
    </row>
    <row r="275" spans="2:30" ht="18.75" x14ac:dyDescent="0.25">
      <c r="AA275" s="75"/>
      <c r="AB275" s="54"/>
      <c r="AC275" s="20"/>
      <c r="AD275" s="20"/>
    </row>
    <row r="276" spans="2:30" ht="18.75" x14ac:dyDescent="0.25">
      <c r="AA276" s="75"/>
      <c r="AB276" s="54"/>
      <c r="AC276" s="20"/>
      <c r="AD276" s="20"/>
    </row>
    <row r="277" spans="2:30" ht="18.75" x14ac:dyDescent="0.25">
      <c r="AA277" s="75"/>
      <c r="AB277" s="54"/>
      <c r="AC277" s="20"/>
      <c r="AD277" s="20"/>
    </row>
    <row r="278" spans="2:30" ht="18.75" x14ac:dyDescent="0.25">
      <c r="AA278" s="75"/>
      <c r="AB278" s="54"/>
      <c r="AC278" s="20"/>
      <c r="AD278" s="20"/>
    </row>
    <row r="279" spans="2:30" ht="18.75" x14ac:dyDescent="0.25">
      <c r="AA279" s="75"/>
      <c r="AB279" s="54"/>
      <c r="AC279" s="20"/>
      <c r="AD279" s="20"/>
    </row>
    <row r="280" spans="2:30" ht="18.75" x14ac:dyDescent="0.25">
      <c r="AA280" s="75"/>
      <c r="AB280" s="54"/>
      <c r="AC280" s="20"/>
      <c r="AD280" s="20"/>
    </row>
    <row r="281" spans="2:30" ht="18.75" x14ac:dyDescent="0.25">
      <c r="B281" s="84"/>
      <c r="C281" s="85"/>
      <c r="D281" s="85"/>
      <c r="E281" s="86"/>
      <c r="F281" s="87"/>
      <c r="G281" s="88"/>
      <c r="H281" s="88"/>
      <c r="I281" s="54"/>
      <c r="J281" s="54"/>
      <c r="K281" s="89"/>
      <c r="L281" s="89"/>
      <c r="M281" s="89"/>
      <c r="N281" s="89"/>
      <c r="O281" s="89"/>
      <c r="P281" s="90"/>
      <c r="Q281" s="90"/>
      <c r="R281" s="54"/>
      <c r="S281" s="91"/>
      <c r="T281" s="91"/>
      <c r="U281" s="92"/>
      <c r="V281" s="20"/>
      <c r="W281" s="93"/>
      <c r="X281" s="20"/>
      <c r="Y281" s="20"/>
      <c r="Z281" s="20"/>
      <c r="AA281" s="20"/>
      <c r="AB281" s="20"/>
      <c r="AC281" s="20"/>
      <c r="AD281" s="20"/>
    </row>
    <row r="282" spans="2:30" ht="18.75" x14ac:dyDescent="0.25">
      <c r="B282" s="84"/>
      <c r="C282" s="85"/>
      <c r="D282" s="85"/>
      <c r="E282" s="86"/>
      <c r="F282" s="87"/>
      <c r="G282" s="88"/>
      <c r="H282" s="88"/>
      <c r="I282" s="54"/>
      <c r="J282" s="54"/>
      <c r="K282" s="89"/>
      <c r="L282" s="89"/>
      <c r="M282" s="89"/>
      <c r="N282" s="89"/>
      <c r="O282" s="89"/>
      <c r="P282" s="90"/>
      <c r="Q282" s="90"/>
      <c r="R282" s="54"/>
      <c r="S282" s="91"/>
      <c r="T282" s="91"/>
      <c r="U282" s="92"/>
      <c r="V282" s="20"/>
      <c r="W282" s="20"/>
      <c r="X282" s="93"/>
      <c r="Y282" s="20"/>
      <c r="Z282" s="20"/>
      <c r="AA282" s="20"/>
      <c r="AB282" s="20"/>
      <c r="AC282" s="20"/>
      <c r="AD282" s="20"/>
    </row>
    <row r="283" spans="2:30" ht="36.75" x14ac:dyDescent="0.6">
      <c r="B283" s="84"/>
      <c r="C283" s="85"/>
      <c r="D283" s="85"/>
      <c r="E283" s="86"/>
      <c r="F283" s="87"/>
      <c r="G283" s="88"/>
      <c r="H283" s="88"/>
      <c r="I283" s="54"/>
      <c r="J283" s="54"/>
      <c r="K283" s="89"/>
      <c r="L283" s="89"/>
      <c r="M283" s="89"/>
      <c r="N283" s="89"/>
      <c r="O283" s="89"/>
      <c r="P283" s="90"/>
      <c r="Q283" s="90"/>
      <c r="R283" s="54"/>
      <c r="S283" s="91"/>
      <c r="T283" s="91"/>
      <c r="U283" s="92"/>
      <c r="V283" s="20"/>
      <c r="W283" s="20"/>
      <c r="X283" s="93"/>
      <c r="Y283" s="20"/>
      <c r="Z283" s="94"/>
      <c r="AA283" s="20"/>
      <c r="AB283" s="20"/>
      <c r="AC283" s="20"/>
      <c r="AD283" s="20"/>
    </row>
    <row r="284" spans="2:30" ht="21" x14ac:dyDescent="0.35">
      <c r="B284" s="52" t="s">
        <v>3</v>
      </c>
      <c r="C284" s="20"/>
      <c r="D284" s="20"/>
      <c r="E284" s="20"/>
      <c r="F284" s="20"/>
      <c r="G284" s="88"/>
      <c r="H284" s="88"/>
      <c r="I284" s="54"/>
      <c r="J284" s="54"/>
      <c r="K284" s="89"/>
      <c r="L284" s="89"/>
      <c r="M284" s="89"/>
      <c r="N284" s="89"/>
      <c r="O284" s="89"/>
      <c r="P284" s="90"/>
      <c r="Q284" s="90"/>
      <c r="R284" s="54"/>
      <c r="S284" s="91"/>
      <c r="T284" s="91"/>
      <c r="U284" s="92"/>
      <c r="V284" s="20"/>
      <c r="W284" s="20"/>
      <c r="X284" s="93"/>
      <c r="Y284" s="20"/>
      <c r="Z284" s="20"/>
      <c r="AA284" s="20"/>
      <c r="AB284" s="20"/>
      <c r="AC284" s="20"/>
      <c r="AD284" s="20"/>
    </row>
    <row r="285" spans="2:30" ht="18.75" x14ac:dyDescent="0.25">
      <c r="B285" s="20"/>
      <c r="C285" s="20"/>
      <c r="D285" s="20"/>
      <c r="E285" s="20"/>
      <c r="F285" s="20"/>
      <c r="G285" s="88"/>
      <c r="H285" s="88"/>
      <c r="I285" s="54"/>
      <c r="J285" s="54"/>
      <c r="K285" s="89"/>
      <c r="L285" s="89"/>
      <c r="M285" s="89"/>
      <c r="N285" s="89"/>
      <c r="O285" s="89"/>
      <c r="P285" s="90"/>
      <c r="Q285" s="90"/>
      <c r="R285" s="54"/>
      <c r="S285" s="91"/>
      <c r="T285" s="91"/>
      <c r="U285" s="92"/>
      <c r="V285" s="20"/>
      <c r="W285" s="20"/>
      <c r="X285" s="93"/>
      <c r="Y285" s="20"/>
      <c r="Z285" s="20"/>
      <c r="AA285" s="20"/>
      <c r="AB285" s="20"/>
      <c r="AC285" s="20"/>
      <c r="AD285" s="20"/>
    </row>
    <row r="286" spans="2:30" ht="21" x14ac:dyDescent="0.35">
      <c r="B286" s="52" t="s">
        <v>4</v>
      </c>
      <c r="C286" s="20"/>
      <c r="D286" s="20"/>
      <c r="E286" s="20"/>
      <c r="F286" s="20"/>
      <c r="G286" s="88"/>
      <c r="H286" s="88"/>
      <c r="I286" s="54"/>
      <c r="J286" s="54"/>
      <c r="K286" s="89"/>
      <c r="L286" s="89"/>
      <c r="M286" s="89"/>
      <c r="N286" s="89"/>
      <c r="O286" s="89"/>
      <c r="P286" s="90"/>
      <c r="Q286" s="90"/>
      <c r="R286" s="54"/>
      <c r="S286" s="91"/>
      <c r="T286" s="91"/>
      <c r="U286" s="92"/>
      <c r="V286" s="20"/>
      <c r="W286" s="20"/>
      <c r="X286" s="93"/>
      <c r="Y286" s="20"/>
      <c r="Z286" s="20"/>
      <c r="AA286" s="20"/>
      <c r="AB286" s="20"/>
      <c r="AC286" s="20"/>
      <c r="AD286" s="20"/>
    </row>
    <row r="287" spans="2:30" ht="18.75" x14ac:dyDescent="0.25">
      <c r="B287" s="20"/>
      <c r="C287" s="20"/>
      <c r="D287" s="20"/>
      <c r="E287" s="20"/>
      <c r="F287" s="20"/>
      <c r="G287" s="88"/>
      <c r="H287" s="88"/>
      <c r="I287" s="54"/>
      <c r="J287" s="54"/>
      <c r="K287" s="89"/>
      <c r="L287" s="89"/>
      <c r="M287" s="89"/>
      <c r="N287" s="89"/>
      <c r="O287" s="89"/>
      <c r="P287" s="90"/>
      <c r="Q287" s="90"/>
      <c r="R287" s="54"/>
      <c r="S287" s="91"/>
      <c r="T287" s="91"/>
      <c r="U287" s="92"/>
      <c r="V287" s="20"/>
      <c r="W287" s="20"/>
      <c r="X287" s="93"/>
      <c r="Y287" s="20"/>
      <c r="Z287" s="20"/>
      <c r="AA287" s="20"/>
      <c r="AB287" s="20"/>
      <c r="AC287" s="20"/>
      <c r="AD287" s="20"/>
    </row>
    <row r="288" spans="2:30" ht="21" x14ac:dyDescent="0.35">
      <c r="B288" s="52" t="s">
        <v>5</v>
      </c>
      <c r="C288" s="20"/>
      <c r="D288" s="20"/>
      <c r="E288" s="20"/>
      <c r="F288" s="20"/>
      <c r="G288" s="88"/>
      <c r="H288" s="88"/>
      <c r="I288" s="54"/>
      <c r="J288" s="54"/>
      <c r="K288" s="89"/>
      <c r="L288" s="89"/>
      <c r="M288" s="89"/>
      <c r="N288" s="89"/>
      <c r="O288" s="89"/>
      <c r="P288" s="90"/>
      <c r="Q288" s="90"/>
      <c r="R288" s="54"/>
      <c r="S288" s="91"/>
      <c r="T288" s="91"/>
      <c r="U288" s="92"/>
      <c r="V288" s="20"/>
      <c r="W288" s="20"/>
      <c r="X288" s="93"/>
      <c r="Y288" s="20"/>
      <c r="Z288" s="20"/>
      <c r="AA288" s="20"/>
      <c r="AB288" s="20"/>
      <c r="AC288" s="20"/>
      <c r="AD288" s="20"/>
    </row>
    <row r="289" spans="2:30" ht="18.75" x14ac:dyDescent="0.25">
      <c r="B289" s="20"/>
      <c r="C289" s="20"/>
      <c r="D289" s="20"/>
      <c r="E289" s="20"/>
      <c r="F289" s="20"/>
      <c r="G289" s="88"/>
      <c r="H289" s="88"/>
      <c r="I289" s="54"/>
      <c r="J289" s="54"/>
      <c r="K289" s="89"/>
      <c r="L289" s="89"/>
      <c r="M289" s="89"/>
      <c r="N289" s="89"/>
      <c r="O289" s="89"/>
      <c r="P289" s="90"/>
      <c r="Q289" s="90"/>
      <c r="R289" s="54"/>
      <c r="S289" s="91"/>
      <c r="T289" s="91"/>
      <c r="U289" s="92"/>
      <c r="V289" s="20"/>
      <c r="W289" s="20"/>
      <c r="X289" s="93"/>
      <c r="Y289" s="20"/>
      <c r="Z289" s="20"/>
      <c r="AA289" s="20"/>
      <c r="AB289" s="20"/>
      <c r="AC289" s="20"/>
      <c r="AD289" s="20"/>
    </row>
    <row r="290" spans="2:30" ht="18.75" x14ac:dyDescent="0.25">
      <c r="B290" s="20"/>
      <c r="C290" s="20"/>
      <c r="D290" s="20"/>
      <c r="E290" s="20"/>
      <c r="F290" s="20"/>
      <c r="G290" s="88"/>
      <c r="H290" s="88"/>
      <c r="I290" s="54"/>
      <c r="J290" s="54"/>
      <c r="K290" s="89"/>
      <c r="L290" s="89"/>
      <c r="M290" s="89"/>
      <c r="N290" s="89"/>
      <c r="O290" s="89"/>
      <c r="P290" s="90"/>
      <c r="Q290" s="90"/>
      <c r="R290" s="54"/>
      <c r="S290" s="91"/>
      <c r="T290" s="91"/>
      <c r="U290" s="92"/>
      <c r="V290" s="20"/>
      <c r="W290" s="20"/>
      <c r="X290" s="93"/>
      <c r="Y290" s="20"/>
      <c r="Z290" s="20"/>
      <c r="AA290" s="20"/>
      <c r="AB290" s="20"/>
      <c r="AC290" s="20"/>
      <c r="AD290" s="20"/>
    </row>
    <row r="291" spans="2:30" ht="18.75" x14ac:dyDescent="0.25">
      <c r="B291" s="92"/>
      <c r="C291" s="85"/>
      <c r="D291" s="85"/>
      <c r="E291" s="86"/>
      <c r="F291" s="20"/>
      <c r="G291" s="88"/>
      <c r="H291" s="88"/>
      <c r="I291" s="54"/>
      <c r="J291" s="54"/>
      <c r="K291" s="89"/>
      <c r="L291" s="89"/>
      <c r="M291" s="89"/>
      <c r="N291" s="89"/>
      <c r="O291" s="89"/>
      <c r="P291" s="90"/>
      <c r="Q291" s="90"/>
      <c r="R291" s="54"/>
      <c r="S291" s="91"/>
      <c r="T291" s="91"/>
      <c r="U291" s="92"/>
      <c r="V291" s="20"/>
      <c r="W291" s="20"/>
      <c r="X291" s="93"/>
      <c r="Y291" s="20"/>
      <c r="Z291" s="20"/>
      <c r="AA291" s="20"/>
      <c r="AB291" s="20"/>
      <c r="AC291" s="20"/>
      <c r="AD291" s="20"/>
    </row>
    <row r="292" spans="2:30" ht="18.75" x14ac:dyDescent="0.25">
      <c r="B292" s="92"/>
      <c r="C292" s="85"/>
      <c r="D292" s="85"/>
      <c r="E292" s="86"/>
      <c r="F292" s="87"/>
      <c r="G292" s="88"/>
      <c r="H292" s="88"/>
      <c r="I292" s="54"/>
      <c r="J292" s="54"/>
      <c r="K292" s="89"/>
      <c r="L292" s="89"/>
      <c r="M292" s="89"/>
      <c r="N292" s="89"/>
      <c r="O292" s="89"/>
      <c r="P292" s="90"/>
      <c r="Q292" s="90"/>
      <c r="R292" s="54"/>
      <c r="S292" s="91"/>
      <c r="T292" s="91"/>
      <c r="U292" s="92"/>
      <c r="V292" s="20"/>
      <c r="W292" s="20"/>
      <c r="X292" s="93"/>
      <c r="Y292" s="20"/>
      <c r="Z292" s="20"/>
      <c r="AA292" s="20"/>
      <c r="AB292" s="20"/>
      <c r="AC292" s="20"/>
      <c r="AD292" s="20"/>
    </row>
    <row r="293" spans="2:30" ht="18.75" x14ac:dyDescent="0.25">
      <c r="B293" s="92"/>
      <c r="C293" s="85"/>
      <c r="D293" s="85"/>
      <c r="E293" s="86"/>
      <c r="F293" s="87"/>
      <c r="G293" s="88"/>
      <c r="H293" s="88"/>
      <c r="I293" s="54"/>
      <c r="J293" s="54"/>
      <c r="K293" s="89"/>
      <c r="L293" s="89"/>
      <c r="M293" s="89"/>
      <c r="N293" s="89"/>
      <c r="O293" s="89"/>
      <c r="P293" s="90"/>
      <c r="Q293" s="90"/>
      <c r="R293" s="54"/>
      <c r="S293" s="91"/>
      <c r="T293" s="91"/>
      <c r="U293" s="92"/>
      <c r="V293" s="20"/>
      <c r="W293" s="20"/>
      <c r="X293" s="93"/>
      <c r="Y293" s="20"/>
      <c r="Z293" s="20"/>
      <c r="AA293" s="20"/>
      <c r="AB293" s="20"/>
      <c r="AC293" s="20"/>
      <c r="AD293" s="20"/>
    </row>
    <row r="294" spans="2:30" ht="18.75" x14ac:dyDescent="0.25">
      <c r="B294" s="84"/>
      <c r="C294" s="95"/>
      <c r="D294" s="95"/>
      <c r="E294" s="86"/>
      <c r="F294" s="96"/>
      <c r="G294" s="88"/>
      <c r="H294" s="88"/>
      <c r="I294" s="88"/>
      <c r="J294" s="88"/>
      <c r="K294" s="97"/>
      <c r="L294" s="97"/>
      <c r="M294" s="97"/>
      <c r="N294" s="97"/>
      <c r="O294" s="97"/>
      <c r="P294" s="98"/>
      <c r="Q294" s="98"/>
      <c r="R294" s="88"/>
      <c r="S294" s="99"/>
      <c r="T294" s="99"/>
      <c r="U294" s="84"/>
      <c r="V294" s="21"/>
      <c r="W294" s="20"/>
      <c r="X294" s="93"/>
      <c r="Y294" s="20"/>
      <c r="Z294" s="20"/>
      <c r="AA294" s="20"/>
      <c r="AB294" s="20"/>
      <c r="AC294" s="20"/>
      <c r="AD294" s="20"/>
    </row>
    <row r="295" spans="2:30" ht="18.75" x14ac:dyDescent="0.25">
      <c r="B295" s="84"/>
      <c r="C295" s="95"/>
      <c r="D295" s="95"/>
      <c r="E295" s="86"/>
      <c r="F295" s="96"/>
      <c r="G295" s="88"/>
      <c r="H295" s="88"/>
      <c r="I295" s="88"/>
      <c r="J295" s="88"/>
      <c r="K295" s="97"/>
      <c r="L295" s="97"/>
      <c r="M295" s="97"/>
      <c r="N295" s="97"/>
      <c r="O295" s="97"/>
      <c r="P295" s="98"/>
      <c r="Q295" s="98"/>
      <c r="R295" s="88"/>
      <c r="S295" s="99"/>
      <c r="T295" s="99"/>
      <c r="U295" s="84"/>
      <c r="V295" s="21"/>
      <c r="W295" s="20"/>
      <c r="X295" s="93"/>
      <c r="Y295" s="20"/>
      <c r="Z295" s="20"/>
      <c r="AA295" s="20"/>
      <c r="AB295" s="20"/>
      <c r="AC295" s="20"/>
      <c r="AD295" s="20"/>
    </row>
    <row r="296" spans="2:30" ht="18.75" x14ac:dyDescent="0.25">
      <c r="B296" s="84"/>
      <c r="C296" s="95"/>
      <c r="D296" s="95"/>
      <c r="E296" s="86"/>
      <c r="F296" s="96"/>
      <c r="G296" s="88"/>
      <c r="H296" s="88"/>
      <c r="I296" s="88"/>
      <c r="J296" s="88"/>
      <c r="K296" s="97"/>
      <c r="L296" s="97"/>
      <c r="M296" s="97"/>
      <c r="N296" s="97"/>
      <c r="O296" s="97"/>
      <c r="P296" s="98"/>
      <c r="Q296" s="98"/>
      <c r="R296" s="88"/>
      <c r="S296" s="99"/>
      <c r="T296" s="99"/>
      <c r="U296" s="84"/>
      <c r="V296" s="21"/>
      <c r="W296" s="20"/>
      <c r="X296" s="93"/>
      <c r="Y296" s="20"/>
      <c r="Z296" s="20"/>
      <c r="AA296" s="20"/>
      <c r="AB296" s="20"/>
      <c r="AC296" s="20"/>
      <c r="AD296" s="20"/>
    </row>
    <row r="297" spans="2:30" ht="18.75" x14ac:dyDescent="0.25">
      <c r="B297" s="84"/>
      <c r="C297" s="95"/>
      <c r="D297" s="95"/>
      <c r="E297" s="86"/>
      <c r="F297" s="20"/>
      <c r="G297" s="88"/>
      <c r="H297" s="88"/>
      <c r="I297" s="88"/>
      <c r="J297" s="88"/>
      <c r="K297" s="97"/>
      <c r="L297" s="97"/>
      <c r="M297" s="97"/>
      <c r="N297" s="97"/>
      <c r="O297" s="97"/>
      <c r="P297" s="98"/>
      <c r="Q297" s="98"/>
      <c r="R297" s="88"/>
      <c r="S297" s="99"/>
      <c r="T297" s="99"/>
      <c r="U297" s="84"/>
      <c r="V297" s="21"/>
      <c r="W297" s="20"/>
      <c r="X297" s="93"/>
      <c r="Y297" s="20"/>
      <c r="Z297" s="20"/>
      <c r="AA297" s="20"/>
      <c r="AB297" s="20"/>
      <c r="AC297" s="20"/>
      <c r="AD297" s="20"/>
    </row>
    <row r="298" spans="2:30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0"/>
      <c r="X298" s="93"/>
      <c r="Y298" s="20"/>
      <c r="Z298" s="20"/>
      <c r="AA298" s="20"/>
      <c r="AB298" s="20"/>
      <c r="AC298" s="20"/>
      <c r="AD298" s="20"/>
    </row>
    <row r="299" spans="2:30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0"/>
      <c r="X299" s="93"/>
      <c r="Y299" s="20"/>
      <c r="Z299" s="20"/>
      <c r="AA299" s="20"/>
      <c r="AB299" s="20"/>
      <c r="AC299" s="20"/>
      <c r="AD299" s="20"/>
    </row>
    <row r="300" spans="2:30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0"/>
      <c r="X300" s="93"/>
      <c r="Y300" s="20"/>
      <c r="Z300" s="20"/>
      <c r="AA300" s="20"/>
      <c r="AB300" s="20"/>
      <c r="AC300" s="20"/>
      <c r="AD300" s="20"/>
    </row>
    <row r="301" spans="2:30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0"/>
      <c r="X301" s="93"/>
      <c r="Y301" s="20"/>
      <c r="Z301" s="20"/>
      <c r="AA301" s="20"/>
      <c r="AB301" s="20"/>
      <c r="AC301" s="20"/>
      <c r="AD301" s="20"/>
    </row>
    <row r="302" spans="2:30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93"/>
      <c r="Y302" s="20"/>
      <c r="Z302" s="20"/>
      <c r="AA302" s="20"/>
      <c r="AB302" s="20"/>
      <c r="AC302" s="20"/>
      <c r="AD302" s="20"/>
    </row>
    <row r="303" spans="2:30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93"/>
      <c r="Y303" s="20"/>
      <c r="Z303" s="20"/>
      <c r="AA303" s="20"/>
      <c r="AB303" s="20"/>
      <c r="AC303" s="20"/>
      <c r="AD303" s="20"/>
    </row>
    <row r="304" spans="2:30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93"/>
      <c r="Y304" s="20"/>
      <c r="Z304" s="20"/>
      <c r="AA304" s="20"/>
      <c r="AB304" s="20"/>
      <c r="AC304" s="20"/>
      <c r="AD304" s="20"/>
    </row>
    <row r="305" spans="2:30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93"/>
      <c r="Y305" s="20"/>
      <c r="Z305" s="20"/>
      <c r="AA305" s="20"/>
      <c r="AB305" s="20"/>
      <c r="AC305" s="20"/>
      <c r="AD305" s="20"/>
    </row>
    <row r="306" spans="2:30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93"/>
      <c r="Y306" s="20"/>
      <c r="Z306" s="20"/>
      <c r="AA306" s="20"/>
      <c r="AB306" s="20"/>
      <c r="AC306" s="20"/>
      <c r="AD306" s="20"/>
    </row>
    <row r="307" spans="2:30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93"/>
      <c r="Y307" s="20"/>
      <c r="Z307" s="20"/>
      <c r="AA307" s="20"/>
      <c r="AB307" s="20"/>
      <c r="AC307" s="20"/>
      <c r="AD307" s="20"/>
    </row>
    <row r="308" spans="2:30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93"/>
      <c r="Y308" s="20"/>
      <c r="Z308" s="20"/>
      <c r="AA308" s="20"/>
      <c r="AB308" s="20"/>
      <c r="AC308" s="20"/>
      <c r="AD308" s="20"/>
    </row>
    <row r="309" spans="2:30" x14ac:dyDescent="0.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93"/>
      <c r="Y309" s="20"/>
      <c r="Z309" s="20"/>
      <c r="AA309" s="20"/>
      <c r="AB309" s="20"/>
      <c r="AC309" s="20"/>
      <c r="AD309" s="20"/>
    </row>
    <row r="310" spans="2:30" x14ac:dyDescent="0.2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93"/>
      <c r="Y310" s="20"/>
      <c r="Z310" s="20"/>
      <c r="AA310" s="20"/>
      <c r="AB310" s="20"/>
      <c r="AC310" s="20"/>
      <c r="AD310" s="20"/>
    </row>
    <row r="311" spans="2:30" x14ac:dyDescent="0.2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93"/>
      <c r="Y311" s="20"/>
      <c r="Z311" s="20"/>
      <c r="AA311" s="20"/>
      <c r="AB311" s="20"/>
      <c r="AC311" s="20"/>
      <c r="AD311" s="20"/>
    </row>
    <row r="312" spans="2:30" x14ac:dyDescent="0.2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93"/>
      <c r="Y312" s="20"/>
      <c r="Z312" s="20"/>
      <c r="AA312" s="20"/>
      <c r="AB312" s="20"/>
      <c r="AC312" s="20"/>
      <c r="AD312" s="20"/>
    </row>
    <row r="313" spans="2:30" x14ac:dyDescent="0.2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93"/>
      <c r="Y313" s="20"/>
      <c r="Z313" s="20"/>
      <c r="AA313" s="20"/>
      <c r="AB313" s="20"/>
      <c r="AC313" s="20"/>
      <c r="AD313" s="20"/>
    </row>
    <row r="314" spans="2:30" x14ac:dyDescent="0.2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93"/>
      <c r="Y314" s="20"/>
      <c r="Z314" s="20"/>
      <c r="AA314" s="20"/>
      <c r="AB314" s="20"/>
      <c r="AC314" s="20"/>
      <c r="AD314" s="20"/>
    </row>
    <row r="315" spans="2:30" x14ac:dyDescent="0.2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93"/>
      <c r="Y315" s="20"/>
      <c r="Z315" s="20"/>
      <c r="AA315" s="20"/>
      <c r="AB315" s="20"/>
      <c r="AC315" s="20"/>
      <c r="AD315" s="20"/>
    </row>
    <row r="316" spans="2:30" x14ac:dyDescent="0.2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93"/>
      <c r="Y316" s="20"/>
      <c r="Z316" s="20"/>
      <c r="AA316" s="20"/>
      <c r="AB316" s="20"/>
      <c r="AC316" s="20"/>
      <c r="AD316" s="20"/>
    </row>
    <row r="317" spans="2:30" x14ac:dyDescent="0.2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93"/>
      <c r="Y317" s="20"/>
      <c r="Z317" s="20"/>
      <c r="AA317" s="20"/>
      <c r="AB317" s="20"/>
      <c r="AC317" s="20"/>
      <c r="AD317" s="20"/>
    </row>
    <row r="318" spans="2:30" x14ac:dyDescent="0.2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93"/>
      <c r="Y318" s="20"/>
      <c r="Z318" s="20"/>
      <c r="AA318" s="20"/>
      <c r="AB318" s="20"/>
      <c r="AC318" s="20"/>
      <c r="AD318" s="20"/>
    </row>
    <row r="319" spans="2:30" x14ac:dyDescent="0.2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93"/>
      <c r="Y319" s="20"/>
      <c r="Z319" s="20"/>
      <c r="AA319" s="20"/>
      <c r="AB319" s="20"/>
      <c r="AC319" s="20"/>
      <c r="AD319" s="20"/>
    </row>
    <row r="320" spans="2:30" x14ac:dyDescent="0.2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93"/>
      <c r="Y320" s="20"/>
      <c r="Z320" s="20"/>
      <c r="AA320" s="20"/>
      <c r="AB320" s="20"/>
      <c r="AC320" s="20"/>
      <c r="AD320" s="20"/>
    </row>
    <row r="321" spans="2:30" x14ac:dyDescent="0.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93"/>
      <c r="Y321" s="20"/>
      <c r="Z321" s="20"/>
      <c r="AA321" s="20"/>
      <c r="AB321" s="20"/>
      <c r="AC321" s="20"/>
      <c r="AD321" s="20"/>
    </row>
    <row r="322" spans="2:30" x14ac:dyDescent="0.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93"/>
      <c r="Y322" s="20"/>
      <c r="Z322" s="20"/>
      <c r="AA322" s="20"/>
      <c r="AB322" s="20"/>
      <c r="AC322" s="20"/>
      <c r="AD322" s="20"/>
    </row>
    <row r="323" spans="2:30" x14ac:dyDescent="0.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93"/>
      <c r="Y323" s="20"/>
      <c r="Z323" s="20"/>
      <c r="AA323" s="20"/>
      <c r="AB323" s="20"/>
      <c r="AC323" s="20"/>
      <c r="AD323" s="20"/>
    </row>
    <row r="324" spans="2:30" ht="18.75" x14ac:dyDescent="0.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100"/>
      <c r="X324" s="93"/>
      <c r="Y324" s="20"/>
      <c r="Z324" s="20"/>
      <c r="AA324" s="20"/>
      <c r="AB324" s="20"/>
      <c r="AC324" s="20"/>
      <c r="AD324" s="20"/>
    </row>
    <row r="325" spans="2:30" ht="18.75" x14ac:dyDescent="0.2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100"/>
      <c r="X325" s="93"/>
      <c r="Y325" s="20"/>
      <c r="Z325" s="20"/>
      <c r="AA325" s="20"/>
      <c r="AB325" s="20"/>
      <c r="AC325" s="20"/>
      <c r="AD325" s="20"/>
    </row>
    <row r="326" spans="2:30" ht="18.75" x14ac:dyDescent="0.2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100"/>
      <c r="X326" s="93"/>
      <c r="Y326" s="20"/>
      <c r="Z326" s="20"/>
      <c r="AA326" s="20"/>
      <c r="AB326" s="20"/>
      <c r="AC326" s="20"/>
      <c r="AD326" s="20"/>
    </row>
    <row r="327" spans="2:30" ht="18.75" x14ac:dyDescent="0.2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100"/>
      <c r="X327" s="93"/>
      <c r="Y327" s="20"/>
      <c r="Z327" s="20"/>
      <c r="AA327" s="20"/>
      <c r="AB327" s="20"/>
      <c r="AC327" s="20"/>
      <c r="AD327" s="20"/>
    </row>
    <row r="328" spans="2:30" ht="18.75" x14ac:dyDescent="0.2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100"/>
      <c r="X328" s="93"/>
      <c r="Y328" s="20"/>
      <c r="Z328" s="20"/>
      <c r="AA328" s="20"/>
      <c r="AB328" s="20"/>
      <c r="AC328" s="20"/>
      <c r="AD328" s="20"/>
    </row>
    <row r="329" spans="2:30" ht="18.75" x14ac:dyDescent="0.2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100"/>
      <c r="X329" s="93"/>
      <c r="Y329" s="20"/>
      <c r="Z329" s="20"/>
      <c r="AA329" s="20"/>
      <c r="AB329" s="20"/>
      <c r="AC329" s="20"/>
      <c r="AD329" s="20"/>
    </row>
    <row r="330" spans="2:30" ht="18.75" x14ac:dyDescent="0.2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100"/>
      <c r="X330" s="20"/>
      <c r="Y330" s="20"/>
      <c r="Z330" s="20"/>
      <c r="AA330" s="20"/>
      <c r="AB330" s="20"/>
      <c r="AC330" s="20"/>
      <c r="AD330" s="20"/>
    </row>
    <row r="331" spans="2:30" ht="18.75" x14ac:dyDescent="0.2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100"/>
      <c r="X331" s="93"/>
      <c r="Y331" s="20"/>
      <c r="Z331" s="20"/>
      <c r="AA331" s="20"/>
      <c r="AB331" s="20"/>
      <c r="AC331" s="20"/>
      <c r="AD331" s="20"/>
    </row>
    <row r="332" spans="2:30" x14ac:dyDescent="0.2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101"/>
      <c r="X332" s="93"/>
      <c r="Y332" s="20"/>
      <c r="Z332" s="20"/>
      <c r="AA332" s="20"/>
      <c r="AB332" s="20"/>
      <c r="AC332" s="20"/>
      <c r="AD332" s="20"/>
    </row>
    <row r="333" spans="2:30" x14ac:dyDescent="0.2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101"/>
      <c r="X333" s="93"/>
      <c r="Y333" s="20"/>
      <c r="Z333" s="20"/>
      <c r="AA333" s="20"/>
      <c r="AB333" s="20"/>
      <c r="AC333" s="20"/>
      <c r="AD333" s="20"/>
    </row>
    <row r="334" spans="2:30" x14ac:dyDescent="0.2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101"/>
      <c r="X334" s="93"/>
      <c r="Y334" s="20"/>
      <c r="Z334" s="20"/>
      <c r="AA334" s="20"/>
      <c r="AB334" s="20"/>
      <c r="AC334" s="20"/>
      <c r="AD334" s="20"/>
    </row>
    <row r="335" spans="2:30" x14ac:dyDescent="0.2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93"/>
      <c r="Y335" s="20"/>
      <c r="Z335" s="20"/>
      <c r="AA335" s="20"/>
      <c r="AB335" s="20"/>
      <c r="AC335" s="20"/>
      <c r="AD335" s="20"/>
    </row>
    <row r="336" spans="2:30" x14ac:dyDescent="0.2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101"/>
      <c r="X336" s="93"/>
      <c r="Y336" s="20"/>
      <c r="Z336" s="20"/>
      <c r="AA336" s="20"/>
      <c r="AB336" s="20"/>
      <c r="AC336" s="20"/>
      <c r="AD336" s="20"/>
    </row>
    <row r="337" spans="2:30" x14ac:dyDescent="0.2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101"/>
      <c r="X337" s="93"/>
      <c r="Y337" s="20"/>
      <c r="Z337" s="20"/>
      <c r="AA337" s="20"/>
      <c r="AB337" s="20"/>
      <c r="AC337" s="20"/>
      <c r="AD337" s="20"/>
    </row>
    <row r="338" spans="2:30" x14ac:dyDescent="0.2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101"/>
      <c r="X338" s="93"/>
      <c r="Y338" s="20"/>
      <c r="Z338" s="20"/>
      <c r="AA338" s="20"/>
      <c r="AB338" s="20"/>
      <c r="AC338" s="20"/>
      <c r="AD338" s="20"/>
    </row>
    <row r="339" spans="2:30" ht="21" x14ac:dyDescent="0.2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102"/>
      <c r="X339" s="93"/>
      <c r="Y339" s="20"/>
      <c r="Z339" s="20"/>
      <c r="AA339" s="20"/>
      <c r="AB339" s="20"/>
      <c r="AC339" s="20"/>
      <c r="AD339" s="20"/>
    </row>
    <row r="340" spans="2:30" ht="18.75" x14ac:dyDescent="0.2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103"/>
      <c r="X340" s="93"/>
      <c r="Y340" s="20"/>
      <c r="Z340" s="20"/>
      <c r="AA340" s="20"/>
      <c r="AB340" s="20"/>
      <c r="AC340" s="20"/>
      <c r="AD340" s="20"/>
    </row>
    <row r="341" spans="2:30" ht="18.75" x14ac:dyDescent="0.2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103"/>
      <c r="X341" s="93"/>
      <c r="Y341" s="20"/>
      <c r="Z341" s="20"/>
      <c r="AA341" s="20"/>
      <c r="AB341" s="20"/>
      <c r="AC341" s="20"/>
      <c r="AD341" s="20"/>
    </row>
    <row r="342" spans="2:30" ht="18.75" x14ac:dyDescent="0.2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103"/>
      <c r="X342" s="93"/>
      <c r="Y342" s="20"/>
      <c r="Z342" s="20"/>
      <c r="AA342" s="20"/>
      <c r="AB342" s="20"/>
      <c r="AC342" s="20"/>
      <c r="AD342" s="20"/>
    </row>
    <row r="343" spans="2:30" ht="18.75" x14ac:dyDescent="0.2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103"/>
      <c r="X343" s="93"/>
      <c r="Y343" s="20"/>
      <c r="Z343" s="20"/>
      <c r="AA343" s="20"/>
      <c r="AB343" s="20"/>
      <c r="AC343" s="20"/>
      <c r="AD343" s="20"/>
    </row>
    <row r="344" spans="2:30" ht="18.75" x14ac:dyDescent="0.2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103"/>
      <c r="X344" s="93"/>
      <c r="Y344" s="20"/>
      <c r="Z344" s="20"/>
      <c r="AA344" s="20"/>
      <c r="AB344" s="20"/>
      <c r="AC344" s="20"/>
      <c r="AD344" s="20"/>
    </row>
    <row r="345" spans="2:30" ht="18.75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103"/>
      <c r="X345" s="93"/>
      <c r="Y345" s="20"/>
      <c r="Z345" s="20"/>
      <c r="AA345" s="20"/>
      <c r="AB345" s="20"/>
      <c r="AC345" s="20"/>
      <c r="AD345" s="20"/>
    </row>
    <row r="346" spans="2:30" ht="18.75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103"/>
      <c r="X346" s="93"/>
      <c r="Y346" s="20"/>
      <c r="Z346" s="20"/>
      <c r="AA346" s="20"/>
      <c r="AB346" s="20"/>
      <c r="AC346" s="20"/>
      <c r="AD346" s="20"/>
    </row>
    <row r="347" spans="2:30" ht="18.75" x14ac:dyDescent="0.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103"/>
      <c r="X347" s="93"/>
      <c r="Y347" s="20"/>
      <c r="Z347" s="20"/>
      <c r="AA347" s="20"/>
      <c r="AB347" s="20"/>
      <c r="AC347" s="20"/>
      <c r="AD347" s="20"/>
    </row>
    <row r="348" spans="2:30" ht="18.75" x14ac:dyDescent="0.2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103"/>
      <c r="X348" s="93"/>
      <c r="Y348" s="20"/>
      <c r="Z348" s="20"/>
      <c r="AA348" s="20"/>
      <c r="AB348" s="20"/>
      <c r="AC348" s="20"/>
      <c r="AD348" s="20"/>
    </row>
    <row r="349" spans="2:30" ht="21" x14ac:dyDescent="0.2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103"/>
      <c r="X349" s="38"/>
      <c r="Y349" s="20"/>
      <c r="Z349" s="20"/>
      <c r="AA349" s="20"/>
      <c r="AB349" s="20"/>
      <c r="AC349" s="20"/>
      <c r="AD349" s="20"/>
    </row>
    <row r="350" spans="2:30" ht="18.75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103"/>
      <c r="X350" s="93"/>
      <c r="Y350" s="20"/>
      <c r="Z350" s="20"/>
      <c r="AA350" s="20"/>
      <c r="AB350" s="20"/>
      <c r="AC350" s="20"/>
      <c r="AD350" s="20"/>
    </row>
    <row r="351" spans="2:30" ht="18.75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103"/>
      <c r="X351" s="93"/>
      <c r="Y351" s="20"/>
      <c r="Z351" s="20"/>
      <c r="AA351" s="20"/>
      <c r="AB351" s="20"/>
      <c r="AC351" s="20"/>
      <c r="AD351" s="20"/>
    </row>
    <row r="352" spans="2:30" ht="18.75" x14ac:dyDescent="0.2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100"/>
      <c r="X352" s="93"/>
      <c r="Y352" s="20"/>
      <c r="Z352" s="20"/>
      <c r="AA352" s="20"/>
      <c r="AB352" s="20"/>
      <c r="AC352" s="20"/>
      <c r="AD352" s="20"/>
    </row>
    <row r="353" spans="2:30" ht="18.75" x14ac:dyDescent="0.2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100"/>
      <c r="X353" s="93"/>
      <c r="Y353" s="20"/>
      <c r="Z353" s="20"/>
      <c r="AA353" s="20"/>
      <c r="AB353" s="20"/>
      <c r="AC353" s="20"/>
      <c r="AD353" s="20"/>
    </row>
    <row r="354" spans="2:30" ht="21" x14ac:dyDescent="0.2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38"/>
      <c r="X354" s="93"/>
      <c r="Y354" s="20"/>
      <c r="Z354" s="20"/>
      <c r="AA354" s="20"/>
      <c r="AB354" s="20"/>
      <c r="AC354" s="20"/>
      <c r="AD354" s="20"/>
    </row>
    <row r="355" spans="2:30" ht="18.75" x14ac:dyDescent="0.2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100"/>
      <c r="X355" s="93"/>
      <c r="Y355" s="20"/>
      <c r="Z355" s="20"/>
      <c r="AA355" s="20"/>
      <c r="AB355" s="20"/>
      <c r="AC355" s="20"/>
      <c r="AD355" s="20"/>
    </row>
    <row r="356" spans="2:30" ht="18.75" x14ac:dyDescent="0.2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100"/>
      <c r="X356" s="93"/>
      <c r="Y356" s="20"/>
      <c r="Z356" s="20"/>
      <c r="AA356" s="20"/>
      <c r="AB356" s="20"/>
      <c r="AC356" s="20"/>
      <c r="AD356" s="20"/>
    </row>
    <row r="357" spans="2:30" ht="18.75" x14ac:dyDescent="0.25">
      <c r="B357" s="20"/>
      <c r="C357" s="20"/>
      <c r="D357" s="20"/>
      <c r="E357" s="20"/>
      <c r="F357" s="20"/>
      <c r="G357" s="20"/>
      <c r="H357" s="20"/>
      <c r="I357" s="20"/>
      <c r="J357" s="20"/>
      <c r="K357" s="89"/>
      <c r="L357" s="89"/>
      <c r="M357" s="89"/>
      <c r="N357" s="87"/>
      <c r="O357" s="89"/>
      <c r="P357" s="89"/>
      <c r="Q357" s="54"/>
      <c r="R357" s="54"/>
      <c r="S357" s="54"/>
      <c r="T357" s="20"/>
      <c r="U357" s="20"/>
      <c r="V357" s="20"/>
      <c r="W357" s="100"/>
      <c r="X357" s="93"/>
      <c r="Y357" s="20"/>
      <c r="Z357" s="20"/>
      <c r="AA357" s="20"/>
      <c r="AB357" s="20"/>
      <c r="AC357" s="20"/>
      <c r="AD357" s="20"/>
    </row>
    <row r="358" spans="2:30" ht="18.75" x14ac:dyDescent="0.2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100"/>
      <c r="X358" s="93"/>
      <c r="Y358" s="20"/>
      <c r="Z358" s="20"/>
      <c r="AA358" s="20"/>
      <c r="AB358" s="20"/>
      <c r="AC358" s="20"/>
      <c r="AD358" s="20"/>
    </row>
    <row r="359" spans="2:30" ht="18.75" x14ac:dyDescent="0.2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100"/>
      <c r="X359" s="93"/>
      <c r="Y359" s="20"/>
      <c r="Z359" s="20"/>
      <c r="AA359" s="20"/>
      <c r="AB359" s="20"/>
      <c r="AC359" s="20"/>
      <c r="AD359" s="20"/>
    </row>
    <row r="360" spans="2:30" ht="18.75" x14ac:dyDescent="0.2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100"/>
      <c r="X360" s="93"/>
      <c r="Y360" s="20"/>
      <c r="Z360" s="20"/>
      <c r="AA360" s="20"/>
      <c r="AB360" s="20"/>
      <c r="AC360" s="20"/>
      <c r="AD360" s="20"/>
    </row>
    <row r="361" spans="2:30" ht="18.75" x14ac:dyDescent="0.2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100"/>
      <c r="X361" s="93"/>
      <c r="Y361" s="20"/>
      <c r="Z361" s="20"/>
      <c r="AA361" s="20"/>
      <c r="AB361" s="20"/>
      <c r="AC361" s="20"/>
      <c r="AD361" s="20"/>
    </row>
    <row r="362" spans="2:30" ht="18.75" x14ac:dyDescent="0.2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100"/>
      <c r="X362" s="93"/>
      <c r="Y362" s="20"/>
      <c r="Z362" s="20"/>
      <c r="AA362" s="20"/>
      <c r="AB362" s="20"/>
      <c r="AC362" s="20"/>
      <c r="AD362" s="20"/>
    </row>
    <row r="363" spans="2:30" ht="18.75" x14ac:dyDescent="0.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100"/>
      <c r="X363" s="93"/>
      <c r="Y363" s="20"/>
      <c r="Z363" s="20"/>
      <c r="AA363" s="20"/>
      <c r="AB363" s="20"/>
      <c r="AC363" s="20"/>
      <c r="AD363" s="20"/>
    </row>
    <row r="364" spans="2:30" ht="18.75" x14ac:dyDescent="0.25">
      <c r="B364" s="92"/>
      <c r="C364" s="85"/>
      <c r="D364" s="85"/>
      <c r="E364" s="87"/>
      <c r="F364" s="20"/>
      <c r="G364" s="20"/>
      <c r="H364" s="20"/>
      <c r="I364" s="20"/>
      <c r="J364" s="20"/>
      <c r="K364" s="89"/>
      <c r="L364" s="89"/>
      <c r="M364" s="89"/>
      <c r="N364" s="87"/>
      <c r="O364" s="89"/>
      <c r="P364" s="89"/>
      <c r="Q364" s="54"/>
      <c r="R364" s="54"/>
      <c r="S364" s="54"/>
      <c r="T364" s="20"/>
      <c r="U364" s="20"/>
      <c r="V364" s="20"/>
      <c r="W364" s="100"/>
      <c r="X364" s="93"/>
      <c r="Y364" s="20"/>
      <c r="Z364" s="20"/>
      <c r="AA364" s="20"/>
      <c r="AB364" s="20"/>
      <c r="AC364" s="20"/>
      <c r="AD364" s="20"/>
    </row>
    <row r="365" spans="2:30" ht="18.75" x14ac:dyDescent="0.25">
      <c r="B365" s="92"/>
      <c r="C365" s="85"/>
      <c r="D365" s="85"/>
      <c r="E365" s="87"/>
      <c r="F365" s="20"/>
      <c r="G365" s="20"/>
      <c r="H365" s="20"/>
      <c r="I365" s="20"/>
      <c r="J365" s="20"/>
      <c r="K365" s="89"/>
      <c r="L365" s="89"/>
      <c r="M365" s="89"/>
      <c r="N365" s="87"/>
      <c r="O365" s="89"/>
      <c r="P365" s="89"/>
      <c r="Q365" s="54"/>
      <c r="R365" s="54"/>
      <c r="S365" s="54"/>
      <c r="T365" s="20"/>
      <c r="U365" s="20"/>
      <c r="V365" s="20"/>
      <c r="W365" s="100"/>
      <c r="X365" s="93"/>
      <c r="Y365" s="20"/>
      <c r="Z365" s="20"/>
      <c r="AA365" s="20"/>
      <c r="AB365" s="20"/>
      <c r="AC365" s="20"/>
      <c r="AD365" s="20"/>
    </row>
    <row r="366" spans="2:30" ht="18.75" x14ac:dyDescent="0.25">
      <c r="B366" s="92"/>
      <c r="C366" s="85"/>
      <c r="D366" s="85"/>
      <c r="E366" s="87"/>
      <c r="F366" s="20"/>
      <c r="G366" s="20"/>
      <c r="H366" s="20"/>
      <c r="I366" s="20"/>
      <c r="J366" s="20"/>
      <c r="K366" s="89"/>
      <c r="L366" s="89"/>
      <c r="M366" s="89"/>
      <c r="N366" s="87"/>
      <c r="O366" s="89"/>
      <c r="P366" s="89"/>
      <c r="Q366" s="54"/>
      <c r="R366" s="54"/>
      <c r="S366" s="54"/>
      <c r="T366" s="20"/>
      <c r="U366" s="20"/>
      <c r="V366" s="20"/>
      <c r="W366" s="100"/>
      <c r="X366" s="93"/>
      <c r="Y366" s="20"/>
      <c r="Z366" s="20"/>
      <c r="AA366" s="20"/>
      <c r="AB366" s="20"/>
      <c r="AC366" s="20"/>
      <c r="AD366" s="20"/>
    </row>
    <row r="367" spans="2:30" ht="18.75" x14ac:dyDescent="0.25">
      <c r="B367" s="92"/>
      <c r="C367" s="85"/>
      <c r="D367" s="85"/>
      <c r="E367" s="87"/>
      <c r="F367" s="20"/>
      <c r="G367" s="20"/>
      <c r="H367" s="20"/>
      <c r="I367" s="20"/>
      <c r="J367" s="20"/>
      <c r="K367" s="89"/>
      <c r="L367" s="89"/>
      <c r="M367" s="89"/>
      <c r="N367" s="87"/>
      <c r="O367" s="89"/>
      <c r="P367" s="89"/>
      <c r="Q367" s="54"/>
      <c r="R367" s="54"/>
      <c r="S367" s="54"/>
      <c r="T367" s="20"/>
      <c r="U367" s="20"/>
      <c r="V367" s="20"/>
      <c r="W367" s="100"/>
      <c r="X367" s="93"/>
      <c r="Y367" s="20"/>
      <c r="Z367" s="20"/>
      <c r="AA367" s="20"/>
      <c r="AB367" s="20"/>
      <c r="AC367" s="20"/>
      <c r="AD367" s="20"/>
    </row>
    <row r="368" spans="2:30" ht="18.75" x14ac:dyDescent="0.25">
      <c r="B368" s="92"/>
      <c r="C368" s="85"/>
      <c r="D368" s="85"/>
      <c r="E368" s="87"/>
      <c r="F368" s="20"/>
      <c r="G368" s="20"/>
      <c r="H368" s="20"/>
      <c r="I368" s="20"/>
      <c r="J368" s="20"/>
      <c r="K368" s="89"/>
      <c r="L368" s="89"/>
      <c r="M368" s="89"/>
      <c r="N368" s="87"/>
      <c r="O368" s="89"/>
      <c r="P368" s="89"/>
      <c r="Q368" s="54"/>
      <c r="R368" s="54"/>
      <c r="S368" s="54"/>
      <c r="T368" s="20"/>
      <c r="U368" s="20"/>
      <c r="V368" s="20"/>
      <c r="W368" s="100"/>
      <c r="X368" s="93"/>
      <c r="Y368" s="20"/>
      <c r="Z368" s="20"/>
      <c r="AA368" s="20"/>
      <c r="AB368" s="20"/>
      <c r="AC368" s="20"/>
      <c r="AD368" s="20"/>
    </row>
    <row r="369" spans="2:30" ht="18.75" x14ac:dyDescent="0.25">
      <c r="B369" s="92"/>
      <c r="C369" s="85"/>
      <c r="D369" s="85"/>
      <c r="E369" s="87"/>
      <c r="F369" s="20"/>
      <c r="G369" s="20"/>
      <c r="H369" s="20"/>
      <c r="I369" s="20"/>
      <c r="J369" s="20"/>
      <c r="K369" s="89"/>
      <c r="L369" s="89"/>
      <c r="M369" s="89"/>
      <c r="N369" s="87"/>
      <c r="O369" s="89"/>
      <c r="P369" s="89"/>
      <c r="Q369" s="54"/>
      <c r="R369" s="54"/>
      <c r="S369" s="54"/>
      <c r="T369" s="20"/>
      <c r="U369" s="20"/>
      <c r="V369" s="20"/>
      <c r="W369" s="100"/>
      <c r="X369" s="93"/>
      <c r="Y369" s="20"/>
      <c r="Z369" s="20"/>
      <c r="AA369" s="20"/>
      <c r="AB369" s="20"/>
      <c r="AC369" s="20"/>
      <c r="AD369" s="20"/>
    </row>
    <row r="370" spans="2:30" ht="18.75" x14ac:dyDescent="0.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04"/>
      <c r="U370" s="91"/>
      <c r="V370" s="91"/>
      <c r="W370" s="100"/>
      <c r="X370" s="93"/>
      <c r="Y370" s="20"/>
      <c r="Z370" s="20"/>
      <c r="AA370" s="20"/>
      <c r="AB370" s="20"/>
      <c r="AC370" s="20"/>
      <c r="AD370" s="20"/>
    </row>
    <row r="371" spans="2:30" ht="18.75" x14ac:dyDescent="0.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04"/>
      <c r="U371" s="91"/>
      <c r="V371" s="91"/>
      <c r="W371" s="100"/>
      <c r="X371" s="93"/>
      <c r="Y371" s="20"/>
      <c r="Z371" s="20"/>
      <c r="AA371" s="20"/>
      <c r="AB371" s="20"/>
      <c r="AC371" s="20"/>
      <c r="AD371" s="20"/>
    </row>
    <row r="372" spans="2:30" ht="18.75" x14ac:dyDescent="0.25">
      <c r="B372" s="92"/>
      <c r="C372" s="85"/>
      <c r="D372" s="85"/>
      <c r="E372" s="87"/>
      <c r="F372" s="20"/>
      <c r="G372" s="20"/>
      <c r="H372" s="20"/>
      <c r="I372" s="20"/>
      <c r="J372" s="20"/>
      <c r="K372" s="89"/>
      <c r="L372" s="89"/>
      <c r="M372" s="89"/>
      <c r="N372" s="87"/>
      <c r="O372" s="89"/>
      <c r="P372" s="89"/>
      <c r="Q372" s="54"/>
      <c r="R372" s="54"/>
      <c r="S372" s="54"/>
      <c r="T372" s="104"/>
      <c r="U372" s="91"/>
      <c r="V372" s="91"/>
      <c r="W372" s="100"/>
      <c r="X372" s="93"/>
      <c r="Y372" s="20"/>
      <c r="Z372" s="20"/>
      <c r="AA372" s="20"/>
      <c r="AB372" s="20"/>
      <c r="AC372" s="20"/>
      <c r="AD372" s="20"/>
    </row>
    <row r="373" spans="2:30" ht="18.75" x14ac:dyDescent="0.25">
      <c r="B373" s="92"/>
      <c r="C373" s="85"/>
      <c r="D373" s="85"/>
      <c r="E373" s="87"/>
      <c r="F373" s="20"/>
      <c r="G373" s="20"/>
      <c r="H373" s="20"/>
      <c r="I373" s="20"/>
      <c r="J373" s="20"/>
      <c r="K373" s="89"/>
      <c r="L373" s="89"/>
      <c r="M373" s="89"/>
      <c r="N373" s="87"/>
      <c r="O373" s="89"/>
      <c r="P373" s="89"/>
      <c r="Q373" s="54"/>
      <c r="R373" s="54"/>
      <c r="S373" s="54"/>
      <c r="T373" s="104"/>
      <c r="U373" s="91"/>
      <c r="V373" s="91"/>
      <c r="W373" s="100"/>
      <c r="X373" s="93"/>
      <c r="Y373" s="20"/>
      <c r="Z373" s="20"/>
      <c r="AA373" s="20"/>
      <c r="AB373" s="20"/>
      <c r="AC373" s="20"/>
      <c r="AD373" s="20"/>
    </row>
    <row r="374" spans="2:30" ht="18.75" x14ac:dyDescent="0.25">
      <c r="B374" s="92"/>
      <c r="C374" s="85"/>
      <c r="D374" s="85"/>
      <c r="E374" s="87"/>
      <c r="F374" s="20"/>
      <c r="G374" s="20"/>
      <c r="H374" s="20"/>
      <c r="I374" s="20"/>
      <c r="J374" s="20"/>
      <c r="K374" s="89"/>
      <c r="L374" s="89"/>
      <c r="M374" s="89"/>
      <c r="N374" s="87"/>
      <c r="O374" s="89"/>
      <c r="P374" s="89"/>
      <c r="Q374" s="54"/>
      <c r="R374" s="54"/>
      <c r="S374" s="54"/>
      <c r="T374" s="104"/>
      <c r="U374" s="91"/>
      <c r="V374" s="91"/>
      <c r="W374" s="100"/>
      <c r="X374" s="93"/>
      <c r="Y374" s="20"/>
      <c r="Z374" s="20"/>
      <c r="AA374" s="20"/>
      <c r="AB374" s="20"/>
      <c r="AC374" s="20"/>
      <c r="AD374" s="20"/>
    </row>
    <row r="375" spans="2:30" ht="18.75" x14ac:dyDescent="0.25">
      <c r="B375" s="92"/>
      <c r="C375" s="85"/>
      <c r="D375" s="85"/>
      <c r="E375" s="87"/>
      <c r="F375" s="20"/>
      <c r="G375" s="20"/>
      <c r="H375" s="20"/>
      <c r="I375" s="20"/>
      <c r="J375" s="20"/>
      <c r="K375" s="89"/>
      <c r="L375" s="89"/>
      <c r="M375" s="89"/>
      <c r="N375" s="87"/>
      <c r="O375" s="89"/>
      <c r="P375" s="89"/>
      <c r="Q375" s="54"/>
      <c r="R375" s="54"/>
      <c r="S375" s="54"/>
      <c r="T375" s="104"/>
      <c r="U375" s="91"/>
      <c r="V375" s="91"/>
      <c r="W375" s="100"/>
      <c r="X375" s="93"/>
      <c r="Y375" s="20"/>
      <c r="Z375" s="20"/>
      <c r="AA375" s="20"/>
      <c r="AB375" s="20"/>
      <c r="AC375" s="20"/>
      <c r="AD375" s="20"/>
    </row>
    <row r="376" spans="2:30" ht="18.75" x14ac:dyDescent="0.25">
      <c r="B376" s="92"/>
      <c r="C376" s="85"/>
      <c r="D376" s="85"/>
      <c r="E376" s="87"/>
      <c r="F376" s="20"/>
      <c r="G376" s="20"/>
      <c r="H376" s="20"/>
      <c r="I376" s="20"/>
      <c r="J376" s="20"/>
      <c r="K376" s="89"/>
      <c r="L376" s="89"/>
      <c r="M376" s="89"/>
      <c r="N376" s="87"/>
      <c r="O376" s="89"/>
      <c r="P376" s="89"/>
      <c r="Q376" s="54"/>
      <c r="R376" s="54"/>
      <c r="S376" s="54"/>
      <c r="T376" s="104"/>
      <c r="U376" s="91"/>
      <c r="V376" s="91"/>
      <c r="W376" s="100"/>
      <c r="X376" s="93"/>
      <c r="Y376" s="20"/>
      <c r="Z376" s="20"/>
      <c r="AA376" s="20"/>
      <c r="AB376" s="20"/>
      <c r="AC376" s="20"/>
      <c r="AD376" s="20"/>
    </row>
    <row r="377" spans="2:30" ht="18.75" x14ac:dyDescent="0.25">
      <c r="B377" s="92"/>
      <c r="C377" s="85"/>
      <c r="D377" s="85"/>
      <c r="E377" s="87"/>
      <c r="F377" s="20"/>
      <c r="G377" s="20"/>
      <c r="H377" s="20"/>
      <c r="I377" s="20"/>
      <c r="J377" s="20"/>
      <c r="K377" s="89"/>
      <c r="L377" s="89"/>
      <c r="M377" s="89"/>
      <c r="N377" s="87"/>
      <c r="O377" s="89"/>
      <c r="P377" s="89"/>
      <c r="Q377" s="54"/>
      <c r="R377" s="54"/>
      <c r="S377" s="54"/>
      <c r="T377" s="20"/>
      <c r="U377" s="20"/>
      <c r="V377" s="20"/>
      <c r="W377" s="100"/>
      <c r="X377" s="93"/>
      <c r="Y377" s="20"/>
      <c r="Z377" s="20"/>
      <c r="AA377" s="20"/>
      <c r="AB377" s="20"/>
      <c r="AC377" s="20"/>
      <c r="AD377" s="20"/>
    </row>
    <row r="378" spans="2:30" ht="18.75" x14ac:dyDescent="0.25">
      <c r="B378" s="92"/>
      <c r="C378" s="85"/>
      <c r="D378" s="85"/>
      <c r="E378" s="87"/>
      <c r="F378" s="20"/>
      <c r="G378" s="20"/>
      <c r="H378" s="20"/>
      <c r="I378" s="20"/>
      <c r="J378" s="20"/>
      <c r="K378" s="89"/>
      <c r="L378" s="89"/>
      <c r="M378" s="89"/>
      <c r="N378" s="92"/>
      <c r="O378" s="89"/>
      <c r="P378" s="89"/>
      <c r="Q378" s="92"/>
      <c r="R378" s="54"/>
      <c r="S378" s="54"/>
      <c r="T378" s="20"/>
      <c r="U378" s="20"/>
      <c r="V378" s="20"/>
      <c r="W378" s="100"/>
      <c r="X378" s="93"/>
      <c r="Y378" s="20"/>
      <c r="Z378" s="20"/>
      <c r="AA378" s="20"/>
      <c r="AB378" s="20"/>
      <c r="AC378" s="20"/>
      <c r="AD378" s="20"/>
    </row>
    <row r="379" spans="2:30" ht="18.75" x14ac:dyDescent="0.25">
      <c r="B379" s="92"/>
      <c r="C379" s="85"/>
      <c r="D379" s="85"/>
      <c r="E379" s="87"/>
      <c r="F379" s="20"/>
      <c r="G379" s="20"/>
      <c r="H379" s="20"/>
      <c r="I379" s="20"/>
      <c r="J379" s="20"/>
      <c r="K379" s="89"/>
      <c r="L379" s="89"/>
      <c r="M379" s="89"/>
      <c r="N379" s="92"/>
      <c r="O379" s="89"/>
      <c r="P379" s="89"/>
      <c r="Q379" s="92"/>
      <c r="R379" s="54"/>
      <c r="S379" s="54"/>
      <c r="T379" s="104"/>
      <c r="U379" s="91"/>
      <c r="V379" s="91"/>
      <c r="W379" s="100"/>
      <c r="X379" s="93"/>
      <c r="Y379" s="20"/>
      <c r="Z379" s="20"/>
      <c r="AA379" s="20"/>
      <c r="AB379" s="20"/>
      <c r="AC379" s="20"/>
      <c r="AD379" s="20"/>
    </row>
    <row r="380" spans="2:30" ht="18.75" x14ac:dyDescent="0.25">
      <c r="B380" s="92"/>
      <c r="C380" s="85"/>
      <c r="D380" s="85"/>
      <c r="E380" s="87"/>
      <c r="F380" s="20"/>
      <c r="G380" s="20"/>
      <c r="H380" s="20"/>
      <c r="I380" s="20"/>
      <c r="J380" s="20"/>
      <c r="K380" s="89"/>
      <c r="L380" s="89"/>
      <c r="M380" s="89"/>
      <c r="N380" s="92"/>
      <c r="O380" s="89"/>
      <c r="P380" s="89"/>
      <c r="Q380" s="92"/>
      <c r="R380" s="54"/>
      <c r="S380" s="54"/>
      <c r="T380" s="104"/>
      <c r="U380" s="91"/>
      <c r="V380" s="91"/>
      <c r="W380" s="100"/>
      <c r="X380" s="93"/>
      <c r="Y380" s="20"/>
      <c r="Z380" s="20"/>
      <c r="AA380" s="20"/>
      <c r="AB380" s="20"/>
      <c r="AC380" s="20"/>
      <c r="AD380" s="20"/>
    </row>
    <row r="381" spans="2:30" ht="18.75" x14ac:dyDescent="0.25">
      <c r="B381" s="92"/>
      <c r="C381" s="85"/>
      <c r="D381" s="85"/>
      <c r="E381" s="87"/>
      <c r="F381" s="20"/>
      <c r="G381" s="20"/>
      <c r="H381" s="20"/>
      <c r="I381" s="20"/>
      <c r="J381" s="20"/>
      <c r="K381" s="89"/>
      <c r="L381" s="89"/>
      <c r="M381" s="89"/>
      <c r="N381" s="92"/>
      <c r="O381" s="89"/>
      <c r="P381" s="89"/>
      <c r="Q381" s="92"/>
      <c r="R381" s="54"/>
      <c r="S381" s="54"/>
      <c r="T381" s="104"/>
      <c r="U381" s="91"/>
      <c r="V381" s="91"/>
      <c r="W381" s="100"/>
      <c r="X381" s="93"/>
      <c r="Y381" s="20"/>
      <c r="Z381" s="20"/>
      <c r="AA381" s="20"/>
      <c r="AB381" s="20"/>
      <c r="AC381" s="20"/>
      <c r="AD381" s="20"/>
    </row>
    <row r="382" spans="2:30" ht="18.75" x14ac:dyDescent="0.25">
      <c r="B382" s="92"/>
      <c r="C382" s="85"/>
      <c r="D382" s="85"/>
      <c r="E382" s="87"/>
      <c r="F382" s="20"/>
      <c r="G382" s="20"/>
      <c r="H382" s="20"/>
      <c r="I382" s="20"/>
      <c r="J382" s="20"/>
      <c r="K382" s="89"/>
      <c r="L382" s="89"/>
      <c r="M382" s="89"/>
      <c r="N382" s="92"/>
      <c r="O382" s="89"/>
      <c r="P382" s="89"/>
      <c r="Q382" s="92"/>
      <c r="R382" s="54"/>
      <c r="S382" s="54"/>
      <c r="T382" s="104"/>
      <c r="U382" s="91"/>
      <c r="V382" s="91"/>
      <c r="W382" s="100"/>
      <c r="X382" s="93"/>
      <c r="Y382" s="20"/>
      <c r="Z382" s="20"/>
      <c r="AA382" s="20"/>
      <c r="AB382" s="20"/>
      <c r="AC382" s="20"/>
      <c r="AD382" s="20"/>
    </row>
    <row r="383" spans="2:30" ht="18.75" x14ac:dyDescent="0.25">
      <c r="B383" s="92"/>
      <c r="C383" s="85"/>
      <c r="D383" s="85"/>
      <c r="E383" s="87"/>
      <c r="F383" s="20"/>
      <c r="G383" s="20"/>
      <c r="H383" s="20"/>
      <c r="I383" s="20"/>
      <c r="J383" s="20"/>
      <c r="K383" s="89"/>
      <c r="L383" s="89"/>
      <c r="M383" s="89"/>
      <c r="N383" s="92"/>
      <c r="O383" s="89"/>
      <c r="P383" s="89"/>
      <c r="Q383" s="92"/>
      <c r="R383" s="54"/>
      <c r="S383" s="54"/>
      <c r="T383" s="104"/>
      <c r="U383" s="91"/>
      <c r="V383" s="91"/>
      <c r="W383" s="100"/>
      <c r="X383" s="93"/>
      <c r="Y383" s="20"/>
      <c r="Z383" s="20"/>
      <c r="AA383" s="20"/>
      <c r="AB383" s="20"/>
      <c r="AC383" s="20"/>
      <c r="AD383" s="20"/>
    </row>
    <row r="384" spans="2:30" ht="18.75" x14ac:dyDescent="0.25">
      <c r="B384" s="92"/>
      <c r="C384" s="85"/>
      <c r="D384" s="85"/>
      <c r="E384" s="87"/>
      <c r="F384" s="20"/>
      <c r="G384" s="20"/>
      <c r="H384" s="20"/>
      <c r="I384" s="20"/>
      <c r="J384" s="20"/>
      <c r="K384" s="89"/>
      <c r="L384" s="89"/>
      <c r="M384" s="89"/>
      <c r="N384" s="92"/>
      <c r="O384" s="89"/>
      <c r="P384" s="89"/>
      <c r="Q384" s="92"/>
      <c r="R384" s="54"/>
      <c r="S384" s="54"/>
      <c r="T384" s="104"/>
      <c r="U384" s="91"/>
      <c r="V384" s="91"/>
      <c r="W384" s="100"/>
      <c r="X384" s="93"/>
      <c r="Y384" s="20"/>
      <c r="Z384" s="20"/>
      <c r="AA384" s="20"/>
      <c r="AB384" s="20"/>
      <c r="AC384" s="20"/>
      <c r="AD384" s="20"/>
    </row>
    <row r="385" spans="2:30" ht="18.75" x14ac:dyDescent="0.25">
      <c r="B385" s="92"/>
      <c r="C385" s="85"/>
      <c r="D385" s="85"/>
      <c r="E385" s="87"/>
      <c r="F385" s="20"/>
      <c r="G385" s="20"/>
      <c r="H385" s="20"/>
      <c r="I385" s="20"/>
      <c r="J385" s="20"/>
      <c r="K385" s="89"/>
      <c r="L385" s="89"/>
      <c r="M385" s="89"/>
      <c r="N385" s="92"/>
      <c r="O385" s="89"/>
      <c r="P385" s="89"/>
      <c r="Q385" s="92"/>
      <c r="R385" s="54"/>
      <c r="S385" s="54"/>
      <c r="T385" s="92"/>
      <c r="U385" s="92"/>
      <c r="V385" s="91"/>
      <c r="W385" s="100"/>
      <c r="X385" s="93"/>
      <c r="Y385" s="20"/>
      <c r="Z385" s="20"/>
      <c r="AA385" s="20"/>
      <c r="AB385" s="20"/>
      <c r="AC385" s="20"/>
      <c r="AD385" s="20"/>
    </row>
    <row r="386" spans="2:30" ht="18.75" x14ac:dyDescent="0.25">
      <c r="B386" s="92"/>
      <c r="C386" s="85"/>
      <c r="D386" s="85"/>
      <c r="E386" s="87"/>
      <c r="F386" s="20"/>
      <c r="G386" s="20"/>
      <c r="H386" s="20"/>
      <c r="I386" s="20"/>
      <c r="J386" s="20"/>
      <c r="K386" s="89"/>
      <c r="L386" s="89"/>
      <c r="M386" s="89"/>
      <c r="N386" s="92"/>
      <c r="O386" s="89"/>
      <c r="P386" s="89"/>
      <c r="Q386" s="92"/>
      <c r="R386" s="54"/>
      <c r="S386" s="54"/>
      <c r="T386" s="92"/>
      <c r="U386" s="92"/>
      <c r="V386" s="91"/>
      <c r="W386" s="100"/>
      <c r="X386" s="93"/>
      <c r="Y386" s="20"/>
      <c r="Z386" s="20"/>
      <c r="AA386" s="20"/>
      <c r="AB386" s="20"/>
      <c r="AC386" s="20"/>
      <c r="AD386" s="20"/>
    </row>
    <row r="387" spans="2:30" ht="18.75" x14ac:dyDescent="0.25">
      <c r="B387" s="92"/>
      <c r="C387" s="85"/>
      <c r="D387" s="85"/>
      <c r="E387" s="87"/>
      <c r="F387" s="20"/>
      <c r="G387" s="20"/>
      <c r="H387" s="20"/>
      <c r="I387" s="20"/>
      <c r="J387" s="20"/>
      <c r="K387" s="89"/>
      <c r="L387" s="89"/>
      <c r="M387" s="89"/>
      <c r="N387" s="92"/>
      <c r="O387" s="89"/>
      <c r="P387" s="89"/>
      <c r="Q387" s="92"/>
      <c r="R387" s="54"/>
      <c r="S387" s="54"/>
      <c r="T387" s="92"/>
      <c r="U387" s="92"/>
      <c r="V387" s="91"/>
      <c r="W387" s="100"/>
      <c r="X387" s="93"/>
      <c r="Y387" s="20"/>
      <c r="Z387" s="20"/>
      <c r="AA387" s="20"/>
      <c r="AB387" s="20"/>
      <c r="AC387" s="20"/>
      <c r="AD387" s="20"/>
    </row>
    <row r="388" spans="2:30" ht="18.75" x14ac:dyDescent="0.25">
      <c r="B388" s="92"/>
      <c r="C388" s="85"/>
      <c r="D388" s="85"/>
      <c r="E388" s="87"/>
      <c r="F388" s="20"/>
      <c r="G388" s="20"/>
      <c r="H388" s="20"/>
      <c r="I388" s="20"/>
      <c r="J388" s="20"/>
      <c r="K388" s="89"/>
      <c r="L388" s="89"/>
      <c r="M388" s="89"/>
      <c r="N388" s="92"/>
      <c r="O388" s="89"/>
      <c r="P388" s="89"/>
      <c r="Q388" s="92"/>
      <c r="R388" s="54"/>
      <c r="S388" s="54"/>
      <c r="T388" s="92"/>
      <c r="U388" s="92"/>
      <c r="V388" s="91"/>
      <c r="W388" s="100"/>
      <c r="X388" s="93"/>
      <c r="Y388" s="20"/>
      <c r="Z388" s="20"/>
      <c r="AA388" s="20"/>
      <c r="AB388" s="20"/>
      <c r="AC388" s="20"/>
      <c r="AD388" s="20"/>
    </row>
    <row r="389" spans="2:30" ht="18.75" x14ac:dyDescent="0.25">
      <c r="B389" s="92"/>
      <c r="C389" s="85"/>
      <c r="D389" s="85"/>
      <c r="E389" s="87"/>
      <c r="F389" s="20"/>
      <c r="G389" s="20"/>
      <c r="H389" s="20"/>
      <c r="I389" s="20"/>
      <c r="J389" s="20"/>
      <c r="K389" s="89"/>
      <c r="L389" s="89"/>
      <c r="M389" s="89"/>
      <c r="N389" s="92"/>
      <c r="O389" s="89"/>
      <c r="P389" s="89"/>
      <c r="Q389" s="92"/>
      <c r="R389" s="54"/>
      <c r="S389" s="54"/>
      <c r="T389" s="92"/>
      <c r="U389" s="92"/>
      <c r="V389" s="91"/>
      <c r="W389" s="100"/>
      <c r="X389" s="93"/>
      <c r="Y389" s="20"/>
      <c r="Z389" s="20"/>
      <c r="AA389" s="20"/>
      <c r="AB389" s="20"/>
      <c r="AC389" s="20"/>
      <c r="AD389" s="20"/>
    </row>
    <row r="390" spans="2:30" ht="18.75" x14ac:dyDescent="0.25">
      <c r="B390" s="92"/>
      <c r="C390" s="85"/>
      <c r="D390" s="85"/>
      <c r="E390" s="87"/>
      <c r="F390" s="20"/>
      <c r="G390" s="20"/>
      <c r="H390" s="20"/>
      <c r="I390" s="20"/>
      <c r="J390" s="20"/>
      <c r="K390" s="89"/>
      <c r="L390" s="89"/>
      <c r="M390" s="89"/>
      <c r="N390" s="92"/>
      <c r="O390" s="89"/>
      <c r="P390" s="89"/>
      <c r="Q390" s="92"/>
      <c r="R390" s="54"/>
      <c r="S390" s="54"/>
      <c r="T390" s="92"/>
      <c r="U390" s="92"/>
      <c r="V390" s="91"/>
      <c r="W390" s="100"/>
      <c r="X390" s="93"/>
      <c r="Y390" s="20"/>
      <c r="Z390" s="20"/>
      <c r="AA390" s="20"/>
      <c r="AB390" s="20"/>
      <c r="AC390" s="20"/>
      <c r="AD390" s="20"/>
    </row>
    <row r="391" spans="2:30" ht="18.75" x14ac:dyDescent="0.25">
      <c r="B391" s="92"/>
      <c r="C391" s="85"/>
      <c r="D391" s="85"/>
      <c r="E391" s="87"/>
      <c r="F391" s="20"/>
      <c r="G391" s="20"/>
      <c r="H391" s="20"/>
      <c r="I391" s="20"/>
      <c r="J391" s="20"/>
      <c r="K391" s="89"/>
      <c r="L391" s="89"/>
      <c r="M391" s="89"/>
      <c r="N391" s="92"/>
      <c r="O391" s="89"/>
      <c r="P391" s="89"/>
      <c r="Q391" s="92"/>
      <c r="R391" s="54"/>
      <c r="S391" s="54"/>
      <c r="T391" s="92"/>
      <c r="U391" s="92"/>
      <c r="V391" s="91"/>
      <c r="W391" s="100"/>
      <c r="X391" s="93"/>
      <c r="Y391" s="20"/>
      <c r="Z391" s="20"/>
      <c r="AA391" s="20"/>
      <c r="AB391" s="20"/>
      <c r="AC391" s="20"/>
      <c r="AD391" s="20"/>
    </row>
    <row r="392" spans="2:30" ht="18.75" x14ac:dyDescent="0.25">
      <c r="B392" s="92"/>
      <c r="C392" s="85"/>
      <c r="D392" s="85"/>
      <c r="E392" s="87"/>
      <c r="F392" s="20"/>
      <c r="G392" s="20"/>
      <c r="H392" s="20"/>
      <c r="I392" s="20"/>
      <c r="J392" s="20"/>
      <c r="K392" s="89"/>
      <c r="L392" s="89"/>
      <c r="M392" s="89"/>
      <c r="N392" s="92"/>
      <c r="O392" s="89"/>
      <c r="P392" s="89"/>
      <c r="Q392" s="92"/>
      <c r="R392" s="54"/>
      <c r="S392" s="54"/>
      <c r="T392" s="92"/>
      <c r="U392" s="92"/>
      <c r="V392" s="91"/>
      <c r="W392" s="100"/>
      <c r="X392" s="93"/>
      <c r="Y392" s="20"/>
      <c r="Z392" s="20"/>
      <c r="AA392" s="20"/>
      <c r="AB392" s="20"/>
      <c r="AC392" s="20"/>
      <c r="AD392" s="20"/>
    </row>
    <row r="393" spans="2:30" ht="18.75" x14ac:dyDescent="0.25">
      <c r="B393" s="92"/>
      <c r="C393" s="85"/>
      <c r="D393" s="85"/>
      <c r="E393" s="87"/>
      <c r="F393" s="20"/>
      <c r="G393" s="20"/>
      <c r="H393" s="20"/>
      <c r="I393" s="20"/>
      <c r="J393" s="20"/>
      <c r="K393" s="89"/>
      <c r="L393" s="89"/>
      <c r="M393" s="89"/>
      <c r="N393" s="92"/>
      <c r="O393" s="89"/>
      <c r="P393" s="89"/>
      <c r="Q393" s="92"/>
      <c r="R393" s="54"/>
      <c r="S393" s="54"/>
      <c r="T393" s="92"/>
      <c r="U393" s="92"/>
      <c r="V393" s="91"/>
      <c r="W393" s="100"/>
      <c r="X393" s="93"/>
      <c r="Y393" s="20"/>
      <c r="Z393" s="20"/>
      <c r="AA393" s="20"/>
      <c r="AB393" s="20"/>
      <c r="AC393" s="20"/>
      <c r="AD393" s="20"/>
    </row>
    <row r="394" spans="2:30" ht="18.75" x14ac:dyDescent="0.25">
      <c r="B394" s="92"/>
      <c r="C394" s="85"/>
      <c r="D394" s="85"/>
      <c r="E394" s="87"/>
      <c r="F394" s="20"/>
      <c r="G394" s="20"/>
      <c r="H394" s="20"/>
      <c r="I394" s="20"/>
      <c r="J394" s="20"/>
      <c r="K394" s="89"/>
      <c r="L394" s="89"/>
      <c r="M394" s="89"/>
      <c r="N394" s="92"/>
      <c r="O394" s="89"/>
      <c r="P394" s="89"/>
      <c r="Q394" s="92"/>
      <c r="R394" s="54"/>
      <c r="S394" s="54"/>
      <c r="T394" s="92"/>
      <c r="U394" s="92"/>
      <c r="V394" s="91"/>
      <c r="W394" s="100"/>
      <c r="X394" s="93"/>
      <c r="Y394" s="20"/>
      <c r="Z394" s="20"/>
      <c r="AA394" s="20"/>
      <c r="AB394" s="20"/>
      <c r="AC394" s="20"/>
      <c r="AD394" s="20"/>
    </row>
    <row r="395" spans="2:30" ht="18.75" x14ac:dyDescent="0.25">
      <c r="B395" s="92"/>
      <c r="C395" s="85"/>
      <c r="D395" s="85"/>
      <c r="E395" s="87"/>
      <c r="F395" s="20"/>
      <c r="G395" s="20"/>
      <c r="H395" s="20"/>
      <c r="I395" s="20"/>
      <c r="J395" s="20"/>
      <c r="K395" s="89"/>
      <c r="L395" s="89"/>
      <c r="M395" s="89"/>
      <c r="N395" s="92"/>
      <c r="O395" s="89"/>
      <c r="P395" s="89"/>
      <c r="Q395" s="92"/>
      <c r="R395" s="54"/>
      <c r="S395" s="54"/>
      <c r="T395" s="92"/>
      <c r="U395" s="92"/>
      <c r="V395" s="91"/>
      <c r="W395" s="100"/>
      <c r="X395" s="93"/>
      <c r="Y395" s="20"/>
      <c r="Z395" s="20"/>
      <c r="AA395" s="20"/>
      <c r="AB395" s="20"/>
      <c r="AC395" s="20"/>
      <c r="AD395" s="20"/>
    </row>
    <row r="396" spans="2:30" ht="18.75" x14ac:dyDescent="0.25">
      <c r="B396" s="92"/>
      <c r="C396" s="85"/>
      <c r="D396" s="85"/>
      <c r="E396" s="87"/>
      <c r="F396" s="20"/>
      <c r="G396" s="20"/>
      <c r="H396" s="20"/>
      <c r="I396" s="20"/>
      <c r="J396" s="20"/>
      <c r="K396" s="89"/>
      <c r="L396" s="89"/>
      <c r="M396" s="89"/>
      <c r="N396" s="92"/>
      <c r="O396" s="89"/>
      <c r="P396" s="89"/>
      <c r="Q396" s="92"/>
      <c r="R396" s="54"/>
      <c r="S396" s="54"/>
      <c r="T396" s="92"/>
      <c r="U396" s="92"/>
      <c r="V396" s="91"/>
      <c r="W396" s="100"/>
      <c r="X396" s="93"/>
      <c r="Y396" s="20"/>
      <c r="Z396" s="20"/>
      <c r="AA396" s="20"/>
      <c r="AB396" s="20"/>
      <c r="AC396" s="20"/>
      <c r="AD396" s="20"/>
    </row>
    <row r="397" spans="2:30" ht="18.75" x14ac:dyDescent="0.25">
      <c r="B397" s="92"/>
      <c r="C397" s="85"/>
      <c r="D397" s="85"/>
      <c r="E397" s="87"/>
      <c r="F397" s="20"/>
      <c r="G397" s="20"/>
      <c r="H397" s="20"/>
      <c r="I397" s="20"/>
      <c r="J397" s="20"/>
      <c r="K397" s="89"/>
      <c r="L397" s="89"/>
      <c r="M397" s="89"/>
      <c r="N397" s="92"/>
      <c r="O397" s="89"/>
      <c r="P397" s="89"/>
      <c r="Q397" s="92"/>
      <c r="R397" s="54"/>
      <c r="S397" s="54"/>
      <c r="T397" s="92"/>
      <c r="U397" s="92"/>
      <c r="V397" s="91"/>
      <c r="W397" s="100"/>
      <c r="X397" s="93"/>
      <c r="Y397" s="20"/>
      <c r="Z397" s="20"/>
      <c r="AA397" s="20"/>
      <c r="AB397" s="20"/>
      <c r="AC397" s="20"/>
      <c r="AD397" s="20"/>
    </row>
    <row r="398" spans="2:30" ht="18.75" x14ac:dyDescent="0.25">
      <c r="B398" s="2"/>
      <c r="C398" s="5"/>
      <c r="D398" s="5"/>
      <c r="E398" s="6"/>
      <c r="K398" s="13"/>
      <c r="L398" s="13"/>
      <c r="M398" s="13"/>
      <c r="N398" s="2"/>
      <c r="O398" s="13"/>
      <c r="P398" s="13"/>
      <c r="Q398" s="2"/>
      <c r="R398" s="4"/>
      <c r="S398" s="4"/>
      <c r="T398" s="2"/>
      <c r="U398" s="2"/>
      <c r="V398" s="3"/>
      <c r="W398" s="7"/>
      <c r="X398" s="10"/>
    </row>
    <row r="399" spans="2:30" ht="18.75" x14ac:dyDescent="0.25">
      <c r="B399" s="2"/>
      <c r="C399" s="5"/>
      <c r="D399" s="5"/>
      <c r="E399" s="6"/>
      <c r="K399" s="13"/>
      <c r="L399" s="13"/>
      <c r="M399" s="13"/>
      <c r="N399" s="2"/>
      <c r="O399" s="13"/>
      <c r="P399" s="13"/>
      <c r="Q399" s="2"/>
      <c r="R399" s="4"/>
      <c r="S399" s="4"/>
      <c r="T399" s="2"/>
      <c r="U399" s="2"/>
      <c r="V399" s="3"/>
      <c r="W399" s="7"/>
      <c r="X399" s="10"/>
    </row>
    <row r="400" spans="2:30" ht="18.75" x14ac:dyDescent="0.25">
      <c r="B400" s="2"/>
      <c r="C400" s="5"/>
      <c r="D400" s="5"/>
      <c r="E400" s="6"/>
      <c r="K400" s="13"/>
      <c r="L400" s="13"/>
      <c r="M400" s="13"/>
      <c r="N400" s="2"/>
      <c r="O400" s="13"/>
      <c r="P400" s="13"/>
      <c r="Q400" s="2"/>
      <c r="R400" s="4"/>
      <c r="S400" s="4"/>
      <c r="T400" s="2"/>
      <c r="U400" s="2"/>
      <c r="V400" s="3"/>
      <c r="W400" s="7"/>
      <c r="X400" s="10"/>
    </row>
    <row r="401" spans="2:24" ht="18.75" x14ac:dyDescent="0.25">
      <c r="T401" s="2"/>
      <c r="U401" s="2"/>
      <c r="V401" s="3"/>
      <c r="W401" s="7"/>
      <c r="X401" s="10"/>
    </row>
    <row r="402" spans="2:24" ht="18.75" x14ac:dyDescent="0.25">
      <c r="T402" s="2"/>
      <c r="U402" s="2"/>
      <c r="V402" s="3"/>
      <c r="W402" s="7"/>
      <c r="X402" s="10"/>
    </row>
    <row r="403" spans="2:24" ht="18.75" x14ac:dyDescent="0.25">
      <c r="T403" s="2"/>
      <c r="U403" s="2"/>
      <c r="V403" s="3"/>
      <c r="W403" s="7"/>
      <c r="X403" s="10"/>
    </row>
    <row r="404" spans="2:24" ht="18.75" x14ac:dyDescent="0.25">
      <c r="T404" s="2"/>
      <c r="U404" s="2"/>
      <c r="V404" s="3"/>
      <c r="W404" s="7"/>
      <c r="X404" s="10"/>
    </row>
    <row r="405" spans="2:24" ht="18.75" x14ac:dyDescent="0.25">
      <c r="T405" s="2"/>
      <c r="U405" s="2"/>
      <c r="V405" s="3"/>
      <c r="W405" s="7"/>
      <c r="X405" s="10"/>
    </row>
    <row r="406" spans="2:24" ht="18.75" x14ac:dyDescent="0.25">
      <c r="B406" s="2"/>
      <c r="C406" s="5"/>
      <c r="D406" s="5"/>
      <c r="E406" s="6"/>
      <c r="K406" s="13"/>
      <c r="L406" s="13"/>
      <c r="M406" s="13"/>
      <c r="N406" s="2"/>
      <c r="O406" s="13"/>
      <c r="P406" s="13"/>
      <c r="Q406" s="2"/>
      <c r="R406" s="4"/>
      <c r="S406" s="4"/>
      <c r="T406" s="2"/>
      <c r="U406" s="2"/>
      <c r="V406" s="3"/>
      <c r="W406" s="7"/>
      <c r="X406" s="10"/>
    </row>
    <row r="407" spans="2:24" ht="18.75" x14ac:dyDescent="0.25">
      <c r="B407" s="2"/>
      <c r="C407" s="5"/>
      <c r="D407" s="5"/>
      <c r="E407" s="6"/>
      <c r="K407" s="13"/>
      <c r="L407" s="13"/>
      <c r="M407" s="13"/>
      <c r="N407" s="2"/>
      <c r="O407" s="13"/>
      <c r="P407" s="13"/>
      <c r="Q407" s="2"/>
      <c r="R407" s="4"/>
      <c r="S407" s="4"/>
      <c r="T407" s="2"/>
      <c r="U407" s="2"/>
      <c r="V407" s="3"/>
      <c r="W407" s="7"/>
      <c r="X407" s="10"/>
    </row>
    <row r="408" spans="2:24" ht="18.75" x14ac:dyDescent="0.25">
      <c r="B408" s="2"/>
      <c r="C408" s="5"/>
      <c r="D408" s="5"/>
      <c r="E408" s="6"/>
      <c r="K408" s="13"/>
      <c r="L408" s="13"/>
      <c r="M408" s="13"/>
      <c r="N408" s="2"/>
      <c r="O408" s="13"/>
      <c r="P408" s="13"/>
      <c r="Q408" s="2"/>
      <c r="R408" s="4"/>
      <c r="S408" s="4"/>
      <c r="T408" s="2"/>
      <c r="U408" s="2"/>
      <c r="V408" s="3"/>
      <c r="W408" s="7"/>
      <c r="X408" s="10"/>
    </row>
    <row r="409" spans="2:24" ht="18.75" x14ac:dyDescent="0.25">
      <c r="B409" s="2"/>
      <c r="C409" s="5"/>
      <c r="D409" s="5"/>
      <c r="E409" s="6"/>
      <c r="K409" s="13"/>
      <c r="L409" s="13"/>
      <c r="M409" s="13"/>
      <c r="N409" s="2"/>
      <c r="O409" s="13"/>
      <c r="P409" s="13"/>
      <c r="Q409" s="2"/>
      <c r="R409" s="4"/>
      <c r="S409" s="4"/>
      <c r="T409" s="2"/>
      <c r="U409" s="2"/>
      <c r="V409" s="3"/>
      <c r="W409" s="7"/>
      <c r="X409" s="10"/>
    </row>
    <row r="410" spans="2:24" ht="18.75" x14ac:dyDescent="0.25">
      <c r="B410" s="2"/>
      <c r="C410" s="5"/>
      <c r="D410" s="5"/>
      <c r="E410" s="6"/>
      <c r="K410" s="13"/>
      <c r="L410" s="13"/>
      <c r="M410" s="13"/>
      <c r="N410" s="2"/>
      <c r="O410" s="13"/>
      <c r="P410" s="13"/>
      <c r="Q410" s="2"/>
      <c r="R410" s="4"/>
      <c r="S410" s="4"/>
      <c r="T410" s="2"/>
      <c r="U410" s="2"/>
      <c r="V410" s="3"/>
      <c r="W410" s="7"/>
      <c r="X410" s="10"/>
    </row>
    <row r="411" spans="2:24" ht="18.75" x14ac:dyDescent="0.25">
      <c r="B411" s="2"/>
      <c r="C411" s="5"/>
      <c r="D411" s="5"/>
      <c r="E411" s="6"/>
      <c r="K411" s="13"/>
      <c r="L411" s="13"/>
      <c r="M411" s="13"/>
      <c r="N411" s="2"/>
      <c r="O411" s="13"/>
      <c r="P411" s="13"/>
      <c r="Q411" s="2"/>
      <c r="R411" s="4"/>
      <c r="S411" s="4"/>
      <c r="T411" s="2"/>
      <c r="U411" s="2"/>
      <c r="V411" s="3"/>
      <c r="W411" s="7"/>
      <c r="X411" s="10"/>
    </row>
    <row r="412" spans="2:24" ht="18.75" x14ac:dyDescent="0.25">
      <c r="B412" s="2"/>
      <c r="C412" s="5"/>
      <c r="D412" s="5"/>
      <c r="E412" s="6"/>
      <c r="K412" s="13"/>
      <c r="L412" s="13"/>
      <c r="M412" s="13"/>
      <c r="N412" s="2"/>
      <c r="O412" s="13"/>
      <c r="P412" s="13"/>
      <c r="Q412" s="2"/>
      <c r="R412" s="4"/>
      <c r="S412" s="4"/>
      <c r="T412" s="2"/>
      <c r="U412" s="2"/>
      <c r="V412" s="3"/>
      <c r="W412" s="7"/>
      <c r="X412" s="10"/>
    </row>
    <row r="413" spans="2:24" ht="18.75" x14ac:dyDescent="0.25">
      <c r="B413" s="2"/>
      <c r="C413" s="5"/>
      <c r="D413" s="5"/>
      <c r="E413" s="6"/>
      <c r="K413" s="13"/>
      <c r="L413" s="13"/>
      <c r="M413" s="13"/>
      <c r="N413" s="2"/>
      <c r="O413" s="13"/>
      <c r="P413" s="13"/>
      <c r="Q413" s="2"/>
      <c r="R413" s="4"/>
      <c r="S413" s="4"/>
      <c r="T413" s="2"/>
      <c r="U413" s="2"/>
      <c r="V413" s="3"/>
      <c r="W413" s="7"/>
      <c r="X413" s="10"/>
    </row>
    <row r="414" spans="2:24" ht="18.75" x14ac:dyDescent="0.25">
      <c r="T414" s="2"/>
      <c r="U414" s="2"/>
      <c r="V414" s="3"/>
      <c r="W414" s="7"/>
      <c r="X414" s="10"/>
    </row>
    <row r="415" spans="2:24" ht="18.75" x14ac:dyDescent="0.25">
      <c r="T415" s="2"/>
      <c r="U415" s="2"/>
      <c r="V415" s="3"/>
      <c r="W415" s="7"/>
      <c r="X415" s="10"/>
    </row>
    <row r="416" spans="2:24" ht="18.75" x14ac:dyDescent="0.25">
      <c r="W416" s="7"/>
      <c r="X416" s="10"/>
    </row>
    <row r="417" spans="2:24" ht="18.75" x14ac:dyDescent="0.25">
      <c r="W417" s="7"/>
      <c r="X417" s="10"/>
    </row>
    <row r="418" spans="2:24" ht="18.75" x14ac:dyDescent="0.25">
      <c r="W418" s="7"/>
      <c r="X418" s="10"/>
    </row>
    <row r="419" spans="2:24" ht="18.75" x14ac:dyDescent="0.25">
      <c r="B419" s="2"/>
      <c r="C419" s="5"/>
      <c r="D419" s="5"/>
      <c r="E419" s="6"/>
      <c r="K419" s="13"/>
      <c r="L419" s="13"/>
      <c r="M419" s="13"/>
      <c r="N419" s="2"/>
      <c r="O419" s="13"/>
      <c r="P419" s="13"/>
      <c r="Q419" s="2"/>
      <c r="R419" s="4"/>
      <c r="S419" s="4"/>
      <c r="W419" s="7"/>
      <c r="X419" s="10"/>
    </row>
    <row r="420" spans="2:24" ht="18.75" x14ac:dyDescent="0.25">
      <c r="B420" s="2"/>
      <c r="C420" s="5"/>
      <c r="D420" s="5"/>
      <c r="E420" s="6"/>
      <c r="K420" s="13"/>
      <c r="L420" s="13"/>
      <c r="M420" s="13"/>
      <c r="N420" s="2"/>
      <c r="O420" s="13"/>
      <c r="P420" s="13"/>
      <c r="Q420" s="2"/>
      <c r="R420" s="4"/>
      <c r="S420" s="4"/>
      <c r="W420" s="7"/>
      <c r="X420" s="10"/>
    </row>
    <row r="421" spans="2:24" ht="18.75" x14ac:dyDescent="0.25">
      <c r="B421" s="2"/>
      <c r="C421" s="5"/>
      <c r="D421" s="5"/>
      <c r="E421" s="6"/>
      <c r="K421" s="13"/>
      <c r="L421" s="13"/>
      <c r="M421" s="13"/>
      <c r="N421" s="2"/>
      <c r="O421" s="13"/>
      <c r="P421" s="13"/>
      <c r="Q421" s="2"/>
      <c r="R421" s="4"/>
      <c r="S421" s="4"/>
      <c r="T421" s="2"/>
      <c r="U421" s="2"/>
      <c r="V421" s="3"/>
      <c r="W421" s="7"/>
      <c r="X421" s="10"/>
    </row>
    <row r="422" spans="2:24" ht="18.75" x14ac:dyDescent="0.25">
      <c r="B422" s="2"/>
      <c r="C422" s="5"/>
      <c r="D422" s="5"/>
      <c r="E422" s="6"/>
      <c r="K422" s="13"/>
      <c r="L422" s="13"/>
      <c r="M422" s="13"/>
      <c r="N422" s="2"/>
      <c r="O422" s="13"/>
      <c r="P422" s="13"/>
      <c r="Q422" s="2"/>
      <c r="R422" s="4"/>
      <c r="S422" s="4"/>
      <c r="T422" s="2"/>
      <c r="U422" s="2"/>
      <c r="V422" s="3"/>
      <c r="W422" s="7"/>
      <c r="X422" s="10"/>
    </row>
    <row r="423" spans="2:24" ht="18.75" x14ac:dyDescent="0.25">
      <c r="B423" s="2"/>
      <c r="C423" s="5"/>
      <c r="D423" s="5"/>
      <c r="E423" s="6"/>
      <c r="K423" s="13"/>
      <c r="L423" s="13"/>
      <c r="M423" s="13"/>
      <c r="N423" s="2"/>
      <c r="O423" s="13"/>
      <c r="P423" s="13"/>
      <c r="Q423" s="2"/>
      <c r="R423" s="4"/>
      <c r="S423" s="4"/>
      <c r="T423" s="2"/>
      <c r="U423" s="2"/>
      <c r="V423" s="3"/>
      <c r="W423" s="7"/>
      <c r="X423" s="10"/>
    </row>
    <row r="424" spans="2:24" ht="18.75" x14ac:dyDescent="0.25">
      <c r="B424" s="2"/>
      <c r="C424" s="5"/>
      <c r="D424" s="5"/>
      <c r="E424" s="6"/>
      <c r="K424" s="13"/>
      <c r="L424" s="13"/>
      <c r="M424" s="13"/>
      <c r="N424" s="2"/>
      <c r="O424" s="13"/>
      <c r="P424" s="13"/>
      <c r="Q424" s="2"/>
      <c r="R424" s="4"/>
      <c r="S424" s="4"/>
      <c r="T424" s="2"/>
      <c r="U424" s="2"/>
      <c r="V424" s="3"/>
      <c r="W424" s="7"/>
      <c r="X424" s="10"/>
    </row>
    <row r="425" spans="2:24" ht="18.75" x14ac:dyDescent="0.25">
      <c r="B425" s="2"/>
      <c r="C425" s="5"/>
      <c r="D425" s="5"/>
      <c r="E425" s="6"/>
      <c r="K425" s="13"/>
      <c r="L425" s="13"/>
      <c r="M425" s="13"/>
      <c r="N425" s="2"/>
      <c r="O425" s="13"/>
      <c r="P425" s="13"/>
      <c r="Q425" s="2"/>
      <c r="R425" s="4"/>
      <c r="S425" s="4"/>
      <c r="T425" s="2"/>
      <c r="U425" s="2"/>
      <c r="V425" s="3"/>
      <c r="W425" s="7"/>
      <c r="X425" s="10"/>
    </row>
    <row r="426" spans="2:24" ht="18.75" x14ac:dyDescent="0.25">
      <c r="B426" s="2"/>
      <c r="C426" s="5"/>
      <c r="D426" s="5"/>
      <c r="E426" s="6"/>
      <c r="K426" s="13"/>
      <c r="L426" s="13"/>
      <c r="M426" s="13"/>
      <c r="N426" s="2"/>
      <c r="O426" s="13"/>
      <c r="P426" s="13"/>
      <c r="Q426" s="2"/>
      <c r="R426" s="4"/>
      <c r="S426" s="4"/>
      <c r="T426" s="2"/>
      <c r="U426" s="2"/>
      <c r="V426" s="3"/>
      <c r="W426" s="7"/>
      <c r="X426" s="10"/>
    </row>
    <row r="427" spans="2:24" ht="18.75" x14ac:dyDescent="0.25">
      <c r="B427" s="2"/>
      <c r="C427" s="5"/>
      <c r="D427" s="5"/>
      <c r="E427" s="6"/>
      <c r="K427" s="13"/>
      <c r="L427" s="13"/>
      <c r="M427" s="13"/>
      <c r="N427" s="2"/>
      <c r="O427" s="13"/>
      <c r="P427" s="13"/>
      <c r="Q427" s="2"/>
      <c r="R427" s="4"/>
      <c r="S427" s="4"/>
      <c r="T427" s="2"/>
      <c r="U427" s="2"/>
      <c r="V427" s="3"/>
      <c r="W427" s="7"/>
      <c r="X427" s="10"/>
    </row>
    <row r="428" spans="2:24" ht="18.75" x14ac:dyDescent="0.25">
      <c r="B428" s="2"/>
      <c r="C428" s="5"/>
      <c r="D428" s="5"/>
      <c r="E428" s="6"/>
      <c r="K428" s="13"/>
      <c r="L428" s="13"/>
      <c r="M428" s="13"/>
      <c r="N428" s="2"/>
      <c r="O428" s="13"/>
      <c r="P428" s="13"/>
      <c r="Q428" s="2"/>
      <c r="R428" s="4"/>
      <c r="S428" s="4"/>
      <c r="T428" s="2"/>
      <c r="U428" s="2"/>
      <c r="V428" s="3"/>
      <c r="W428" s="7"/>
      <c r="X428" s="10"/>
    </row>
    <row r="429" spans="2:24" ht="18.75" x14ac:dyDescent="0.25">
      <c r="T429" s="2"/>
      <c r="U429" s="2"/>
      <c r="V429" s="3"/>
      <c r="W429" s="7"/>
      <c r="X429" s="10"/>
    </row>
    <row r="430" spans="2:24" ht="18.75" x14ac:dyDescent="0.25">
      <c r="T430" s="2"/>
      <c r="U430" s="2"/>
      <c r="V430" s="3"/>
      <c r="W430" s="7"/>
      <c r="X430" s="10"/>
    </row>
    <row r="431" spans="2:24" ht="18.75" x14ac:dyDescent="0.25">
      <c r="B431" s="2"/>
      <c r="C431" s="5"/>
      <c r="D431" s="5"/>
      <c r="E431" s="6"/>
      <c r="K431" s="13"/>
      <c r="L431" s="13"/>
      <c r="M431" s="13"/>
      <c r="N431" s="2"/>
      <c r="O431" s="13"/>
      <c r="P431" s="13"/>
      <c r="Q431" s="2"/>
      <c r="R431" s="4"/>
      <c r="S431" s="4"/>
      <c r="T431" s="2"/>
      <c r="U431" s="2"/>
      <c r="V431" s="3"/>
      <c r="W431" s="7"/>
      <c r="X431" s="10"/>
    </row>
    <row r="432" spans="2:24" ht="18.75" x14ac:dyDescent="0.25">
      <c r="B432" s="2"/>
      <c r="C432" s="5"/>
      <c r="D432" s="5"/>
      <c r="E432" s="6"/>
      <c r="K432" s="13"/>
      <c r="L432" s="13"/>
      <c r="M432" s="13"/>
      <c r="N432" s="2"/>
      <c r="O432" s="13"/>
      <c r="P432" s="13"/>
      <c r="Q432" s="2"/>
      <c r="R432" s="4"/>
      <c r="S432" s="4"/>
      <c r="T432" s="2"/>
      <c r="U432" s="2"/>
      <c r="V432" s="3"/>
      <c r="W432" s="7"/>
      <c r="X432" s="10"/>
    </row>
    <row r="433" spans="2:24" ht="18.75" x14ac:dyDescent="0.25">
      <c r="B433" s="2"/>
      <c r="C433" s="5"/>
      <c r="D433" s="5"/>
      <c r="E433" s="6"/>
      <c r="K433" s="13"/>
      <c r="L433" s="13"/>
      <c r="M433" s="13"/>
      <c r="N433" s="2"/>
      <c r="O433" s="13"/>
      <c r="P433" s="13"/>
      <c r="Q433" s="2"/>
      <c r="R433" s="4"/>
      <c r="S433" s="4"/>
      <c r="T433" s="2"/>
      <c r="U433" s="2"/>
      <c r="V433" s="3"/>
      <c r="W433" s="16"/>
      <c r="X433" s="10"/>
    </row>
    <row r="434" spans="2:24" ht="23.25" x14ac:dyDescent="0.25">
      <c r="C434" s="2"/>
      <c r="D434" s="5"/>
      <c r="E434" s="6"/>
      <c r="G434" s="2"/>
      <c r="H434" s="2"/>
      <c r="I434" s="2"/>
      <c r="K434" s="6"/>
      <c r="L434" s="6"/>
      <c r="M434" s="6"/>
      <c r="N434" s="2"/>
      <c r="O434" s="6"/>
      <c r="P434" s="6"/>
      <c r="Q434" s="2"/>
      <c r="R434" s="4"/>
      <c r="S434" s="4"/>
      <c r="T434" s="8"/>
      <c r="U434" s="8"/>
      <c r="V434" s="16"/>
      <c r="X434" s="10"/>
    </row>
    <row r="435" spans="2:24" ht="23.25" x14ac:dyDescent="0.25">
      <c r="C435" s="9"/>
      <c r="D435" s="15"/>
      <c r="E435" s="12"/>
      <c r="P435" s="10"/>
      <c r="Q435" s="10"/>
      <c r="R435" s="10"/>
      <c r="S435" s="19"/>
      <c r="T435" s="19"/>
      <c r="U435" s="11"/>
      <c r="V435" s="11"/>
      <c r="X435" s="10"/>
    </row>
    <row r="436" spans="2:24" x14ac:dyDescent="0.25">
      <c r="W436" s="10"/>
      <c r="X436" s="10"/>
    </row>
    <row r="439" spans="2:24" x14ac:dyDescent="0.25">
      <c r="V439" s="18"/>
    </row>
    <row r="440" spans="2:24" x14ac:dyDescent="0.25">
      <c r="V440" s="18"/>
    </row>
    <row r="441" spans="2:24" x14ac:dyDescent="0.25">
      <c r="C441" s="15"/>
      <c r="D441" s="14"/>
      <c r="V441" s="18"/>
    </row>
    <row r="442" spans="2:24" x14ac:dyDescent="0.25">
      <c r="C442" s="15"/>
      <c r="D442" s="14"/>
      <c r="V442" s="18"/>
    </row>
    <row r="443" spans="2:24" x14ac:dyDescent="0.25">
      <c r="D443" s="14"/>
      <c r="V443" s="18"/>
    </row>
    <row r="444" spans="2:24" x14ac:dyDescent="0.25">
      <c r="D444" s="14"/>
    </row>
    <row r="445" spans="2:24" x14ac:dyDescent="0.25">
      <c r="U445" s="17"/>
    </row>
    <row r="446" spans="2:24" x14ac:dyDescent="0.25">
      <c r="U446" s="17"/>
    </row>
    <row r="447" spans="2:24" x14ac:dyDescent="0.25">
      <c r="U447" s="17"/>
    </row>
    <row r="448" spans="2:24" x14ac:dyDescent="0.25">
      <c r="U448" s="17"/>
    </row>
    <row r="449" spans="21:21" x14ac:dyDescent="0.25">
      <c r="U449" s="17"/>
    </row>
    <row r="450" spans="21:21" x14ac:dyDescent="0.25">
      <c r="U450" s="17"/>
    </row>
  </sheetData>
  <protectedRanges>
    <protectedRange sqref="H12 H14 H16 L6 L8 L10 L12 L14 H6 H8 C6 C8 C10 Q7:R7" name="Intervallo2"/>
    <protectedRange sqref="C6 C8 C10 H6 H8 L6 L8 Q7:R7" name="Intervallo1"/>
  </protectedRanges>
  <mergeCells count="13">
    <mergeCell ref="B2:S2"/>
    <mergeCell ref="B1:S1"/>
    <mergeCell ref="O4:S4"/>
    <mergeCell ref="G18:J18"/>
    <mergeCell ref="O8:P8"/>
    <mergeCell ref="B3:S3"/>
    <mergeCell ref="O18:S18"/>
    <mergeCell ref="O7:P7"/>
    <mergeCell ref="K18:N18"/>
    <mergeCell ref="G4:J4"/>
    <mergeCell ref="B4:F4"/>
    <mergeCell ref="B18:F18"/>
    <mergeCell ref="K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0"/>
  <sheetViews>
    <sheetView zoomScale="65" zoomScaleNormal="65" workbookViewId="0">
      <selection activeCell="E29" sqref="E29"/>
    </sheetView>
  </sheetViews>
  <sheetFormatPr defaultRowHeight="15" x14ac:dyDescent="0.25"/>
  <cols>
    <col min="1" max="1" width="5.7109375" customWidth="1"/>
    <col min="2" max="19" width="15.7109375" customWidth="1"/>
    <col min="20" max="20" width="34" customWidth="1"/>
    <col min="21" max="21" width="31.42578125" customWidth="1"/>
    <col min="22" max="22" width="15.85546875" customWidth="1"/>
    <col min="23" max="23" width="18.140625" customWidth="1"/>
    <col min="24" max="24" width="22.140625" customWidth="1"/>
    <col min="25" max="25" width="16.42578125" customWidth="1"/>
    <col min="26" max="26" width="32.42578125" customWidth="1"/>
    <col min="27" max="27" width="16.42578125" customWidth="1"/>
    <col min="28" max="28" width="15" customWidth="1"/>
  </cols>
  <sheetData>
    <row r="1" spans="2:30" ht="68.25" x14ac:dyDescent="0.25">
      <c r="B1" s="323" t="s">
        <v>44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2:30" ht="28.5" x14ac:dyDescent="0.25">
      <c r="B2" s="322" t="s">
        <v>50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2:30" ht="36" x14ac:dyDescent="0.25">
      <c r="B3" s="332" t="s">
        <v>46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4"/>
      <c r="T3" s="21"/>
      <c r="U3" s="21"/>
      <c r="V3" s="21"/>
      <c r="W3" s="21"/>
      <c r="X3" s="21"/>
      <c r="Y3" s="21"/>
      <c r="Z3" s="20"/>
      <c r="AA3" s="20"/>
      <c r="AB3" s="20"/>
      <c r="AC3" s="20"/>
      <c r="AD3" s="20"/>
    </row>
    <row r="4" spans="2:30" ht="26.25" x14ac:dyDescent="0.25">
      <c r="B4" s="339" t="s">
        <v>88</v>
      </c>
      <c r="C4" s="342"/>
      <c r="D4" s="342"/>
      <c r="E4" s="342"/>
      <c r="F4" s="343"/>
      <c r="G4" s="339" t="s">
        <v>89</v>
      </c>
      <c r="H4" s="340"/>
      <c r="I4" s="340"/>
      <c r="J4" s="341"/>
      <c r="K4" s="339" t="s">
        <v>90</v>
      </c>
      <c r="L4" s="346"/>
      <c r="M4" s="346"/>
      <c r="N4" s="347"/>
      <c r="O4" s="324" t="s">
        <v>91</v>
      </c>
      <c r="P4" s="325"/>
      <c r="Q4" s="325"/>
      <c r="R4" s="325"/>
      <c r="S4" s="326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2:30" ht="21.75" thickBot="1" x14ac:dyDescent="0.4">
      <c r="B5" s="105"/>
      <c r="C5" s="22"/>
      <c r="D5" s="22"/>
      <c r="E5" s="21"/>
      <c r="F5" s="23"/>
      <c r="G5" s="24"/>
      <c r="H5" s="21"/>
      <c r="I5" s="21"/>
      <c r="J5" s="23"/>
      <c r="K5" s="20"/>
      <c r="L5" s="20"/>
      <c r="M5" s="20"/>
      <c r="N5" s="20"/>
      <c r="O5" s="25"/>
      <c r="P5" s="21"/>
      <c r="Q5" s="21"/>
      <c r="R5" s="21"/>
      <c r="S5" s="23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2:30" ht="22.5" thickTop="1" thickBot="1" x14ac:dyDescent="0.4">
      <c r="B6" s="106" t="s">
        <v>6</v>
      </c>
      <c r="C6" s="26">
        <f>'DATI nascosti 1'!C6</f>
        <v>300</v>
      </c>
      <c r="D6" s="289" t="s">
        <v>17</v>
      </c>
      <c r="E6" s="22" t="s">
        <v>34</v>
      </c>
      <c r="F6" s="23"/>
      <c r="G6" s="28" t="s">
        <v>47</v>
      </c>
      <c r="H6" s="29">
        <f>'DATI nascosti 1'!H6</f>
        <v>30</v>
      </c>
      <c r="I6" s="289" t="s">
        <v>13</v>
      </c>
      <c r="J6" s="23"/>
      <c r="K6" s="30" t="s">
        <v>1</v>
      </c>
      <c r="L6" s="31">
        <f>'DATI nascosti 1'!L6</f>
        <v>450</v>
      </c>
      <c r="M6" s="289" t="s">
        <v>13</v>
      </c>
      <c r="N6" s="290"/>
      <c r="O6" s="25"/>
      <c r="Q6" s="289" t="s">
        <v>41</v>
      </c>
      <c r="R6" s="33" t="s">
        <v>54</v>
      </c>
      <c r="S6" s="23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2:30" ht="22.5" thickTop="1" thickBot="1" x14ac:dyDescent="0.4">
      <c r="B7" s="107"/>
      <c r="C7" s="35"/>
      <c r="D7" s="22"/>
      <c r="E7" s="21"/>
      <c r="F7" s="23"/>
      <c r="G7" s="36"/>
      <c r="H7" s="37" t="str">
        <f>IF(H6&gt;50,"CONCRETE ERROR",IF(H6&lt;5,"CONCRETE ERROR",""))</f>
        <v/>
      </c>
      <c r="I7" s="36"/>
      <c r="J7" s="23"/>
      <c r="K7" s="30"/>
      <c r="L7" s="38"/>
      <c r="M7" s="30"/>
      <c r="N7" s="30"/>
      <c r="O7" s="330" t="s">
        <v>55</v>
      </c>
      <c r="P7" s="338"/>
      <c r="Q7" s="291">
        <f>DATI!E63</f>
        <v>5</v>
      </c>
      <c r="R7" s="111">
        <f>DATI!F63</f>
        <v>20</v>
      </c>
      <c r="S7" s="23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22.5" thickTop="1" thickBot="1" x14ac:dyDescent="0.4">
      <c r="B8" s="106" t="s">
        <v>7</v>
      </c>
      <c r="C8" s="26">
        <f>'DATI nascosti 1'!C8</f>
        <v>1200</v>
      </c>
      <c r="D8" s="289" t="s">
        <v>17</v>
      </c>
      <c r="E8" s="22" t="s">
        <v>33</v>
      </c>
      <c r="F8" s="23"/>
      <c r="G8" s="30" t="s">
        <v>59</v>
      </c>
      <c r="H8" s="40">
        <f>'DATI nascosti 1'!H8</f>
        <v>1.5</v>
      </c>
      <c r="I8" s="289" t="s">
        <v>42</v>
      </c>
      <c r="J8" s="23"/>
      <c r="K8" s="41" t="s">
        <v>61</v>
      </c>
      <c r="L8" s="42">
        <f>'DATI nascosti 1'!L8</f>
        <v>67.5</v>
      </c>
      <c r="M8" s="289" t="s">
        <v>15</v>
      </c>
      <c r="N8" s="30"/>
      <c r="O8" s="330" t="s">
        <v>56</v>
      </c>
      <c r="P8" s="331"/>
      <c r="Q8" s="292">
        <f>DATI!E62</f>
        <v>5</v>
      </c>
      <c r="R8" s="43">
        <f>DATI!F62</f>
        <v>20</v>
      </c>
      <c r="S8" s="23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2:30" ht="22.5" thickTop="1" thickBot="1" x14ac:dyDescent="0.4">
      <c r="B9" s="107"/>
      <c r="C9" s="35"/>
      <c r="D9" s="22"/>
      <c r="E9" s="21"/>
      <c r="F9" s="23"/>
      <c r="G9" s="44"/>
      <c r="H9" s="20"/>
      <c r="I9" s="45"/>
      <c r="J9" s="23"/>
      <c r="K9" s="45"/>
      <c r="L9" s="46" t="str">
        <f>IF(L8&lt;-H12, "steel ERROR","")</f>
        <v/>
      </c>
      <c r="M9" s="45"/>
      <c r="N9" s="30"/>
      <c r="O9" s="25"/>
      <c r="P9" s="47"/>
      <c r="Q9" s="47"/>
      <c r="R9" s="21"/>
      <c r="S9" s="23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2:30" ht="22.5" thickTop="1" thickBot="1" x14ac:dyDescent="0.4">
      <c r="B10" s="106" t="s">
        <v>8</v>
      </c>
      <c r="C10" s="26">
        <f>'DATI nascosti 1'!C10</f>
        <v>45</v>
      </c>
      <c r="D10" s="289" t="s">
        <v>17</v>
      </c>
      <c r="E10" s="22" t="s">
        <v>32</v>
      </c>
      <c r="F10" s="1"/>
      <c r="G10" s="28" t="s">
        <v>60</v>
      </c>
      <c r="H10" s="48">
        <f>DATI!F24</f>
        <v>14.109999999999998</v>
      </c>
      <c r="I10" s="289" t="s">
        <v>13</v>
      </c>
      <c r="J10" s="23"/>
      <c r="K10" s="41" t="s">
        <v>43</v>
      </c>
      <c r="L10" s="31">
        <f>'DATI nascosti 1'!L10</f>
        <v>1.87</v>
      </c>
      <c r="M10" s="289" t="s">
        <v>15</v>
      </c>
      <c r="N10" s="30"/>
      <c r="O10" s="25"/>
      <c r="P10" s="21"/>
      <c r="Q10" s="21"/>
      <c r="R10" s="47"/>
      <c r="S10" s="23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2:30" ht="22.5" thickTop="1" thickBot="1" x14ac:dyDescent="0.4">
      <c r="B11" s="108" t="str">
        <f>IF(C10&lt;10,"h' ERROR","")</f>
        <v/>
      </c>
      <c r="C11" s="22" t="s">
        <v>63</v>
      </c>
      <c r="E11" s="21"/>
      <c r="F11" s="23"/>
      <c r="G11" s="36"/>
      <c r="H11" s="47"/>
      <c r="I11" s="36"/>
      <c r="J11" s="23"/>
      <c r="K11" s="20"/>
      <c r="L11" s="20"/>
      <c r="M11" s="20"/>
      <c r="N11" s="49"/>
      <c r="O11" s="288" t="s">
        <v>9</v>
      </c>
      <c r="P11" s="48">
        <f>Q7*(R7/2)^2*PI()</f>
        <v>1570.7963267948965</v>
      </c>
      <c r="Q11" s="289" t="s">
        <v>45</v>
      </c>
      <c r="R11" s="21"/>
      <c r="S11" s="23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2:30" ht="22.5" thickTop="1" thickBot="1" x14ac:dyDescent="0.3">
      <c r="B12" s="109"/>
      <c r="C12" s="20"/>
      <c r="D12" s="20"/>
      <c r="E12" s="21"/>
      <c r="F12" s="23"/>
      <c r="G12" s="41" t="s">
        <v>28</v>
      </c>
      <c r="H12" s="31">
        <f>'DATI nascosti 1'!H12</f>
        <v>-3.5</v>
      </c>
      <c r="I12" s="289" t="s">
        <v>15</v>
      </c>
      <c r="J12" s="23"/>
      <c r="K12" s="30" t="s">
        <v>2</v>
      </c>
      <c r="L12" s="31">
        <f>'DATI nascosti 1'!L12</f>
        <v>1.1499999999999999</v>
      </c>
      <c r="M12" s="30" t="s">
        <v>42</v>
      </c>
      <c r="N12" s="49"/>
      <c r="O12" s="288" t="s">
        <v>10</v>
      </c>
      <c r="P12" s="48">
        <f>Q8*(R8/2)^2*PI()</f>
        <v>1570.7963267948965</v>
      </c>
      <c r="Q12" s="289" t="s">
        <v>45</v>
      </c>
      <c r="R12" s="21"/>
      <c r="S12" s="23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2:30" ht="22.5" thickTop="1" thickBot="1" x14ac:dyDescent="0.4">
      <c r="B13" s="106" t="s">
        <v>19</v>
      </c>
      <c r="C13" s="34">
        <f>IF((C10*2+(R7/2+R8/2))&gt;C8, "h' ERROR", C8-C10 )</f>
        <v>1155</v>
      </c>
      <c r="D13" s="289" t="s">
        <v>17</v>
      </c>
      <c r="E13" s="22" t="s">
        <v>16</v>
      </c>
      <c r="F13" s="23"/>
      <c r="G13" s="51"/>
      <c r="H13" s="52"/>
      <c r="I13" s="51"/>
      <c r="J13" s="23"/>
      <c r="K13" s="30"/>
      <c r="L13" s="290"/>
      <c r="M13" s="49"/>
      <c r="N13" s="53"/>
      <c r="O13" s="41" t="s">
        <v>48</v>
      </c>
      <c r="P13" s="54">
        <f>P11*$L$14/($C$6*$C$8*$H$10)</f>
        <v>0.12100547921570401</v>
      </c>
      <c r="Q13" s="30" t="s">
        <v>42</v>
      </c>
      <c r="R13" s="21"/>
      <c r="S13" s="23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2:30" ht="22.5" thickTop="1" thickBot="1" x14ac:dyDescent="0.4">
      <c r="B14" s="105"/>
      <c r="C14" s="35"/>
      <c r="D14" s="22"/>
      <c r="E14" s="21"/>
      <c r="F14" s="23"/>
      <c r="G14" s="41" t="s">
        <v>29</v>
      </c>
      <c r="H14" s="42">
        <f>'DATI nascosti 1'!H14</f>
        <v>-2</v>
      </c>
      <c r="I14" s="289" t="s">
        <v>15</v>
      </c>
      <c r="J14" s="23"/>
      <c r="K14" s="30" t="s">
        <v>0</v>
      </c>
      <c r="L14" s="55">
        <f>L6/L12</f>
        <v>391.304347826087</v>
      </c>
      <c r="M14" s="289" t="s">
        <v>13</v>
      </c>
      <c r="N14" s="56"/>
      <c r="O14" s="41" t="s">
        <v>49</v>
      </c>
      <c r="P14" s="54">
        <f>P12*$L$14/($C$6*$C$8*$H$10)</f>
        <v>0.12100547921570401</v>
      </c>
      <c r="Q14" s="30" t="s">
        <v>42</v>
      </c>
      <c r="R14" s="21"/>
      <c r="S14" s="23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2:30" ht="22.5" thickTop="1" thickBot="1" x14ac:dyDescent="0.4">
      <c r="B15" s="109"/>
      <c r="C15" s="21"/>
      <c r="D15" s="21"/>
      <c r="E15" s="21"/>
      <c r="F15" s="23"/>
      <c r="G15" s="57"/>
      <c r="H15" s="58"/>
      <c r="I15" s="59"/>
      <c r="J15" s="23"/>
      <c r="K15" s="45"/>
      <c r="L15" s="60"/>
      <c r="M15" s="45"/>
      <c r="N15" s="61"/>
      <c r="O15" s="20"/>
      <c r="P15" s="20"/>
      <c r="Q15" s="20"/>
      <c r="R15" s="21"/>
      <c r="S15" s="23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ht="22.5" thickTop="1" thickBot="1" x14ac:dyDescent="0.4">
      <c r="B16" s="109"/>
      <c r="C16" s="21"/>
      <c r="D16" s="21"/>
      <c r="E16" s="21"/>
      <c r="F16" s="23"/>
      <c r="G16" s="62" t="s">
        <v>14</v>
      </c>
      <c r="H16" s="31">
        <f>DATI!F31</f>
        <v>0.85</v>
      </c>
      <c r="I16" s="289" t="s">
        <v>42</v>
      </c>
      <c r="J16" s="23"/>
      <c r="K16" s="30" t="s">
        <v>58</v>
      </c>
      <c r="L16" s="63">
        <f>L14/(L10*10^-3)</f>
        <v>209253.66193908395</v>
      </c>
      <c r="M16" s="289" t="s">
        <v>13</v>
      </c>
      <c r="N16" s="61"/>
      <c r="O16" s="20"/>
      <c r="P16" s="20"/>
      <c r="Q16" s="20"/>
      <c r="R16" s="21"/>
      <c r="S16" s="23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.75" thickTop="1" x14ac:dyDescent="0.25">
      <c r="B17" s="110"/>
      <c r="C17" s="20"/>
      <c r="D17" s="20"/>
      <c r="E17" s="20"/>
      <c r="F17" s="64"/>
      <c r="G17" s="20"/>
      <c r="H17" s="20"/>
      <c r="I17" s="20"/>
      <c r="J17" s="23"/>
      <c r="K17" s="20"/>
      <c r="L17" s="20"/>
      <c r="M17" s="20"/>
      <c r="N17" s="65"/>
      <c r="O17" s="20"/>
      <c r="P17" s="20"/>
      <c r="Q17" s="20"/>
      <c r="R17" s="21"/>
      <c r="S17" s="2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ht="21" x14ac:dyDescent="0.25">
      <c r="B18" s="344" t="str">
        <f>IF(C6=C8,"SEZIONE QUADRATA","SEZIONE RETTANGOLARE")</f>
        <v>SEZIONE RETTANGOLARE</v>
      </c>
      <c r="C18" s="345"/>
      <c r="D18" s="345"/>
      <c r="E18" s="345"/>
      <c r="F18" s="345"/>
      <c r="G18" s="327" t="s">
        <v>93</v>
      </c>
      <c r="H18" s="328"/>
      <c r="I18" s="328"/>
      <c r="J18" s="329"/>
      <c r="K18" s="327" t="s">
        <v>51</v>
      </c>
      <c r="L18" s="328"/>
      <c r="M18" s="328"/>
      <c r="N18" s="329"/>
      <c r="O18" s="335" t="str">
        <f>IF(P11=P12, "ARMATURA SIMMETRICA", "-")</f>
        <v>ARMATURA SIMMETRICA</v>
      </c>
      <c r="P18" s="336"/>
      <c r="Q18" s="336"/>
      <c r="R18" s="336"/>
      <c r="S18" s="337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ht="21" x14ac:dyDescent="0.35">
      <c r="B19" s="21"/>
      <c r="C19" s="21"/>
      <c r="D19" s="21"/>
      <c r="E19" s="21"/>
      <c r="F19" s="21"/>
      <c r="G19" s="21"/>
      <c r="H19" s="21"/>
      <c r="I19" s="21"/>
      <c r="J19" s="22"/>
      <c r="K19" s="50"/>
      <c r="L19" s="50"/>
      <c r="M19" s="50"/>
      <c r="N19" s="50"/>
      <c r="O19" s="41"/>
      <c r="P19" s="30"/>
      <c r="Q19" s="30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ht="36" x14ac:dyDescent="0.25">
      <c r="B20" s="132"/>
      <c r="C20" s="133"/>
      <c r="F20" s="21"/>
      <c r="G20" s="21"/>
      <c r="H20" s="21"/>
      <c r="I20" s="21"/>
      <c r="J20" s="21"/>
      <c r="K20" s="21"/>
      <c r="L20" s="21"/>
      <c r="M20" s="21"/>
      <c r="N20" s="47"/>
      <c r="O20" s="21"/>
      <c r="P20" s="21"/>
      <c r="Q20" s="21"/>
      <c r="R20" s="2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ht="21" x14ac:dyDescent="0.35">
      <c r="B21" s="52"/>
      <c r="C21" s="20"/>
      <c r="D21" s="20"/>
      <c r="E21" s="20"/>
      <c r="F21" s="20"/>
      <c r="G21" s="21"/>
      <c r="H21" s="20"/>
      <c r="I21" s="20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x14ac:dyDescent="0.25">
      <c r="B22" s="20"/>
      <c r="C22" s="20"/>
      <c r="D22" s="20"/>
      <c r="E22" s="20"/>
      <c r="F22" s="20"/>
      <c r="G22" s="21"/>
      <c r="H22" s="20"/>
      <c r="I22" s="20"/>
      <c r="J22" s="20"/>
      <c r="K22" s="20"/>
      <c r="L22" s="20"/>
      <c r="M22" s="20"/>
      <c r="N22" s="290"/>
      <c r="O22" s="290"/>
      <c r="P22" s="290"/>
      <c r="Q22" s="290"/>
      <c r="R22" s="290"/>
      <c r="S22" s="29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ht="21" x14ac:dyDescent="0.25">
      <c r="AA23" s="30"/>
      <c r="AB23" s="20"/>
      <c r="AC23" s="20"/>
      <c r="AD23" s="20"/>
    </row>
    <row r="24" spans="2:30" ht="18.75" x14ac:dyDescent="0.25">
      <c r="AA24" s="75"/>
      <c r="AB24" s="54"/>
      <c r="AC24" s="20"/>
      <c r="AD24" s="20"/>
    </row>
    <row r="25" spans="2:30" ht="18.75" x14ac:dyDescent="0.25">
      <c r="AA25" s="75"/>
      <c r="AB25" s="54"/>
      <c r="AC25" s="20"/>
      <c r="AD25" s="20"/>
    </row>
    <row r="26" spans="2:30" ht="18.75" x14ac:dyDescent="0.25">
      <c r="AA26" s="75"/>
      <c r="AB26" s="54"/>
      <c r="AC26" s="20"/>
      <c r="AD26" s="20"/>
    </row>
    <row r="27" spans="2:30" ht="18.75" x14ac:dyDescent="0.25">
      <c r="AA27" s="75"/>
      <c r="AB27" s="54"/>
      <c r="AC27" s="20"/>
      <c r="AD27" s="20"/>
    </row>
    <row r="28" spans="2:30" ht="18.75" x14ac:dyDescent="0.25">
      <c r="AA28" s="75"/>
      <c r="AB28" s="54"/>
      <c r="AC28" s="20"/>
      <c r="AD28" s="20"/>
    </row>
    <row r="29" spans="2:30" ht="18.75" x14ac:dyDescent="0.25">
      <c r="AA29" s="75"/>
      <c r="AB29" s="54"/>
      <c r="AC29" s="20"/>
      <c r="AD29" s="20"/>
    </row>
    <row r="30" spans="2:30" ht="18.75" x14ac:dyDescent="0.25">
      <c r="AA30" s="75"/>
      <c r="AB30" s="54"/>
      <c r="AC30" s="20"/>
      <c r="AD30" s="20"/>
    </row>
    <row r="31" spans="2:30" ht="18.75" x14ac:dyDescent="0.25">
      <c r="AA31" s="75"/>
      <c r="AB31" s="54"/>
      <c r="AC31" s="20"/>
      <c r="AD31" s="20"/>
    </row>
    <row r="32" spans="2:30" ht="18.75" x14ac:dyDescent="0.25">
      <c r="AA32" s="75"/>
      <c r="AB32" s="54"/>
      <c r="AC32" s="20"/>
      <c r="AD32" s="20"/>
    </row>
    <row r="33" spans="27:30" ht="18.75" x14ac:dyDescent="0.25">
      <c r="AA33" s="75"/>
      <c r="AB33" s="54"/>
      <c r="AC33" s="20"/>
      <c r="AD33" s="20"/>
    </row>
    <row r="34" spans="27:30" ht="18.75" x14ac:dyDescent="0.25">
      <c r="AA34" s="75"/>
      <c r="AB34" s="54"/>
      <c r="AC34" s="20"/>
      <c r="AD34" s="20"/>
    </row>
    <row r="35" spans="27:30" ht="18.75" x14ac:dyDescent="0.25">
      <c r="AA35" s="75"/>
      <c r="AB35" s="54"/>
      <c r="AC35" s="20"/>
      <c r="AD35" s="20"/>
    </row>
    <row r="36" spans="27:30" ht="18.75" x14ac:dyDescent="0.25">
      <c r="AA36" s="75"/>
      <c r="AB36" s="54"/>
      <c r="AC36" s="20"/>
      <c r="AD36" s="20"/>
    </row>
    <row r="37" spans="27:30" ht="18.75" x14ac:dyDescent="0.25">
      <c r="AA37" s="75"/>
      <c r="AB37" s="54"/>
      <c r="AC37" s="20"/>
      <c r="AD37" s="20"/>
    </row>
    <row r="38" spans="27:30" ht="18.75" x14ac:dyDescent="0.25">
      <c r="AA38" s="75"/>
      <c r="AB38" s="54"/>
      <c r="AC38" s="20"/>
      <c r="AD38" s="20"/>
    </row>
    <row r="39" spans="27:30" ht="18.75" x14ac:dyDescent="0.25">
      <c r="AA39" s="75"/>
      <c r="AB39" s="54"/>
      <c r="AC39" s="20"/>
      <c r="AD39" s="20"/>
    </row>
    <row r="40" spans="27:30" ht="18.75" x14ac:dyDescent="0.25">
      <c r="AA40" s="75"/>
      <c r="AB40" s="54"/>
      <c r="AC40" s="20"/>
      <c r="AD40" s="20"/>
    </row>
    <row r="41" spans="27:30" ht="18.75" x14ac:dyDescent="0.25">
      <c r="AA41" s="75"/>
      <c r="AB41" s="54"/>
      <c r="AC41" s="20"/>
      <c r="AD41" s="20"/>
    </row>
    <row r="42" spans="27:30" ht="18.75" x14ac:dyDescent="0.25">
      <c r="AA42" s="75"/>
      <c r="AB42" s="54"/>
      <c r="AC42" s="20"/>
      <c r="AD42" s="20"/>
    </row>
    <row r="43" spans="27:30" ht="18.75" x14ac:dyDescent="0.25">
      <c r="AA43" s="75"/>
      <c r="AB43" s="54"/>
      <c r="AC43" s="20"/>
      <c r="AD43" s="20"/>
    </row>
    <row r="44" spans="27:30" ht="18.75" x14ac:dyDescent="0.25">
      <c r="AA44" s="75"/>
      <c r="AB44" s="54"/>
      <c r="AC44" s="20"/>
      <c r="AD44" s="20"/>
    </row>
    <row r="45" spans="27:30" ht="18.75" x14ac:dyDescent="0.25">
      <c r="AA45" s="75"/>
      <c r="AB45" s="54"/>
      <c r="AC45" s="20"/>
      <c r="AD45" s="20"/>
    </row>
    <row r="46" spans="27:30" ht="18.75" x14ac:dyDescent="0.25">
      <c r="AA46" s="75"/>
      <c r="AB46" s="54"/>
      <c r="AC46" s="20"/>
      <c r="AD46" s="20"/>
    </row>
    <row r="47" spans="27:30" ht="18.75" x14ac:dyDescent="0.25">
      <c r="AA47" s="75"/>
      <c r="AB47" s="54"/>
      <c r="AC47" s="20"/>
      <c r="AD47" s="20"/>
    </row>
    <row r="48" spans="27:30" ht="18.75" x14ac:dyDescent="0.25">
      <c r="AA48" s="75"/>
      <c r="AB48" s="54"/>
      <c r="AC48" s="20"/>
      <c r="AD48" s="20"/>
    </row>
    <row r="49" spans="27:30" ht="18.75" x14ac:dyDescent="0.25">
      <c r="AA49" s="75"/>
      <c r="AB49" s="54"/>
      <c r="AC49" s="20"/>
      <c r="AD49" s="20"/>
    </row>
    <row r="50" spans="27:30" ht="18.75" x14ac:dyDescent="0.25">
      <c r="AA50" s="75"/>
      <c r="AB50" s="54"/>
      <c r="AC50" s="20"/>
      <c r="AD50" s="20"/>
    </row>
    <row r="51" spans="27:30" ht="18.75" x14ac:dyDescent="0.25">
      <c r="AA51" s="75"/>
      <c r="AB51" s="54"/>
      <c r="AC51" s="20"/>
      <c r="AD51" s="20"/>
    </row>
    <row r="52" spans="27:30" ht="18.75" x14ac:dyDescent="0.25">
      <c r="AA52" s="75"/>
      <c r="AB52" s="54"/>
      <c r="AC52" s="20"/>
      <c r="AD52" s="20"/>
    </row>
    <row r="53" spans="27:30" ht="18.75" x14ac:dyDescent="0.25">
      <c r="AA53" s="75"/>
      <c r="AB53" s="54"/>
      <c r="AC53" s="20"/>
      <c r="AD53" s="20"/>
    </row>
    <row r="54" spans="27:30" ht="18.75" x14ac:dyDescent="0.25">
      <c r="AA54" s="75"/>
      <c r="AB54" s="54"/>
      <c r="AC54" s="20"/>
      <c r="AD54" s="20"/>
    </row>
    <row r="55" spans="27:30" ht="18.75" x14ac:dyDescent="0.25">
      <c r="AA55" s="75"/>
      <c r="AB55" s="54"/>
      <c r="AC55" s="20"/>
      <c r="AD55" s="20"/>
    </row>
    <row r="56" spans="27:30" ht="18.75" x14ac:dyDescent="0.25">
      <c r="AA56" s="75"/>
      <c r="AB56" s="54"/>
      <c r="AC56" s="20"/>
      <c r="AD56" s="20"/>
    </row>
    <row r="57" spans="27:30" ht="18.75" x14ac:dyDescent="0.25">
      <c r="AA57" s="75"/>
      <c r="AB57" s="54"/>
      <c r="AC57" s="20"/>
      <c r="AD57" s="20"/>
    </row>
    <row r="58" spans="27:30" ht="18.75" x14ac:dyDescent="0.25">
      <c r="AA58" s="75"/>
      <c r="AB58" s="54"/>
      <c r="AC58" s="20"/>
      <c r="AD58" s="20"/>
    </row>
    <row r="59" spans="27:30" ht="18.75" x14ac:dyDescent="0.25">
      <c r="AA59" s="75"/>
      <c r="AB59" s="54"/>
      <c r="AC59" s="20"/>
      <c r="AD59" s="20"/>
    </row>
    <row r="60" spans="27:30" ht="18.75" x14ac:dyDescent="0.25">
      <c r="AA60" s="75"/>
      <c r="AB60" s="54"/>
      <c r="AC60" s="20"/>
      <c r="AD60" s="20"/>
    </row>
    <row r="61" spans="27:30" ht="18.75" x14ac:dyDescent="0.25">
      <c r="AA61" s="75"/>
      <c r="AB61" s="54"/>
      <c r="AC61" s="20"/>
      <c r="AD61" s="20"/>
    </row>
    <row r="62" spans="27:30" ht="18.75" x14ac:dyDescent="0.25">
      <c r="AA62" s="75"/>
      <c r="AB62" s="54"/>
      <c r="AC62" s="20"/>
      <c r="AD62" s="20"/>
    </row>
    <row r="63" spans="27:30" ht="18.75" x14ac:dyDescent="0.25">
      <c r="AA63" s="75"/>
      <c r="AB63" s="54"/>
      <c r="AC63" s="20"/>
      <c r="AD63" s="20"/>
    </row>
    <row r="64" spans="27:30" ht="18.75" x14ac:dyDescent="0.25">
      <c r="AA64" s="75"/>
      <c r="AB64" s="54"/>
      <c r="AC64" s="20"/>
      <c r="AD64" s="20"/>
    </row>
    <row r="65" spans="27:30" ht="18.75" x14ac:dyDescent="0.25">
      <c r="AA65" s="75"/>
      <c r="AB65" s="54"/>
      <c r="AC65" s="20"/>
      <c r="AD65" s="20"/>
    </row>
    <row r="66" spans="27:30" ht="18.75" x14ac:dyDescent="0.25">
      <c r="AA66" s="75"/>
      <c r="AB66" s="54"/>
      <c r="AC66" s="20"/>
      <c r="AD66" s="20"/>
    </row>
    <row r="67" spans="27:30" ht="18.75" x14ac:dyDescent="0.25">
      <c r="AA67" s="75"/>
      <c r="AB67" s="54"/>
      <c r="AC67" s="20"/>
      <c r="AD67" s="20"/>
    </row>
    <row r="68" spans="27:30" ht="18.75" x14ac:dyDescent="0.25">
      <c r="AA68" s="75"/>
      <c r="AB68" s="54"/>
      <c r="AC68" s="20"/>
      <c r="AD68" s="20"/>
    </row>
    <row r="69" spans="27:30" ht="18.75" x14ac:dyDescent="0.25">
      <c r="AA69" s="75"/>
      <c r="AB69" s="54"/>
      <c r="AC69" s="20"/>
      <c r="AD69" s="20"/>
    </row>
    <row r="70" spans="27:30" ht="18.75" x14ac:dyDescent="0.25">
      <c r="AA70" s="75"/>
      <c r="AB70" s="54"/>
      <c r="AC70" s="20"/>
      <c r="AD70" s="20"/>
    </row>
    <row r="71" spans="27:30" ht="18.75" x14ac:dyDescent="0.25">
      <c r="AA71" s="75"/>
      <c r="AB71" s="54"/>
      <c r="AC71" s="20"/>
      <c r="AD71" s="20"/>
    </row>
    <row r="72" spans="27:30" ht="18.75" x14ac:dyDescent="0.25">
      <c r="AA72" s="75"/>
      <c r="AB72" s="54"/>
      <c r="AC72" s="20"/>
      <c r="AD72" s="20"/>
    </row>
    <row r="73" spans="27:30" ht="18.75" x14ac:dyDescent="0.25">
      <c r="AA73" s="75"/>
      <c r="AB73" s="54"/>
      <c r="AC73" s="20"/>
      <c r="AD73" s="20"/>
    </row>
    <row r="74" spans="27:30" ht="18.75" x14ac:dyDescent="0.25">
      <c r="AA74" s="75"/>
      <c r="AB74" s="54"/>
      <c r="AC74" s="20"/>
      <c r="AD74" s="20"/>
    </row>
    <row r="75" spans="27:30" ht="18.75" x14ac:dyDescent="0.25">
      <c r="AA75" s="75"/>
      <c r="AB75" s="54"/>
      <c r="AC75" s="20"/>
      <c r="AD75" s="20"/>
    </row>
    <row r="76" spans="27:30" ht="18.75" x14ac:dyDescent="0.25">
      <c r="AA76" s="75"/>
      <c r="AB76" s="54"/>
      <c r="AC76" s="20"/>
      <c r="AD76" s="20"/>
    </row>
    <row r="77" spans="27:30" ht="18.75" x14ac:dyDescent="0.25">
      <c r="AA77" s="75"/>
      <c r="AB77" s="54"/>
      <c r="AC77" s="20"/>
      <c r="AD77" s="20"/>
    </row>
    <row r="78" spans="27:30" ht="18.75" x14ac:dyDescent="0.25">
      <c r="AA78" s="75"/>
      <c r="AB78" s="54"/>
      <c r="AC78" s="20"/>
      <c r="AD78" s="20"/>
    </row>
    <row r="79" spans="27:30" ht="18.75" x14ac:dyDescent="0.25">
      <c r="AA79" s="75"/>
      <c r="AB79" s="54"/>
      <c r="AC79" s="20"/>
      <c r="AD79" s="20"/>
    </row>
    <row r="80" spans="27:30" ht="18.75" x14ac:dyDescent="0.25">
      <c r="AA80" s="75"/>
      <c r="AB80" s="54"/>
      <c r="AC80" s="20"/>
      <c r="AD80" s="20"/>
    </row>
    <row r="81" spans="27:30" ht="18.75" x14ac:dyDescent="0.25">
      <c r="AA81" s="75"/>
      <c r="AB81" s="54"/>
      <c r="AC81" s="20"/>
      <c r="AD81" s="20"/>
    </row>
    <row r="82" spans="27:30" ht="18.75" x14ac:dyDescent="0.25">
      <c r="AA82" s="75"/>
      <c r="AB82" s="54"/>
      <c r="AC82" s="20"/>
      <c r="AD82" s="20"/>
    </row>
    <row r="83" spans="27:30" ht="18.75" x14ac:dyDescent="0.25">
      <c r="AA83" s="75"/>
      <c r="AB83" s="54"/>
      <c r="AC83" s="20"/>
      <c r="AD83" s="20"/>
    </row>
    <row r="84" spans="27:30" ht="18.75" x14ac:dyDescent="0.25">
      <c r="AA84" s="75"/>
      <c r="AB84" s="54"/>
      <c r="AC84" s="20"/>
      <c r="AD84" s="20"/>
    </row>
    <row r="85" spans="27:30" ht="18.75" x14ac:dyDescent="0.25">
      <c r="AA85" s="75"/>
      <c r="AB85" s="54"/>
      <c r="AC85" s="20"/>
      <c r="AD85" s="20"/>
    </row>
    <row r="86" spans="27:30" ht="18.75" x14ac:dyDescent="0.25">
      <c r="AA86" s="75"/>
      <c r="AB86" s="54"/>
      <c r="AC86" s="20"/>
      <c r="AD86" s="20"/>
    </row>
    <row r="87" spans="27:30" ht="18.75" x14ac:dyDescent="0.25">
      <c r="AA87" s="75"/>
      <c r="AB87" s="54"/>
      <c r="AC87" s="20"/>
      <c r="AD87" s="20"/>
    </row>
    <row r="88" spans="27:30" ht="18.75" x14ac:dyDescent="0.25">
      <c r="AA88" s="75"/>
      <c r="AB88" s="54"/>
      <c r="AC88" s="20"/>
      <c r="AD88" s="20"/>
    </row>
    <row r="89" spans="27:30" ht="18.75" x14ac:dyDescent="0.25">
      <c r="AA89" s="75"/>
      <c r="AB89" s="54"/>
      <c r="AC89" s="20"/>
      <c r="AD89" s="20"/>
    </row>
    <row r="90" spans="27:30" ht="18.75" x14ac:dyDescent="0.25">
      <c r="AA90" s="75"/>
      <c r="AB90" s="54"/>
      <c r="AC90" s="20"/>
      <c r="AD90" s="20"/>
    </row>
    <row r="91" spans="27:30" ht="18.75" x14ac:dyDescent="0.25">
      <c r="AA91" s="75"/>
      <c r="AB91" s="54"/>
      <c r="AC91" s="20"/>
      <c r="AD91" s="20"/>
    </row>
    <row r="92" spans="27:30" ht="18.75" x14ac:dyDescent="0.25">
      <c r="AA92" s="75"/>
      <c r="AB92" s="54"/>
      <c r="AC92" s="20"/>
      <c r="AD92" s="20"/>
    </row>
    <row r="93" spans="27:30" ht="18.75" x14ac:dyDescent="0.25">
      <c r="AA93" s="75"/>
      <c r="AB93" s="54"/>
      <c r="AC93" s="20"/>
      <c r="AD93" s="20"/>
    </row>
    <row r="94" spans="27:30" ht="18.75" x14ac:dyDescent="0.25">
      <c r="AA94" s="75"/>
      <c r="AB94" s="54"/>
      <c r="AC94" s="20"/>
      <c r="AD94" s="20"/>
    </row>
    <row r="95" spans="27:30" ht="18.75" x14ac:dyDescent="0.25">
      <c r="AA95" s="75"/>
      <c r="AB95" s="54"/>
      <c r="AC95" s="20"/>
      <c r="AD95" s="20"/>
    </row>
    <row r="96" spans="27:30" ht="18.75" x14ac:dyDescent="0.25">
      <c r="AA96" s="75"/>
      <c r="AB96" s="54"/>
      <c r="AC96" s="20"/>
      <c r="AD96" s="20"/>
    </row>
    <row r="97" spans="27:30" ht="18.75" x14ac:dyDescent="0.25">
      <c r="AA97" s="75"/>
      <c r="AB97" s="54"/>
      <c r="AC97" s="20"/>
      <c r="AD97" s="20"/>
    </row>
    <row r="98" spans="27:30" ht="18.75" x14ac:dyDescent="0.25">
      <c r="AA98" s="75"/>
      <c r="AB98" s="54"/>
      <c r="AC98" s="20"/>
      <c r="AD98" s="20"/>
    </row>
    <row r="99" spans="27:30" ht="18.75" x14ac:dyDescent="0.25">
      <c r="AA99" s="75"/>
      <c r="AB99" s="54"/>
      <c r="AC99" s="20"/>
      <c r="AD99" s="20"/>
    </row>
    <row r="100" spans="27:30" ht="18.75" x14ac:dyDescent="0.25">
      <c r="AA100" s="75"/>
      <c r="AB100" s="54"/>
      <c r="AC100" s="20"/>
      <c r="AD100" s="20"/>
    </row>
    <row r="101" spans="27:30" ht="18.75" x14ac:dyDescent="0.25">
      <c r="AA101" s="75"/>
      <c r="AB101" s="54"/>
      <c r="AC101" s="20"/>
      <c r="AD101" s="20"/>
    </row>
    <row r="102" spans="27:30" ht="18.75" x14ac:dyDescent="0.25">
      <c r="AA102" s="75"/>
      <c r="AB102" s="54"/>
      <c r="AC102" s="20"/>
      <c r="AD102" s="20"/>
    </row>
    <row r="103" spans="27:30" ht="18.75" x14ac:dyDescent="0.25">
      <c r="AA103" s="75"/>
      <c r="AB103" s="54"/>
      <c r="AC103" s="20"/>
      <c r="AD103" s="20"/>
    </row>
    <row r="104" spans="27:30" ht="18.75" x14ac:dyDescent="0.25">
      <c r="AA104" s="75"/>
      <c r="AB104" s="54"/>
      <c r="AC104" s="20"/>
      <c r="AD104" s="20"/>
    </row>
    <row r="105" spans="27:30" ht="18.75" x14ac:dyDescent="0.25">
      <c r="AA105" s="75"/>
      <c r="AB105" s="54"/>
      <c r="AC105" s="20"/>
      <c r="AD105" s="20"/>
    </row>
    <row r="106" spans="27:30" ht="18.75" x14ac:dyDescent="0.25">
      <c r="AA106" s="75"/>
      <c r="AB106" s="54"/>
      <c r="AC106" s="20"/>
      <c r="AD106" s="20"/>
    </row>
    <row r="107" spans="27:30" ht="18.75" x14ac:dyDescent="0.25">
      <c r="AA107" s="75"/>
      <c r="AB107" s="54"/>
      <c r="AC107" s="20"/>
      <c r="AD107" s="20"/>
    </row>
    <row r="108" spans="27:30" ht="18.75" x14ac:dyDescent="0.25">
      <c r="AA108" s="75"/>
      <c r="AB108" s="54"/>
      <c r="AC108" s="20"/>
      <c r="AD108" s="20"/>
    </row>
    <row r="109" spans="27:30" ht="18.75" x14ac:dyDescent="0.25">
      <c r="AA109" s="75"/>
      <c r="AB109" s="54"/>
      <c r="AC109" s="20"/>
      <c r="AD109" s="20"/>
    </row>
    <row r="110" spans="27:30" ht="18.75" x14ac:dyDescent="0.25">
      <c r="AA110" s="75"/>
      <c r="AB110" s="54"/>
      <c r="AC110" s="20"/>
      <c r="AD110" s="20"/>
    </row>
    <row r="111" spans="27:30" ht="18.75" x14ac:dyDescent="0.25">
      <c r="AA111" s="75"/>
      <c r="AB111" s="54"/>
      <c r="AC111" s="20"/>
      <c r="AD111" s="20"/>
    </row>
    <row r="112" spans="27:30" ht="18.75" x14ac:dyDescent="0.25">
      <c r="AA112" s="75"/>
      <c r="AB112" s="54"/>
      <c r="AC112" s="20"/>
      <c r="AD112" s="20"/>
    </row>
    <row r="113" spans="27:30" ht="18.75" x14ac:dyDescent="0.25">
      <c r="AA113" s="75"/>
      <c r="AB113" s="54"/>
      <c r="AC113" s="20"/>
      <c r="AD113" s="20"/>
    </row>
    <row r="114" spans="27:30" ht="18.75" x14ac:dyDescent="0.25">
      <c r="AA114" s="75"/>
      <c r="AB114" s="54"/>
      <c r="AC114" s="20"/>
      <c r="AD114" s="20"/>
    </row>
    <row r="115" spans="27:30" ht="18.75" x14ac:dyDescent="0.25">
      <c r="AA115" s="75"/>
      <c r="AB115" s="54"/>
      <c r="AC115" s="20"/>
      <c r="AD115" s="20"/>
    </row>
    <row r="116" spans="27:30" ht="18.75" x14ac:dyDescent="0.25">
      <c r="AA116" s="75"/>
      <c r="AB116" s="54"/>
      <c r="AC116" s="20"/>
      <c r="AD116" s="20"/>
    </row>
    <row r="117" spans="27:30" ht="18.75" x14ac:dyDescent="0.25">
      <c r="AA117" s="75"/>
      <c r="AB117" s="54"/>
      <c r="AC117" s="20"/>
      <c r="AD117" s="20"/>
    </row>
    <row r="118" spans="27:30" ht="18.75" x14ac:dyDescent="0.25">
      <c r="AA118" s="75"/>
      <c r="AB118" s="54"/>
      <c r="AC118" s="20"/>
      <c r="AD118" s="20"/>
    </row>
    <row r="119" spans="27:30" ht="18.75" x14ac:dyDescent="0.25">
      <c r="AA119" s="75"/>
      <c r="AB119" s="54"/>
      <c r="AC119" s="20"/>
      <c r="AD119" s="20"/>
    </row>
    <row r="120" spans="27:30" ht="18.75" x14ac:dyDescent="0.25">
      <c r="AA120" s="75"/>
      <c r="AB120" s="54"/>
      <c r="AC120" s="20"/>
      <c r="AD120" s="20"/>
    </row>
    <row r="121" spans="27:30" ht="18.75" x14ac:dyDescent="0.25">
      <c r="AA121" s="75"/>
      <c r="AB121" s="54"/>
      <c r="AC121" s="20"/>
      <c r="AD121" s="20"/>
    </row>
    <row r="122" spans="27:30" ht="18.75" x14ac:dyDescent="0.25">
      <c r="AA122" s="75"/>
      <c r="AB122" s="54"/>
      <c r="AC122" s="20"/>
      <c r="AD122" s="20"/>
    </row>
    <row r="123" spans="27:30" ht="18.75" x14ac:dyDescent="0.25">
      <c r="AA123" s="75"/>
      <c r="AB123" s="54"/>
      <c r="AC123" s="20"/>
      <c r="AD123" s="20"/>
    </row>
    <row r="124" spans="27:30" ht="18.75" x14ac:dyDescent="0.25">
      <c r="AA124" s="75"/>
      <c r="AB124" s="54"/>
      <c r="AC124" s="20"/>
      <c r="AD124" s="20"/>
    </row>
    <row r="125" spans="27:30" ht="18.75" x14ac:dyDescent="0.25">
      <c r="AA125" s="75"/>
      <c r="AB125" s="54"/>
      <c r="AC125" s="20"/>
      <c r="AD125" s="20"/>
    </row>
    <row r="126" spans="27:30" ht="18.75" x14ac:dyDescent="0.25">
      <c r="AA126" s="75"/>
      <c r="AB126" s="54"/>
      <c r="AC126" s="20"/>
      <c r="AD126" s="20"/>
    </row>
    <row r="127" spans="27:30" ht="18.75" x14ac:dyDescent="0.25">
      <c r="AA127" s="75"/>
      <c r="AB127" s="54"/>
      <c r="AC127" s="20"/>
      <c r="AD127" s="20"/>
    </row>
    <row r="128" spans="27:30" ht="18.75" x14ac:dyDescent="0.25">
      <c r="AA128" s="75"/>
      <c r="AB128" s="54"/>
      <c r="AC128" s="20"/>
      <c r="AD128" s="20"/>
    </row>
    <row r="129" spans="27:30" ht="18.75" x14ac:dyDescent="0.25">
      <c r="AA129" s="75"/>
      <c r="AB129" s="54"/>
      <c r="AC129" s="20"/>
      <c r="AD129" s="20"/>
    </row>
    <row r="130" spans="27:30" ht="18.75" x14ac:dyDescent="0.25">
      <c r="AA130" s="75"/>
      <c r="AB130" s="54"/>
      <c r="AC130" s="20"/>
      <c r="AD130" s="20"/>
    </row>
    <row r="131" spans="27:30" ht="18.75" x14ac:dyDescent="0.25">
      <c r="AA131" s="75"/>
      <c r="AB131" s="54"/>
      <c r="AC131" s="20"/>
      <c r="AD131" s="20"/>
    </row>
    <row r="132" spans="27:30" ht="18.75" x14ac:dyDescent="0.25">
      <c r="AA132" s="75"/>
      <c r="AB132" s="54"/>
      <c r="AC132" s="20"/>
      <c r="AD132" s="20"/>
    </row>
    <row r="133" spans="27:30" ht="18.75" x14ac:dyDescent="0.25">
      <c r="AA133" s="75"/>
      <c r="AB133" s="54"/>
      <c r="AC133" s="20"/>
      <c r="AD133" s="20"/>
    </row>
    <row r="134" spans="27:30" ht="18.75" x14ac:dyDescent="0.25">
      <c r="AA134" s="75"/>
      <c r="AB134" s="54"/>
      <c r="AC134" s="20"/>
      <c r="AD134" s="20"/>
    </row>
    <row r="135" spans="27:30" ht="18.75" x14ac:dyDescent="0.25">
      <c r="AA135" s="75"/>
      <c r="AB135" s="54"/>
      <c r="AC135" s="20"/>
      <c r="AD135" s="20"/>
    </row>
    <row r="136" spans="27:30" ht="18.75" x14ac:dyDescent="0.25">
      <c r="AA136" s="75"/>
      <c r="AB136" s="54"/>
      <c r="AC136" s="20"/>
      <c r="AD136" s="20"/>
    </row>
    <row r="137" spans="27:30" ht="18.75" x14ac:dyDescent="0.25">
      <c r="AA137" s="75"/>
      <c r="AB137" s="54"/>
      <c r="AC137" s="20"/>
      <c r="AD137" s="20"/>
    </row>
    <row r="138" spans="27:30" ht="18.75" x14ac:dyDescent="0.25">
      <c r="AA138" s="75"/>
      <c r="AB138" s="54"/>
      <c r="AC138" s="20"/>
      <c r="AD138" s="20"/>
    </row>
    <row r="139" spans="27:30" ht="18.75" x14ac:dyDescent="0.25">
      <c r="AA139" s="75"/>
      <c r="AB139" s="54"/>
      <c r="AC139" s="20"/>
      <c r="AD139" s="20"/>
    </row>
    <row r="140" spans="27:30" ht="18.75" x14ac:dyDescent="0.25">
      <c r="AA140" s="75"/>
      <c r="AB140" s="54"/>
      <c r="AC140" s="20"/>
      <c r="AD140" s="20"/>
    </row>
    <row r="141" spans="27:30" ht="18.75" x14ac:dyDescent="0.25">
      <c r="AA141" s="75"/>
      <c r="AB141" s="54"/>
      <c r="AC141" s="20"/>
      <c r="AD141" s="20"/>
    </row>
    <row r="142" spans="27:30" ht="18.75" x14ac:dyDescent="0.25">
      <c r="AA142" s="75"/>
      <c r="AB142" s="54"/>
      <c r="AC142" s="20"/>
      <c r="AD142" s="20"/>
    </row>
    <row r="143" spans="27:30" ht="18.75" x14ac:dyDescent="0.25">
      <c r="AA143" s="75"/>
      <c r="AB143" s="54"/>
      <c r="AC143" s="20"/>
      <c r="AD143" s="20"/>
    </row>
    <row r="144" spans="27:30" ht="18.75" x14ac:dyDescent="0.25">
      <c r="AA144" s="75"/>
      <c r="AB144" s="54"/>
      <c r="AC144" s="20"/>
      <c r="AD144" s="20"/>
    </row>
    <row r="145" spans="27:30" ht="18.75" x14ac:dyDescent="0.25">
      <c r="AA145" s="75"/>
      <c r="AB145" s="54"/>
      <c r="AC145" s="20"/>
      <c r="AD145" s="20"/>
    </row>
    <row r="146" spans="27:30" ht="18.75" x14ac:dyDescent="0.25">
      <c r="AA146" s="75"/>
      <c r="AB146" s="54"/>
      <c r="AC146" s="20"/>
      <c r="AD146" s="20"/>
    </row>
    <row r="147" spans="27:30" ht="18.75" x14ac:dyDescent="0.25">
      <c r="AA147" s="75"/>
      <c r="AB147" s="54"/>
      <c r="AC147" s="20"/>
      <c r="AD147" s="20"/>
    </row>
    <row r="148" spans="27:30" ht="18.75" x14ac:dyDescent="0.25">
      <c r="AA148" s="75"/>
      <c r="AB148" s="54"/>
      <c r="AC148" s="20"/>
      <c r="AD148" s="20"/>
    </row>
    <row r="149" spans="27:30" ht="18.75" x14ac:dyDescent="0.25">
      <c r="AA149" s="75"/>
      <c r="AB149" s="54"/>
      <c r="AC149" s="20"/>
      <c r="AD149" s="20"/>
    </row>
    <row r="150" spans="27:30" ht="18.75" x14ac:dyDescent="0.25">
      <c r="AA150" s="75"/>
      <c r="AB150" s="54"/>
      <c r="AC150" s="20"/>
      <c r="AD150" s="20"/>
    </row>
    <row r="151" spans="27:30" ht="18.75" x14ac:dyDescent="0.25">
      <c r="AA151" s="75"/>
      <c r="AB151" s="54"/>
      <c r="AC151" s="20"/>
      <c r="AD151" s="20"/>
    </row>
    <row r="152" spans="27:30" ht="18.75" x14ac:dyDescent="0.25">
      <c r="AA152" s="75"/>
      <c r="AB152" s="54"/>
      <c r="AC152" s="20"/>
      <c r="AD152" s="20"/>
    </row>
    <row r="153" spans="27:30" ht="18.75" x14ac:dyDescent="0.25">
      <c r="AA153" s="75"/>
      <c r="AB153" s="54"/>
      <c r="AC153" s="20"/>
      <c r="AD153" s="20"/>
    </row>
    <row r="154" spans="27:30" ht="18.75" x14ac:dyDescent="0.25">
      <c r="AA154" s="75"/>
      <c r="AB154" s="54"/>
      <c r="AC154" s="20"/>
      <c r="AD154" s="20"/>
    </row>
    <row r="155" spans="27:30" ht="18.75" x14ac:dyDescent="0.25">
      <c r="AA155" s="75"/>
      <c r="AB155" s="54"/>
      <c r="AC155" s="20"/>
      <c r="AD155" s="20"/>
    </row>
    <row r="156" spans="27:30" ht="18.75" x14ac:dyDescent="0.25">
      <c r="AA156" s="75"/>
      <c r="AB156" s="54"/>
      <c r="AC156" s="20"/>
      <c r="AD156" s="20"/>
    </row>
    <row r="157" spans="27:30" ht="18.75" x14ac:dyDescent="0.25">
      <c r="AA157" s="75"/>
      <c r="AB157" s="54"/>
      <c r="AC157" s="20"/>
      <c r="AD157" s="20"/>
    </row>
    <row r="158" spans="27:30" ht="18.75" x14ac:dyDescent="0.25">
      <c r="AA158" s="75"/>
      <c r="AB158" s="54"/>
      <c r="AC158" s="20"/>
      <c r="AD158" s="20"/>
    </row>
    <row r="159" spans="27:30" ht="18.75" x14ac:dyDescent="0.25">
      <c r="AA159" s="75"/>
      <c r="AB159" s="54"/>
      <c r="AC159" s="20"/>
      <c r="AD159" s="20"/>
    </row>
    <row r="160" spans="27:30" ht="18.75" x14ac:dyDescent="0.25">
      <c r="AA160" s="75"/>
      <c r="AB160" s="54"/>
      <c r="AC160" s="20"/>
      <c r="AD160" s="20"/>
    </row>
    <row r="161" spans="27:30" ht="18.75" x14ac:dyDescent="0.25">
      <c r="AA161" s="75"/>
      <c r="AB161" s="54"/>
      <c r="AC161" s="20"/>
      <c r="AD161" s="20"/>
    </row>
    <row r="162" spans="27:30" ht="18.75" x14ac:dyDescent="0.25">
      <c r="AA162" s="75"/>
      <c r="AB162" s="54"/>
      <c r="AC162" s="20"/>
      <c r="AD162" s="20"/>
    </row>
    <row r="163" spans="27:30" ht="18.75" x14ac:dyDescent="0.25">
      <c r="AA163" s="75"/>
      <c r="AB163" s="54"/>
      <c r="AC163" s="20"/>
      <c r="AD163" s="20"/>
    </row>
    <row r="164" spans="27:30" ht="18.75" x14ac:dyDescent="0.25">
      <c r="AA164" s="75"/>
      <c r="AB164" s="54"/>
      <c r="AC164" s="20"/>
      <c r="AD164" s="20"/>
    </row>
    <row r="165" spans="27:30" ht="18.75" x14ac:dyDescent="0.25">
      <c r="AA165" s="75"/>
      <c r="AB165" s="54"/>
      <c r="AC165" s="20"/>
      <c r="AD165" s="20"/>
    </row>
    <row r="166" spans="27:30" ht="18.75" x14ac:dyDescent="0.25">
      <c r="AA166" s="75"/>
      <c r="AB166" s="54"/>
      <c r="AC166" s="20"/>
      <c r="AD166" s="20"/>
    </row>
    <row r="167" spans="27:30" ht="18.75" x14ac:dyDescent="0.25">
      <c r="AA167" s="75"/>
      <c r="AB167" s="54"/>
      <c r="AC167" s="20"/>
      <c r="AD167" s="20"/>
    </row>
    <row r="168" spans="27:30" ht="18.75" x14ac:dyDescent="0.25">
      <c r="AA168" s="75"/>
      <c r="AB168" s="54"/>
      <c r="AC168" s="20"/>
      <c r="AD168" s="20"/>
    </row>
    <row r="169" spans="27:30" ht="18.75" x14ac:dyDescent="0.25">
      <c r="AA169" s="75"/>
      <c r="AB169" s="54"/>
      <c r="AC169" s="20"/>
      <c r="AD169" s="20"/>
    </row>
    <row r="170" spans="27:30" ht="18.75" x14ac:dyDescent="0.25">
      <c r="AA170" s="75"/>
      <c r="AB170" s="54"/>
      <c r="AC170" s="20"/>
      <c r="AD170" s="20"/>
    </row>
    <row r="171" spans="27:30" ht="18.75" x14ac:dyDescent="0.25">
      <c r="AA171" s="75"/>
      <c r="AB171" s="54"/>
      <c r="AC171" s="20"/>
      <c r="AD171" s="20"/>
    </row>
    <row r="172" spans="27:30" ht="18.75" x14ac:dyDescent="0.25">
      <c r="AA172" s="75"/>
      <c r="AB172" s="54"/>
      <c r="AC172" s="20"/>
      <c r="AD172" s="20"/>
    </row>
    <row r="173" spans="27:30" ht="18.75" x14ac:dyDescent="0.25">
      <c r="AA173" s="75"/>
      <c r="AB173" s="54"/>
      <c r="AC173" s="20"/>
      <c r="AD173" s="20"/>
    </row>
    <row r="174" spans="27:30" ht="18.75" x14ac:dyDescent="0.25">
      <c r="AA174" s="75"/>
      <c r="AB174" s="54"/>
      <c r="AC174" s="20"/>
      <c r="AD174" s="20"/>
    </row>
    <row r="175" spans="27:30" ht="18.75" x14ac:dyDescent="0.25">
      <c r="AA175" s="75"/>
      <c r="AB175" s="54"/>
      <c r="AC175" s="20"/>
      <c r="AD175" s="20"/>
    </row>
    <row r="176" spans="27:30" ht="18.75" x14ac:dyDescent="0.25">
      <c r="AA176" s="75"/>
      <c r="AB176" s="54"/>
      <c r="AC176" s="20"/>
      <c r="AD176" s="20"/>
    </row>
    <row r="177" spans="27:30" ht="18.75" x14ac:dyDescent="0.25">
      <c r="AA177" s="75"/>
      <c r="AB177" s="54"/>
      <c r="AC177" s="20"/>
      <c r="AD177" s="20"/>
    </row>
    <row r="178" spans="27:30" ht="18.75" x14ac:dyDescent="0.25">
      <c r="AA178" s="75"/>
      <c r="AB178" s="54"/>
      <c r="AC178" s="20"/>
      <c r="AD178" s="20"/>
    </row>
    <row r="179" spans="27:30" ht="18.75" x14ac:dyDescent="0.25">
      <c r="AA179" s="75"/>
      <c r="AB179" s="54"/>
      <c r="AC179" s="20"/>
      <c r="AD179" s="20"/>
    </row>
    <row r="180" spans="27:30" ht="18.75" x14ac:dyDescent="0.25">
      <c r="AA180" s="75"/>
      <c r="AB180" s="54"/>
      <c r="AC180" s="20"/>
      <c r="AD180" s="20"/>
    </row>
    <row r="181" spans="27:30" ht="18.75" x14ac:dyDescent="0.25">
      <c r="AA181" s="75"/>
      <c r="AB181" s="54"/>
      <c r="AC181" s="20"/>
      <c r="AD181" s="20"/>
    </row>
    <row r="182" spans="27:30" ht="18.75" x14ac:dyDescent="0.25">
      <c r="AA182" s="75"/>
      <c r="AB182" s="54"/>
      <c r="AC182" s="20"/>
      <c r="AD182" s="20"/>
    </row>
    <row r="183" spans="27:30" ht="18.75" x14ac:dyDescent="0.25">
      <c r="AA183" s="75"/>
      <c r="AB183" s="54"/>
      <c r="AC183" s="20"/>
      <c r="AD183" s="20"/>
    </row>
    <row r="184" spans="27:30" ht="18.75" x14ac:dyDescent="0.25">
      <c r="AA184" s="75"/>
      <c r="AB184" s="54"/>
      <c r="AC184" s="20"/>
      <c r="AD184" s="20"/>
    </row>
    <row r="185" spans="27:30" ht="18.75" x14ac:dyDescent="0.25">
      <c r="AA185" s="75"/>
      <c r="AB185" s="54"/>
      <c r="AC185" s="20"/>
      <c r="AD185" s="20"/>
    </row>
    <row r="186" spans="27:30" ht="18.75" x14ac:dyDescent="0.25">
      <c r="AA186" s="75"/>
      <c r="AB186" s="54"/>
      <c r="AC186" s="20"/>
      <c r="AD186" s="20"/>
    </row>
    <row r="187" spans="27:30" ht="18.75" x14ac:dyDescent="0.25">
      <c r="AA187" s="75"/>
      <c r="AB187" s="54"/>
      <c r="AC187" s="20"/>
      <c r="AD187" s="20"/>
    </row>
    <row r="188" spans="27:30" ht="18.75" x14ac:dyDescent="0.25">
      <c r="AA188" s="75"/>
      <c r="AB188" s="54"/>
      <c r="AC188" s="20"/>
      <c r="AD188" s="20"/>
    </row>
    <row r="189" spans="27:30" ht="18.75" x14ac:dyDescent="0.25">
      <c r="AA189" s="75"/>
      <c r="AB189" s="54"/>
      <c r="AC189" s="20"/>
      <c r="AD189" s="20"/>
    </row>
    <row r="190" spans="27:30" ht="18.75" x14ac:dyDescent="0.25">
      <c r="AA190" s="75"/>
      <c r="AB190" s="54"/>
      <c r="AC190" s="20"/>
      <c r="AD190" s="20"/>
    </row>
    <row r="191" spans="27:30" ht="18.75" x14ac:dyDescent="0.25">
      <c r="AA191" s="75"/>
      <c r="AB191" s="54"/>
      <c r="AC191" s="20"/>
      <c r="AD191" s="20"/>
    </row>
    <row r="192" spans="27:30" ht="18.75" x14ac:dyDescent="0.25">
      <c r="AA192" s="75"/>
      <c r="AB192" s="54"/>
      <c r="AC192" s="20"/>
      <c r="AD192" s="20"/>
    </row>
    <row r="193" spans="27:30" ht="18.75" x14ac:dyDescent="0.25">
      <c r="AA193" s="75"/>
      <c r="AB193" s="54"/>
      <c r="AC193" s="20"/>
      <c r="AD193" s="20"/>
    </row>
    <row r="194" spans="27:30" ht="18.75" x14ac:dyDescent="0.25">
      <c r="AA194" s="75"/>
      <c r="AB194" s="54"/>
      <c r="AC194" s="20"/>
      <c r="AD194" s="20"/>
    </row>
    <row r="195" spans="27:30" ht="18.75" x14ac:dyDescent="0.25">
      <c r="AA195" s="75"/>
      <c r="AB195" s="54"/>
      <c r="AC195" s="20"/>
      <c r="AD195" s="20"/>
    </row>
    <row r="196" spans="27:30" ht="18.75" x14ac:dyDescent="0.25">
      <c r="AA196" s="75"/>
      <c r="AB196" s="54"/>
      <c r="AC196" s="20"/>
      <c r="AD196" s="20"/>
    </row>
    <row r="197" spans="27:30" ht="18.75" x14ac:dyDescent="0.25">
      <c r="AA197" s="75"/>
      <c r="AB197" s="54"/>
      <c r="AC197" s="20"/>
      <c r="AD197" s="20"/>
    </row>
    <row r="198" spans="27:30" ht="18.75" x14ac:dyDescent="0.25">
      <c r="AA198" s="75"/>
      <c r="AB198" s="54"/>
      <c r="AC198" s="20"/>
      <c r="AD198" s="20"/>
    </row>
    <row r="199" spans="27:30" ht="18.75" x14ac:dyDescent="0.25">
      <c r="AA199" s="75"/>
      <c r="AB199" s="54"/>
      <c r="AC199" s="20"/>
      <c r="AD199" s="20"/>
    </row>
    <row r="200" spans="27:30" ht="18.75" x14ac:dyDescent="0.25">
      <c r="AA200" s="75"/>
      <c r="AB200" s="54"/>
      <c r="AC200" s="20"/>
      <c r="AD200" s="20"/>
    </row>
    <row r="201" spans="27:30" ht="18.75" x14ac:dyDescent="0.25">
      <c r="AA201" s="75"/>
      <c r="AB201" s="54"/>
      <c r="AC201" s="20"/>
      <c r="AD201" s="20"/>
    </row>
    <row r="202" spans="27:30" ht="18.75" x14ac:dyDescent="0.25">
      <c r="AA202" s="75"/>
      <c r="AB202" s="54"/>
      <c r="AC202" s="20"/>
      <c r="AD202" s="20"/>
    </row>
    <row r="203" spans="27:30" ht="18.75" x14ac:dyDescent="0.25">
      <c r="AA203" s="75"/>
      <c r="AB203" s="54"/>
      <c r="AC203" s="20"/>
      <c r="AD203" s="20"/>
    </row>
    <row r="204" spans="27:30" ht="18.75" x14ac:dyDescent="0.25">
      <c r="AA204" s="75"/>
      <c r="AB204" s="54"/>
      <c r="AC204" s="20"/>
      <c r="AD204" s="20"/>
    </row>
    <row r="205" spans="27:30" ht="18.75" x14ac:dyDescent="0.25">
      <c r="AA205" s="75"/>
      <c r="AB205" s="54"/>
      <c r="AC205" s="20"/>
      <c r="AD205" s="20"/>
    </row>
    <row r="206" spans="27:30" ht="18.75" x14ac:dyDescent="0.25">
      <c r="AA206" s="75"/>
      <c r="AB206" s="54"/>
      <c r="AC206" s="20"/>
      <c r="AD206" s="20"/>
    </row>
    <row r="207" spans="27:30" ht="18.75" x14ac:dyDescent="0.25">
      <c r="AA207" s="75"/>
      <c r="AB207" s="54"/>
      <c r="AC207" s="20"/>
      <c r="AD207" s="20"/>
    </row>
    <row r="208" spans="27:30" ht="18.75" x14ac:dyDescent="0.25">
      <c r="AA208" s="75"/>
      <c r="AB208" s="54"/>
      <c r="AC208" s="20"/>
      <c r="AD208" s="20"/>
    </row>
    <row r="209" spans="27:30" ht="18.75" x14ac:dyDescent="0.25">
      <c r="AA209" s="75"/>
      <c r="AB209" s="54"/>
      <c r="AC209" s="20"/>
      <c r="AD209" s="20"/>
    </row>
    <row r="210" spans="27:30" ht="18.75" x14ac:dyDescent="0.25">
      <c r="AA210" s="75"/>
      <c r="AB210" s="54"/>
      <c r="AC210" s="20"/>
      <c r="AD210" s="20"/>
    </row>
    <row r="211" spans="27:30" ht="18.75" x14ac:dyDescent="0.25">
      <c r="AA211" s="75"/>
      <c r="AB211" s="54"/>
      <c r="AC211" s="20"/>
      <c r="AD211" s="20"/>
    </row>
    <row r="212" spans="27:30" ht="18.75" x14ac:dyDescent="0.25">
      <c r="AA212" s="75"/>
      <c r="AB212" s="54"/>
      <c r="AC212" s="20"/>
      <c r="AD212" s="20"/>
    </row>
    <row r="213" spans="27:30" ht="18.75" x14ac:dyDescent="0.25">
      <c r="AA213" s="75"/>
      <c r="AB213" s="54"/>
      <c r="AC213" s="20"/>
      <c r="AD213" s="20"/>
    </row>
    <row r="214" spans="27:30" ht="18.75" x14ac:dyDescent="0.25">
      <c r="AA214" s="75"/>
      <c r="AB214" s="54"/>
      <c r="AC214" s="20"/>
      <c r="AD214" s="20"/>
    </row>
    <row r="215" spans="27:30" ht="18.75" x14ac:dyDescent="0.25">
      <c r="AA215" s="75"/>
      <c r="AB215" s="54"/>
      <c r="AC215" s="20"/>
      <c r="AD215" s="20"/>
    </row>
    <row r="216" spans="27:30" ht="18.75" x14ac:dyDescent="0.25">
      <c r="AA216" s="75"/>
      <c r="AB216" s="54"/>
      <c r="AC216" s="20"/>
      <c r="AD216" s="20"/>
    </row>
    <row r="217" spans="27:30" ht="18.75" x14ac:dyDescent="0.25">
      <c r="AA217" s="75"/>
      <c r="AB217" s="54"/>
      <c r="AC217" s="20"/>
      <c r="AD217" s="20"/>
    </row>
    <row r="218" spans="27:30" ht="18.75" x14ac:dyDescent="0.25">
      <c r="AA218" s="75"/>
      <c r="AB218" s="54"/>
      <c r="AC218" s="20"/>
      <c r="AD218" s="20"/>
    </row>
    <row r="219" spans="27:30" ht="18.75" x14ac:dyDescent="0.25">
      <c r="AA219" s="75"/>
      <c r="AB219" s="54"/>
      <c r="AC219" s="20"/>
      <c r="AD219" s="20"/>
    </row>
    <row r="220" spans="27:30" ht="18.75" x14ac:dyDescent="0.25">
      <c r="AA220" s="75"/>
      <c r="AB220" s="54"/>
      <c r="AC220" s="20"/>
      <c r="AD220" s="20"/>
    </row>
    <row r="221" spans="27:30" ht="18.75" x14ac:dyDescent="0.25">
      <c r="AA221" s="75"/>
      <c r="AB221" s="54"/>
      <c r="AC221" s="20"/>
      <c r="AD221" s="20"/>
    </row>
    <row r="222" spans="27:30" ht="18.75" x14ac:dyDescent="0.25">
      <c r="AA222" s="75"/>
      <c r="AB222" s="54"/>
      <c r="AC222" s="20"/>
      <c r="AD222" s="20"/>
    </row>
    <row r="223" spans="27:30" ht="18.75" x14ac:dyDescent="0.25">
      <c r="AA223" s="75"/>
      <c r="AB223" s="54"/>
      <c r="AC223" s="20"/>
      <c r="AD223" s="20"/>
    </row>
    <row r="224" spans="27:30" ht="18.75" x14ac:dyDescent="0.25">
      <c r="AA224" s="75"/>
      <c r="AB224" s="54"/>
      <c r="AC224" s="20"/>
      <c r="AD224" s="20"/>
    </row>
    <row r="225" spans="27:30" ht="18.75" x14ac:dyDescent="0.25">
      <c r="AA225" s="75"/>
      <c r="AB225" s="54"/>
      <c r="AC225" s="20"/>
      <c r="AD225" s="20"/>
    </row>
    <row r="226" spans="27:30" ht="18.75" x14ac:dyDescent="0.25">
      <c r="AA226" s="75"/>
      <c r="AB226" s="54"/>
      <c r="AC226" s="20"/>
      <c r="AD226" s="20"/>
    </row>
    <row r="227" spans="27:30" ht="18.75" x14ac:dyDescent="0.25">
      <c r="AA227" s="75"/>
      <c r="AB227" s="54"/>
      <c r="AC227" s="20"/>
      <c r="AD227" s="20"/>
    </row>
    <row r="228" spans="27:30" ht="18.75" x14ac:dyDescent="0.25">
      <c r="AA228" s="75"/>
      <c r="AB228" s="54"/>
      <c r="AC228" s="20"/>
      <c r="AD228" s="20"/>
    </row>
    <row r="229" spans="27:30" ht="18.75" x14ac:dyDescent="0.25">
      <c r="AA229" s="75"/>
      <c r="AB229" s="54"/>
      <c r="AC229" s="20"/>
      <c r="AD229" s="20"/>
    </row>
    <row r="230" spans="27:30" ht="18.75" x14ac:dyDescent="0.25">
      <c r="AA230" s="75"/>
      <c r="AB230" s="54"/>
      <c r="AC230" s="20"/>
      <c r="AD230" s="20"/>
    </row>
    <row r="231" spans="27:30" ht="18.75" x14ac:dyDescent="0.25">
      <c r="AA231" s="75"/>
      <c r="AB231" s="54"/>
      <c r="AC231" s="20"/>
      <c r="AD231" s="20"/>
    </row>
    <row r="232" spans="27:30" ht="18.75" x14ac:dyDescent="0.25">
      <c r="AA232" s="75"/>
      <c r="AB232" s="54"/>
      <c r="AC232" s="20"/>
      <c r="AD232" s="20"/>
    </row>
    <row r="233" spans="27:30" ht="18.75" x14ac:dyDescent="0.25">
      <c r="AA233" s="75"/>
      <c r="AB233" s="54"/>
      <c r="AC233" s="20"/>
      <c r="AD233" s="20"/>
    </row>
    <row r="234" spans="27:30" ht="18.75" x14ac:dyDescent="0.25">
      <c r="AA234" s="75"/>
      <c r="AB234" s="54"/>
      <c r="AC234" s="20"/>
      <c r="AD234" s="20"/>
    </row>
    <row r="235" spans="27:30" ht="18.75" x14ac:dyDescent="0.25">
      <c r="AA235" s="75"/>
      <c r="AB235" s="54"/>
      <c r="AC235" s="20"/>
      <c r="AD235" s="20"/>
    </row>
    <row r="236" spans="27:30" ht="18.75" x14ac:dyDescent="0.25">
      <c r="AA236" s="75"/>
      <c r="AB236" s="54"/>
      <c r="AC236" s="20"/>
      <c r="AD236" s="20"/>
    </row>
    <row r="237" spans="27:30" ht="18.75" x14ac:dyDescent="0.25">
      <c r="AA237" s="75"/>
      <c r="AB237" s="54"/>
      <c r="AC237" s="20"/>
      <c r="AD237" s="20"/>
    </row>
    <row r="238" spans="27:30" ht="18.75" x14ac:dyDescent="0.25">
      <c r="AA238" s="75"/>
      <c r="AB238" s="54"/>
      <c r="AC238" s="20"/>
      <c r="AD238" s="20"/>
    </row>
    <row r="239" spans="27:30" ht="18.75" x14ac:dyDescent="0.25">
      <c r="AA239" s="75"/>
      <c r="AB239" s="54"/>
      <c r="AC239" s="20"/>
      <c r="AD239" s="20"/>
    </row>
    <row r="240" spans="27:30" ht="18.75" x14ac:dyDescent="0.25">
      <c r="AA240" s="75"/>
      <c r="AB240" s="54"/>
      <c r="AC240" s="20"/>
      <c r="AD240" s="20"/>
    </row>
    <row r="241" spans="27:30" ht="18.75" x14ac:dyDescent="0.25">
      <c r="AA241" s="75"/>
      <c r="AB241" s="54"/>
      <c r="AC241" s="20"/>
      <c r="AD241" s="20"/>
    </row>
    <row r="242" spans="27:30" ht="18.75" x14ac:dyDescent="0.25">
      <c r="AA242" s="75"/>
      <c r="AB242" s="54"/>
      <c r="AC242" s="20"/>
      <c r="AD242" s="20"/>
    </row>
    <row r="243" spans="27:30" ht="18.75" x14ac:dyDescent="0.25">
      <c r="AA243" s="75"/>
      <c r="AB243" s="54"/>
      <c r="AC243" s="20"/>
      <c r="AD243" s="20"/>
    </row>
    <row r="244" spans="27:30" ht="18.75" x14ac:dyDescent="0.25">
      <c r="AA244" s="75"/>
      <c r="AB244" s="54"/>
      <c r="AC244" s="20"/>
      <c r="AD244" s="20"/>
    </row>
    <row r="245" spans="27:30" ht="18.75" x14ac:dyDescent="0.25">
      <c r="AA245" s="75"/>
      <c r="AB245" s="54"/>
      <c r="AC245" s="20"/>
      <c r="AD245" s="20"/>
    </row>
    <row r="246" spans="27:30" ht="18.75" x14ac:dyDescent="0.25">
      <c r="AA246" s="75"/>
      <c r="AB246" s="54"/>
      <c r="AC246" s="20"/>
      <c r="AD246" s="20"/>
    </row>
    <row r="247" spans="27:30" ht="18.75" x14ac:dyDescent="0.25">
      <c r="AA247" s="75"/>
      <c r="AB247" s="54"/>
      <c r="AC247" s="20"/>
      <c r="AD247" s="20"/>
    </row>
    <row r="248" spans="27:30" ht="18.75" x14ac:dyDescent="0.25">
      <c r="AA248" s="75"/>
      <c r="AB248" s="54"/>
      <c r="AC248" s="20"/>
      <c r="AD248" s="20"/>
    </row>
    <row r="249" spans="27:30" ht="18.75" x14ac:dyDescent="0.25">
      <c r="AA249" s="75"/>
      <c r="AB249" s="54"/>
      <c r="AC249" s="20"/>
      <c r="AD249" s="20"/>
    </row>
    <row r="250" spans="27:30" ht="18.75" x14ac:dyDescent="0.25">
      <c r="AA250" s="75"/>
      <c r="AB250" s="54"/>
      <c r="AC250" s="20"/>
      <c r="AD250" s="20"/>
    </row>
    <row r="251" spans="27:30" ht="18.75" x14ac:dyDescent="0.25">
      <c r="AA251" s="75"/>
      <c r="AB251" s="54"/>
      <c r="AC251" s="20"/>
      <c r="AD251" s="20"/>
    </row>
    <row r="252" spans="27:30" ht="18.75" x14ac:dyDescent="0.25">
      <c r="AA252" s="75"/>
      <c r="AB252" s="54"/>
      <c r="AC252" s="20"/>
      <c r="AD252" s="20"/>
    </row>
    <row r="253" spans="27:30" ht="18.75" x14ac:dyDescent="0.25">
      <c r="AA253" s="75"/>
      <c r="AB253" s="54"/>
      <c r="AC253" s="20"/>
      <c r="AD253" s="20"/>
    </row>
    <row r="254" spans="27:30" ht="18.75" x14ac:dyDescent="0.25">
      <c r="AA254" s="75"/>
      <c r="AB254" s="54"/>
      <c r="AC254" s="20"/>
      <c r="AD254" s="20"/>
    </row>
    <row r="255" spans="27:30" ht="18.75" x14ac:dyDescent="0.25">
      <c r="AA255" s="75"/>
      <c r="AB255" s="54"/>
      <c r="AC255" s="20"/>
      <c r="AD255" s="20"/>
    </row>
    <row r="256" spans="27:30" ht="18.75" x14ac:dyDescent="0.25">
      <c r="AA256" s="75"/>
      <c r="AB256" s="54"/>
      <c r="AC256" s="20"/>
      <c r="AD256" s="20"/>
    </row>
    <row r="257" spans="27:30" ht="18.75" x14ac:dyDescent="0.25">
      <c r="AA257" s="75"/>
      <c r="AB257" s="54"/>
      <c r="AC257" s="20"/>
      <c r="AD257" s="20"/>
    </row>
    <row r="258" spans="27:30" ht="18.75" x14ac:dyDescent="0.25">
      <c r="AA258" s="75"/>
      <c r="AB258" s="54"/>
      <c r="AC258" s="20"/>
      <c r="AD258" s="20"/>
    </row>
    <row r="259" spans="27:30" ht="18.75" x14ac:dyDescent="0.25">
      <c r="AA259" s="75"/>
      <c r="AB259" s="54"/>
      <c r="AC259" s="20"/>
      <c r="AD259" s="20"/>
    </row>
    <row r="260" spans="27:30" ht="18.75" x14ac:dyDescent="0.25">
      <c r="AA260" s="75"/>
      <c r="AB260" s="54"/>
      <c r="AC260" s="20"/>
      <c r="AD260" s="20"/>
    </row>
    <row r="261" spans="27:30" ht="18.75" x14ac:dyDescent="0.25">
      <c r="AA261" s="75"/>
      <c r="AB261" s="54"/>
      <c r="AC261" s="20"/>
      <c r="AD261" s="20"/>
    </row>
    <row r="262" spans="27:30" ht="18.75" x14ac:dyDescent="0.25">
      <c r="AA262" s="75"/>
      <c r="AB262" s="54"/>
      <c r="AC262" s="20"/>
      <c r="AD262" s="20"/>
    </row>
    <row r="263" spans="27:30" ht="18.75" x14ac:dyDescent="0.25">
      <c r="AA263" s="75"/>
      <c r="AB263" s="54"/>
      <c r="AC263" s="20"/>
      <c r="AD263" s="20"/>
    </row>
    <row r="264" spans="27:30" ht="18.75" x14ac:dyDescent="0.25">
      <c r="AA264" s="75"/>
      <c r="AB264" s="54"/>
      <c r="AC264" s="20"/>
      <c r="AD264" s="20"/>
    </row>
    <row r="265" spans="27:30" ht="18.75" x14ac:dyDescent="0.25">
      <c r="AA265" s="75"/>
      <c r="AB265" s="54"/>
      <c r="AC265" s="20"/>
      <c r="AD265" s="20"/>
    </row>
    <row r="266" spans="27:30" ht="18.75" x14ac:dyDescent="0.25">
      <c r="AA266" s="75"/>
      <c r="AB266" s="54"/>
      <c r="AC266" s="20"/>
      <c r="AD266" s="20"/>
    </row>
    <row r="267" spans="27:30" ht="18.75" x14ac:dyDescent="0.25">
      <c r="AA267" s="75"/>
      <c r="AB267" s="54"/>
      <c r="AC267" s="20"/>
      <c r="AD267" s="20"/>
    </row>
    <row r="268" spans="27:30" ht="18.75" x14ac:dyDescent="0.25">
      <c r="AA268" s="75"/>
      <c r="AB268" s="54"/>
      <c r="AC268" s="20"/>
      <c r="AD268" s="20"/>
    </row>
    <row r="269" spans="27:30" ht="18.75" x14ac:dyDescent="0.25">
      <c r="AA269" s="75"/>
      <c r="AB269" s="54"/>
      <c r="AC269" s="20"/>
      <c r="AD269" s="20"/>
    </row>
    <row r="270" spans="27:30" ht="18.75" x14ac:dyDescent="0.25">
      <c r="AA270" s="75"/>
      <c r="AB270" s="54"/>
      <c r="AC270" s="20"/>
      <c r="AD270" s="20"/>
    </row>
    <row r="271" spans="27:30" ht="18.75" x14ac:dyDescent="0.25">
      <c r="AA271" s="75"/>
      <c r="AB271" s="54"/>
      <c r="AC271" s="20"/>
      <c r="AD271" s="20"/>
    </row>
    <row r="272" spans="27:30" ht="18.75" x14ac:dyDescent="0.25">
      <c r="AA272" s="75"/>
      <c r="AB272" s="54"/>
      <c r="AC272" s="20"/>
      <c r="AD272" s="20"/>
    </row>
    <row r="273" spans="2:30" ht="18.75" x14ac:dyDescent="0.25">
      <c r="AA273" s="75"/>
      <c r="AB273" s="54"/>
      <c r="AC273" s="20"/>
      <c r="AD273" s="20"/>
    </row>
    <row r="274" spans="2:30" ht="18.75" x14ac:dyDescent="0.25">
      <c r="AA274" s="75"/>
      <c r="AB274" s="54"/>
      <c r="AC274" s="20"/>
      <c r="AD274" s="20"/>
    </row>
    <row r="275" spans="2:30" ht="18.75" x14ac:dyDescent="0.25">
      <c r="AA275" s="75"/>
      <c r="AB275" s="54"/>
      <c r="AC275" s="20"/>
      <c r="AD275" s="20"/>
    </row>
    <row r="276" spans="2:30" ht="18.75" x14ac:dyDescent="0.25">
      <c r="AA276" s="75"/>
      <c r="AB276" s="54"/>
      <c r="AC276" s="20"/>
      <c r="AD276" s="20"/>
    </row>
    <row r="277" spans="2:30" ht="18.75" x14ac:dyDescent="0.25">
      <c r="AA277" s="75"/>
      <c r="AB277" s="54"/>
      <c r="AC277" s="20"/>
      <c r="AD277" s="20"/>
    </row>
    <row r="278" spans="2:30" ht="18.75" x14ac:dyDescent="0.25">
      <c r="AA278" s="75"/>
      <c r="AB278" s="54"/>
      <c r="AC278" s="20"/>
      <c r="AD278" s="20"/>
    </row>
    <row r="279" spans="2:30" ht="18.75" x14ac:dyDescent="0.25">
      <c r="AA279" s="75"/>
      <c r="AB279" s="54"/>
      <c r="AC279" s="20"/>
      <c r="AD279" s="20"/>
    </row>
    <row r="280" spans="2:30" ht="18.75" x14ac:dyDescent="0.25">
      <c r="AA280" s="75"/>
      <c r="AB280" s="54"/>
      <c r="AC280" s="20"/>
      <c r="AD280" s="20"/>
    </row>
    <row r="281" spans="2:30" ht="18.75" x14ac:dyDescent="0.25">
      <c r="B281" s="84"/>
      <c r="C281" s="85"/>
      <c r="D281" s="85"/>
      <c r="E281" s="86"/>
      <c r="F281" s="87"/>
      <c r="G281" s="88"/>
      <c r="H281" s="88"/>
      <c r="I281" s="54"/>
      <c r="J281" s="54"/>
      <c r="K281" s="89"/>
      <c r="L281" s="89"/>
      <c r="M281" s="89"/>
      <c r="N281" s="89"/>
      <c r="O281" s="89"/>
      <c r="P281" s="90"/>
      <c r="Q281" s="90"/>
      <c r="R281" s="54"/>
      <c r="S281" s="91"/>
      <c r="T281" s="91"/>
      <c r="U281" s="92"/>
      <c r="V281" s="20"/>
      <c r="W281" s="93"/>
      <c r="X281" s="20"/>
      <c r="Y281" s="20"/>
      <c r="Z281" s="20"/>
      <c r="AA281" s="20"/>
      <c r="AB281" s="20"/>
      <c r="AC281" s="20"/>
      <c r="AD281" s="20"/>
    </row>
    <row r="282" spans="2:30" ht="18.75" x14ac:dyDescent="0.25">
      <c r="B282" s="84"/>
      <c r="C282" s="85"/>
      <c r="D282" s="85"/>
      <c r="E282" s="86"/>
      <c r="F282" s="87"/>
      <c r="G282" s="88"/>
      <c r="H282" s="88"/>
      <c r="I282" s="54"/>
      <c r="J282" s="54"/>
      <c r="K282" s="89"/>
      <c r="L282" s="89"/>
      <c r="M282" s="89"/>
      <c r="N282" s="89"/>
      <c r="O282" s="89"/>
      <c r="P282" s="90"/>
      <c r="Q282" s="90"/>
      <c r="R282" s="54"/>
      <c r="S282" s="91"/>
      <c r="T282" s="91"/>
      <c r="U282" s="92"/>
      <c r="V282" s="20"/>
      <c r="W282" s="20"/>
      <c r="X282" s="93"/>
      <c r="Y282" s="20"/>
      <c r="Z282" s="20"/>
      <c r="AA282" s="20"/>
      <c r="AB282" s="20"/>
      <c r="AC282" s="20"/>
      <c r="AD282" s="20"/>
    </row>
    <row r="283" spans="2:30" ht="36.75" x14ac:dyDescent="0.6">
      <c r="B283" s="84"/>
      <c r="C283" s="85"/>
      <c r="D283" s="85"/>
      <c r="E283" s="86"/>
      <c r="F283" s="87"/>
      <c r="G283" s="88"/>
      <c r="H283" s="88"/>
      <c r="I283" s="54"/>
      <c r="J283" s="54"/>
      <c r="K283" s="89"/>
      <c r="L283" s="89"/>
      <c r="M283" s="89"/>
      <c r="N283" s="89"/>
      <c r="O283" s="89"/>
      <c r="P283" s="90"/>
      <c r="Q283" s="90"/>
      <c r="R283" s="54"/>
      <c r="S283" s="91"/>
      <c r="T283" s="91"/>
      <c r="U283" s="92"/>
      <c r="V283" s="20"/>
      <c r="W283" s="20"/>
      <c r="X283" s="93"/>
      <c r="Y283" s="20"/>
      <c r="Z283" s="94"/>
      <c r="AA283" s="20"/>
      <c r="AB283" s="20"/>
      <c r="AC283" s="20"/>
      <c r="AD283" s="20"/>
    </row>
    <row r="284" spans="2:30" ht="21" x14ac:dyDescent="0.35">
      <c r="B284" s="52" t="s">
        <v>3</v>
      </c>
      <c r="C284" s="20"/>
      <c r="D284" s="20"/>
      <c r="E284" s="20"/>
      <c r="F284" s="20"/>
      <c r="G284" s="88"/>
      <c r="H284" s="88"/>
      <c r="I284" s="54"/>
      <c r="J284" s="54"/>
      <c r="K284" s="89"/>
      <c r="L284" s="89"/>
      <c r="M284" s="89"/>
      <c r="N284" s="89"/>
      <c r="O284" s="89"/>
      <c r="P284" s="90"/>
      <c r="Q284" s="90"/>
      <c r="R284" s="54"/>
      <c r="S284" s="91"/>
      <c r="T284" s="91"/>
      <c r="U284" s="92"/>
      <c r="V284" s="20"/>
      <c r="W284" s="20"/>
      <c r="X284" s="93"/>
      <c r="Y284" s="20"/>
      <c r="Z284" s="20"/>
      <c r="AA284" s="20"/>
      <c r="AB284" s="20"/>
      <c r="AC284" s="20"/>
      <c r="AD284" s="20"/>
    </row>
    <row r="285" spans="2:30" ht="18.75" x14ac:dyDescent="0.25">
      <c r="B285" s="20"/>
      <c r="C285" s="20"/>
      <c r="D285" s="20"/>
      <c r="E285" s="20"/>
      <c r="F285" s="20"/>
      <c r="G285" s="88"/>
      <c r="H285" s="88"/>
      <c r="I285" s="54"/>
      <c r="J285" s="54"/>
      <c r="K285" s="89"/>
      <c r="L285" s="89"/>
      <c r="M285" s="89"/>
      <c r="N285" s="89"/>
      <c r="O285" s="89"/>
      <c r="P285" s="90"/>
      <c r="Q285" s="90"/>
      <c r="R285" s="54"/>
      <c r="S285" s="91"/>
      <c r="T285" s="91"/>
      <c r="U285" s="92"/>
      <c r="V285" s="20"/>
      <c r="W285" s="20"/>
      <c r="X285" s="93"/>
      <c r="Y285" s="20"/>
      <c r="Z285" s="20"/>
      <c r="AA285" s="20"/>
      <c r="AB285" s="20"/>
      <c r="AC285" s="20"/>
      <c r="AD285" s="20"/>
    </row>
    <row r="286" spans="2:30" ht="21" x14ac:dyDescent="0.35">
      <c r="B286" s="52" t="s">
        <v>4</v>
      </c>
      <c r="C286" s="20"/>
      <c r="D286" s="20"/>
      <c r="E286" s="20"/>
      <c r="F286" s="20"/>
      <c r="G286" s="88"/>
      <c r="H286" s="88"/>
      <c r="I286" s="54"/>
      <c r="J286" s="54"/>
      <c r="K286" s="89"/>
      <c r="L286" s="89"/>
      <c r="M286" s="89"/>
      <c r="N286" s="89"/>
      <c r="O286" s="89"/>
      <c r="P286" s="90"/>
      <c r="Q286" s="90"/>
      <c r="R286" s="54"/>
      <c r="S286" s="91"/>
      <c r="T286" s="91"/>
      <c r="U286" s="92"/>
      <c r="V286" s="20"/>
      <c r="W286" s="20"/>
      <c r="X286" s="93"/>
      <c r="Y286" s="20"/>
      <c r="Z286" s="20"/>
      <c r="AA286" s="20"/>
      <c r="AB286" s="20"/>
      <c r="AC286" s="20"/>
      <c r="AD286" s="20"/>
    </row>
    <row r="287" spans="2:30" ht="18.75" x14ac:dyDescent="0.25">
      <c r="B287" s="20"/>
      <c r="C287" s="20"/>
      <c r="D287" s="20"/>
      <c r="E287" s="20"/>
      <c r="F287" s="20"/>
      <c r="G287" s="88"/>
      <c r="H287" s="88"/>
      <c r="I287" s="54"/>
      <c r="J287" s="54"/>
      <c r="K287" s="89"/>
      <c r="L287" s="89"/>
      <c r="M287" s="89"/>
      <c r="N287" s="89"/>
      <c r="O287" s="89"/>
      <c r="P287" s="90"/>
      <c r="Q287" s="90"/>
      <c r="R287" s="54"/>
      <c r="S287" s="91"/>
      <c r="T287" s="91"/>
      <c r="U287" s="92"/>
      <c r="V287" s="20"/>
      <c r="W287" s="20"/>
      <c r="X287" s="93"/>
      <c r="Y287" s="20"/>
      <c r="Z287" s="20"/>
      <c r="AA287" s="20"/>
      <c r="AB287" s="20"/>
      <c r="AC287" s="20"/>
      <c r="AD287" s="20"/>
    </row>
    <row r="288" spans="2:30" ht="21" x14ac:dyDescent="0.35">
      <c r="B288" s="52" t="s">
        <v>5</v>
      </c>
      <c r="C288" s="20"/>
      <c r="D288" s="20"/>
      <c r="E288" s="20"/>
      <c r="F288" s="20"/>
      <c r="G288" s="88"/>
      <c r="H288" s="88"/>
      <c r="I288" s="54"/>
      <c r="J288" s="54"/>
      <c r="K288" s="89"/>
      <c r="L288" s="89"/>
      <c r="M288" s="89"/>
      <c r="N288" s="89"/>
      <c r="O288" s="89"/>
      <c r="P288" s="90"/>
      <c r="Q288" s="90"/>
      <c r="R288" s="54"/>
      <c r="S288" s="91"/>
      <c r="T288" s="91"/>
      <c r="U288" s="92"/>
      <c r="V288" s="20"/>
      <c r="W288" s="20"/>
      <c r="X288" s="93"/>
      <c r="Y288" s="20"/>
      <c r="Z288" s="20"/>
      <c r="AA288" s="20"/>
      <c r="AB288" s="20"/>
      <c r="AC288" s="20"/>
      <c r="AD288" s="20"/>
    </row>
    <row r="289" spans="2:30" ht="18.75" x14ac:dyDescent="0.25">
      <c r="B289" s="20"/>
      <c r="C289" s="20"/>
      <c r="D289" s="20"/>
      <c r="E289" s="20"/>
      <c r="F289" s="20"/>
      <c r="G289" s="88"/>
      <c r="H289" s="88"/>
      <c r="I289" s="54"/>
      <c r="J289" s="54"/>
      <c r="K289" s="89"/>
      <c r="L289" s="89"/>
      <c r="M289" s="89"/>
      <c r="N289" s="89"/>
      <c r="O289" s="89"/>
      <c r="P289" s="90"/>
      <c r="Q289" s="90"/>
      <c r="R289" s="54"/>
      <c r="S289" s="91"/>
      <c r="T289" s="91"/>
      <c r="U289" s="92"/>
      <c r="V289" s="20"/>
      <c r="W289" s="20"/>
      <c r="X289" s="93"/>
      <c r="Y289" s="20"/>
      <c r="Z289" s="20"/>
      <c r="AA289" s="20"/>
      <c r="AB289" s="20"/>
      <c r="AC289" s="20"/>
      <c r="AD289" s="20"/>
    </row>
    <row r="290" spans="2:30" ht="18.75" x14ac:dyDescent="0.25">
      <c r="B290" s="20"/>
      <c r="C290" s="20"/>
      <c r="D290" s="20"/>
      <c r="E290" s="20"/>
      <c r="F290" s="20"/>
      <c r="G290" s="88"/>
      <c r="H290" s="88"/>
      <c r="I290" s="54"/>
      <c r="J290" s="54"/>
      <c r="K290" s="89"/>
      <c r="L290" s="89"/>
      <c r="M290" s="89"/>
      <c r="N290" s="89"/>
      <c r="O290" s="89"/>
      <c r="P290" s="90"/>
      <c r="Q290" s="90"/>
      <c r="R290" s="54"/>
      <c r="S290" s="91"/>
      <c r="T290" s="91"/>
      <c r="U290" s="92"/>
      <c r="V290" s="20"/>
      <c r="W290" s="20"/>
      <c r="X290" s="93"/>
      <c r="Y290" s="20"/>
      <c r="Z290" s="20"/>
      <c r="AA290" s="20"/>
      <c r="AB290" s="20"/>
      <c r="AC290" s="20"/>
      <c r="AD290" s="20"/>
    </row>
    <row r="291" spans="2:30" ht="18.75" x14ac:dyDescent="0.25">
      <c r="B291" s="92"/>
      <c r="C291" s="85"/>
      <c r="D291" s="85"/>
      <c r="E291" s="86"/>
      <c r="F291" s="20"/>
      <c r="G291" s="88"/>
      <c r="H291" s="88"/>
      <c r="I291" s="54"/>
      <c r="J291" s="54"/>
      <c r="K291" s="89"/>
      <c r="L291" s="89"/>
      <c r="M291" s="89"/>
      <c r="N291" s="89"/>
      <c r="O291" s="89"/>
      <c r="P291" s="90"/>
      <c r="Q291" s="90"/>
      <c r="R291" s="54"/>
      <c r="S291" s="91"/>
      <c r="T291" s="91"/>
      <c r="U291" s="92"/>
      <c r="V291" s="20"/>
      <c r="W291" s="20"/>
      <c r="X291" s="93"/>
      <c r="Y291" s="20"/>
      <c r="Z291" s="20"/>
      <c r="AA291" s="20"/>
      <c r="AB291" s="20"/>
      <c r="AC291" s="20"/>
      <c r="AD291" s="20"/>
    </row>
    <row r="292" spans="2:30" ht="18.75" x14ac:dyDescent="0.25">
      <c r="B292" s="92"/>
      <c r="C292" s="85"/>
      <c r="D292" s="85"/>
      <c r="E292" s="86"/>
      <c r="F292" s="87"/>
      <c r="G292" s="88"/>
      <c r="H292" s="88"/>
      <c r="I292" s="54"/>
      <c r="J292" s="54"/>
      <c r="K292" s="89"/>
      <c r="L292" s="89"/>
      <c r="M292" s="89"/>
      <c r="N292" s="89"/>
      <c r="O292" s="89"/>
      <c r="P292" s="90"/>
      <c r="Q292" s="90"/>
      <c r="R292" s="54"/>
      <c r="S292" s="91"/>
      <c r="T292" s="91"/>
      <c r="U292" s="92"/>
      <c r="V292" s="20"/>
      <c r="W292" s="20"/>
      <c r="X292" s="93"/>
      <c r="Y292" s="20"/>
      <c r="Z292" s="20"/>
      <c r="AA292" s="20"/>
      <c r="AB292" s="20"/>
      <c r="AC292" s="20"/>
      <c r="AD292" s="20"/>
    </row>
    <row r="293" spans="2:30" ht="18.75" x14ac:dyDescent="0.25">
      <c r="B293" s="92"/>
      <c r="C293" s="85"/>
      <c r="D293" s="85"/>
      <c r="E293" s="86"/>
      <c r="F293" s="87"/>
      <c r="G293" s="88"/>
      <c r="H293" s="88"/>
      <c r="I293" s="54"/>
      <c r="J293" s="54"/>
      <c r="K293" s="89"/>
      <c r="L293" s="89"/>
      <c r="M293" s="89"/>
      <c r="N293" s="89"/>
      <c r="O293" s="89"/>
      <c r="P293" s="90"/>
      <c r="Q293" s="90"/>
      <c r="R293" s="54"/>
      <c r="S293" s="91"/>
      <c r="T293" s="91"/>
      <c r="U293" s="92"/>
      <c r="V293" s="20"/>
      <c r="W293" s="20"/>
      <c r="X293" s="93"/>
      <c r="Y293" s="20"/>
      <c r="Z293" s="20"/>
      <c r="AA293" s="20"/>
      <c r="AB293" s="20"/>
      <c r="AC293" s="20"/>
      <c r="AD293" s="20"/>
    </row>
    <row r="294" spans="2:30" ht="18.75" x14ac:dyDescent="0.25">
      <c r="B294" s="84"/>
      <c r="C294" s="95"/>
      <c r="D294" s="95"/>
      <c r="E294" s="86"/>
      <c r="F294" s="96"/>
      <c r="G294" s="88"/>
      <c r="H294" s="88"/>
      <c r="I294" s="88"/>
      <c r="J294" s="88"/>
      <c r="K294" s="97"/>
      <c r="L294" s="97"/>
      <c r="M294" s="97"/>
      <c r="N294" s="97"/>
      <c r="O294" s="97"/>
      <c r="P294" s="98"/>
      <c r="Q294" s="98"/>
      <c r="R294" s="88"/>
      <c r="S294" s="99"/>
      <c r="T294" s="99"/>
      <c r="U294" s="84"/>
      <c r="V294" s="21"/>
      <c r="W294" s="20"/>
      <c r="X294" s="93"/>
      <c r="Y294" s="20"/>
      <c r="Z294" s="20"/>
      <c r="AA294" s="20"/>
      <c r="AB294" s="20"/>
      <c r="AC294" s="20"/>
      <c r="AD294" s="20"/>
    </row>
    <row r="295" spans="2:30" ht="18.75" x14ac:dyDescent="0.25">
      <c r="B295" s="84"/>
      <c r="C295" s="95"/>
      <c r="D295" s="95"/>
      <c r="E295" s="86"/>
      <c r="F295" s="96"/>
      <c r="G295" s="88"/>
      <c r="H295" s="88"/>
      <c r="I295" s="88"/>
      <c r="J295" s="88"/>
      <c r="K295" s="97"/>
      <c r="L295" s="97"/>
      <c r="M295" s="97"/>
      <c r="N295" s="97"/>
      <c r="O295" s="97"/>
      <c r="P295" s="98"/>
      <c r="Q295" s="98"/>
      <c r="R295" s="88"/>
      <c r="S295" s="99"/>
      <c r="T295" s="99"/>
      <c r="U295" s="84"/>
      <c r="V295" s="21"/>
      <c r="W295" s="20"/>
      <c r="X295" s="93"/>
      <c r="Y295" s="20"/>
      <c r="Z295" s="20"/>
      <c r="AA295" s="20"/>
      <c r="AB295" s="20"/>
      <c r="AC295" s="20"/>
      <c r="AD295" s="20"/>
    </row>
    <row r="296" spans="2:30" ht="18.75" x14ac:dyDescent="0.25">
      <c r="B296" s="84"/>
      <c r="C296" s="95"/>
      <c r="D296" s="95"/>
      <c r="E296" s="86"/>
      <c r="F296" s="96"/>
      <c r="G296" s="88"/>
      <c r="H296" s="88"/>
      <c r="I296" s="88"/>
      <c r="J296" s="88"/>
      <c r="K296" s="97"/>
      <c r="L296" s="97"/>
      <c r="M296" s="97"/>
      <c r="N296" s="97"/>
      <c r="O296" s="97"/>
      <c r="P296" s="98"/>
      <c r="Q296" s="98"/>
      <c r="R296" s="88"/>
      <c r="S296" s="99"/>
      <c r="T296" s="99"/>
      <c r="U296" s="84"/>
      <c r="V296" s="21"/>
      <c r="W296" s="20"/>
      <c r="X296" s="93"/>
      <c r="Y296" s="20"/>
      <c r="Z296" s="20"/>
      <c r="AA296" s="20"/>
      <c r="AB296" s="20"/>
      <c r="AC296" s="20"/>
      <c r="AD296" s="20"/>
    </row>
    <row r="297" spans="2:30" ht="18.75" x14ac:dyDescent="0.25">
      <c r="B297" s="84"/>
      <c r="C297" s="95"/>
      <c r="D297" s="95"/>
      <c r="E297" s="86"/>
      <c r="F297" s="20"/>
      <c r="G297" s="88"/>
      <c r="H297" s="88"/>
      <c r="I297" s="88"/>
      <c r="J297" s="88"/>
      <c r="K297" s="97"/>
      <c r="L297" s="97"/>
      <c r="M297" s="97"/>
      <c r="N297" s="97"/>
      <c r="O297" s="97"/>
      <c r="P297" s="98"/>
      <c r="Q297" s="98"/>
      <c r="R297" s="88"/>
      <c r="S297" s="99"/>
      <c r="T297" s="99"/>
      <c r="U297" s="84"/>
      <c r="V297" s="21"/>
      <c r="W297" s="20"/>
      <c r="X297" s="93"/>
      <c r="Y297" s="20"/>
      <c r="Z297" s="20"/>
      <c r="AA297" s="20"/>
      <c r="AB297" s="20"/>
      <c r="AC297" s="20"/>
      <c r="AD297" s="20"/>
    </row>
    <row r="298" spans="2:30" x14ac:dyDescent="0.25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0"/>
      <c r="X298" s="93"/>
      <c r="Y298" s="20"/>
      <c r="Z298" s="20"/>
      <c r="AA298" s="20"/>
      <c r="AB298" s="20"/>
      <c r="AC298" s="20"/>
      <c r="AD298" s="20"/>
    </row>
    <row r="299" spans="2:30" x14ac:dyDescent="0.2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0"/>
      <c r="X299" s="93"/>
      <c r="Y299" s="20"/>
      <c r="Z299" s="20"/>
      <c r="AA299" s="20"/>
      <c r="AB299" s="20"/>
      <c r="AC299" s="20"/>
      <c r="AD299" s="20"/>
    </row>
    <row r="300" spans="2:30" x14ac:dyDescent="0.25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0"/>
      <c r="X300" s="93"/>
      <c r="Y300" s="20"/>
      <c r="Z300" s="20"/>
      <c r="AA300" s="20"/>
      <c r="AB300" s="20"/>
      <c r="AC300" s="20"/>
      <c r="AD300" s="20"/>
    </row>
    <row r="301" spans="2:30" x14ac:dyDescent="0.2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0"/>
      <c r="X301" s="93"/>
      <c r="Y301" s="20"/>
      <c r="Z301" s="20"/>
      <c r="AA301" s="20"/>
      <c r="AB301" s="20"/>
      <c r="AC301" s="20"/>
      <c r="AD301" s="20"/>
    </row>
    <row r="302" spans="2:30" x14ac:dyDescent="0.25"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93"/>
      <c r="Y302" s="20"/>
      <c r="Z302" s="20"/>
      <c r="AA302" s="20"/>
      <c r="AB302" s="20"/>
      <c r="AC302" s="20"/>
      <c r="AD302" s="20"/>
    </row>
    <row r="303" spans="2:30" x14ac:dyDescent="0.25"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93"/>
      <c r="Y303" s="20"/>
      <c r="Z303" s="20"/>
      <c r="AA303" s="20"/>
      <c r="AB303" s="20"/>
      <c r="AC303" s="20"/>
      <c r="AD303" s="20"/>
    </row>
    <row r="304" spans="2:30" x14ac:dyDescent="0.25"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93"/>
      <c r="Y304" s="20"/>
      <c r="Z304" s="20"/>
      <c r="AA304" s="20"/>
      <c r="AB304" s="20"/>
      <c r="AC304" s="20"/>
      <c r="AD304" s="20"/>
    </row>
    <row r="305" spans="2:30" x14ac:dyDescent="0.25"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93"/>
      <c r="Y305" s="20"/>
      <c r="Z305" s="20"/>
      <c r="AA305" s="20"/>
      <c r="AB305" s="20"/>
      <c r="AC305" s="20"/>
      <c r="AD305" s="20"/>
    </row>
    <row r="306" spans="2:30" x14ac:dyDescent="0.25"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93"/>
      <c r="Y306" s="20"/>
      <c r="Z306" s="20"/>
      <c r="AA306" s="20"/>
      <c r="AB306" s="20"/>
      <c r="AC306" s="20"/>
      <c r="AD306" s="20"/>
    </row>
    <row r="307" spans="2:30" x14ac:dyDescent="0.25"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93"/>
      <c r="Y307" s="20"/>
      <c r="Z307" s="20"/>
      <c r="AA307" s="20"/>
      <c r="AB307" s="20"/>
      <c r="AC307" s="20"/>
      <c r="AD307" s="20"/>
    </row>
    <row r="308" spans="2:30" x14ac:dyDescent="0.25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93"/>
      <c r="Y308" s="20"/>
      <c r="Z308" s="20"/>
      <c r="AA308" s="20"/>
      <c r="AB308" s="20"/>
      <c r="AC308" s="20"/>
      <c r="AD308" s="20"/>
    </row>
    <row r="309" spans="2:30" x14ac:dyDescent="0.25"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93"/>
      <c r="Y309" s="20"/>
      <c r="Z309" s="20"/>
      <c r="AA309" s="20"/>
      <c r="AB309" s="20"/>
      <c r="AC309" s="20"/>
      <c r="AD309" s="20"/>
    </row>
    <row r="310" spans="2:30" x14ac:dyDescent="0.25"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93"/>
      <c r="Y310" s="20"/>
      <c r="Z310" s="20"/>
      <c r="AA310" s="20"/>
      <c r="AB310" s="20"/>
      <c r="AC310" s="20"/>
      <c r="AD310" s="20"/>
    </row>
    <row r="311" spans="2:30" x14ac:dyDescent="0.25"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93"/>
      <c r="Y311" s="20"/>
      <c r="Z311" s="20"/>
      <c r="AA311" s="20"/>
      <c r="AB311" s="20"/>
      <c r="AC311" s="20"/>
      <c r="AD311" s="20"/>
    </row>
    <row r="312" spans="2:30" x14ac:dyDescent="0.25"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93"/>
      <c r="Y312" s="20"/>
      <c r="Z312" s="20"/>
      <c r="AA312" s="20"/>
      <c r="AB312" s="20"/>
      <c r="AC312" s="20"/>
      <c r="AD312" s="20"/>
    </row>
    <row r="313" spans="2:30" x14ac:dyDescent="0.25"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93"/>
      <c r="Y313" s="20"/>
      <c r="Z313" s="20"/>
      <c r="AA313" s="20"/>
      <c r="AB313" s="20"/>
      <c r="AC313" s="20"/>
      <c r="AD313" s="20"/>
    </row>
    <row r="314" spans="2:30" x14ac:dyDescent="0.25"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93"/>
      <c r="Y314" s="20"/>
      <c r="Z314" s="20"/>
      <c r="AA314" s="20"/>
      <c r="AB314" s="20"/>
      <c r="AC314" s="20"/>
      <c r="AD314" s="20"/>
    </row>
    <row r="315" spans="2:30" x14ac:dyDescent="0.25"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93"/>
      <c r="Y315" s="20"/>
      <c r="Z315" s="20"/>
      <c r="AA315" s="20"/>
      <c r="AB315" s="20"/>
      <c r="AC315" s="20"/>
      <c r="AD315" s="20"/>
    </row>
    <row r="316" spans="2:30" x14ac:dyDescent="0.25"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93"/>
      <c r="Y316" s="20"/>
      <c r="Z316" s="20"/>
      <c r="AA316" s="20"/>
      <c r="AB316" s="20"/>
      <c r="AC316" s="20"/>
      <c r="AD316" s="20"/>
    </row>
    <row r="317" spans="2:30" x14ac:dyDescent="0.25"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93"/>
      <c r="Y317" s="20"/>
      <c r="Z317" s="20"/>
      <c r="AA317" s="20"/>
      <c r="AB317" s="20"/>
      <c r="AC317" s="20"/>
      <c r="AD317" s="20"/>
    </row>
    <row r="318" spans="2:30" x14ac:dyDescent="0.25"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93"/>
      <c r="Y318" s="20"/>
      <c r="Z318" s="20"/>
      <c r="AA318" s="20"/>
      <c r="AB318" s="20"/>
      <c r="AC318" s="20"/>
      <c r="AD318" s="20"/>
    </row>
    <row r="319" spans="2:30" x14ac:dyDescent="0.25"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93"/>
      <c r="Y319" s="20"/>
      <c r="Z319" s="20"/>
      <c r="AA319" s="20"/>
      <c r="AB319" s="20"/>
      <c r="AC319" s="20"/>
      <c r="AD319" s="20"/>
    </row>
    <row r="320" spans="2:30" x14ac:dyDescent="0.25"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93"/>
      <c r="Y320" s="20"/>
      <c r="Z320" s="20"/>
      <c r="AA320" s="20"/>
      <c r="AB320" s="20"/>
      <c r="AC320" s="20"/>
      <c r="AD320" s="20"/>
    </row>
    <row r="321" spans="2:30" x14ac:dyDescent="0.25"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93"/>
      <c r="Y321" s="20"/>
      <c r="Z321" s="20"/>
      <c r="AA321" s="20"/>
      <c r="AB321" s="20"/>
      <c r="AC321" s="20"/>
      <c r="AD321" s="20"/>
    </row>
    <row r="322" spans="2:30" x14ac:dyDescent="0.25"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93"/>
      <c r="Y322" s="20"/>
      <c r="Z322" s="20"/>
      <c r="AA322" s="20"/>
      <c r="AB322" s="20"/>
      <c r="AC322" s="20"/>
      <c r="AD322" s="20"/>
    </row>
    <row r="323" spans="2:30" x14ac:dyDescent="0.25"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93"/>
      <c r="Y323" s="20"/>
      <c r="Z323" s="20"/>
      <c r="AA323" s="20"/>
      <c r="AB323" s="20"/>
      <c r="AC323" s="20"/>
      <c r="AD323" s="20"/>
    </row>
    <row r="324" spans="2:30" ht="18.75" x14ac:dyDescent="0.25"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100"/>
      <c r="X324" s="93"/>
      <c r="Y324" s="20"/>
      <c r="Z324" s="20"/>
      <c r="AA324" s="20"/>
      <c r="AB324" s="20"/>
      <c r="AC324" s="20"/>
      <c r="AD324" s="20"/>
    </row>
    <row r="325" spans="2:30" ht="18.75" x14ac:dyDescent="0.25"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100"/>
      <c r="X325" s="93"/>
      <c r="Y325" s="20"/>
      <c r="Z325" s="20"/>
      <c r="AA325" s="20"/>
      <c r="AB325" s="20"/>
      <c r="AC325" s="20"/>
      <c r="AD325" s="20"/>
    </row>
    <row r="326" spans="2:30" ht="18.75" x14ac:dyDescent="0.25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100"/>
      <c r="X326" s="93"/>
      <c r="Y326" s="20"/>
      <c r="Z326" s="20"/>
      <c r="AA326" s="20"/>
      <c r="AB326" s="20"/>
      <c r="AC326" s="20"/>
      <c r="AD326" s="20"/>
    </row>
    <row r="327" spans="2:30" ht="18.75" x14ac:dyDescent="0.25"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100"/>
      <c r="X327" s="93"/>
      <c r="Y327" s="20"/>
      <c r="Z327" s="20"/>
      <c r="AA327" s="20"/>
      <c r="AB327" s="20"/>
      <c r="AC327" s="20"/>
      <c r="AD327" s="20"/>
    </row>
    <row r="328" spans="2:30" ht="18.75" x14ac:dyDescent="0.25"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100"/>
      <c r="X328" s="93"/>
      <c r="Y328" s="20"/>
      <c r="Z328" s="20"/>
      <c r="AA328" s="20"/>
      <c r="AB328" s="20"/>
      <c r="AC328" s="20"/>
      <c r="AD328" s="20"/>
    </row>
    <row r="329" spans="2:30" ht="18.75" x14ac:dyDescent="0.25"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100"/>
      <c r="X329" s="93"/>
      <c r="Y329" s="20"/>
      <c r="Z329" s="20"/>
      <c r="AA329" s="20"/>
      <c r="AB329" s="20"/>
      <c r="AC329" s="20"/>
      <c r="AD329" s="20"/>
    </row>
    <row r="330" spans="2:30" ht="18.75" x14ac:dyDescent="0.25"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100"/>
      <c r="X330" s="20"/>
      <c r="Y330" s="20"/>
      <c r="Z330" s="20"/>
      <c r="AA330" s="20"/>
      <c r="AB330" s="20"/>
      <c r="AC330" s="20"/>
      <c r="AD330" s="20"/>
    </row>
    <row r="331" spans="2:30" ht="18.75" x14ac:dyDescent="0.25"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100"/>
      <c r="X331" s="93"/>
      <c r="Y331" s="20"/>
      <c r="Z331" s="20"/>
      <c r="AA331" s="20"/>
      <c r="AB331" s="20"/>
      <c r="AC331" s="20"/>
      <c r="AD331" s="20"/>
    </row>
    <row r="332" spans="2:30" x14ac:dyDescent="0.25"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101"/>
      <c r="X332" s="93"/>
      <c r="Y332" s="20"/>
      <c r="Z332" s="20"/>
      <c r="AA332" s="20"/>
      <c r="AB332" s="20"/>
      <c r="AC332" s="20"/>
      <c r="AD332" s="20"/>
    </row>
    <row r="333" spans="2:30" x14ac:dyDescent="0.25"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101"/>
      <c r="X333" s="93"/>
      <c r="Y333" s="20"/>
      <c r="Z333" s="20"/>
      <c r="AA333" s="20"/>
      <c r="AB333" s="20"/>
      <c r="AC333" s="20"/>
      <c r="AD333" s="20"/>
    </row>
    <row r="334" spans="2:30" x14ac:dyDescent="0.25"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101"/>
      <c r="X334" s="93"/>
      <c r="Y334" s="20"/>
      <c r="Z334" s="20"/>
      <c r="AA334" s="20"/>
      <c r="AB334" s="20"/>
      <c r="AC334" s="20"/>
      <c r="AD334" s="20"/>
    </row>
    <row r="335" spans="2:30" x14ac:dyDescent="0.25"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93"/>
      <c r="Y335" s="20"/>
      <c r="Z335" s="20"/>
      <c r="AA335" s="20"/>
      <c r="AB335" s="20"/>
      <c r="AC335" s="20"/>
      <c r="AD335" s="20"/>
    </row>
    <row r="336" spans="2:30" x14ac:dyDescent="0.25"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101"/>
      <c r="X336" s="93"/>
      <c r="Y336" s="20"/>
      <c r="Z336" s="20"/>
      <c r="AA336" s="20"/>
      <c r="AB336" s="20"/>
      <c r="AC336" s="20"/>
      <c r="AD336" s="20"/>
    </row>
    <row r="337" spans="2:30" x14ac:dyDescent="0.25"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101"/>
      <c r="X337" s="93"/>
      <c r="Y337" s="20"/>
      <c r="Z337" s="20"/>
      <c r="AA337" s="20"/>
      <c r="AB337" s="20"/>
      <c r="AC337" s="20"/>
      <c r="AD337" s="20"/>
    </row>
    <row r="338" spans="2:30" x14ac:dyDescent="0.25"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101"/>
      <c r="X338" s="93"/>
      <c r="Y338" s="20"/>
      <c r="Z338" s="20"/>
      <c r="AA338" s="20"/>
      <c r="AB338" s="20"/>
      <c r="AC338" s="20"/>
      <c r="AD338" s="20"/>
    </row>
    <row r="339" spans="2:30" ht="21" x14ac:dyDescent="0.25"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102"/>
      <c r="X339" s="93"/>
      <c r="Y339" s="20"/>
      <c r="Z339" s="20"/>
      <c r="AA339" s="20"/>
      <c r="AB339" s="20"/>
      <c r="AC339" s="20"/>
      <c r="AD339" s="20"/>
    </row>
    <row r="340" spans="2:30" ht="18.75" x14ac:dyDescent="0.25"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103"/>
      <c r="X340" s="93"/>
      <c r="Y340" s="20"/>
      <c r="Z340" s="20"/>
      <c r="AA340" s="20"/>
      <c r="AB340" s="20"/>
      <c r="AC340" s="20"/>
      <c r="AD340" s="20"/>
    </row>
    <row r="341" spans="2:30" ht="18.75" x14ac:dyDescent="0.25"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103"/>
      <c r="X341" s="93"/>
      <c r="Y341" s="20"/>
      <c r="Z341" s="20"/>
      <c r="AA341" s="20"/>
      <c r="AB341" s="20"/>
      <c r="AC341" s="20"/>
      <c r="AD341" s="20"/>
    </row>
    <row r="342" spans="2:30" ht="18.75" x14ac:dyDescent="0.25"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103"/>
      <c r="X342" s="93"/>
      <c r="Y342" s="20"/>
      <c r="Z342" s="20"/>
      <c r="AA342" s="20"/>
      <c r="AB342" s="20"/>
      <c r="AC342" s="20"/>
      <c r="AD342" s="20"/>
    </row>
    <row r="343" spans="2:30" ht="18.75" x14ac:dyDescent="0.25"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103"/>
      <c r="X343" s="93"/>
      <c r="Y343" s="20"/>
      <c r="Z343" s="20"/>
      <c r="AA343" s="20"/>
      <c r="AB343" s="20"/>
      <c r="AC343" s="20"/>
      <c r="AD343" s="20"/>
    </row>
    <row r="344" spans="2:30" ht="18.75" x14ac:dyDescent="0.25"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103"/>
      <c r="X344" s="93"/>
      <c r="Y344" s="20"/>
      <c r="Z344" s="20"/>
      <c r="AA344" s="20"/>
      <c r="AB344" s="20"/>
      <c r="AC344" s="20"/>
      <c r="AD344" s="20"/>
    </row>
    <row r="345" spans="2:30" ht="18.75" x14ac:dyDescent="0.25"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103"/>
      <c r="X345" s="93"/>
      <c r="Y345" s="20"/>
      <c r="Z345" s="20"/>
      <c r="AA345" s="20"/>
      <c r="AB345" s="20"/>
      <c r="AC345" s="20"/>
      <c r="AD345" s="20"/>
    </row>
    <row r="346" spans="2:30" ht="18.75" x14ac:dyDescent="0.25"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103"/>
      <c r="X346" s="93"/>
      <c r="Y346" s="20"/>
      <c r="Z346" s="20"/>
      <c r="AA346" s="20"/>
      <c r="AB346" s="20"/>
      <c r="AC346" s="20"/>
      <c r="AD346" s="20"/>
    </row>
    <row r="347" spans="2:30" ht="18.75" x14ac:dyDescent="0.25"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103"/>
      <c r="X347" s="93"/>
      <c r="Y347" s="20"/>
      <c r="Z347" s="20"/>
      <c r="AA347" s="20"/>
      <c r="AB347" s="20"/>
      <c r="AC347" s="20"/>
      <c r="AD347" s="20"/>
    </row>
    <row r="348" spans="2:30" ht="18.75" x14ac:dyDescent="0.25"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103"/>
      <c r="X348" s="93"/>
      <c r="Y348" s="20"/>
      <c r="Z348" s="20"/>
      <c r="AA348" s="20"/>
      <c r="AB348" s="20"/>
      <c r="AC348" s="20"/>
      <c r="AD348" s="20"/>
    </row>
    <row r="349" spans="2:30" ht="21" x14ac:dyDescent="0.25"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103"/>
      <c r="X349" s="38"/>
      <c r="Y349" s="20"/>
      <c r="Z349" s="20"/>
      <c r="AA349" s="20"/>
      <c r="AB349" s="20"/>
      <c r="AC349" s="20"/>
      <c r="AD349" s="20"/>
    </row>
    <row r="350" spans="2:30" ht="18.75" x14ac:dyDescent="0.25"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103"/>
      <c r="X350" s="93"/>
      <c r="Y350" s="20"/>
      <c r="Z350" s="20"/>
      <c r="AA350" s="20"/>
      <c r="AB350" s="20"/>
      <c r="AC350" s="20"/>
      <c r="AD350" s="20"/>
    </row>
    <row r="351" spans="2:30" ht="18.75" x14ac:dyDescent="0.25"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103"/>
      <c r="X351" s="93"/>
      <c r="Y351" s="20"/>
      <c r="Z351" s="20"/>
      <c r="AA351" s="20"/>
      <c r="AB351" s="20"/>
      <c r="AC351" s="20"/>
      <c r="AD351" s="20"/>
    </row>
    <row r="352" spans="2:30" ht="18.75" x14ac:dyDescent="0.25"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100"/>
      <c r="X352" s="93"/>
      <c r="Y352" s="20"/>
      <c r="Z352" s="20"/>
      <c r="AA352" s="20"/>
      <c r="AB352" s="20"/>
      <c r="AC352" s="20"/>
      <c r="AD352" s="20"/>
    </row>
    <row r="353" spans="2:30" ht="18.75" x14ac:dyDescent="0.25"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100"/>
      <c r="X353" s="93"/>
      <c r="Y353" s="20"/>
      <c r="Z353" s="20"/>
      <c r="AA353" s="20"/>
      <c r="AB353" s="20"/>
      <c r="AC353" s="20"/>
      <c r="AD353" s="20"/>
    </row>
    <row r="354" spans="2:30" ht="21" x14ac:dyDescent="0.25"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38"/>
      <c r="X354" s="93"/>
      <c r="Y354" s="20"/>
      <c r="Z354" s="20"/>
      <c r="AA354" s="20"/>
      <c r="AB354" s="20"/>
      <c r="AC354" s="20"/>
      <c r="AD354" s="20"/>
    </row>
    <row r="355" spans="2:30" ht="18.75" x14ac:dyDescent="0.25"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100"/>
      <c r="X355" s="93"/>
      <c r="Y355" s="20"/>
      <c r="Z355" s="20"/>
      <c r="AA355" s="20"/>
      <c r="AB355" s="20"/>
      <c r="AC355" s="20"/>
      <c r="AD355" s="20"/>
    </row>
    <row r="356" spans="2:30" ht="18.75" x14ac:dyDescent="0.25"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100"/>
      <c r="X356" s="93"/>
      <c r="Y356" s="20"/>
      <c r="Z356" s="20"/>
      <c r="AA356" s="20"/>
      <c r="AB356" s="20"/>
      <c r="AC356" s="20"/>
      <c r="AD356" s="20"/>
    </row>
    <row r="357" spans="2:30" ht="18.75" x14ac:dyDescent="0.25">
      <c r="B357" s="20"/>
      <c r="C357" s="20"/>
      <c r="D357" s="20"/>
      <c r="E357" s="20"/>
      <c r="F357" s="20"/>
      <c r="G357" s="20"/>
      <c r="H357" s="20"/>
      <c r="I357" s="20"/>
      <c r="J357" s="20"/>
      <c r="K357" s="89"/>
      <c r="L357" s="89"/>
      <c r="M357" s="89"/>
      <c r="N357" s="87"/>
      <c r="O357" s="89"/>
      <c r="P357" s="89"/>
      <c r="Q357" s="54"/>
      <c r="R357" s="54"/>
      <c r="S357" s="54"/>
      <c r="T357" s="20"/>
      <c r="U357" s="20"/>
      <c r="V357" s="20"/>
      <c r="W357" s="100"/>
      <c r="X357" s="93"/>
      <c r="Y357" s="20"/>
      <c r="Z357" s="20"/>
      <c r="AA357" s="20"/>
      <c r="AB357" s="20"/>
      <c r="AC357" s="20"/>
      <c r="AD357" s="20"/>
    </row>
    <row r="358" spans="2:30" ht="18.75" x14ac:dyDescent="0.25"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100"/>
      <c r="X358" s="93"/>
      <c r="Y358" s="20"/>
      <c r="Z358" s="20"/>
      <c r="AA358" s="20"/>
      <c r="AB358" s="20"/>
      <c r="AC358" s="20"/>
      <c r="AD358" s="20"/>
    </row>
    <row r="359" spans="2:30" ht="18.75" x14ac:dyDescent="0.25"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100"/>
      <c r="X359" s="93"/>
      <c r="Y359" s="20"/>
      <c r="Z359" s="20"/>
      <c r="AA359" s="20"/>
      <c r="AB359" s="20"/>
      <c r="AC359" s="20"/>
      <c r="AD359" s="20"/>
    </row>
    <row r="360" spans="2:30" ht="18.75" x14ac:dyDescent="0.25"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100"/>
      <c r="X360" s="93"/>
      <c r="Y360" s="20"/>
      <c r="Z360" s="20"/>
      <c r="AA360" s="20"/>
      <c r="AB360" s="20"/>
      <c r="AC360" s="20"/>
      <c r="AD360" s="20"/>
    </row>
    <row r="361" spans="2:30" ht="18.75" x14ac:dyDescent="0.25"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100"/>
      <c r="X361" s="93"/>
      <c r="Y361" s="20"/>
      <c r="Z361" s="20"/>
      <c r="AA361" s="20"/>
      <c r="AB361" s="20"/>
      <c r="AC361" s="20"/>
      <c r="AD361" s="20"/>
    </row>
    <row r="362" spans="2:30" ht="18.75" x14ac:dyDescent="0.25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100"/>
      <c r="X362" s="93"/>
      <c r="Y362" s="20"/>
      <c r="Z362" s="20"/>
      <c r="AA362" s="20"/>
      <c r="AB362" s="20"/>
      <c r="AC362" s="20"/>
      <c r="AD362" s="20"/>
    </row>
    <row r="363" spans="2:30" ht="18.75" x14ac:dyDescent="0.25"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100"/>
      <c r="X363" s="93"/>
      <c r="Y363" s="20"/>
      <c r="Z363" s="20"/>
      <c r="AA363" s="20"/>
      <c r="AB363" s="20"/>
      <c r="AC363" s="20"/>
      <c r="AD363" s="20"/>
    </row>
    <row r="364" spans="2:30" ht="18.75" x14ac:dyDescent="0.25">
      <c r="B364" s="92"/>
      <c r="C364" s="85"/>
      <c r="D364" s="85"/>
      <c r="E364" s="87"/>
      <c r="F364" s="20"/>
      <c r="G364" s="20"/>
      <c r="H364" s="20"/>
      <c r="I364" s="20"/>
      <c r="J364" s="20"/>
      <c r="K364" s="89"/>
      <c r="L364" s="89"/>
      <c r="M364" s="89"/>
      <c r="N364" s="87"/>
      <c r="O364" s="89"/>
      <c r="P364" s="89"/>
      <c r="Q364" s="54"/>
      <c r="R364" s="54"/>
      <c r="S364" s="54"/>
      <c r="T364" s="20"/>
      <c r="U364" s="20"/>
      <c r="V364" s="20"/>
      <c r="W364" s="100"/>
      <c r="X364" s="93"/>
      <c r="Y364" s="20"/>
      <c r="Z364" s="20"/>
      <c r="AA364" s="20"/>
      <c r="AB364" s="20"/>
      <c r="AC364" s="20"/>
      <c r="AD364" s="20"/>
    </row>
    <row r="365" spans="2:30" ht="18.75" x14ac:dyDescent="0.25">
      <c r="B365" s="92"/>
      <c r="C365" s="85"/>
      <c r="D365" s="85"/>
      <c r="E365" s="87"/>
      <c r="F365" s="20"/>
      <c r="G365" s="20"/>
      <c r="H365" s="20"/>
      <c r="I365" s="20"/>
      <c r="J365" s="20"/>
      <c r="K365" s="89"/>
      <c r="L365" s="89"/>
      <c r="M365" s="89"/>
      <c r="N365" s="87"/>
      <c r="O365" s="89"/>
      <c r="P365" s="89"/>
      <c r="Q365" s="54"/>
      <c r="R365" s="54"/>
      <c r="S365" s="54"/>
      <c r="T365" s="20"/>
      <c r="U365" s="20"/>
      <c r="V365" s="20"/>
      <c r="W365" s="100"/>
      <c r="X365" s="93"/>
      <c r="Y365" s="20"/>
      <c r="Z365" s="20"/>
      <c r="AA365" s="20"/>
      <c r="AB365" s="20"/>
      <c r="AC365" s="20"/>
      <c r="AD365" s="20"/>
    </row>
    <row r="366" spans="2:30" ht="18.75" x14ac:dyDescent="0.25">
      <c r="B366" s="92"/>
      <c r="C366" s="85"/>
      <c r="D366" s="85"/>
      <c r="E366" s="87"/>
      <c r="F366" s="20"/>
      <c r="G366" s="20"/>
      <c r="H366" s="20"/>
      <c r="I366" s="20"/>
      <c r="J366" s="20"/>
      <c r="K366" s="89"/>
      <c r="L366" s="89"/>
      <c r="M366" s="89"/>
      <c r="N366" s="87"/>
      <c r="O366" s="89"/>
      <c r="P366" s="89"/>
      <c r="Q366" s="54"/>
      <c r="R366" s="54"/>
      <c r="S366" s="54"/>
      <c r="T366" s="20"/>
      <c r="U366" s="20"/>
      <c r="V366" s="20"/>
      <c r="W366" s="100"/>
      <c r="X366" s="93"/>
      <c r="Y366" s="20"/>
      <c r="Z366" s="20"/>
      <c r="AA366" s="20"/>
      <c r="AB366" s="20"/>
      <c r="AC366" s="20"/>
      <c r="AD366" s="20"/>
    </row>
    <row r="367" spans="2:30" ht="18.75" x14ac:dyDescent="0.25">
      <c r="B367" s="92"/>
      <c r="C367" s="85"/>
      <c r="D367" s="85"/>
      <c r="E367" s="87"/>
      <c r="F367" s="20"/>
      <c r="G367" s="20"/>
      <c r="H367" s="20"/>
      <c r="I367" s="20"/>
      <c r="J367" s="20"/>
      <c r="K367" s="89"/>
      <c r="L367" s="89"/>
      <c r="M367" s="89"/>
      <c r="N367" s="87"/>
      <c r="O367" s="89"/>
      <c r="P367" s="89"/>
      <c r="Q367" s="54"/>
      <c r="R367" s="54"/>
      <c r="S367" s="54"/>
      <c r="T367" s="20"/>
      <c r="U367" s="20"/>
      <c r="V367" s="20"/>
      <c r="W367" s="100"/>
      <c r="X367" s="93"/>
      <c r="Y367" s="20"/>
      <c r="Z367" s="20"/>
      <c r="AA367" s="20"/>
      <c r="AB367" s="20"/>
      <c r="AC367" s="20"/>
      <c r="AD367" s="20"/>
    </row>
    <row r="368" spans="2:30" ht="18.75" x14ac:dyDescent="0.25">
      <c r="B368" s="92"/>
      <c r="C368" s="85"/>
      <c r="D368" s="85"/>
      <c r="E368" s="87"/>
      <c r="F368" s="20"/>
      <c r="G368" s="20"/>
      <c r="H368" s="20"/>
      <c r="I368" s="20"/>
      <c r="J368" s="20"/>
      <c r="K368" s="89"/>
      <c r="L368" s="89"/>
      <c r="M368" s="89"/>
      <c r="N368" s="87"/>
      <c r="O368" s="89"/>
      <c r="P368" s="89"/>
      <c r="Q368" s="54"/>
      <c r="R368" s="54"/>
      <c r="S368" s="54"/>
      <c r="T368" s="20"/>
      <c r="U368" s="20"/>
      <c r="V368" s="20"/>
      <c r="W368" s="100"/>
      <c r="X368" s="93"/>
      <c r="Y368" s="20"/>
      <c r="Z368" s="20"/>
      <c r="AA368" s="20"/>
      <c r="AB368" s="20"/>
      <c r="AC368" s="20"/>
      <c r="AD368" s="20"/>
    </row>
    <row r="369" spans="2:30" ht="18.75" x14ac:dyDescent="0.25">
      <c r="B369" s="92"/>
      <c r="C369" s="85"/>
      <c r="D369" s="85"/>
      <c r="E369" s="87"/>
      <c r="F369" s="20"/>
      <c r="G369" s="20"/>
      <c r="H369" s="20"/>
      <c r="I369" s="20"/>
      <c r="J369" s="20"/>
      <c r="K369" s="89"/>
      <c r="L369" s="89"/>
      <c r="M369" s="89"/>
      <c r="N369" s="87"/>
      <c r="O369" s="89"/>
      <c r="P369" s="89"/>
      <c r="Q369" s="54"/>
      <c r="R369" s="54"/>
      <c r="S369" s="54"/>
      <c r="T369" s="20"/>
      <c r="U369" s="20"/>
      <c r="V369" s="20"/>
      <c r="W369" s="100"/>
      <c r="X369" s="93"/>
      <c r="Y369" s="20"/>
      <c r="Z369" s="20"/>
      <c r="AA369" s="20"/>
      <c r="AB369" s="20"/>
      <c r="AC369" s="20"/>
      <c r="AD369" s="20"/>
    </row>
    <row r="370" spans="2:30" ht="18.75" x14ac:dyDescent="0.25"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104"/>
      <c r="U370" s="91"/>
      <c r="V370" s="91"/>
      <c r="W370" s="100"/>
      <c r="X370" s="93"/>
      <c r="Y370" s="20"/>
      <c r="Z370" s="20"/>
      <c r="AA370" s="20"/>
      <c r="AB370" s="20"/>
      <c r="AC370" s="20"/>
      <c r="AD370" s="20"/>
    </row>
    <row r="371" spans="2:30" ht="18.75" x14ac:dyDescent="0.25"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104"/>
      <c r="U371" s="91"/>
      <c r="V371" s="91"/>
      <c r="W371" s="100"/>
      <c r="X371" s="93"/>
      <c r="Y371" s="20"/>
      <c r="Z371" s="20"/>
      <c r="AA371" s="20"/>
      <c r="AB371" s="20"/>
      <c r="AC371" s="20"/>
      <c r="AD371" s="20"/>
    </row>
    <row r="372" spans="2:30" ht="18.75" x14ac:dyDescent="0.25">
      <c r="B372" s="92"/>
      <c r="C372" s="85"/>
      <c r="D372" s="85"/>
      <c r="E372" s="87"/>
      <c r="F372" s="20"/>
      <c r="G372" s="20"/>
      <c r="H372" s="20"/>
      <c r="I372" s="20"/>
      <c r="J372" s="20"/>
      <c r="K372" s="89"/>
      <c r="L372" s="89"/>
      <c r="M372" s="89"/>
      <c r="N372" s="87"/>
      <c r="O372" s="89"/>
      <c r="P372" s="89"/>
      <c r="Q372" s="54"/>
      <c r="R372" s="54"/>
      <c r="S372" s="54"/>
      <c r="T372" s="104"/>
      <c r="U372" s="91"/>
      <c r="V372" s="91"/>
      <c r="W372" s="100"/>
      <c r="X372" s="93"/>
      <c r="Y372" s="20"/>
      <c r="Z372" s="20"/>
      <c r="AA372" s="20"/>
      <c r="AB372" s="20"/>
      <c r="AC372" s="20"/>
      <c r="AD372" s="20"/>
    </row>
    <row r="373" spans="2:30" ht="18.75" x14ac:dyDescent="0.25">
      <c r="B373" s="92"/>
      <c r="C373" s="85"/>
      <c r="D373" s="85"/>
      <c r="E373" s="87"/>
      <c r="F373" s="20"/>
      <c r="G373" s="20"/>
      <c r="H373" s="20"/>
      <c r="I373" s="20"/>
      <c r="J373" s="20"/>
      <c r="K373" s="89"/>
      <c r="L373" s="89"/>
      <c r="M373" s="89"/>
      <c r="N373" s="87"/>
      <c r="O373" s="89"/>
      <c r="P373" s="89"/>
      <c r="Q373" s="54"/>
      <c r="R373" s="54"/>
      <c r="S373" s="54"/>
      <c r="T373" s="104"/>
      <c r="U373" s="91"/>
      <c r="V373" s="91"/>
      <c r="W373" s="100"/>
      <c r="X373" s="93"/>
      <c r="Y373" s="20"/>
      <c r="Z373" s="20"/>
      <c r="AA373" s="20"/>
      <c r="AB373" s="20"/>
      <c r="AC373" s="20"/>
      <c r="AD373" s="20"/>
    </row>
    <row r="374" spans="2:30" ht="18.75" x14ac:dyDescent="0.25">
      <c r="B374" s="92"/>
      <c r="C374" s="85"/>
      <c r="D374" s="85"/>
      <c r="E374" s="87"/>
      <c r="F374" s="20"/>
      <c r="G374" s="20"/>
      <c r="H374" s="20"/>
      <c r="I374" s="20"/>
      <c r="J374" s="20"/>
      <c r="K374" s="89"/>
      <c r="L374" s="89"/>
      <c r="M374" s="89"/>
      <c r="N374" s="87"/>
      <c r="O374" s="89"/>
      <c r="P374" s="89"/>
      <c r="Q374" s="54"/>
      <c r="R374" s="54"/>
      <c r="S374" s="54"/>
      <c r="T374" s="104"/>
      <c r="U374" s="91"/>
      <c r="V374" s="91"/>
      <c r="W374" s="100"/>
      <c r="X374" s="93"/>
      <c r="Y374" s="20"/>
      <c r="Z374" s="20"/>
      <c r="AA374" s="20"/>
      <c r="AB374" s="20"/>
      <c r="AC374" s="20"/>
      <c r="AD374" s="20"/>
    </row>
    <row r="375" spans="2:30" ht="18.75" x14ac:dyDescent="0.25">
      <c r="B375" s="92"/>
      <c r="C375" s="85"/>
      <c r="D375" s="85"/>
      <c r="E375" s="87"/>
      <c r="F375" s="20"/>
      <c r="G375" s="20"/>
      <c r="H375" s="20"/>
      <c r="I375" s="20"/>
      <c r="J375" s="20"/>
      <c r="K375" s="89"/>
      <c r="L375" s="89"/>
      <c r="M375" s="89"/>
      <c r="N375" s="87"/>
      <c r="O375" s="89"/>
      <c r="P375" s="89"/>
      <c r="Q375" s="54"/>
      <c r="R375" s="54"/>
      <c r="S375" s="54"/>
      <c r="T375" s="104"/>
      <c r="U375" s="91"/>
      <c r="V375" s="91"/>
      <c r="W375" s="100"/>
      <c r="X375" s="93"/>
      <c r="Y375" s="20"/>
      <c r="Z375" s="20"/>
      <c r="AA375" s="20"/>
      <c r="AB375" s="20"/>
      <c r="AC375" s="20"/>
      <c r="AD375" s="20"/>
    </row>
    <row r="376" spans="2:30" ht="18.75" x14ac:dyDescent="0.25">
      <c r="B376" s="92"/>
      <c r="C376" s="85"/>
      <c r="D376" s="85"/>
      <c r="E376" s="87"/>
      <c r="F376" s="20"/>
      <c r="G376" s="20"/>
      <c r="H376" s="20"/>
      <c r="I376" s="20"/>
      <c r="J376" s="20"/>
      <c r="K376" s="89"/>
      <c r="L376" s="89"/>
      <c r="M376" s="89"/>
      <c r="N376" s="87"/>
      <c r="O376" s="89"/>
      <c r="P376" s="89"/>
      <c r="Q376" s="54"/>
      <c r="R376" s="54"/>
      <c r="S376" s="54"/>
      <c r="T376" s="104"/>
      <c r="U376" s="91"/>
      <c r="V376" s="91"/>
      <c r="W376" s="100"/>
      <c r="X376" s="93"/>
      <c r="Y376" s="20"/>
      <c r="Z376" s="20"/>
      <c r="AA376" s="20"/>
      <c r="AB376" s="20"/>
      <c r="AC376" s="20"/>
      <c r="AD376" s="20"/>
    </row>
    <row r="377" spans="2:30" ht="18.75" x14ac:dyDescent="0.25">
      <c r="B377" s="92"/>
      <c r="C377" s="85"/>
      <c r="D377" s="85"/>
      <c r="E377" s="87"/>
      <c r="F377" s="20"/>
      <c r="G377" s="20"/>
      <c r="H377" s="20"/>
      <c r="I377" s="20"/>
      <c r="J377" s="20"/>
      <c r="K377" s="89"/>
      <c r="L377" s="89"/>
      <c r="M377" s="89"/>
      <c r="N377" s="87"/>
      <c r="O377" s="89"/>
      <c r="P377" s="89"/>
      <c r="Q377" s="54"/>
      <c r="R377" s="54"/>
      <c r="S377" s="54"/>
      <c r="T377" s="20"/>
      <c r="U377" s="20"/>
      <c r="V377" s="20"/>
      <c r="W377" s="100"/>
      <c r="X377" s="93"/>
      <c r="Y377" s="20"/>
      <c r="Z377" s="20"/>
      <c r="AA377" s="20"/>
      <c r="AB377" s="20"/>
      <c r="AC377" s="20"/>
      <c r="AD377" s="20"/>
    </row>
    <row r="378" spans="2:30" ht="18.75" x14ac:dyDescent="0.25">
      <c r="B378" s="92"/>
      <c r="C378" s="85"/>
      <c r="D378" s="85"/>
      <c r="E378" s="87"/>
      <c r="F378" s="20"/>
      <c r="G378" s="20"/>
      <c r="H378" s="20"/>
      <c r="I378" s="20"/>
      <c r="J378" s="20"/>
      <c r="K378" s="89"/>
      <c r="L378" s="89"/>
      <c r="M378" s="89"/>
      <c r="N378" s="92"/>
      <c r="O378" s="89"/>
      <c r="P378" s="89"/>
      <c r="Q378" s="92"/>
      <c r="R378" s="54"/>
      <c r="S378" s="54"/>
      <c r="T378" s="20"/>
      <c r="U378" s="20"/>
      <c r="V378" s="20"/>
      <c r="W378" s="100"/>
      <c r="X378" s="93"/>
      <c r="Y378" s="20"/>
      <c r="Z378" s="20"/>
      <c r="AA378" s="20"/>
      <c r="AB378" s="20"/>
      <c r="AC378" s="20"/>
      <c r="AD378" s="20"/>
    </row>
    <row r="379" spans="2:30" ht="18.75" x14ac:dyDescent="0.25">
      <c r="B379" s="92"/>
      <c r="C379" s="85"/>
      <c r="D379" s="85"/>
      <c r="E379" s="87"/>
      <c r="F379" s="20"/>
      <c r="G379" s="20"/>
      <c r="H379" s="20"/>
      <c r="I379" s="20"/>
      <c r="J379" s="20"/>
      <c r="K379" s="89"/>
      <c r="L379" s="89"/>
      <c r="M379" s="89"/>
      <c r="N379" s="92"/>
      <c r="O379" s="89"/>
      <c r="P379" s="89"/>
      <c r="Q379" s="92"/>
      <c r="R379" s="54"/>
      <c r="S379" s="54"/>
      <c r="T379" s="104"/>
      <c r="U379" s="91"/>
      <c r="V379" s="91"/>
      <c r="W379" s="100"/>
      <c r="X379" s="93"/>
      <c r="Y379" s="20"/>
      <c r="Z379" s="20"/>
      <c r="AA379" s="20"/>
      <c r="AB379" s="20"/>
      <c r="AC379" s="20"/>
      <c r="AD379" s="20"/>
    </row>
    <row r="380" spans="2:30" ht="18.75" x14ac:dyDescent="0.25">
      <c r="B380" s="92"/>
      <c r="C380" s="85"/>
      <c r="D380" s="85"/>
      <c r="E380" s="87"/>
      <c r="F380" s="20"/>
      <c r="G380" s="20"/>
      <c r="H380" s="20"/>
      <c r="I380" s="20"/>
      <c r="J380" s="20"/>
      <c r="K380" s="89"/>
      <c r="L380" s="89"/>
      <c r="M380" s="89"/>
      <c r="N380" s="92"/>
      <c r="O380" s="89"/>
      <c r="P380" s="89"/>
      <c r="Q380" s="92"/>
      <c r="R380" s="54"/>
      <c r="S380" s="54"/>
      <c r="T380" s="104"/>
      <c r="U380" s="91"/>
      <c r="V380" s="91"/>
      <c r="W380" s="100"/>
      <c r="X380" s="93"/>
      <c r="Y380" s="20"/>
      <c r="Z380" s="20"/>
      <c r="AA380" s="20"/>
      <c r="AB380" s="20"/>
      <c r="AC380" s="20"/>
      <c r="AD380" s="20"/>
    </row>
    <row r="381" spans="2:30" ht="18.75" x14ac:dyDescent="0.25">
      <c r="B381" s="92"/>
      <c r="C381" s="85"/>
      <c r="D381" s="85"/>
      <c r="E381" s="87"/>
      <c r="F381" s="20"/>
      <c r="G381" s="20"/>
      <c r="H381" s="20"/>
      <c r="I381" s="20"/>
      <c r="J381" s="20"/>
      <c r="K381" s="89"/>
      <c r="L381" s="89"/>
      <c r="M381" s="89"/>
      <c r="N381" s="92"/>
      <c r="O381" s="89"/>
      <c r="P381" s="89"/>
      <c r="Q381" s="92"/>
      <c r="R381" s="54"/>
      <c r="S381" s="54"/>
      <c r="T381" s="104"/>
      <c r="U381" s="91"/>
      <c r="V381" s="91"/>
      <c r="W381" s="100"/>
      <c r="X381" s="93"/>
      <c r="Y381" s="20"/>
      <c r="Z381" s="20"/>
      <c r="AA381" s="20"/>
      <c r="AB381" s="20"/>
      <c r="AC381" s="20"/>
      <c r="AD381" s="20"/>
    </row>
    <row r="382" spans="2:30" ht="18.75" x14ac:dyDescent="0.25">
      <c r="B382" s="92"/>
      <c r="C382" s="85"/>
      <c r="D382" s="85"/>
      <c r="E382" s="87"/>
      <c r="F382" s="20"/>
      <c r="G382" s="20"/>
      <c r="H382" s="20"/>
      <c r="I382" s="20"/>
      <c r="J382" s="20"/>
      <c r="K382" s="89"/>
      <c r="L382" s="89"/>
      <c r="M382" s="89"/>
      <c r="N382" s="92"/>
      <c r="O382" s="89"/>
      <c r="P382" s="89"/>
      <c r="Q382" s="92"/>
      <c r="R382" s="54"/>
      <c r="S382" s="54"/>
      <c r="T382" s="104"/>
      <c r="U382" s="91"/>
      <c r="V382" s="91"/>
      <c r="W382" s="100"/>
      <c r="X382" s="93"/>
      <c r="Y382" s="20"/>
      <c r="Z382" s="20"/>
      <c r="AA382" s="20"/>
      <c r="AB382" s="20"/>
      <c r="AC382" s="20"/>
      <c r="AD382" s="20"/>
    </row>
    <row r="383" spans="2:30" ht="18.75" x14ac:dyDescent="0.25">
      <c r="B383" s="92"/>
      <c r="C383" s="85"/>
      <c r="D383" s="85"/>
      <c r="E383" s="87"/>
      <c r="F383" s="20"/>
      <c r="G383" s="20"/>
      <c r="H383" s="20"/>
      <c r="I383" s="20"/>
      <c r="J383" s="20"/>
      <c r="K383" s="89"/>
      <c r="L383" s="89"/>
      <c r="M383" s="89"/>
      <c r="N383" s="92"/>
      <c r="O383" s="89"/>
      <c r="P383" s="89"/>
      <c r="Q383" s="92"/>
      <c r="R383" s="54"/>
      <c r="S383" s="54"/>
      <c r="T383" s="104"/>
      <c r="U383" s="91"/>
      <c r="V383" s="91"/>
      <c r="W383" s="100"/>
      <c r="X383" s="93"/>
      <c r="Y383" s="20"/>
      <c r="Z383" s="20"/>
      <c r="AA383" s="20"/>
      <c r="AB383" s="20"/>
      <c r="AC383" s="20"/>
      <c r="AD383" s="20"/>
    </row>
    <row r="384" spans="2:30" ht="18.75" x14ac:dyDescent="0.25">
      <c r="B384" s="92"/>
      <c r="C384" s="85"/>
      <c r="D384" s="85"/>
      <c r="E384" s="87"/>
      <c r="F384" s="20"/>
      <c r="G384" s="20"/>
      <c r="H384" s="20"/>
      <c r="I384" s="20"/>
      <c r="J384" s="20"/>
      <c r="K384" s="89"/>
      <c r="L384" s="89"/>
      <c r="M384" s="89"/>
      <c r="N384" s="92"/>
      <c r="O384" s="89"/>
      <c r="P384" s="89"/>
      <c r="Q384" s="92"/>
      <c r="R384" s="54"/>
      <c r="S384" s="54"/>
      <c r="T384" s="104"/>
      <c r="U384" s="91"/>
      <c r="V384" s="91"/>
      <c r="W384" s="100"/>
      <c r="X384" s="93"/>
      <c r="Y384" s="20"/>
      <c r="Z384" s="20"/>
      <c r="AA384" s="20"/>
      <c r="AB384" s="20"/>
      <c r="AC384" s="20"/>
      <c r="AD384" s="20"/>
    </row>
    <row r="385" spans="2:30" ht="18.75" x14ac:dyDescent="0.25">
      <c r="B385" s="92"/>
      <c r="C385" s="85"/>
      <c r="D385" s="85"/>
      <c r="E385" s="87"/>
      <c r="F385" s="20"/>
      <c r="G385" s="20"/>
      <c r="H385" s="20"/>
      <c r="I385" s="20"/>
      <c r="J385" s="20"/>
      <c r="K385" s="89"/>
      <c r="L385" s="89"/>
      <c r="M385" s="89"/>
      <c r="N385" s="92"/>
      <c r="O385" s="89"/>
      <c r="P385" s="89"/>
      <c r="Q385" s="92"/>
      <c r="R385" s="54"/>
      <c r="S385" s="54"/>
      <c r="T385" s="92"/>
      <c r="U385" s="92"/>
      <c r="V385" s="91"/>
      <c r="W385" s="100"/>
      <c r="X385" s="93"/>
      <c r="Y385" s="20"/>
      <c r="Z385" s="20"/>
      <c r="AA385" s="20"/>
      <c r="AB385" s="20"/>
      <c r="AC385" s="20"/>
      <c r="AD385" s="20"/>
    </row>
    <row r="386" spans="2:30" ht="18.75" x14ac:dyDescent="0.25">
      <c r="B386" s="92"/>
      <c r="C386" s="85"/>
      <c r="D386" s="85"/>
      <c r="E386" s="87"/>
      <c r="F386" s="20"/>
      <c r="G386" s="20"/>
      <c r="H386" s="20"/>
      <c r="I386" s="20"/>
      <c r="J386" s="20"/>
      <c r="K386" s="89"/>
      <c r="L386" s="89"/>
      <c r="M386" s="89"/>
      <c r="N386" s="92"/>
      <c r="O386" s="89"/>
      <c r="P386" s="89"/>
      <c r="Q386" s="92"/>
      <c r="R386" s="54"/>
      <c r="S386" s="54"/>
      <c r="T386" s="92"/>
      <c r="U386" s="92"/>
      <c r="V386" s="91"/>
      <c r="W386" s="100"/>
      <c r="X386" s="93"/>
      <c r="Y386" s="20"/>
      <c r="Z386" s="20"/>
      <c r="AA386" s="20"/>
      <c r="AB386" s="20"/>
      <c r="AC386" s="20"/>
      <c r="AD386" s="20"/>
    </row>
    <row r="387" spans="2:30" ht="18.75" x14ac:dyDescent="0.25">
      <c r="B387" s="92"/>
      <c r="C387" s="85"/>
      <c r="D387" s="85"/>
      <c r="E387" s="87"/>
      <c r="F387" s="20"/>
      <c r="G387" s="20"/>
      <c r="H387" s="20"/>
      <c r="I387" s="20"/>
      <c r="J387" s="20"/>
      <c r="K387" s="89"/>
      <c r="L387" s="89"/>
      <c r="M387" s="89"/>
      <c r="N387" s="92"/>
      <c r="O387" s="89"/>
      <c r="P387" s="89"/>
      <c r="Q387" s="92"/>
      <c r="R387" s="54"/>
      <c r="S387" s="54"/>
      <c r="T387" s="92"/>
      <c r="U387" s="92"/>
      <c r="V387" s="91"/>
      <c r="W387" s="100"/>
      <c r="X387" s="93"/>
      <c r="Y387" s="20"/>
      <c r="Z387" s="20"/>
      <c r="AA387" s="20"/>
      <c r="AB387" s="20"/>
      <c r="AC387" s="20"/>
      <c r="AD387" s="20"/>
    </row>
    <row r="388" spans="2:30" ht="18.75" x14ac:dyDescent="0.25">
      <c r="B388" s="92"/>
      <c r="C388" s="85"/>
      <c r="D388" s="85"/>
      <c r="E388" s="87"/>
      <c r="F388" s="20"/>
      <c r="G388" s="20"/>
      <c r="H388" s="20"/>
      <c r="I388" s="20"/>
      <c r="J388" s="20"/>
      <c r="K388" s="89"/>
      <c r="L388" s="89"/>
      <c r="M388" s="89"/>
      <c r="N388" s="92"/>
      <c r="O388" s="89"/>
      <c r="P388" s="89"/>
      <c r="Q388" s="92"/>
      <c r="R388" s="54"/>
      <c r="S388" s="54"/>
      <c r="T388" s="92"/>
      <c r="U388" s="92"/>
      <c r="V388" s="91"/>
      <c r="W388" s="100"/>
      <c r="X388" s="93"/>
      <c r="Y388" s="20"/>
      <c r="Z388" s="20"/>
      <c r="AA388" s="20"/>
      <c r="AB388" s="20"/>
      <c r="AC388" s="20"/>
      <c r="AD388" s="20"/>
    </row>
    <row r="389" spans="2:30" ht="18.75" x14ac:dyDescent="0.25">
      <c r="B389" s="92"/>
      <c r="C389" s="85"/>
      <c r="D389" s="85"/>
      <c r="E389" s="87"/>
      <c r="F389" s="20"/>
      <c r="G389" s="20"/>
      <c r="H389" s="20"/>
      <c r="I389" s="20"/>
      <c r="J389" s="20"/>
      <c r="K389" s="89"/>
      <c r="L389" s="89"/>
      <c r="M389" s="89"/>
      <c r="N389" s="92"/>
      <c r="O389" s="89"/>
      <c r="P389" s="89"/>
      <c r="Q389" s="92"/>
      <c r="R389" s="54"/>
      <c r="S389" s="54"/>
      <c r="T389" s="92"/>
      <c r="U389" s="92"/>
      <c r="V389" s="91"/>
      <c r="W389" s="100"/>
      <c r="X389" s="93"/>
      <c r="Y389" s="20"/>
      <c r="Z389" s="20"/>
      <c r="AA389" s="20"/>
      <c r="AB389" s="20"/>
      <c r="AC389" s="20"/>
      <c r="AD389" s="20"/>
    </row>
    <row r="390" spans="2:30" ht="18.75" x14ac:dyDescent="0.25">
      <c r="B390" s="92"/>
      <c r="C390" s="85"/>
      <c r="D390" s="85"/>
      <c r="E390" s="87"/>
      <c r="F390" s="20"/>
      <c r="G390" s="20"/>
      <c r="H390" s="20"/>
      <c r="I390" s="20"/>
      <c r="J390" s="20"/>
      <c r="K390" s="89"/>
      <c r="L390" s="89"/>
      <c r="M390" s="89"/>
      <c r="N390" s="92"/>
      <c r="O390" s="89"/>
      <c r="P390" s="89"/>
      <c r="Q390" s="92"/>
      <c r="R390" s="54"/>
      <c r="S390" s="54"/>
      <c r="T390" s="92"/>
      <c r="U390" s="92"/>
      <c r="V390" s="91"/>
      <c r="W390" s="100"/>
      <c r="X390" s="93"/>
      <c r="Y390" s="20"/>
      <c r="Z390" s="20"/>
      <c r="AA390" s="20"/>
      <c r="AB390" s="20"/>
      <c r="AC390" s="20"/>
      <c r="AD390" s="20"/>
    </row>
    <row r="391" spans="2:30" ht="18.75" x14ac:dyDescent="0.25">
      <c r="B391" s="92"/>
      <c r="C391" s="85"/>
      <c r="D391" s="85"/>
      <c r="E391" s="87"/>
      <c r="F391" s="20"/>
      <c r="G391" s="20"/>
      <c r="H391" s="20"/>
      <c r="I391" s="20"/>
      <c r="J391" s="20"/>
      <c r="K391" s="89"/>
      <c r="L391" s="89"/>
      <c r="M391" s="89"/>
      <c r="N391" s="92"/>
      <c r="O391" s="89"/>
      <c r="P391" s="89"/>
      <c r="Q391" s="92"/>
      <c r="R391" s="54"/>
      <c r="S391" s="54"/>
      <c r="T391" s="92"/>
      <c r="U391" s="92"/>
      <c r="V391" s="91"/>
      <c r="W391" s="100"/>
      <c r="X391" s="93"/>
      <c r="Y391" s="20"/>
      <c r="Z391" s="20"/>
      <c r="AA391" s="20"/>
      <c r="AB391" s="20"/>
      <c r="AC391" s="20"/>
      <c r="AD391" s="20"/>
    </row>
    <row r="392" spans="2:30" ht="18.75" x14ac:dyDescent="0.25">
      <c r="B392" s="92"/>
      <c r="C392" s="85"/>
      <c r="D392" s="85"/>
      <c r="E392" s="87"/>
      <c r="F392" s="20"/>
      <c r="G392" s="20"/>
      <c r="H392" s="20"/>
      <c r="I392" s="20"/>
      <c r="J392" s="20"/>
      <c r="K392" s="89"/>
      <c r="L392" s="89"/>
      <c r="M392" s="89"/>
      <c r="N392" s="92"/>
      <c r="O392" s="89"/>
      <c r="P392" s="89"/>
      <c r="Q392" s="92"/>
      <c r="R392" s="54"/>
      <c r="S392" s="54"/>
      <c r="T392" s="92"/>
      <c r="U392" s="92"/>
      <c r="V392" s="91"/>
      <c r="W392" s="100"/>
      <c r="X392" s="93"/>
      <c r="Y392" s="20"/>
      <c r="Z392" s="20"/>
      <c r="AA392" s="20"/>
      <c r="AB392" s="20"/>
      <c r="AC392" s="20"/>
      <c r="AD392" s="20"/>
    </row>
    <row r="393" spans="2:30" ht="18.75" x14ac:dyDescent="0.25">
      <c r="B393" s="92"/>
      <c r="C393" s="85"/>
      <c r="D393" s="85"/>
      <c r="E393" s="87"/>
      <c r="F393" s="20"/>
      <c r="G393" s="20"/>
      <c r="H393" s="20"/>
      <c r="I393" s="20"/>
      <c r="J393" s="20"/>
      <c r="K393" s="89"/>
      <c r="L393" s="89"/>
      <c r="M393" s="89"/>
      <c r="N393" s="92"/>
      <c r="O393" s="89"/>
      <c r="P393" s="89"/>
      <c r="Q393" s="92"/>
      <c r="R393" s="54"/>
      <c r="S393" s="54"/>
      <c r="T393" s="92"/>
      <c r="U393" s="92"/>
      <c r="V393" s="91"/>
      <c r="W393" s="100"/>
      <c r="X393" s="93"/>
      <c r="Y393" s="20"/>
      <c r="Z393" s="20"/>
      <c r="AA393" s="20"/>
      <c r="AB393" s="20"/>
      <c r="AC393" s="20"/>
      <c r="AD393" s="20"/>
    </row>
    <row r="394" spans="2:30" ht="18.75" x14ac:dyDescent="0.25">
      <c r="B394" s="92"/>
      <c r="C394" s="85"/>
      <c r="D394" s="85"/>
      <c r="E394" s="87"/>
      <c r="F394" s="20"/>
      <c r="G394" s="20"/>
      <c r="H394" s="20"/>
      <c r="I394" s="20"/>
      <c r="J394" s="20"/>
      <c r="K394" s="89"/>
      <c r="L394" s="89"/>
      <c r="M394" s="89"/>
      <c r="N394" s="92"/>
      <c r="O394" s="89"/>
      <c r="P394" s="89"/>
      <c r="Q394" s="92"/>
      <c r="R394" s="54"/>
      <c r="S394" s="54"/>
      <c r="T394" s="92"/>
      <c r="U394" s="92"/>
      <c r="V394" s="91"/>
      <c r="W394" s="100"/>
      <c r="X394" s="93"/>
      <c r="Y394" s="20"/>
      <c r="Z394" s="20"/>
      <c r="AA394" s="20"/>
      <c r="AB394" s="20"/>
      <c r="AC394" s="20"/>
      <c r="AD394" s="20"/>
    </row>
    <row r="395" spans="2:30" ht="18.75" x14ac:dyDescent="0.25">
      <c r="B395" s="92"/>
      <c r="C395" s="85"/>
      <c r="D395" s="85"/>
      <c r="E395" s="87"/>
      <c r="F395" s="20"/>
      <c r="G395" s="20"/>
      <c r="H395" s="20"/>
      <c r="I395" s="20"/>
      <c r="J395" s="20"/>
      <c r="K395" s="89"/>
      <c r="L395" s="89"/>
      <c r="M395" s="89"/>
      <c r="N395" s="92"/>
      <c r="O395" s="89"/>
      <c r="P395" s="89"/>
      <c r="Q395" s="92"/>
      <c r="R395" s="54"/>
      <c r="S395" s="54"/>
      <c r="T395" s="92"/>
      <c r="U395" s="92"/>
      <c r="V395" s="91"/>
      <c r="W395" s="100"/>
      <c r="X395" s="93"/>
      <c r="Y395" s="20"/>
      <c r="Z395" s="20"/>
      <c r="AA395" s="20"/>
      <c r="AB395" s="20"/>
      <c r="AC395" s="20"/>
      <c r="AD395" s="20"/>
    </row>
    <row r="396" spans="2:30" ht="18.75" x14ac:dyDescent="0.25">
      <c r="B396" s="92"/>
      <c r="C396" s="85"/>
      <c r="D396" s="85"/>
      <c r="E396" s="87"/>
      <c r="F396" s="20"/>
      <c r="G396" s="20"/>
      <c r="H396" s="20"/>
      <c r="I396" s="20"/>
      <c r="J396" s="20"/>
      <c r="K396" s="89"/>
      <c r="L396" s="89"/>
      <c r="M396" s="89"/>
      <c r="N396" s="92"/>
      <c r="O396" s="89"/>
      <c r="P396" s="89"/>
      <c r="Q396" s="92"/>
      <c r="R396" s="54"/>
      <c r="S396" s="54"/>
      <c r="T396" s="92"/>
      <c r="U396" s="92"/>
      <c r="V396" s="91"/>
      <c r="W396" s="100"/>
      <c r="X396" s="93"/>
      <c r="Y396" s="20"/>
      <c r="Z396" s="20"/>
      <c r="AA396" s="20"/>
      <c r="AB396" s="20"/>
      <c r="AC396" s="20"/>
      <c r="AD396" s="20"/>
    </row>
    <row r="397" spans="2:30" ht="18.75" x14ac:dyDescent="0.25">
      <c r="B397" s="92"/>
      <c r="C397" s="85"/>
      <c r="D397" s="85"/>
      <c r="E397" s="87"/>
      <c r="F397" s="20"/>
      <c r="G397" s="20"/>
      <c r="H397" s="20"/>
      <c r="I397" s="20"/>
      <c r="J397" s="20"/>
      <c r="K397" s="89"/>
      <c r="L397" s="89"/>
      <c r="M397" s="89"/>
      <c r="N397" s="92"/>
      <c r="O397" s="89"/>
      <c r="P397" s="89"/>
      <c r="Q397" s="92"/>
      <c r="R397" s="54"/>
      <c r="S397" s="54"/>
      <c r="T397" s="92"/>
      <c r="U397" s="92"/>
      <c r="V397" s="91"/>
      <c r="W397" s="100"/>
      <c r="X397" s="93"/>
      <c r="Y397" s="20"/>
      <c r="Z397" s="20"/>
      <c r="AA397" s="20"/>
      <c r="AB397" s="20"/>
      <c r="AC397" s="20"/>
      <c r="AD397" s="20"/>
    </row>
    <row r="398" spans="2:30" ht="18.75" x14ac:dyDescent="0.25">
      <c r="B398" s="2"/>
      <c r="C398" s="5"/>
      <c r="D398" s="5"/>
      <c r="E398" s="6"/>
      <c r="K398" s="13"/>
      <c r="L398" s="13"/>
      <c r="M398" s="13"/>
      <c r="N398" s="2"/>
      <c r="O398" s="13"/>
      <c r="P398" s="13"/>
      <c r="Q398" s="2"/>
      <c r="R398" s="4"/>
      <c r="S398" s="4"/>
      <c r="T398" s="2"/>
      <c r="U398" s="2"/>
      <c r="V398" s="3"/>
      <c r="W398" s="7"/>
      <c r="X398" s="10"/>
    </row>
    <row r="399" spans="2:30" ht="18.75" x14ac:dyDescent="0.25">
      <c r="B399" s="2"/>
      <c r="C399" s="5"/>
      <c r="D399" s="5"/>
      <c r="E399" s="6"/>
      <c r="K399" s="13"/>
      <c r="L399" s="13"/>
      <c r="M399" s="13"/>
      <c r="N399" s="2"/>
      <c r="O399" s="13"/>
      <c r="P399" s="13"/>
      <c r="Q399" s="2"/>
      <c r="R399" s="4"/>
      <c r="S399" s="4"/>
      <c r="T399" s="2"/>
      <c r="U399" s="2"/>
      <c r="V399" s="3"/>
      <c r="W399" s="7"/>
      <c r="X399" s="10"/>
    </row>
    <row r="400" spans="2:30" ht="18.75" x14ac:dyDescent="0.25">
      <c r="B400" s="2"/>
      <c r="C400" s="5"/>
      <c r="D400" s="5"/>
      <c r="E400" s="6"/>
      <c r="K400" s="13"/>
      <c r="L400" s="13"/>
      <c r="M400" s="13"/>
      <c r="N400" s="2"/>
      <c r="O400" s="13"/>
      <c r="P400" s="13"/>
      <c r="Q400" s="2"/>
      <c r="R400" s="4"/>
      <c r="S400" s="4"/>
      <c r="T400" s="2"/>
      <c r="U400" s="2"/>
      <c r="V400" s="3"/>
      <c r="W400" s="7"/>
      <c r="X400" s="10"/>
    </row>
    <row r="401" spans="2:24" ht="18.75" x14ac:dyDescent="0.25">
      <c r="T401" s="2"/>
      <c r="U401" s="2"/>
      <c r="V401" s="3"/>
      <c r="W401" s="7"/>
      <c r="X401" s="10"/>
    </row>
    <row r="402" spans="2:24" ht="18.75" x14ac:dyDescent="0.25">
      <c r="T402" s="2"/>
      <c r="U402" s="2"/>
      <c r="V402" s="3"/>
      <c r="W402" s="7"/>
      <c r="X402" s="10"/>
    </row>
    <row r="403" spans="2:24" ht="18.75" x14ac:dyDescent="0.25">
      <c r="T403" s="2"/>
      <c r="U403" s="2"/>
      <c r="V403" s="3"/>
      <c r="W403" s="7"/>
      <c r="X403" s="10"/>
    </row>
    <row r="404" spans="2:24" ht="18.75" x14ac:dyDescent="0.25">
      <c r="T404" s="2"/>
      <c r="U404" s="2"/>
      <c r="V404" s="3"/>
      <c r="W404" s="7"/>
      <c r="X404" s="10"/>
    </row>
    <row r="405" spans="2:24" ht="18.75" x14ac:dyDescent="0.25">
      <c r="T405" s="2"/>
      <c r="U405" s="2"/>
      <c r="V405" s="3"/>
      <c r="W405" s="7"/>
      <c r="X405" s="10"/>
    </row>
    <row r="406" spans="2:24" ht="18.75" x14ac:dyDescent="0.25">
      <c r="B406" s="2"/>
      <c r="C406" s="5"/>
      <c r="D406" s="5"/>
      <c r="E406" s="6"/>
      <c r="K406" s="13"/>
      <c r="L406" s="13"/>
      <c r="M406" s="13"/>
      <c r="N406" s="2"/>
      <c r="O406" s="13"/>
      <c r="P406" s="13"/>
      <c r="Q406" s="2"/>
      <c r="R406" s="4"/>
      <c r="S406" s="4"/>
      <c r="T406" s="2"/>
      <c r="U406" s="2"/>
      <c r="V406" s="3"/>
      <c r="W406" s="7"/>
      <c r="X406" s="10"/>
    </row>
    <row r="407" spans="2:24" ht="18.75" x14ac:dyDescent="0.25">
      <c r="B407" s="2"/>
      <c r="C407" s="5"/>
      <c r="D407" s="5"/>
      <c r="E407" s="6"/>
      <c r="K407" s="13"/>
      <c r="L407" s="13"/>
      <c r="M407" s="13"/>
      <c r="N407" s="2"/>
      <c r="O407" s="13"/>
      <c r="P407" s="13"/>
      <c r="Q407" s="2"/>
      <c r="R407" s="4"/>
      <c r="S407" s="4"/>
      <c r="T407" s="2"/>
      <c r="U407" s="2"/>
      <c r="V407" s="3"/>
      <c r="W407" s="7"/>
      <c r="X407" s="10"/>
    </row>
    <row r="408" spans="2:24" ht="18.75" x14ac:dyDescent="0.25">
      <c r="B408" s="2"/>
      <c r="C408" s="5"/>
      <c r="D408" s="5"/>
      <c r="E408" s="6"/>
      <c r="K408" s="13"/>
      <c r="L408" s="13"/>
      <c r="M408" s="13"/>
      <c r="N408" s="2"/>
      <c r="O408" s="13"/>
      <c r="P408" s="13"/>
      <c r="Q408" s="2"/>
      <c r="R408" s="4"/>
      <c r="S408" s="4"/>
      <c r="T408" s="2"/>
      <c r="U408" s="2"/>
      <c r="V408" s="3"/>
      <c r="W408" s="7"/>
      <c r="X408" s="10"/>
    </row>
    <row r="409" spans="2:24" ht="18.75" x14ac:dyDescent="0.25">
      <c r="B409" s="2"/>
      <c r="C409" s="5"/>
      <c r="D409" s="5"/>
      <c r="E409" s="6"/>
      <c r="K409" s="13"/>
      <c r="L409" s="13"/>
      <c r="M409" s="13"/>
      <c r="N409" s="2"/>
      <c r="O409" s="13"/>
      <c r="P409" s="13"/>
      <c r="Q409" s="2"/>
      <c r="R409" s="4"/>
      <c r="S409" s="4"/>
      <c r="T409" s="2"/>
      <c r="U409" s="2"/>
      <c r="V409" s="3"/>
      <c r="W409" s="7"/>
      <c r="X409" s="10"/>
    </row>
    <row r="410" spans="2:24" ht="18.75" x14ac:dyDescent="0.25">
      <c r="B410" s="2"/>
      <c r="C410" s="5"/>
      <c r="D410" s="5"/>
      <c r="E410" s="6"/>
      <c r="K410" s="13"/>
      <c r="L410" s="13"/>
      <c r="M410" s="13"/>
      <c r="N410" s="2"/>
      <c r="O410" s="13"/>
      <c r="P410" s="13"/>
      <c r="Q410" s="2"/>
      <c r="R410" s="4"/>
      <c r="S410" s="4"/>
      <c r="T410" s="2"/>
      <c r="U410" s="2"/>
      <c r="V410" s="3"/>
      <c r="W410" s="7"/>
      <c r="X410" s="10"/>
    </row>
    <row r="411" spans="2:24" ht="18.75" x14ac:dyDescent="0.25">
      <c r="B411" s="2"/>
      <c r="C411" s="5"/>
      <c r="D411" s="5"/>
      <c r="E411" s="6"/>
      <c r="K411" s="13"/>
      <c r="L411" s="13"/>
      <c r="M411" s="13"/>
      <c r="N411" s="2"/>
      <c r="O411" s="13"/>
      <c r="P411" s="13"/>
      <c r="Q411" s="2"/>
      <c r="R411" s="4"/>
      <c r="S411" s="4"/>
      <c r="T411" s="2"/>
      <c r="U411" s="2"/>
      <c r="V411" s="3"/>
      <c r="W411" s="7"/>
      <c r="X411" s="10"/>
    </row>
    <row r="412" spans="2:24" ht="18.75" x14ac:dyDescent="0.25">
      <c r="B412" s="2"/>
      <c r="C412" s="5"/>
      <c r="D412" s="5"/>
      <c r="E412" s="6"/>
      <c r="K412" s="13"/>
      <c r="L412" s="13"/>
      <c r="M412" s="13"/>
      <c r="N412" s="2"/>
      <c r="O412" s="13"/>
      <c r="P412" s="13"/>
      <c r="Q412" s="2"/>
      <c r="R412" s="4"/>
      <c r="S412" s="4"/>
      <c r="T412" s="2"/>
      <c r="U412" s="2"/>
      <c r="V412" s="3"/>
      <c r="W412" s="7"/>
      <c r="X412" s="10"/>
    </row>
    <row r="413" spans="2:24" ht="18.75" x14ac:dyDescent="0.25">
      <c r="B413" s="2"/>
      <c r="C413" s="5"/>
      <c r="D413" s="5"/>
      <c r="E413" s="6"/>
      <c r="K413" s="13"/>
      <c r="L413" s="13"/>
      <c r="M413" s="13"/>
      <c r="N413" s="2"/>
      <c r="O413" s="13"/>
      <c r="P413" s="13"/>
      <c r="Q413" s="2"/>
      <c r="R413" s="4"/>
      <c r="S413" s="4"/>
      <c r="T413" s="2"/>
      <c r="U413" s="2"/>
      <c r="V413" s="3"/>
      <c r="W413" s="7"/>
      <c r="X413" s="10"/>
    </row>
    <row r="414" spans="2:24" ht="18.75" x14ac:dyDescent="0.25">
      <c r="T414" s="2"/>
      <c r="U414" s="2"/>
      <c r="V414" s="3"/>
      <c r="W414" s="7"/>
      <c r="X414" s="10"/>
    </row>
    <row r="415" spans="2:24" ht="18.75" x14ac:dyDescent="0.25">
      <c r="T415" s="2"/>
      <c r="U415" s="2"/>
      <c r="V415" s="3"/>
      <c r="W415" s="7"/>
      <c r="X415" s="10"/>
    </row>
    <row r="416" spans="2:24" ht="18.75" x14ac:dyDescent="0.25">
      <c r="W416" s="7"/>
      <c r="X416" s="10"/>
    </row>
    <row r="417" spans="2:24" ht="18.75" x14ac:dyDescent="0.25">
      <c r="W417" s="7"/>
      <c r="X417" s="10"/>
    </row>
    <row r="418" spans="2:24" ht="18.75" x14ac:dyDescent="0.25">
      <c r="W418" s="7"/>
      <c r="X418" s="10"/>
    </row>
    <row r="419" spans="2:24" ht="18.75" x14ac:dyDescent="0.25">
      <c r="B419" s="2"/>
      <c r="C419" s="5"/>
      <c r="D419" s="5"/>
      <c r="E419" s="6"/>
      <c r="K419" s="13"/>
      <c r="L419" s="13"/>
      <c r="M419" s="13"/>
      <c r="N419" s="2"/>
      <c r="O419" s="13"/>
      <c r="P419" s="13"/>
      <c r="Q419" s="2"/>
      <c r="R419" s="4"/>
      <c r="S419" s="4"/>
      <c r="W419" s="7"/>
      <c r="X419" s="10"/>
    </row>
    <row r="420" spans="2:24" ht="18.75" x14ac:dyDescent="0.25">
      <c r="B420" s="2"/>
      <c r="C420" s="5"/>
      <c r="D420" s="5"/>
      <c r="E420" s="6"/>
      <c r="K420" s="13"/>
      <c r="L420" s="13"/>
      <c r="M420" s="13"/>
      <c r="N420" s="2"/>
      <c r="O420" s="13"/>
      <c r="P420" s="13"/>
      <c r="Q420" s="2"/>
      <c r="R420" s="4"/>
      <c r="S420" s="4"/>
      <c r="W420" s="7"/>
      <c r="X420" s="10"/>
    </row>
    <row r="421" spans="2:24" ht="18.75" x14ac:dyDescent="0.25">
      <c r="B421" s="2"/>
      <c r="C421" s="5"/>
      <c r="D421" s="5"/>
      <c r="E421" s="6"/>
      <c r="K421" s="13"/>
      <c r="L421" s="13"/>
      <c r="M421" s="13"/>
      <c r="N421" s="2"/>
      <c r="O421" s="13"/>
      <c r="P421" s="13"/>
      <c r="Q421" s="2"/>
      <c r="R421" s="4"/>
      <c r="S421" s="4"/>
      <c r="T421" s="2"/>
      <c r="U421" s="2"/>
      <c r="V421" s="3"/>
      <c r="W421" s="7"/>
      <c r="X421" s="10"/>
    </row>
    <row r="422" spans="2:24" ht="18.75" x14ac:dyDescent="0.25">
      <c r="B422" s="2"/>
      <c r="C422" s="5"/>
      <c r="D422" s="5"/>
      <c r="E422" s="6"/>
      <c r="K422" s="13"/>
      <c r="L422" s="13"/>
      <c r="M422" s="13"/>
      <c r="N422" s="2"/>
      <c r="O422" s="13"/>
      <c r="P422" s="13"/>
      <c r="Q422" s="2"/>
      <c r="R422" s="4"/>
      <c r="S422" s="4"/>
      <c r="T422" s="2"/>
      <c r="U422" s="2"/>
      <c r="V422" s="3"/>
      <c r="W422" s="7"/>
      <c r="X422" s="10"/>
    </row>
    <row r="423" spans="2:24" ht="18.75" x14ac:dyDescent="0.25">
      <c r="B423" s="2"/>
      <c r="C423" s="5"/>
      <c r="D423" s="5"/>
      <c r="E423" s="6"/>
      <c r="K423" s="13"/>
      <c r="L423" s="13"/>
      <c r="M423" s="13"/>
      <c r="N423" s="2"/>
      <c r="O423" s="13"/>
      <c r="P423" s="13"/>
      <c r="Q423" s="2"/>
      <c r="R423" s="4"/>
      <c r="S423" s="4"/>
      <c r="T423" s="2"/>
      <c r="U423" s="2"/>
      <c r="V423" s="3"/>
      <c r="W423" s="7"/>
      <c r="X423" s="10"/>
    </row>
    <row r="424" spans="2:24" ht="18.75" x14ac:dyDescent="0.25">
      <c r="B424" s="2"/>
      <c r="C424" s="5"/>
      <c r="D424" s="5"/>
      <c r="E424" s="6"/>
      <c r="K424" s="13"/>
      <c r="L424" s="13"/>
      <c r="M424" s="13"/>
      <c r="N424" s="2"/>
      <c r="O424" s="13"/>
      <c r="P424" s="13"/>
      <c r="Q424" s="2"/>
      <c r="R424" s="4"/>
      <c r="S424" s="4"/>
      <c r="T424" s="2"/>
      <c r="U424" s="2"/>
      <c r="V424" s="3"/>
      <c r="W424" s="7"/>
      <c r="X424" s="10"/>
    </row>
    <row r="425" spans="2:24" ht="18.75" x14ac:dyDescent="0.25">
      <c r="B425" s="2"/>
      <c r="C425" s="5"/>
      <c r="D425" s="5"/>
      <c r="E425" s="6"/>
      <c r="K425" s="13"/>
      <c r="L425" s="13"/>
      <c r="M425" s="13"/>
      <c r="N425" s="2"/>
      <c r="O425" s="13"/>
      <c r="P425" s="13"/>
      <c r="Q425" s="2"/>
      <c r="R425" s="4"/>
      <c r="S425" s="4"/>
      <c r="T425" s="2"/>
      <c r="U425" s="2"/>
      <c r="V425" s="3"/>
      <c r="W425" s="7"/>
      <c r="X425" s="10"/>
    </row>
    <row r="426" spans="2:24" ht="18.75" x14ac:dyDescent="0.25">
      <c r="B426" s="2"/>
      <c r="C426" s="5"/>
      <c r="D426" s="5"/>
      <c r="E426" s="6"/>
      <c r="K426" s="13"/>
      <c r="L426" s="13"/>
      <c r="M426" s="13"/>
      <c r="N426" s="2"/>
      <c r="O426" s="13"/>
      <c r="P426" s="13"/>
      <c r="Q426" s="2"/>
      <c r="R426" s="4"/>
      <c r="S426" s="4"/>
      <c r="T426" s="2"/>
      <c r="U426" s="2"/>
      <c r="V426" s="3"/>
      <c r="W426" s="7"/>
      <c r="X426" s="10"/>
    </row>
    <row r="427" spans="2:24" ht="18.75" x14ac:dyDescent="0.25">
      <c r="B427" s="2"/>
      <c r="C427" s="5"/>
      <c r="D427" s="5"/>
      <c r="E427" s="6"/>
      <c r="K427" s="13"/>
      <c r="L427" s="13"/>
      <c r="M427" s="13"/>
      <c r="N427" s="2"/>
      <c r="O427" s="13"/>
      <c r="P427" s="13"/>
      <c r="Q427" s="2"/>
      <c r="R427" s="4"/>
      <c r="S427" s="4"/>
      <c r="T427" s="2"/>
      <c r="U427" s="2"/>
      <c r="V427" s="3"/>
      <c r="W427" s="7"/>
      <c r="X427" s="10"/>
    </row>
    <row r="428" spans="2:24" ht="18.75" x14ac:dyDescent="0.25">
      <c r="B428" s="2"/>
      <c r="C428" s="5"/>
      <c r="D428" s="5"/>
      <c r="E428" s="6"/>
      <c r="K428" s="13"/>
      <c r="L428" s="13"/>
      <c r="M428" s="13"/>
      <c r="N428" s="2"/>
      <c r="O428" s="13"/>
      <c r="P428" s="13"/>
      <c r="Q428" s="2"/>
      <c r="R428" s="4"/>
      <c r="S428" s="4"/>
      <c r="T428" s="2"/>
      <c r="U428" s="2"/>
      <c r="V428" s="3"/>
      <c r="W428" s="7"/>
      <c r="X428" s="10"/>
    </row>
    <row r="429" spans="2:24" ht="18.75" x14ac:dyDescent="0.25">
      <c r="T429" s="2"/>
      <c r="U429" s="2"/>
      <c r="V429" s="3"/>
      <c r="W429" s="7"/>
      <c r="X429" s="10"/>
    </row>
    <row r="430" spans="2:24" ht="18.75" x14ac:dyDescent="0.25">
      <c r="T430" s="2"/>
      <c r="U430" s="2"/>
      <c r="V430" s="3"/>
      <c r="W430" s="7"/>
      <c r="X430" s="10"/>
    </row>
    <row r="431" spans="2:24" ht="18.75" x14ac:dyDescent="0.25">
      <c r="B431" s="2"/>
      <c r="C431" s="5"/>
      <c r="D431" s="5"/>
      <c r="E431" s="6"/>
      <c r="K431" s="13"/>
      <c r="L431" s="13"/>
      <c r="M431" s="13"/>
      <c r="N431" s="2"/>
      <c r="O431" s="13"/>
      <c r="P431" s="13"/>
      <c r="Q431" s="2"/>
      <c r="R431" s="4"/>
      <c r="S431" s="4"/>
      <c r="T431" s="2"/>
      <c r="U431" s="2"/>
      <c r="V431" s="3"/>
      <c r="W431" s="7"/>
      <c r="X431" s="10"/>
    </row>
    <row r="432" spans="2:24" ht="18.75" x14ac:dyDescent="0.25">
      <c r="B432" s="2"/>
      <c r="C432" s="5"/>
      <c r="D432" s="5"/>
      <c r="E432" s="6"/>
      <c r="K432" s="13"/>
      <c r="L432" s="13"/>
      <c r="M432" s="13"/>
      <c r="N432" s="2"/>
      <c r="O432" s="13"/>
      <c r="P432" s="13"/>
      <c r="Q432" s="2"/>
      <c r="R432" s="4"/>
      <c r="S432" s="4"/>
      <c r="T432" s="2"/>
      <c r="U432" s="2"/>
      <c r="V432" s="3"/>
      <c r="W432" s="7"/>
      <c r="X432" s="10"/>
    </row>
    <row r="433" spans="2:24" ht="18.75" x14ac:dyDescent="0.25">
      <c r="B433" s="2"/>
      <c r="C433" s="5"/>
      <c r="D433" s="5"/>
      <c r="E433" s="6"/>
      <c r="K433" s="13"/>
      <c r="L433" s="13"/>
      <c r="M433" s="13"/>
      <c r="N433" s="2"/>
      <c r="O433" s="13"/>
      <c r="P433" s="13"/>
      <c r="Q433" s="2"/>
      <c r="R433" s="4"/>
      <c r="S433" s="4"/>
      <c r="T433" s="2"/>
      <c r="U433" s="2"/>
      <c r="V433" s="3"/>
      <c r="W433" s="16"/>
      <c r="X433" s="10"/>
    </row>
    <row r="434" spans="2:24" ht="23.25" x14ac:dyDescent="0.25">
      <c r="C434" s="2"/>
      <c r="D434" s="5"/>
      <c r="E434" s="6"/>
      <c r="G434" s="2"/>
      <c r="H434" s="2"/>
      <c r="I434" s="2"/>
      <c r="K434" s="6"/>
      <c r="L434" s="6"/>
      <c r="M434" s="6"/>
      <c r="N434" s="2"/>
      <c r="O434" s="6"/>
      <c r="P434" s="6"/>
      <c r="Q434" s="2"/>
      <c r="R434" s="4"/>
      <c r="S434" s="4"/>
      <c r="T434" s="8"/>
      <c r="U434" s="8"/>
      <c r="V434" s="16"/>
      <c r="X434" s="10"/>
    </row>
    <row r="435" spans="2:24" ht="23.25" x14ac:dyDescent="0.25">
      <c r="C435" s="9"/>
      <c r="D435" s="15"/>
      <c r="E435" s="12"/>
      <c r="P435" s="10"/>
      <c r="Q435" s="10"/>
      <c r="R435" s="10"/>
      <c r="S435" s="19"/>
      <c r="T435" s="19"/>
      <c r="U435" s="11"/>
      <c r="V435" s="11"/>
      <c r="X435" s="10"/>
    </row>
    <row r="436" spans="2:24" x14ac:dyDescent="0.25">
      <c r="W436" s="10"/>
      <c r="X436" s="10"/>
    </row>
    <row r="439" spans="2:24" x14ac:dyDescent="0.25">
      <c r="V439" s="18"/>
    </row>
    <row r="440" spans="2:24" x14ac:dyDescent="0.25">
      <c r="V440" s="18"/>
    </row>
    <row r="441" spans="2:24" x14ac:dyDescent="0.25">
      <c r="C441" s="15"/>
      <c r="D441" s="14"/>
      <c r="V441" s="18"/>
    </row>
    <row r="442" spans="2:24" x14ac:dyDescent="0.25">
      <c r="C442" s="15"/>
      <c r="D442" s="14"/>
      <c r="V442" s="18"/>
    </row>
    <row r="443" spans="2:24" x14ac:dyDescent="0.25">
      <c r="D443" s="14"/>
      <c r="V443" s="18"/>
    </row>
    <row r="444" spans="2:24" x14ac:dyDescent="0.25">
      <c r="D444" s="14"/>
    </row>
    <row r="445" spans="2:24" x14ac:dyDescent="0.25">
      <c r="U445" s="17"/>
    </row>
    <row r="446" spans="2:24" x14ac:dyDescent="0.25">
      <c r="U446" s="17"/>
    </row>
    <row r="447" spans="2:24" x14ac:dyDescent="0.25">
      <c r="U447" s="17"/>
    </row>
    <row r="448" spans="2:24" x14ac:dyDescent="0.25">
      <c r="U448" s="17"/>
    </row>
    <row r="449" spans="21:21" x14ac:dyDescent="0.25">
      <c r="U449" s="17"/>
    </row>
    <row r="450" spans="21:21" x14ac:dyDescent="0.25">
      <c r="U450" s="17"/>
    </row>
  </sheetData>
  <protectedRanges>
    <protectedRange sqref="H12 H14 H16 L6 L8 L10 L12 L14 H6 H8 C6 C8 C10 Q7:R7" name="Intervallo2"/>
    <protectedRange sqref="C6 C8 C10 H6 H8 L6 L8 Q7:R7" name="Intervallo1"/>
  </protectedRanges>
  <mergeCells count="13">
    <mergeCell ref="O7:P7"/>
    <mergeCell ref="O8:P8"/>
    <mergeCell ref="B18:F18"/>
    <mergeCell ref="G18:J18"/>
    <mergeCell ref="K18:N18"/>
    <mergeCell ref="O18:S18"/>
    <mergeCell ref="B1:S1"/>
    <mergeCell ref="B2:S2"/>
    <mergeCell ref="B3:S3"/>
    <mergeCell ref="B4:F4"/>
    <mergeCell ref="G4:J4"/>
    <mergeCell ref="K4:N4"/>
    <mergeCell ref="O4:S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8"/>
  <sheetViews>
    <sheetView showGridLines="0" showRowColHeaders="0" zoomScale="50" zoomScaleNormal="50" workbookViewId="0">
      <pane ySplit="1" topLeftCell="A2" activePane="bottomLeft" state="frozen"/>
      <selection activeCell="Q9" sqref="Q9"/>
      <selection pane="bottomLeft" activeCell="P258" sqref="P258"/>
    </sheetView>
  </sheetViews>
  <sheetFormatPr defaultRowHeight="15" x14ac:dyDescent="0.25"/>
  <cols>
    <col min="1" max="1" width="17" customWidth="1"/>
    <col min="2" max="14" width="14.7109375" customWidth="1"/>
    <col min="15" max="17" width="19.7109375" customWidth="1"/>
    <col min="18" max="21" width="14.7109375" customWidth="1"/>
    <col min="22" max="22" width="24.42578125" customWidth="1"/>
  </cols>
  <sheetData>
    <row r="1" spans="1:22" ht="21.75" thickBot="1" x14ac:dyDescent="0.3">
      <c r="A1" s="20"/>
      <c r="B1" s="129" t="s">
        <v>27</v>
      </c>
      <c r="C1" s="129" t="s">
        <v>25</v>
      </c>
      <c r="D1" s="129" t="s">
        <v>26</v>
      </c>
      <c r="E1" s="130" t="s">
        <v>36</v>
      </c>
      <c r="F1" s="131" t="s">
        <v>18</v>
      </c>
      <c r="G1" s="127" t="s">
        <v>30</v>
      </c>
      <c r="H1" s="127" t="s">
        <v>35</v>
      </c>
      <c r="I1" s="127" t="s">
        <v>11</v>
      </c>
      <c r="J1" s="127" t="s">
        <v>12</v>
      </c>
      <c r="K1" s="128" t="s">
        <v>21</v>
      </c>
      <c r="L1" s="128" t="s">
        <v>20</v>
      </c>
      <c r="M1" s="128" t="s">
        <v>40</v>
      </c>
      <c r="N1" s="143" t="s">
        <v>98</v>
      </c>
      <c r="O1" s="143" t="s">
        <v>278</v>
      </c>
      <c r="P1" s="144" t="s">
        <v>97</v>
      </c>
      <c r="Q1" s="144" t="s">
        <v>99</v>
      </c>
      <c r="R1" s="145" t="s">
        <v>24</v>
      </c>
      <c r="S1" s="145" t="s">
        <v>23</v>
      </c>
      <c r="T1" s="127" t="s">
        <v>22</v>
      </c>
      <c r="U1" s="127" t="s">
        <v>53</v>
      </c>
      <c r="V1" s="127" t="s">
        <v>64</v>
      </c>
    </row>
    <row r="2" spans="1:22" ht="26.25" customHeight="1" x14ac:dyDescent="0.25">
      <c r="A2" s="350" t="s">
        <v>37</v>
      </c>
      <c r="B2" s="121" t="s">
        <v>39</v>
      </c>
      <c r="C2" s="119">
        <f>'DATI nascosti 1'!$L$8*10^-3</f>
        <v>6.7500000000000004E-2</v>
      </c>
      <c r="D2" s="119">
        <f>'DATI nascosti 1'!$L$8*10^-3</f>
        <v>6.7500000000000004E-2</v>
      </c>
      <c r="E2" s="121" t="s">
        <v>39</v>
      </c>
      <c r="F2" s="122" t="e">
        <f>(D2*'DATI nascosti 1'!$C$13-C2*'DATI nascosti 1'!$C$10)/(D2-C2)</f>
        <v>#DIV/0!</v>
      </c>
      <c r="G2" s="123">
        <v>0</v>
      </c>
      <c r="H2" s="123">
        <v>0</v>
      </c>
      <c r="I2" s="123">
        <v>0</v>
      </c>
      <c r="J2" s="123">
        <v>0</v>
      </c>
      <c r="K2" s="124">
        <f>IF(D2&gt;=('DATI nascosti 1'!$L$10*10^-3),'DATI nascosti 1'!$L$14*'DATI nascosti 1'!$P$12,IF(D2&gt;=(-'DATI nascosti 1'!$L$10*10^-3),'DATI nascosti 1'!$L$16*D2*'DATI nascosti 1'!$P$12,-'DATI nascosti 1'!$L$14*'DATI nascosti 1'!$P$12))</f>
        <v>614659.43222408998</v>
      </c>
      <c r="L2" s="124">
        <v>0</v>
      </c>
      <c r="M2" s="124">
        <f>IF(C2&gt;=('DATI nascosti 1'!$L$10*10^-3),'DATI nascosti 1'!$L$14*'DATI nascosti 1'!$P$11,IF(C2&gt;=(-'DATI nascosti 1'!$L$10*10^-3),'DATI nascosti 1'!$P$11*'DATI nascosti 1'!$L$16*C2,-'DATI nascosti 1'!$L$14*'DATI nascosti 1'!$P$11))</f>
        <v>614659.43222408998</v>
      </c>
      <c r="N2" s="141">
        <f t="shared" ref="N2:N65" si="0">K2+L2+M2</f>
        <v>1229318.86444818</v>
      </c>
      <c r="O2" s="141">
        <f>-K2*('DATI nascosti 1'!$C$13/2)+M2*('DATI nascosti 1'!$C$13/2)</f>
        <v>0</v>
      </c>
      <c r="P2" s="140">
        <f>-TABULATI!N2/10^3</f>
        <v>-1229.31886444818</v>
      </c>
      <c r="Q2" s="140">
        <f>TABULATI!O2/10^6</f>
        <v>0</v>
      </c>
      <c r="R2" s="142">
        <f>-N2/('DATI nascosti 1'!$C$6*'DATI nascosti 1'!$C$13*'DATI nascosti 1'!$H$10*'DATI nascosti 1'!$H$16)</f>
        <v>-0.29581171389629707</v>
      </c>
      <c r="S2" s="142">
        <f>O2/('DATI nascosti 1'!$H$16*'DATI nascosti 1'!$C$6*'DATI nascosti 1'!$C$13^2*'DATI nascosti 1'!$H$10)</f>
        <v>0</v>
      </c>
      <c r="T2" s="126">
        <f t="shared" ref="T2:T65" si="1">O2/N2</f>
        <v>0</v>
      </c>
      <c r="U2" s="121" t="str">
        <f>IF(T2&gt;=0, IF(T2&lt;='DATI nascosti 1'!$C$8/6, "SI", "NO"),IF(T2&gt; -'DATI nascosti 1'!$C$8/6, "SI", "NO"))</f>
        <v>SI</v>
      </c>
      <c r="V2" s="121" t="str">
        <f>IF(Foglio3!G3&lt;1,IF(Foglio3!G3&gt;-1,"ROTTURA BILANCIATA",""),"")</f>
        <v/>
      </c>
    </row>
    <row r="3" spans="1:22" ht="18.75" x14ac:dyDescent="0.25">
      <c r="A3" s="350"/>
      <c r="B3" s="67" t="s">
        <v>39</v>
      </c>
      <c r="C3" s="68">
        <f>'DATI nascosti 1'!$L$8*10^-3</f>
        <v>6.7500000000000004E-2</v>
      </c>
      <c r="D3" s="68">
        <f>D2-(C3-('DATI nascosti 1'!$C$10/'DATI nascosti 1'!$C$13*C3))/100</f>
        <v>6.6851298701298703E-2</v>
      </c>
      <c r="E3" s="67" t="s">
        <v>39</v>
      </c>
      <c r="F3" s="69">
        <f>(D3*'DATI nascosti 1'!$C$13-C3*'DATI nascosti 1'!$C$10)/(D3-C3)</f>
        <v>-114344.99999999955</v>
      </c>
      <c r="G3" s="70">
        <v>0</v>
      </c>
      <c r="H3" s="70">
        <v>0</v>
      </c>
      <c r="I3" s="70">
        <v>0</v>
      </c>
      <c r="J3" s="70">
        <v>0</v>
      </c>
      <c r="K3" s="71">
        <f>IF(D3&gt;=('DATI nascosti 1'!$L$10*10^-3),'DATI nascosti 1'!$L$14*'DATI nascosti 1'!$P$12,IF(D3&gt;=(-'DATI nascosti 1'!$L$10*10^-3),'DATI nascosti 1'!$L$16*D3*'DATI nascosti 1'!$P$12,-'DATI nascosti 1'!$L$14*'DATI nascosti 1'!$P$12))</f>
        <v>614659.43222408998</v>
      </c>
      <c r="L3" s="71">
        <v>0</v>
      </c>
      <c r="M3" s="71">
        <f>IF(C3&gt;=('DATI nascosti 1'!$L$10*10^-3),'DATI nascosti 1'!$L$14*'DATI nascosti 1'!$P$11,IF(C3&gt;=(-'DATI nascosti 1'!$L$10*10^-3),'DATI nascosti 1'!$P$11*'DATI nascosti 1'!$L$16*C3,-'DATI nascosti 1'!$L$14*'DATI nascosti 1'!$P$11))</f>
        <v>614659.43222408998</v>
      </c>
      <c r="N3" s="71">
        <f t="shared" si="0"/>
        <v>1229318.86444818</v>
      </c>
      <c r="O3" s="71">
        <f>-K3*('DATI nascosti 1'!$C$13/2)+M3*('DATI nascosti 1'!$C$13/2)</f>
        <v>0</v>
      </c>
      <c r="P3" s="69">
        <f>-TABULATI!N3/10^3</f>
        <v>-1229.31886444818</v>
      </c>
      <c r="Q3" s="69">
        <f>TABULATI!O3/10^6</f>
        <v>0</v>
      </c>
      <c r="R3" s="72">
        <f>-N3/('DATI nascosti 1'!$C$6*'DATI nascosti 1'!$C$13*'DATI nascosti 1'!$H$10*'DATI nascosti 1'!$H$16)</f>
        <v>-0.29581171389629707</v>
      </c>
      <c r="S3" s="72">
        <f>O3/('DATI nascosti 1'!$H$16*'DATI nascosti 1'!$C$6*'DATI nascosti 1'!$C$13^2*'DATI nascosti 1'!$H$10)</f>
        <v>0</v>
      </c>
      <c r="T3" s="73">
        <f t="shared" si="1"/>
        <v>0</v>
      </c>
      <c r="U3" s="67" t="str">
        <f>IF(T3&gt;=0, IF(T3&lt;='DATI nascosti 1'!$C$8/6, "SI", "NO"),IF(T3&gt; -'DATI nascosti 1'!$C$8/6, "SI", "NO"))</f>
        <v>SI</v>
      </c>
      <c r="V3" s="67" t="str">
        <f>IF(Foglio3!G4&lt;1,IF(Foglio3!G4&gt;-1,"ROTTURA BILANCIATA",""),"")</f>
        <v/>
      </c>
    </row>
    <row r="4" spans="1:22" ht="18.75" x14ac:dyDescent="0.25">
      <c r="A4" s="20"/>
      <c r="B4" s="67" t="s">
        <v>39</v>
      </c>
      <c r="C4" s="68">
        <f>'DATI nascosti 1'!$L$8*10^-3</f>
        <v>6.7500000000000004E-2</v>
      </c>
      <c r="D4" s="68">
        <f>D3-(C4-('DATI nascosti 1'!$C$10/'DATI nascosti 1'!$C$13*C4))/100</f>
        <v>6.6202597402597402E-2</v>
      </c>
      <c r="E4" s="67" t="s">
        <v>39</v>
      </c>
      <c r="F4" s="69">
        <f>(D4*'DATI nascosti 1'!$C$13-C4*'DATI nascosti 1'!$C$10)/(D4-C4)</f>
        <v>-56594.999999999774</v>
      </c>
      <c r="G4" s="70">
        <v>0</v>
      </c>
      <c r="H4" s="70">
        <v>0</v>
      </c>
      <c r="I4" s="70">
        <v>0</v>
      </c>
      <c r="J4" s="70">
        <v>0</v>
      </c>
      <c r="K4" s="71">
        <f>IF(D4&gt;=('DATI nascosti 1'!$L$10*10^-3),'DATI nascosti 1'!$L$14*'DATI nascosti 1'!$P$12,IF(D4&gt;=(-'DATI nascosti 1'!$L$10*10^-3),'DATI nascosti 1'!$L$16*D4*'DATI nascosti 1'!$P$12,-'DATI nascosti 1'!$L$14*'DATI nascosti 1'!$P$12))</f>
        <v>614659.43222408998</v>
      </c>
      <c r="L4" s="71">
        <v>0</v>
      </c>
      <c r="M4" s="71">
        <f>IF(C4&gt;=('DATI nascosti 1'!$L$10*10^-3),'DATI nascosti 1'!$L$14*'DATI nascosti 1'!$P$11,IF(C4&gt;=(-'DATI nascosti 1'!$L$10*10^-3),'DATI nascosti 1'!$P$11*'DATI nascosti 1'!$L$16*C4,-'DATI nascosti 1'!$L$14*'DATI nascosti 1'!$P$11))</f>
        <v>614659.43222408998</v>
      </c>
      <c r="N4" s="71">
        <f t="shared" si="0"/>
        <v>1229318.86444818</v>
      </c>
      <c r="O4" s="71">
        <f>-K4*('DATI nascosti 1'!$C$13/2)+M4*('DATI nascosti 1'!$C$13/2)</f>
        <v>0</v>
      </c>
      <c r="P4" s="69">
        <f>-TABULATI!N4/10^3</f>
        <v>-1229.31886444818</v>
      </c>
      <c r="Q4" s="69">
        <f>TABULATI!O4/10^6</f>
        <v>0</v>
      </c>
      <c r="R4" s="72">
        <f>-N4/('DATI nascosti 1'!$C$6*'DATI nascosti 1'!$C$13*'DATI nascosti 1'!$H$10*'DATI nascosti 1'!$H$16)</f>
        <v>-0.29581171389629707</v>
      </c>
      <c r="S4" s="72">
        <f>O4/('DATI nascosti 1'!$H$16*'DATI nascosti 1'!$C$6*'DATI nascosti 1'!$C$13^2*'DATI nascosti 1'!$H$10)</f>
        <v>0</v>
      </c>
      <c r="T4" s="73">
        <f t="shared" si="1"/>
        <v>0</v>
      </c>
      <c r="U4" s="67" t="str">
        <f>IF(T4&gt;=0, IF(T4&lt;='DATI nascosti 1'!$C$8/6, "SI", "NO"),IF(T4&gt; -'DATI nascosti 1'!$C$8/6, "SI", "NO"))</f>
        <v>SI</v>
      </c>
      <c r="V4" s="67" t="str">
        <f>IF(Foglio3!G5&lt;1,IF(Foglio3!G5&gt;-1,"ROTTURA BILANCIATA",""),"")</f>
        <v/>
      </c>
    </row>
    <row r="5" spans="1:22" ht="18.75" x14ac:dyDescent="0.25">
      <c r="A5" s="20"/>
      <c r="B5" s="67" t="s">
        <v>39</v>
      </c>
      <c r="C5" s="68">
        <f>'DATI nascosti 1'!$L$8*10^-3</f>
        <v>6.7500000000000004E-2</v>
      </c>
      <c r="D5" s="68">
        <f>D4-(C5-('DATI nascosti 1'!$C$10/'DATI nascosti 1'!$C$13*C5))/100</f>
        <v>6.55538961038961E-2</v>
      </c>
      <c r="E5" s="67" t="s">
        <v>39</v>
      </c>
      <c r="F5" s="69">
        <f>(D5*'DATI nascosti 1'!$C$13-C5*'DATI nascosti 1'!$C$10)/(D5-C5)</f>
        <v>-37344.999999999847</v>
      </c>
      <c r="G5" s="70">
        <v>0</v>
      </c>
      <c r="H5" s="70">
        <v>0</v>
      </c>
      <c r="I5" s="70">
        <v>0</v>
      </c>
      <c r="J5" s="70">
        <v>0</v>
      </c>
      <c r="K5" s="71">
        <f>IF(D5&gt;=('DATI nascosti 1'!$L$10*10^-3),'DATI nascosti 1'!$L$14*'DATI nascosti 1'!$P$12,IF(D5&gt;=(-'DATI nascosti 1'!$L$10*10^-3),'DATI nascosti 1'!$L$16*D5*'DATI nascosti 1'!$P$12,-'DATI nascosti 1'!$L$14*'DATI nascosti 1'!$P$12))</f>
        <v>614659.43222408998</v>
      </c>
      <c r="L5" s="71">
        <v>0</v>
      </c>
      <c r="M5" s="71">
        <f>IF(C5&gt;=('DATI nascosti 1'!$L$10*10^-3),'DATI nascosti 1'!$L$14*'DATI nascosti 1'!$P$11,IF(C5&gt;=(-'DATI nascosti 1'!$L$10*10^-3),'DATI nascosti 1'!$P$11*'DATI nascosti 1'!$L$16*C5,-'DATI nascosti 1'!$L$14*'DATI nascosti 1'!$P$11))</f>
        <v>614659.43222408998</v>
      </c>
      <c r="N5" s="71">
        <f t="shared" si="0"/>
        <v>1229318.86444818</v>
      </c>
      <c r="O5" s="71">
        <f>-K5*('DATI nascosti 1'!$C$13/2)+M5*('DATI nascosti 1'!$C$13/2)</f>
        <v>0</v>
      </c>
      <c r="P5" s="69">
        <f>-TABULATI!N5/10^3</f>
        <v>-1229.31886444818</v>
      </c>
      <c r="Q5" s="69">
        <f>TABULATI!O5/10^6</f>
        <v>0</v>
      </c>
      <c r="R5" s="72">
        <f>-N5/('DATI nascosti 1'!$C$6*'DATI nascosti 1'!$C$13*'DATI nascosti 1'!$H$10*'DATI nascosti 1'!$H$16)</f>
        <v>-0.29581171389629707</v>
      </c>
      <c r="S5" s="72">
        <f>O5/('DATI nascosti 1'!$H$16*'DATI nascosti 1'!$C$6*'DATI nascosti 1'!$C$13^2*'DATI nascosti 1'!$H$10)</f>
        <v>0</v>
      </c>
      <c r="T5" s="73">
        <f t="shared" si="1"/>
        <v>0</v>
      </c>
      <c r="U5" s="67" t="str">
        <f>IF(T5&gt;=0, IF(T5&lt;='DATI nascosti 1'!$C$8/6, "SI", "NO"),IF(T5&gt; -'DATI nascosti 1'!$C$8/6, "SI", "NO"))</f>
        <v>SI</v>
      </c>
      <c r="V5" s="67" t="str">
        <f>IF(Foglio3!G6&lt;1,IF(Foglio3!G6&gt;-1,"ROTTURA BILANCIATA",""),"")</f>
        <v/>
      </c>
    </row>
    <row r="6" spans="1:22" ht="18.75" x14ac:dyDescent="0.25">
      <c r="A6" s="20"/>
      <c r="B6" s="67" t="s">
        <v>39</v>
      </c>
      <c r="C6" s="68">
        <f>'DATI nascosti 1'!$L$8*10^-3</f>
        <v>6.7500000000000004E-2</v>
      </c>
      <c r="D6" s="68">
        <f>D5-(C6-('DATI nascosti 1'!$C$10/'DATI nascosti 1'!$C$13*C6))/100</f>
        <v>6.4905194805194799E-2</v>
      </c>
      <c r="E6" s="67" t="s">
        <v>39</v>
      </c>
      <c r="F6" s="69">
        <f>(D6*'DATI nascosti 1'!$C$13-C6*'DATI nascosti 1'!$C$10)/(D6-C6)</f>
        <v>-27719.999999999887</v>
      </c>
      <c r="G6" s="70">
        <v>0</v>
      </c>
      <c r="H6" s="70">
        <v>0</v>
      </c>
      <c r="I6" s="70">
        <v>0</v>
      </c>
      <c r="J6" s="70">
        <v>0</v>
      </c>
      <c r="K6" s="71">
        <f>IF(D6&gt;=('DATI nascosti 1'!$L$10*10^-3),'DATI nascosti 1'!$L$14*'DATI nascosti 1'!$P$12,IF(D6&gt;=(-'DATI nascosti 1'!$L$10*10^-3),'DATI nascosti 1'!$L$16*D6*'DATI nascosti 1'!$P$12,-'DATI nascosti 1'!$L$14*'DATI nascosti 1'!$P$12))</f>
        <v>614659.43222408998</v>
      </c>
      <c r="L6" s="71">
        <v>0</v>
      </c>
      <c r="M6" s="71">
        <f>IF(C6&gt;=('DATI nascosti 1'!$L$10*10^-3),'DATI nascosti 1'!$L$14*'DATI nascosti 1'!$P$11,IF(C6&gt;=(-'DATI nascosti 1'!$L$10*10^-3),'DATI nascosti 1'!$P$11*'DATI nascosti 1'!$L$16*C6,-'DATI nascosti 1'!$L$14*'DATI nascosti 1'!$P$11))</f>
        <v>614659.43222408998</v>
      </c>
      <c r="N6" s="71">
        <f t="shared" si="0"/>
        <v>1229318.86444818</v>
      </c>
      <c r="O6" s="71">
        <f>-K6*('DATI nascosti 1'!$C$13/2)+M6*('DATI nascosti 1'!$C$13/2)</f>
        <v>0</v>
      </c>
      <c r="P6" s="69">
        <f>-TABULATI!N6/10^3</f>
        <v>-1229.31886444818</v>
      </c>
      <c r="Q6" s="69">
        <f>TABULATI!O6/10^6</f>
        <v>0</v>
      </c>
      <c r="R6" s="72">
        <f>-N6/('DATI nascosti 1'!$C$6*'DATI nascosti 1'!$C$13*'DATI nascosti 1'!$H$10*'DATI nascosti 1'!$H$16)</f>
        <v>-0.29581171389629707</v>
      </c>
      <c r="S6" s="72">
        <f>O6/('DATI nascosti 1'!$H$16*'DATI nascosti 1'!$C$6*'DATI nascosti 1'!$C$13^2*'DATI nascosti 1'!$H$10)</f>
        <v>0</v>
      </c>
      <c r="T6" s="73">
        <f t="shared" si="1"/>
        <v>0</v>
      </c>
      <c r="U6" s="67" t="str">
        <f>IF(T6&gt;=0, IF(T6&lt;='DATI nascosti 1'!$C$8/6, "SI", "NO"),IF(T6&gt; -'DATI nascosti 1'!$C$8/6, "SI", "NO"))</f>
        <v>SI</v>
      </c>
      <c r="V6" s="67" t="str">
        <f>IF(Foglio3!G7&lt;1,IF(Foglio3!G7&gt;-1,"ROTTURA BILANCIATA",""),"")</f>
        <v/>
      </c>
    </row>
    <row r="7" spans="1:22" ht="18.75" x14ac:dyDescent="0.25">
      <c r="A7" s="20"/>
      <c r="B7" s="67" t="s">
        <v>39</v>
      </c>
      <c r="C7" s="68">
        <f>'DATI nascosti 1'!$L$8*10^-3</f>
        <v>6.7500000000000004E-2</v>
      </c>
      <c r="D7" s="68">
        <f>D6-(C7-('DATI nascosti 1'!$C$10/'DATI nascosti 1'!$C$13*C7))/100</f>
        <v>6.4256493506493498E-2</v>
      </c>
      <c r="E7" s="67" t="s">
        <v>39</v>
      </c>
      <c r="F7" s="69">
        <f>(D7*'DATI nascosti 1'!$C$13-C7*'DATI nascosti 1'!$C$10)/(D7-C7)</f>
        <v>-21944.999999999909</v>
      </c>
      <c r="G7" s="70">
        <v>0</v>
      </c>
      <c r="H7" s="70">
        <v>0</v>
      </c>
      <c r="I7" s="70">
        <v>0</v>
      </c>
      <c r="J7" s="70">
        <v>0</v>
      </c>
      <c r="K7" s="71">
        <f>IF(D7&gt;=('DATI nascosti 1'!$L$10*10^-3),'DATI nascosti 1'!$L$14*'DATI nascosti 1'!$P$12,IF(D7&gt;=(-'DATI nascosti 1'!$L$10*10^-3),'DATI nascosti 1'!$L$16*D7*'DATI nascosti 1'!$P$12,-'DATI nascosti 1'!$L$14*'DATI nascosti 1'!$P$12))</f>
        <v>614659.43222408998</v>
      </c>
      <c r="L7" s="71">
        <v>0</v>
      </c>
      <c r="M7" s="71">
        <f>IF(C7&gt;=('DATI nascosti 1'!$L$10*10^-3),'DATI nascosti 1'!$L$14*'DATI nascosti 1'!$P$11,IF(C7&gt;=(-'DATI nascosti 1'!$L$10*10^-3),'DATI nascosti 1'!$P$11*'DATI nascosti 1'!$L$16*C7,-'DATI nascosti 1'!$L$14*'DATI nascosti 1'!$P$11))</f>
        <v>614659.43222408998</v>
      </c>
      <c r="N7" s="71">
        <f t="shared" si="0"/>
        <v>1229318.86444818</v>
      </c>
      <c r="O7" s="71">
        <f>-K7*('DATI nascosti 1'!$C$13/2)+M7*('DATI nascosti 1'!$C$13/2)</f>
        <v>0</v>
      </c>
      <c r="P7" s="69">
        <f>-TABULATI!N7/10^3</f>
        <v>-1229.31886444818</v>
      </c>
      <c r="Q7" s="69">
        <f>TABULATI!O7/10^6</f>
        <v>0</v>
      </c>
      <c r="R7" s="72">
        <f>-N7/('DATI nascosti 1'!$C$6*'DATI nascosti 1'!$C$13*'DATI nascosti 1'!$H$10*'DATI nascosti 1'!$H$16)</f>
        <v>-0.29581171389629707</v>
      </c>
      <c r="S7" s="72">
        <f>O7/('DATI nascosti 1'!$H$16*'DATI nascosti 1'!$C$6*'DATI nascosti 1'!$C$13^2*'DATI nascosti 1'!$H$10)</f>
        <v>0</v>
      </c>
      <c r="T7" s="73">
        <f t="shared" si="1"/>
        <v>0</v>
      </c>
      <c r="U7" s="67" t="str">
        <f>IF(T7&gt;=0, IF(T7&lt;='DATI nascosti 1'!$C$8/6, "SI", "NO"),IF(T7&gt; -'DATI nascosti 1'!$C$8/6, "SI", "NO"))</f>
        <v>SI</v>
      </c>
      <c r="V7" s="67" t="str">
        <f>IF(Foglio3!G8&lt;1,IF(Foglio3!G8&gt;-1,"ROTTURA BILANCIATA",""),"")</f>
        <v/>
      </c>
    </row>
    <row r="8" spans="1:22" ht="18.75" x14ac:dyDescent="0.25">
      <c r="A8" s="20"/>
      <c r="B8" s="67" t="s">
        <v>39</v>
      </c>
      <c r="C8" s="68">
        <f>'DATI nascosti 1'!$L$8*10^-3</f>
        <v>6.7500000000000004E-2</v>
      </c>
      <c r="D8" s="68">
        <f>D7-(C8-('DATI nascosti 1'!$C$10/'DATI nascosti 1'!$C$13*C8))/100</f>
        <v>6.3607792207792196E-2</v>
      </c>
      <c r="E8" s="67" t="s">
        <v>39</v>
      </c>
      <c r="F8" s="69">
        <f>(D8*'DATI nascosti 1'!$C$13-C8*'DATI nascosti 1'!$C$10)/(D8-C8)</f>
        <v>-18094.999999999924</v>
      </c>
      <c r="G8" s="70">
        <v>0</v>
      </c>
      <c r="H8" s="70">
        <v>0</v>
      </c>
      <c r="I8" s="70">
        <v>0</v>
      </c>
      <c r="J8" s="70">
        <v>0</v>
      </c>
      <c r="K8" s="71">
        <f>IF(D8&gt;=('DATI nascosti 1'!$L$10*10^-3),'DATI nascosti 1'!$L$14*'DATI nascosti 1'!$P$12,IF(D8&gt;=(-'DATI nascosti 1'!$L$10*10^-3),'DATI nascosti 1'!$L$16*D8*'DATI nascosti 1'!$P$12,-'DATI nascosti 1'!$L$14*'DATI nascosti 1'!$P$12))</f>
        <v>614659.43222408998</v>
      </c>
      <c r="L8" s="71">
        <v>0</v>
      </c>
      <c r="M8" s="71">
        <f>IF(C8&gt;=('DATI nascosti 1'!$L$10*10^-3),'DATI nascosti 1'!$L$14*'DATI nascosti 1'!$P$11,IF(C8&gt;=(-'DATI nascosti 1'!$L$10*10^-3),'DATI nascosti 1'!$P$11*'DATI nascosti 1'!$L$16*C8,-'DATI nascosti 1'!$L$14*'DATI nascosti 1'!$P$11))</f>
        <v>614659.43222408998</v>
      </c>
      <c r="N8" s="71">
        <f t="shared" si="0"/>
        <v>1229318.86444818</v>
      </c>
      <c r="O8" s="71">
        <f>-K8*('DATI nascosti 1'!$C$13/2)+M8*('DATI nascosti 1'!$C$13/2)</f>
        <v>0</v>
      </c>
      <c r="P8" s="69">
        <f>-TABULATI!N8/10^3</f>
        <v>-1229.31886444818</v>
      </c>
      <c r="Q8" s="69">
        <f>TABULATI!O8/10^6</f>
        <v>0</v>
      </c>
      <c r="R8" s="72">
        <f>-N8/('DATI nascosti 1'!$C$6*'DATI nascosti 1'!$C$13*'DATI nascosti 1'!$H$10*'DATI nascosti 1'!$H$16)</f>
        <v>-0.29581171389629707</v>
      </c>
      <c r="S8" s="72">
        <f>O8/('DATI nascosti 1'!$H$16*'DATI nascosti 1'!$C$6*'DATI nascosti 1'!$C$13^2*'DATI nascosti 1'!$H$10)</f>
        <v>0</v>
      </c>
      <c r="T8" s="73">
        <f t="shared" si="1"/>
        <v>0</v>
      </c>
      <c r="U8" s="67" t="str">
        <f>IF(T8&gt;=0, IF(T8&lt;='DATI nascosti 1'!$C$8/6, "SI", "NO"),IF(T8&gt; -'DATI nascosti 1'!$C$8/6, "SI", "NO"))</f>
        <v>SI</v>
      </c>
      <c r="V8" s="67" t="str">
        <f>IF(Foglio3!G9&lt;1,IF(Foglio3!G9&gt;-1,"ROTTURA BILANCIATA",""),"")</f>
        <v/>
      </c>
    </row>
    <row r="9" spans="1:22" ht="18.75" x14ac:dyDescent="0.25">
      <c r="A9" s="20"/>
      <c r="B9" s="67" t="s">
        <v>39</v>
      </c>
      <c r="C9" s="68">
        <f>'DATI nascosti 1'!$L$8*10^-3</f>
        <v>6.7500000000000004E-2</v>
      </c>
      <c r="D9" s="68">
        <f>D8-(C9-('DATI nascosti 1'!$C$10/'DATI nascosti 1'!$C$13*C9))/100</f>
        <v>6.2959090909090895E-2</v>
      </c>
      <c r="E9" s="67" t="s">
        <v>39</v>
      </c>
      <c r="F9" s="69">
        <f>(D9*'DATI nascosti 1'!$C$13-C9*'DATI nascosti 1'!$C$10)/(D9-C9)</f>
        <v>-15344.999999999935</v>
      </c>
      <c r="G9" s="70">
        <v>0</v>
      </c>
      <c r="H9" s="70">
        <v>0</v>
      </c>
      <c r="I9" s="70">
        <v>0</v>
      </c>
      <c r="J9" s="70">
        <v>0</v>
      </c>
      <c r="K9" s="71">
        <f>IF(D9&gt;=('DATI nascosti 1'!$L$10*10^-3),'DATI nascosti 1'!$L$14*'DATI nascosti 1'!$P$12,IF(D9&gt;=(-'DATI nascosti 1'!$L$10*10^-3),'DATI nascosti 1'!$L$16*D9*'DATI nascosti 1'!$P$12,-'DATI nascosti 1'!$L$14*'DATI nascosti 1'!$P$12))</f>
        <v>614659.43222408998</v>
      </c>
      <c r="L9" s="71">
        <v>0</v>
      </c>
      <c r="M9" s="71">
        <f>IF(C9&gt;=('DATI nascosti 1'!$L$10*10^-3),'DATI nascosti 1'!$L$14*'DATI nascosti 1'!$P$11,IF(C9&gt;=(-'DATI nascosti 1'!$L$10*10^-3),'DATI nascosti 1'!$P$11*'DATI nascosti 1'!$L$16*C9,-'DATI nascosti 1'!$L$14*'DATI nascosti 1'!$P$11))</f>
        <v>614659.43222408998</v>
      </c>
      <c r="N9" s="71">
        <f t="shared" si="0"/>
        <v>1229318.86444818</v>
      </c>
      <c r="O9" s="71">
        <f>-K9*('DATI nascosti 1'!$C$13/2)+M9*('DATI nascosti 1'!$C$13/2)</f>
        <v>0</v>
      </c>
      <c r="P9" s="69">
        <f>-TABULATI!N9/10^3</f>
        <v>-1229.31886444818</v>
      </c>
      <c r="Q9" s="69">
        <f>TABULATI!O9/10^6</f>
        <v>0</v>
      </c>
      <c r="R9" s="72">
        <f>-N9/('DATI nascosti 1'!$C$6*'DATI nascosti 1'!$C$13*'DATI nascosti 1'!$H$10*'DATI nascosti 1'!$H$16)</f>
        <v>-0.29581171389629707</v>
      </c>
      <c r="S9" s="72">
        <f>O9/('DATI nascosti 1'!$H$16*'DATI nascosti 1'!$C$6*'DATI nascosti 1'!$C$13^2*'DATI nascosti 1'!$H$10)</f>
        <v>0</v>
      </c>
      <c r="T9" s="73">
        <f t="shared" si="1"/>
        <v>0</v>
      </c>
      <c r="U9" s="67" t="str">
        <f>IF(T9&gt;=0, IF(T9&lt;='DATI nascosti 1'!$C$8/6, "SI", "NO"),IF(T9&gt; -'DATI nascosti 1'!$C$8/6, "SI", "NO"))</f>
        <v>SI</v>
      </c>
      <c r="V9" s="67" t="str">
        <f>IF(Foglio3!G10&lt;1,IF(Foglio3!G10&gt;-1,"ROTTURA BILANCIATA",""),"")</f>
        <v/>
      </c>
    </row>
    <row r="10" spans="1:22" ht="18.75" x14ac:dyDescent="0.25">
      <c r="A10" s="20"/>
      <c r="B10" s="67" t="s">
        <v>39</v>
      </c>
      <c r="C10" s="68">
        <f>'DATI nascosti 1'!$L$8*10^-3</f>
        <v>6.7500000000000004E-2</v>
      </c>
      <c r="D10" s="68">
        <f>D9-(C10-('DATI nascosti 1'!$C$10/'DATI nascosti 1'!$C$13*C10))/100</f>
        <v>6.2310389610389594E-2</v>
      </c>
      <c r="E10" s="67" t="s">
        <v>39</v>
      </c>
      <c r="F10" s="69">
        <f>(D10*'DATI nascosti 1'!$C$13-C10*'DATI nascosti 1'!$C$10)/(D10-C10)</f>
        <v>-13282.499999999944</v>
      </c>
      <c r="G10" s="70">
        <v>0</v>
      </c>
      <c r="H10" s="70">
        <v>0</v>
      </c>
      <c r="I10" s="70">
        <v>0</v>
      </c>
      <c r="J10" s="70">
        <v>0</v>
      </c>
      <c r="K10" s="71">
        <f>IF(D10&gt;=('DATI nascosti 1'!$L$10*10^-3),'DATI nascosti 1'!$L$14*'DATI nascosti 1'!$P$12,IF(D10&gt;=(-'DATI nascosti 1'!$L$10*10^-3),'DATI nascosti 1'!$L$16*D10*'DATI nascosti 1'!$P$12,-'DATI nascosti 1'!$L$14*'DATI nascosti 1'!$P$12))</f>
        <v>614659.43222408998</v>
      </c>
      <c r="L10" s="71">
        <v>0</v>
      </c>
      <c r="M10" s="71">
        <f>IF(C10&gt;=('DATI nascosti 1'!$L$10*10^-3),'DATI nascosti 1'!$L$14*'DATI nascosti 1'!$P$11,IF(C10&gt;=(-'DATI nascosti 1'!$L$10*10^-3),'DATI nascosti 1'!$P$11*'DATI nascosti 1'!$L$16*C10,-'DATI nascosti 1'!$L$14*'DATI nascosti 1'!$P$11))</f>
        <v>614659.43222408998</v>
      </c>
      <c r="N10" s="71">
        <f t="shared" si="0"/>
        <v>1229318.86444818</v>
      </c>
      <c r="O10" s="71">
        <f>-K10*('DATI nascosti 1'!$C$13/2)+M10*('DATI nascosti 1'!$C$13/2)</f>
        <v>0</v>
      </c>
      <c r="P10" s="69">
        <f>-TABULATI!N10/10^3</f>
        <v>-1229.31886444818</v>
      </c>
      <c r="Q10" s="69">
        <f>TABULATI!O10/10^6</f>
        <v>0</v>
      </c>
      <c r="R10" s="72">
        <f>-N10/('DATI nascosti 1'!$C$6*'DATI nascosti 1'!$C$13*'DATI nascosti 1'!$H$10*'DATI nascosti 1'!$H$16)</f>
        <v>-0.29581171389629707</v>
      </c>
      <c r="S10" s="72">
        <f>O10/('DATI nascosti 1'!$H$16*'DATI nascosti 1'!$C$6*'DATI nascosti 1'!$C$13^2*'DATI nascosti 1'!$H$10)</f>
        <v>0</v>
      </c>
      <c r="T10" s="73">
        <f t="shared" si="1"/>
        <v>0</v>
      </c>
      <c r="U10" s="67" t="str">
        <f>IF(T10&gt;=0, IF(T10&lt;='DATI nascosti 1'!$C$8/6, "SI", "NO"),IF(T10&gt; -'DATI nascosti 1'!$C$8/6, "SI", "NO"))</f>
        <v>SI</v>
      </c>
      <c r="V10" s="67" t="str">
        <f>IF(Foglio3!G11&lt;1,IF(Foglio3!G11&gt;-1,"ROTTURA BILANCIATA",""),"")</f>
        <v/>
      </c>
    </row>
    <row r="11" spans="1:22" ht="18.75" x14ac:dyDescent="0.25">
      <c r="A11" s="20"/>
      <c r="B11" s="67" t="s">
        <v>39</v>
      </c>
      <c r="C11" s="68">
        <f>'DATI nascosti 1'!$L$8*10^-3</f>
        <v>6.7500000000000004E-2</v>
      </c>
      <c r="D11" s="68">
        <f>D10-(C11-('DATI nascosti 1'!$C$10/'DATI nascosti 1'!$C$13*C11))/100</f>
        <v>6.1661688311688292E-2</v>
      </c>
      <c r="E11" s="67" t="s">
        <v>39</v>
      </c>
      <c r="F11" s="69">
        <f>(D11*'DATI nascosti 1'!$C$13-C11*'DATI nascosti 1'!$C$10)/(D11-C11)</f>
        <v>-11678.333333333283</v>
      </c>
      <c r="G11" s="70">
        <v>0</v>
      </c>
      <c r="H11" s="70">
        <v>0</v>
      </c>
      <c r="I11" s="70">
        <v>0</v>
      </c>
      <c r="J11" s="70">
        <v>0</v>
      </c>
      <c r="K11" s="71">
        <f>IF(D11&gt;=('DATI nascosti 1'!$L$10*10^-3),'DATI nascosti 1'!$L$14*'DATI nascosti 1'!$P$12,IF(D11&gt;=(-'DATI nascosti 1'!$L$10*10^-3),'DATI nascosti 1'!$L$16*D11*'DATI nascosti 1'!$P$12,-'DATI nascosti 1'!$L$14*'DATI nascosti 1'!$P$12))</f>
        <v>614659.43222408998</v>
      </c>
      <c r="L11" s="71">
        <v>0</v>
      </c>
      <c r="M11" s="71">
        <f>IF(C11&gt;=('DATI nascosti 1'!$L$10*10^-3),'DATI nascosti 1'!$L$14*'DATI nascosti 1'!$P$11,IF(C11&gt;=(-'DATI nascosti 1'!$L$10*10^-3),'DATI nascosti 1'!$P$11*'DATI nascosti 1'!$L$16*C11,-'DATI nascosti 1'!$L$14*'DATI nascosti 1'!$P$11))</f>
        <v>614659.43222408998</v>
      </c>
      <c r="N11" s="71">
        <f t="shared" si="0"/>
        <v>1229318.86444818</v>
      </c>
      <c r="O11" s="71">
        <f>-K11*('DATI nascosti 1'!$C$13/2)+M11*('DATI nascosti 1'!$C$13/2)</f>
        <v>0</v>
      </c>
      <c r="P11" s="69">
        <f>-TABULATI!N11/10^3</f>
        <v>-1229.31886444818</v>
      </c>
      <c r="Q11" s="69">
        <f>TABULATI!O11/10^6</f>
        <v>0</v>
      </c>
      <c r="R11" s="72">
        <f>-N11/('DATI nascosti 1'!$C$6*'DATI nascosti 1'!$C$13*'DATI nascosti 1'!$H$10*'DATI nascosti 1'!$H$16)</f>
        <v>-0.29581171389629707</v>
      </c>
      <c r="S11" s="72">
        <f>O11/('DATI nascosti 1'!$H$16*'DATI nascosti 1'!$C$6*'DATI nascosti 1'!$C$13^2*'DATI nascosti 1'!$H$10)</f>
        <v>0</v>
      </c>
      <c r="T11" s="73">
        <f t="shared" si="1"/>
        <v>0</v>
      </c>
      <c r="U11" s="67" t="str">
        <f>IF(T11&gt;=0, IF(T11&lt;='DATI nascosti 1'!$C$8/6, "SI", "NO"),IF(T11&gt; -'DATI nascosti 1'!$C$8/6, "SI", "NO"))</f>
        <v>SI</v>
      </c>
      <c r="V11" s="67" t="str">
        <f>IF(Foglio3!G12&lt;1,IF(Foglio3!G12&gt;-1,"ROTTURA BILANCIATA",""),"")</f>
        <v/>
      </c>
    </row>
    <row r="12" spans="1:22" ht="18.75" x14ac:dyDescent="0.25">
      <c r="A12" s="20"/>
      <c r="B12" s="67" t="s">
        <v>39</v>
      </c>
      <c r="C12" s="68">
        <f>'DATI nascosti 1'!$L$8*10^-3</f>
        <v>6.7500000000000004E-2</v>
      </c>
      <c r="D12" s="68">
        <f>D11-(C12-('DATI nascosti 1'!$C$10/'DATI nascosti 1'!$C$13*C12))/100</f>
        <v>6.1012987012986991E-2</v>
      </c>
      <c r="E12" s="67" t="s">
        <v>39</v>
      </c>
      <c r="F12" s="69">
        <f>(D12*'DATI nascosti 1'!$C$13-C12*'DATI nascosti 1'!$C$10)/(D12-C12)</f>
        <v>-10394.999999999955</v>
      </c>
      <c r="G12" s="70">
        <v>0</v>
      </c>
      <c r="H12" s="70">
        <v>0</v>
      </c>
      <c r="I12" s="70">
        <v>0</v>
      </c>
      <c r="J12" s="70">
        <v>0</v>
      </c>
      <c r="K12" s="71">
        <f>IF(D12&gt;=('DATI nascosti 1'!$L$10*10^-3),'DATI nascosti 1'!$L$14*'DATI nascosti 1'!$P$12,IF(D12&gt;=(-'DATI nascosti 1'!$L$10*10^-3),'DATI nascosti 1'!$L$16*D12*'DATI nascosti 1'!$P$12,-'DATI nascosti 1'!$L$14*'DATI nascosti 1'!$P$12))</f>
        <v>614659.43222408998</v>
      </c>
      <c r="L12" s="71">
        <v>0</v>
      </c>
      <c r="M12" s="71">
        <f>IF(C12&gt;=('DATI nascosti 1'!$L$10*10^-3),'DATI nascosti 1'!$L$14*'DATI nascosti 1'!$P$11,IF(C12&gt;=(-'DATI nascosti 1'!$L$10*10^-3),'DATI nascosti 1'!$P$11*'DATI nascosti 1'!$L$16*C12,-'DATI nascosti 1'!$L$14*'DATI nascosti 1'!$P$11))</f>
        <v>614659.43222408998</v>
      </c>
      <c r="N12" s="71">
        <f t="shared" si="0"/>
        <v>1229318.86444818</v>
      </c>
      <c r="O12" s="71">
        <f>-K12*('DATI nascosti 1'!$C$13/2)+M12*('DATI nascosti 1'!$C$13/2)</f>
        <v>0</v>
      </c>
      <c r="P12" s="69">
        <f>-TABULATI!N12/10^3</f>
        <v>-1229.31886444818</v>
      </c>
      <c r="Q12" s="69">
        <f>TABULATI!O12/10^6</f>
        <v>0</v>
      </c>
      <c r="R12" s="72">
        <f>-N12/('DATI nascosti 1'!$C$6*'DATI nascosti 1'!$C$13*'DATI nascosti 1'!$H$10*'DATI nascosti 1'!$H$16)</f>
        <v>-0.29581171389629707</v>
      </c>
      <c r="S12" s="72">
        <f>O12/('DATI nascosti 1'!$H$16*'DATI nascosti 1'!$C$6*'DATI nascosti 1'!$C$13^2*'DATI nascosti 1'!$H$10)</f>
        <v>0</v>
      </c>
      <c r="T12" s="73">
        <f t="shared" si="1"/>
        <v>0</v>
      </c>
      <c r="U12" s="67" t="str">
        <f>IF(T12&gt;=0, IF(T12&lt;='DATI nascosti 1'!$C$8/6, "SI", "NO"),IF(T12&gt; -'DATI nascosti 1'!$C$8/6, "SI", "NO"))</f>
        <v>SI</v>
      </c>
      <c r="V12" s="67" t="str">
        <f>IF(Foglio3!G13&lt;1,IF(Foglio3!G13&gt;-1,"ROTTURA BILANCIATA",""),"")</f>
        <v/>
      </c>
    </row>
    <row r="13" spans="1:22" ht="18.75" x14ac:dyDescent="0.25">
      <c r="A13" s="20"/>
      <c r="B13" s="67" t="s">
        <v>39</v>
      </c>
      <c r="C13" s="68">
        <f>'DATI nascosti 1'!$L$8*10^-3</f>
        <v>6.7500000000000004E-2</v>
      </c>
      <c r="D13" s="68">
        <f>D12-(C13-('DATI nascosti 1'!$C$10/'DATI nascosti 1'!$C$13*C13))/100</f>
        <v>6.036428571428569E-2</v>
      </c>
      <c r="E13" s="67" t="s">
        <v>39</v>
      </c>
      <c r="F13" s="69">
        <f>(D13*'DATI nascosti 1'!$C$13-C13*'DATI nascosti 1'!$C$10)/(D13-C13)</f>
        <v>-9344.9999999999582</v>
      </c>
      <c r="G13" s="70">
        <v>0</v>
      </c>
      <c r="H13" s="70">
        <v>0</v>
      </c>
      <c r="I13" s="70">
        <v>0</v>
      </c>
      <c r="J13" s="70">
        <v>0</v>
      </c>
      <c r="K13" s="71">
        <f>IF(D13&gt;=('DATI nascosti 1'!$L$10*10^-3),'DATI nascosti 1'!$L$14*'DATI nascosti 1'!$P$12,IF(D13&gt;=(-'DATI nascosti 1'!$L$10*10^-3),'DATI nascosti 1'!$L$16*D13*'DATI nascosti 1'!$P$12,-'DATI nascosti 1'!$L$14*'DATI nascosti 1'!$P$12))</f>
        <v>614659.43222408998</v>
      </c>
      <c r="L13" s="71">
        <v>0</v>
      </c>
      <c r="M13" s="71">
        <f>IF(C13&gt;=('DATI nascosti 1'!$L$10*10^-3),'DATI nascosti 1'!$L$14*'DATI nascosti 1'!$P$11,IF(C13&gt;=(-'DATI nascosti 1'!$L$10*10^-3),'DATI nascosti 1'!$P$11*'DATI nascosti 1'!$L$16*C13,-'DATI nascosti 1'!$L$14*'DATI nascosti 1'!$P$11))</f>
        <v>614659.43222408998</v>
      </c>
      <c r="N13" s="71">
        <f t="shared" si="0"/>
        <v>1229318.86444818</v>
      </c>
      <c r="O13" s="71">
        <f>-K13*('DATI nascosti 1'!$C$13/2)+M13*('DATI nascosti 1'!$C$13/2)</f>
        <v>0</v>
      </c>
      <c r="P13" s="69">
        <f>-TABULATI!N13/10^3</f>
        <v>-1229.31886444818</v>
      </c>
      <c r="Q13" s="69">
        <f>TABULATI!O13/10^6</f>
        <v>0</v>
      </c>
      <c r="R13" s="72">
        <f>-N13/('DATI nascosti 1'!$C$6*'DATI nascosti 1'!$C$13*'DATI nascosti 1'!$H$10*'DATI nascosti 1'!$H$16)</f>
        <v>-0.29581171389629707</v>
      </c>
      <c r="S13" s="72">
        <f>O13/('DATI nascosti 1'!$H$16*'DATI nascosti 1'!$C$6*'DATI nascosti 1'!$C$13^2*'DATI nascosti 1'!$H$10)</f>
        <v>0</v>
      </c>
      <c r="T13" s="73">
        <f t="shared" si="1"/>
        <v>0</v>
      </c>
      <c r="U13" s="67" t="str">
        <f>IF(T13&gt;=0, IF(T13&lt;='DATI nascosti 1'!$C$8/6, "SI", "NO"),IF(T13&gt; -'DATI nascosti 1'!$C$8/6, "SI", "NO"))</f>
        <v>SI</v>
      </c>
      <c r="V13" s="67" t="str">
        <f>IF(Foglio3!G14&lt;1,IF(Foglio3!G14&gt;-1,"ROTTURA BILANCIATA",""),"")</f>
        <v/>
      </c>
    </row>
    <row r="14" spans="1:22" ht="18.75" x14ac:dyDescent="0.25">
      <c r="A14" s="20"/>
      <c r="B14" s="67" t="s">
        <v>39</v>
      </c>
      <c r="C14" s="68">
        <f>'DATI nascosti 1'!$L$8*10^-3</f>
        <v>6.7500000000000004E-2</v>
      </c>
      <c r="D14" s="68">
        <f>D13-(C14-('DATI nascosti 1'!$C$10/'DATI nascosti 1'!$C$13*C14))/100</f>
        <v>5.9715584415584388E-2</v>
      </c>
      <c r="E14" s="67" t="s">
        <v>39</v>
      </c>
      <c r="F14" s="69">
        <f>(D14*'DATI nascosti 1'!$C$13-C14*'DATI nascosti 1'!$C$10)/(D14-C14)</f>
        <v>-8469.9999999999618</v>
      </c>
      <c r="G14" s="70">
        <v>0</v>
      </c>
      <c r="H14" s="70">
        <v>0</v>
      </c>
      <c r="I14" s="70">
        <v>0</v>
      </c>
      <c r="J14" s="70">
        <v>0</v>
      </c>
      <c r="K14" s="71">
        <f>IF(D14&gt;=('DATI nascosti 1'!$L$10*10^-3),'DATI nascosti 1'!$L$14*'DATI nascosti 1'!$P$12,IF(D14&gt;=(-'DATI nascosti 1'!$L$10*10^-3),'DATI nascosti 1'!$L$16*D14*'DATI nascosti 1'!$P$12,-'DATI nascosti 1'!$L$14*'DATI nascosti 1'!$P$12))</f>
        <v>614659.43222408998</v>
      </c>
      <c r="L14" s="71">
        <v>0</v>
      </c>
      <c r="M14" s="71">
        <f>IF(C14&gt;=('DATI nascosti 1'!$L$10*10^-3),'DATI nascosti 1'!$L$14*'DATI nascosti 1'!$P$11,IF(C14&gt;=(-'DATI nascosti 1'!$L$10*10^-3),'DATI nascosti 1'!$P$11*'DATI nascosti 1'!$L$16*C14,-'DATI nascosti 1'!$L$14*'DATI nascosti 1'!$P$11))</f>
        <v>614659.43222408998</v>
      </c>
      <c r="N14" s="71">
        <f t="shared" si="0"/>
        <v>1229318.86444818</v>
      </c>
      <c r="O14" s="71">
        <f>-K14*('DATI nascosti 1'!$C$13/2)+M14*('DATI nascosti 1'!$C$13/2)</f>
        <v>0</v>
      </c>
      <c r="P14" s="69">
        <f>-TABULATI!N14/10^3</f>
        <v>-1229.31886444818</v>
      </c>
      <c r="Q14" s="69">
        <f>TABULATI!O14/10^6</f>
        <v>0</v>
      </c>
      <c r="R14" s="72">
        <f>-N14/('DATI nascosti 1'!$C$6*'DATI nascosti 1'!$C$13*'DATI nascosti 1'!$H$10*'DATI nascosti 1'!$H$16)</f>
        <v>-0.29581171389629707</v>
      </c>
      <c r="S14" s="72">
        <f>O14/('DATI nascosti 1'!$H$16*'DATI nascosti 1'!$C$6*'DATI nascosti 1'!$C$13^2*'DATI nascosti 1'!$H$10)</f>
        <v>0</v>
      </c>
      <c r="T14" s="73">
        <f t="shared" si="1"/>
        <v>0</v>
      </c>
      <c r="U14" s="67" t="str">
        <f>IF(T14&gt;=0, IF(T14&lt;='DATI nascosti 1'!$C$8/6, "SI", "NO"),IF(T14&gt; -'DATI nascosti 1'!$C$8/6, "SI", "NO"))</f>
        <v>SI</v>
      </c>
      <c r="V14" s="67" t="str">
        <f>IF(Foglio3!G15&lt;1,IF(Foglio3!G15&gt;-1,"ROTTURA BILANCIATA",""),"")</f>
        <v/>
      </c>
    </row>
    <row r="15" spans="1:22" ht="18.75" x14ac:dyDescent="0.25">
      <c r="A15" s="20"/>
      <c r="B15" s="67" t="s">
        <v>39</v>
      </c>
      <c r="C15" s="68">
        <f>'DATI nascosti 1'!$L$8*10^-3</f>
        <v>6.7500000000000004E-2</v>
      </c>
      <c r="D15" s="68">
        <f>D14-(C15-('DATI nascosti 1'!$C$10/'DATI nascosti 1'!$C$13*C15))/100</f>
        <v>5.9066883116883087E-2</v>
      </c>
      <c r="E15" s="67" t="s">
        <v>39</v>
      </c>
      <c r="F15" s="69">
        <f>(D15*'DATI nascosti 1'!$C$13-C15*'DATI nascosti 1'!$C$10)/(D15-C15)</f>
        <v>-7729.6153846153493</v>
      </c>
      <c r="G15" s="70">
        <v>0</v>
      </c>
      <c r="H15" s="70">
        <v>0</v>
      </c>
      <c r="I15" s="70">
        <v>0</v>
      </c>
      <c r="J15" s="70">
        <v>0</v>
      </c>
      <c r="K15" s="71">
        <f>IF(D15&gt;=('DATI nascosti 1'!$L$10*10^-3),'DATI nascosti 1'!$L$14*'DATI nascosti 1'!$P$12,IF(D15&gt;=(-'DATI nascosti 1'!$L$10*10^-3),'DATI nascosti 1'!$L$16*D15*'DATI nascosti 1'!$P$12,-'DATI nascosti 1'!$L$14*'DATI nascosti 1'!$P$12))</f>
        <v>614659.43222408998</v>
      </c>
      <c r="L15" s="71">
        <v>0</v>
      </c>
      <c r="M15" s="71">
        <f>IF(C15&gt;=('DATI nascosti 1'!$L$10*10^-3),'DATI nascosti 1'!$L$14*'DATI nascosti 1'!$P$11,IF(C15&gt;=(-'DATI nascosti 1'!$L$10*10^-3),'DATI nascosti 1'!$P$11*'DATI nascosti 1'!$L$16*C15,-'DATI nascosti 1'!$L$14*'DATI nascosti 1'!$P$11))</f>
        <v>614659.43222408998</v>
      </c>
      <c r="N15" s="71">
        <f t="shared" si="0"/>
        <v>1229318.86444818</v>
      </c>
      <c r="O15" s="71">
        <f>-K15*('DATI nascosti 1'!$C$13/2)+M15*('DATI nascosti 1'!$C$13/2)</f>
        <v>0</v>
      </c>
      <c r="P15" s="69">
        <f>-TABULATI!N15/10^3</f>
        <v>-1229.31886444818</v>
      </c>
      <c r="Q15" s="69">
        <f>TABULATI!O15/10^6</f>
        <v>0</v>
      </c>
      <c r="R15" s="72">
        <f>-N15/('DATI nascosti 1'!$C$6*'DATI nascosti 1'!$C$13*'DATI nascosti 1'!$H$10*'DATI nascosti 1'!$H$16)</f>
        <v>-0.29581171389629707</v>
      </c>
      <c r="S15" s="72">
        <f>O15/('DATI nascosti 1'!$H$16*'DATI nascosti 1'!$C$6*'DATI nascosti 1'!$C$13^2*'DATI nascosti 1'!$H$10)</f>
        <v>0</v>
      </c>
      <c r="T15" s="73">
        <f t="shared" si="1"/>
        <v>0</v>
      </c>
      <c r="U15" s="67" t="str">
        <f>IF(T15&gt;=0, IF(T15&lt;='DATI nascosti 1'!$C$8/6, "SI", "NO"),IF(T15&gt; -'DATI nascosti 1'!$C$8/6, "SI", "NO"))</f>
        <v>SI</v>
      </c>
      <c r="V15" s="67" t="str">
        <f>IF(Foglio3!G16&lt;1,IF(Foglio3!G16&gt;-1,"ROTTURA BILANCIATA",""),"")</f>
        <v/>
      </c>
    </row>
    <row r="16" spans="1:22" ht="18.75" x14ac:dyDescent="0.25">
      <c r="A16" s="20"/>
      <c r="B16" s="67" t="s">
        <v>39</v>
      </c>
      <c r="C16" s="68">
        <f>'DATI nascosti 1'!$L$8*10^-3</f>
        <v>6.7500000000000004E-2</v>
      </c>
      <c r="D16" s="68">
        <f>D15-(C16-('DATI nascosti 1'!$C$10/'DATI nascosti 1'!$C$13*C16))/100</f>
        <v>5.8418181818181786E-2</v>
      </c>
      <c r="E16" s="67" t="s">
        <v>39</v>
      </c>
      <c r="F16" s="69">
        <f>(D16*'DATI nascosti 1'!$C$13-C16*'DATI nascosti 1'!$C$10)/(D16-C16)</f>
        <v>-7094.9999999999673</v>
      </c>
      <c r="G16" s="70">
        <v>0</v>
      </c>
      <c r="H16" s="70">
        <v>0</v>
      </c>
      <c r="I16" s="70">
        <v>0</v>
      </c>
      <c r="J16" s="70">
        <v>0</v>
      </c>
      <c r="K16" s="71">
        <f>IF(D16&gt;=('DATI nascosti 1'!$L$10*10^-3),'DATI nascosti 1'!$L$14*'DATI nascosti 1'!$P$12,IF(D16&gt;=(-'DATI nascosti 1'!$L$10*10^-3),'DATI nascosti 1'!$L$16*D16*'DATI nascosti 1'!$P$12,-'DATI nascosti 1'!$L$14*'DATI nascosti 1'!$P$12))</f>
        <v>614659.43222408998</v>
      </c>
      <c r="L16" s="71">
        <v>0</v>
      </c>
      <c r="M16" s="71">
        <f>IF(C16&gt;=('DATI nascosti 1'!$L$10*10^-3),'DATI nascosti 1'!$L$14*'DATI nascosti 1'!$P$11,IF(C16&gt;=(-'DATI nascosti 1'!$L$10*10^-3),'DATI nascosti 1'!$P$11*'DATI nascosti 1'!$L$16*C16,-'DATI nascosti 1'!$L$14*'DATI nascosti 1'!$P$11))</f>
        <v>614659.43222408998</v>
      </c>
      <c r="N16" s="71">
        <f t="shared" si="0"/>
        <v>1229318.86444818</v>
      </c>
      <c r="O16" s="71">
        <f>-K16*('DATI nascosti 1'!$C$13/2)+M16*('DATI nascosti 1'!$C$13/2)</f>
        <v>0</v>
      </c>
      <c r="P16" s="69">
        <f>-TABULATI!N16/10^3</f>
        <v>-1229.31886444818</v>
      </c>
      <c r="Q16" s="69">
        <f>TABULATI!O16/10^6</f>
        <v>0</v>
      </c>
      <c r="R16" s="72">
        <f>-N16/('DATI nascosti 1'!$C$6*'DATI nascosti 1'!$C$13*'DATI nascosti 1'!$H$10*'DATI nascosti 1'!$H$16)</f>
        <v>-0.29581171389629707</v>
      </c>
      <c r="S16" s="72">
        <f>O16/('DATI nascosti 1'!$H$16*'DATI nascosti 1'!$C$6*'DATI nascosti 1'!$C$13^2*'DATI nascosti 1'!$H$10)</f>
        <v>0</v>
      </c>
      <c r="T16" s="73">
        <f t="shared" si="1"/>
        <v>0</v>
      </c>
      <c r="U16" s="67" t="str">
        <f>IF(T16&gt;=0, IF(T16&lt;='DATI nascosti 1'!$C$8/6, "SI", "NO"),IF(T16&gt; -'DATI nascosti 1'!$C$8/6, "SI", "NO"))</f>
        <v>SI</v>
      </c>
      <c r="V16" s="67" t="str">
        <f>IF(Foglio3!G17&lt;1,IF(Foglio3!G17&gt;-1,"ROTTURA BILANCIATA",""),"")</f>
        <v/>
      </c>
    </row>
    <row r="17" spans="1:22" ht="18.75" x14ac:dyDescent="0.25">
      <c r="A17" s="20"/>
      <c r="B17" s="67" t="s">
        <v>39</v>
      </c>
      <c r="C17" s="68">
        <f>'DATI nascosti 1'!$L$8*10^-3</f>
        <v>6.7500000000000004E-2</v>
      </c>
      <c r="D17" s="68">
        <f>D16-(C17-('DATI nascosti 1'!$C$10/'DATI nascosti 1'!$C$13*C17))/100</f>
        <v>5.7769480519480484E-2</v>
      </c>
      <c r="E17" s="67" t="s">
        <v>39</v>
      </c>
      <c r="F17" s="69">
        <f>(D17*'DATI nascosti 1'!$C$13-C17*'DATI nascosti 1'!$C$10)/(D17-C17)</f>
        <v>-6544.9999999999682</v>
      </c>
      <c r="G17" s="70">
        <v>0</v>
      </c>
      <c r="H17" s="70">
        <v>0</v>
      </c>
      <c r="I17" s="70">
        <v>0</v>
      </c>
      <c r="J17" s="70">
        <v>0</v>
      </c>
      <c r="K17" s="71">
        <f>IF(D17&gt;=('DATI nascosti 1'!$L$10*10^-3),'DATI nascosti 1'!$L$14*'DATI nascosti 1'!$P$12,IF(D17&gt;=(-'DATI nascosti 1'!$L$10*10^-3),'DATI nascosti 1'!$L$16*D17*'DATI nascosti 1'!$P$12,-'DATI nascosti 1'!$L$14*'DATI nascosti 1'!$P$12))</f>
        <v>614659.43222408998</v>
      </c>
      <c r="L17" s="71">
        <v>0</v>
      </c>
      <c r="M17" s="71">
        <f>IF(C17&gt;=('DATI nascosti 1'!$L$10*10^-3),'DATI nascosti 1'!$L$14*'DATI nascosti 1'!$P$11,IF(C17&gt;=(-'DATI nascosti 1'!$L$10*10^-3),'DATI nascosti 1'!$P$11*'DATI nascosti 1'!$L$16*C17,-'DATI nascosti 1'!$L$14*'DATI nascosti 1'!$P$11))</f>
        <v>614659.43222408998</v>
      </c>
      <c r="N17" s="71">
        <f t="shared" si="0"/>
        <v>1229318.86444818</v>
      </c>
      <c r="O17" s="71">
        <f>-K17*('DATI nascosti 1'!$C$13/2)+M17*('DATI nascosti 1'!$C$13/2)</f>
        <v>0</v>
      </c>
      <c r="P17" s="69">
        <f>-TABULATI!N17/10^3</f>
        <v>-1229.31886444818</v>
      </c>
      <c r="Q17" s="69">
        <f>TABULATI!O17/10^6</f>
        <v>0</v>
      </c>
      <c r="R17" s="72">
        <f>-N17/('DATI nascosti 1'!$C$6*'DATI nascosti 1'!$C$13*'DATI nascosti 1'!$H$10*'DATI nascosti 1'!$H$16)</f>
        <v>-0.29581171389629707</v>
      </c>
      <c r="S17" s="72">
        <f>O17/('DATI nascosti 1'!$H$16*'DATI nascosti 1'!$C$6*'DATI nascosti 1'!$C$13^2*'DATI nascosti 1'!$H$10)</f>
        <v>0</v>
      </c>
      <c r="T17" s="73">
        <f t="shared" si="1"/>
        <v>0</v>
      </c>
      <c r="U17" s="67" t="str">
        <f>IF(T17&gt;=0, IF(T17&lt;='DATI nascosti 1'!$C$8/6, "SI", "NO"),IF(T17&gt; -'DATI nascosti 1'!$C$8/6, "SI", "NO"))</f>
        <v>SI</v>
      </c>
      <c r="V17" s="67" t="str">
        <f>IF(Foglio3!G18&lt;1,IF(Foglio3!G18&gt;-1,"ROTTURA BILANCIATA",""),"")</f>
        <v/>
      </c>
    </row>
    <row r="18" spans="1:22" ht="18.75" x14ac:dyDescent="0.25">
      <c r="A18" s="20"/>
      <c r="B18" s="67" t="s">
        <v>39</v>
      </c>
      <c r="C18" s="68">
        <f>'DATI nascosti 1'!$L$8*10^-3</f>
        <v>6.7500000000000004E-2</v>
      </c>
      <c r="D18" s="68">
        <f>D17-(C18-('DATI nascosti 1'!$C$10/'DATI nascosti 1'!$C$13*C18))/100</f>
        <v>5.7120779220779183E-2</v>
      </c>
      <c r="E18" s="67" t="s">
        <v>39</v>
      </c>
      <c r="F18" s="69">
        <f>(D18*'DATI nascosti 1'!$C$13-C18*'DATI nascosti 1'!$C$10)/(D18-C18)</f>
        <v>-6063.7499999999718</v>
      </c>
      <c r="G18" s="70">
        <v>0</v>
      </c>
      <c r="H18" s="70">
        <v>0</v>
      </c>
      <c r="I18" s="70">
        <v>0</v>
      </c>
      <c r="J18" s="70">
        <v>0</v>
      </c>
      <c r="K18" s="71">
        <f>IF(D18&gt;=('DATI nascosti 1'!$L$10*10^-3),'DATI nascosti 1'!$L$14*'DATI nascosti 1'!$P$12,IF(D18&gt;=(-'DATI nascosti 1'!$L$10*10^-3),'DATI nascosti 1'!$L$16*D18*'DATI nascosti 1'!$P$12,-'DATI nascosti 1'!$L$14*'DATI nascosti 1'!$P$12))</f>
        <v>614659.43222408998</v>
      </c>
      <c r="L18" s="71">
        <v>0</v>
      </c>
      <c r="M18" s="71">
        <f>IF(C18&gt;=('DATI nascosti 1'!$L$10*10^-3),'DATI nascosti 1'!$L$14*'DATI nascosti 1'!$P$11,IF(C18&gt;=(-'DATI nascosti 1'!$L$10*10^-3),'DATI nascosti 1'!$P$11*'DATI nascosti 1'!$L$16*C18,-'DATI nascosti 1'!$L$14*'DATI nascosti 1'!$P$11))</f>
        <v>614659.43222408998</v>
      </c>
      <c r="N18" s="71">
        <f t="shared" si="0"/>
        <v>1229318.86444818</v>
      </c>
      <c r="O18" s="71">
        <f>-K18*('DATI nascosti 1'!$C$13/2)+M18*('DATI nascosti 1'!$C$13/2)</f>
        <v>0</v>
      </c>
      <c r="P18" s="69">
        <f>-TABULATI!N18/10^3</f>
        <v>-1229.31886444818</v>
      </c>
      <c r="Q18" s="69">
        <f>TABULATI!O18/10^6</f>
        <v>0</v>
      </c>
      <c r="R18" s="72">
        <f>-N18/('DATI nascosti 1'!$C$6*'DATI nascosti 1'!$C$13*'DATI nascosti 1'!$H$10*'DATI nascosti 1'!$H$16)</f>
        <v>-0.29581171389629707</v>
      </c>
      <c r="S18" s="72">
        <f>O18/('DATI nascosti 1'!$H$16*'DATI nascosti 1'!$C$6*'DATI nascosti 1'!$C$13^2*'DATI nascosti 1'!$H$10)</f>
        <v>0</v>
      </c>
      <c r="T18" s="73">
        <f t="shared" si="1"/>
        <v>0</v>
      </c>
      <c r="U18" s="67" t="str">
        <f>IF(T18&gt;=0, IF(T18&lt;='DATI nascosti 1'!$C$8/6, "SI", "NO"),IF(T18&gt; -'DATI nascosti 1'!$C$8/6, "SI", "NO"))</f>
        <v>SI</v>
      </c>
      <c r="V18" s="67" t="str">
        <f>IF(Foglio3!G19&lt;1,IF(Foglio3!G19&gt;-1,"ROTTURA BILANCIATA",""),"")</f>
        <v/>
      </c>
    </row>
    <row r="19" spans="1:22" ht="18.75" x14ac:dyDescent="0.25">
      <c r="A19" s="20"/>
      <c r="B19" s="67" t="s">
        <v>39</v>
      </c>
      <c r="C19" s="68">
        <f>'DATI nascosti 1'!$L$8*10^-3</f>
        <v>6.7500000000000004E-2</v>
      </c>
      <c r="D19" s="68">
        <f>D18-(C19-('DATI nascosti 1'!$C$10/'DATI nascosti 1'!$C$13*C19))/100</f>
        <v>5.6472077922077882E-2</v>
      </c>
      <c r="E19" s="67" t="s">
        <v>39</v>
      </c>
      <c r="F19" s="69">
        <f>(D19*'DATI nascosti 1'!$C$13-C19*'DATI nascosti 1'!$C$10)/(D19-C19)</f>
        <v>-5639.117647058797</v>
      </c>
      <c r="G19" s="70">
        <v>0</v>
      </c>
      <c r="H19" s="70">
        <v>0</v>
      </c>
      <c r="I19" s="70">
        <v>0</v>
      </c>
      <c r="J19" s="70">
        <v>0</v>
      </c>
      <c r="K19" s="71">
        <f>IF(D19&gt;=('DATI nascosti 1'!$L$10*10^-3),'DATI nascosti 1'!$L$14*'DATI nascosti 1'!$P$12,IF(D19&gt;=(-'DATI nascosti 1'!$L$10*10^-3),'DATI nascosti 1'!$L$16*D19*'DATI nascosti 1'!$P$12,-'DATI nascosti 1'!$L$14*'DATI nascosti 1'!$P$12))</f>
        <v>614659.43222408998</v>
      </c>
      <c r="L19" s="71">
        <v>0</v>
      </c>
      <c r="M19" s="71">
        <f>IF(C19&gt;=('DATI nascosti 1'!$L$10*10^-3),'DATI nascosti 1'!$L$14*'DATI nascosti 1'!$P$11,IF(C19&gt;=(-'DATI nascosti 1'!$L$10*10^-3),'DATI nascosti 1'!$P$11*'DATI nascosti 1'!$L$16*C19,-'DATI nascosti 1'!$L$14*'DATI nascosti 1'!$P$11))</f>
        <v>614659.43222408998</v>
      </c>
      <c r="N19" s="71">
        <f t="shared" si="0"/>
        <v>1229318.86444818</v>
      </c>
      <c r="O19" s="71">
        <f>-K19*('DATI nascosti 1'!$C$13/2)+M19*('DATI nascosti 1'!$C$13/2)</f>
        <v>0</v>
      </c>
      <c r="P19" s="69">
        <f>-TABULATI!N19/10^3</f>
        <v>-1229.31886444818</v>
      </c>
      <c r="Q19" s="69">
        <f>TABULATI!O19/10^6</f>
        <v>0</v>
      </c>
      <c r="R19" s="72">
        <f>-N19/('DATI nascosti 1'!$C$6*'DATI nascosti 1'!$C$13*'DATI nascosti 1'!$H$10*'DATI nascosti 1'!$H$16)</f>
        <v>-0.29581171389629707</v>
      </c>
      <c r="S19" s="72">
        <f>O19/('DATI nascosti 1'!$H$16*'DATI nascosti 1'!$C$6*'DATI nascosti 1'!$C$13^2*'DATI nascosti 1'!$H$10)</f>
        <v>0</v>
      </c>
      <c r="T19" s="73">
        <f t="shared" si="1"/>
        <v>0</v>
      </c>
      <c r="U19" s="67" t="str">
        <f>IF(T19&gt;=0, IF(T19&lt;='DATI nascosti 1'!$C$8/6, "SI", "NO"),IF(T19&gt; -'DATI nascosti 1'!$C$8/6, "SI", "NO"))</f>
        <v>SI</v>
      </c>
      <c r="V19" s="67" t="str">
        <f>IF(Foglio3!G20&lt;1,IF(Foglio3!G20&gt;-1,"ROTTURA BILANCIATA",""),"")</f>
        <v/>
      </c>
    </row>
    <row r="20" spans="1:22" ht="18.75" x14ac:dyDescent="0.25">
      <c r="A20" s="20"/>
      <c r="B20" s="67" t="s">
        <v>39</v>
      </c>
      <c r="C20" s="68">
        <f>'DATI nascosti 1'!$L$8*10^-3</f>
        <v>6.7500000000000004E-2</v>
      </c>
      <c r="D20" s="68">
        <f>D19-(C20-('DATI nascosti 1'!$C$10/'DATI nascosti 1'!$C$13*C20))/100</f>
        <v>5.582337662337658E-2</v>
      </c>
      <c r="E20" s="67" t="s">
        <v>39</v>
      </c>
      <c r="F20" s="69">
        <f>(D20*'DATI nascosti 1'!$C$13-C20*'DATI nascosti 1'!$C$10)/(D20-C20)</f>
        <v>-5261.6666666666415</v>
      </c>
      <c r="G20" s="70">
        <v>0</v>
      </c>
      <c r="H20" s="70">
        <v>0</v>
      </c>
      <c r="I20" s="70">
        <v>0</v>
      </c>
      <c r="J20" s="70">
        <v>0</v>
      </c>
      <c r="K20" s="71">
        <f>IF(D20&gt;=('DATI nascosti 1'!$L$10*10^-3),'DATI nascosti 1'!$L$14*'DATI nascosti 1'!$P$12,IF(D20&gt;=(-'DATI nascosti 1'!$L$10*10^-3),'DATI nascosti 1'!$L$16*D20*'DATI nascosti 1'!$P$12,-'DATI nascosti 1'!$L$14*'DATI nascosti 1'!$P$12))</f>
        <v>614659.43222408998</v>
      </c>
      <c r="L20" s="71">
        <v>0</v>
      </c>
      <c r="M20" s="71">
        <f>IF(C20&gt;=('DATI nascosti 1'!$L$10*10^-3),'DATI nascosti 1'!$L$14*'DATI nascosti 1'!$P$11,IF(C20&gt;=(-'DATI nascosti 1'!$L$10*10^-3),'DATI nascosti 1'!$P$11*'DATI nascosti 1'!$L$16*C20,-'DATI nascosti 1'!$L$14*'DATI nascosti 1'!$P$11))</f>
        <v>614659.43222408998</v>
      </c>
      <c r="N20" s="71">
        <f t="shared" si="0"/>
        <v>1229318.86444818</v>
      </c>
      <c r="O20" s="71">
        <f>-K20*('DATI nascosti 1'!$C$13/2)+M20*('DATI nascosti 1'!$C$13/2)</f>
        <v>0</v>
      </c>
      <c r="P20" s="69">
        <f>-TABULATI!N20/10^3</f>
        <v>-1229.31886444818</v>
      </c>
      <c r="Q20" s="69">
        <f>TABULATI!O20/10^6</f>
        <v>0</v>
      </c>
      <c r="R20" s="72">
        <f>-N20/('DATI nascosti 1'!$C$6*'DATI nascosti 1'!$C$13*'DATI nascosti 1'!$H$10*'DATI nascosti 1'!$H$16)</f>
        <v>-0.29581171389629707</v>
      </c>
      <c r="S20" s="72">
        <f>O20/('DATI nascosti 1'!$H$16*'DATI nascosti 1'!$C$6*'DATI nascosti 1'!$C$13^2*'DATI nascosti 1'!$H$10)</f>
        <v>0</v>
      </c>
      <c r="T20" s="73">
        <f t="shared" si="1"/>
        <v>0</v>
      </c>
      <c r="U20" s="67" t="str">
        <f>IF(T20&gt;=0, IF(T20&lt;='DATI nascosti 1'!$C$8/6, "SI", "NO"),IF(T20&gt; -'DATI nascosti 1'!$C$8/6, "SI", "NO"))</f>
        <v>SI</v>
      </c>
      <c r="V20" s="67" t="str">
        <f>IF(Foglio3!G21&lt;1,IF(Foglio3!G21&gt;-1,"ROTTURA BILANCIATA",""),"")</f>
        <v/>
      </c>
    </row>
    <row r="21" spans="1:22" ht="18.75" x14ac:dyDescent="0.25">
      <c r="A21" s="20"/>
      <c r="B21" s="67" t="s">
        <v>39</v>
      </c>
      <c r="C21" s="68">
        <f>'DATI nascosti 1'!$L$8*10^-3</f>
        <v>6.7500000000000004E-2</v>
      </c>
      <c r="D21" s="68">
        <f>D20-(C21-('DATI nascosti 1'!$C$10/'DATI nascosti 1'!$C$13*C21))/100</f>
        <v>5.5174675324675279E-2</v>
      </c>
      <c r="E21" s="67" t="s">
        <v>39</v>
      </c>
      <c r="F21" s="69">
        <f>(D21*'DATI nascosti 1'!$C$13-C21*'DATI nascosti 1'!$C$10)/(D21-C21)</f>
        <v>-4923.9473684210279</v>
      </c>
      <c r="G21" s="70">
        <v>0</v>
      </c>
      <c r="H21" s="70">
        <v>0</v>
      </c>
      <c r="I21" s="70">
        <v>0</v>
      </c>
      <c r="J21" s="70">
        <v>0</v>
      </c>
      <c r="K21" s="71">
        <f>IF(D21&gt;=('DATI nascosti 1'!$L$10*10^-3),'DATI nascosti 1'!$L$14*'DATI nascosti 1'!$P$12,IF(D21&gt;=(-'DATI nascosti 1'!$L$10*10^-3),'DATI nascosti 1'!$L$16*D21*'DATI nascosti 1'!$P$12,-'DATI nascosti 1'!$L$14*'DATI nascosti 1'!$P$12))</f>
        <v>614659.43222408998</v>
      </c>
      <c r="L21" s="71">
        <v>0</v>
      </c>
      <c r="M21" s="71">
        <f>IF(C21&gt;=('DATI nascosti 1'!$L$10*10^-3),'DATI nascosti 1'!$L$14*'DATI nascosti 1'!$P$11,IF(C21&gt;=(-'DATI nascosti 1'!$L$10*10^-3),'DATI nascosti 1'!$P$11*'DATI nascosti 1'!$L$16*C21,-'DATI nascosti 1'!$L$14*'DATI nascosti 1'!$P$11))</f>
        <v>614659.43222408998</v>
      </c>
      <c r="N21" s="71">
        <f t="shared" si="0"/>
        <v>1229318.86444818</v>
      </c>
      <c r="O21" s="71">
        <f>-K21*('DATI nascosti 1'!$C$13/2)+M21*('DATI nascosti 1'!$C$13/2)</f>
        <v>0</v>
      </c>
      <c r="P21" s="69">
        <f>-TABULATI!N21/10^3</f>
        <v>-1229.31886444818</v>
      </c>
      <c r="Q21" s="69">
        <f>TABULATI!O21/10^6</f>
        <v>0</v>
      </c>
      <c r="R21" s="72">
        <f>-N21/('DATI nascosti 1'!$C$6*'DATI nascosti 1'!$C$13*'DATI nascosti 1'!$H$10*'DATI nascosti 1'!$H$16)</f>
        <v>-0.29581171389629707</v>
      </c>
      <c r="S21" s="72">
        <f>O21/('DATI nascosti 1'!$H$16*'DATI nascosti 1'!$C$6*'DATI nascosti 1'!$C$13^2*'DATI nascosti 1'!$H$10)</f>
        <v>0</v>
      </c>
      <c r="T21" s="73">
        <f t="shared" si="1"/>
        <v>0</v>
      </c>
      <c r="U21" s="67" t="str">
        <f>IF(T21&gt;=0, IF(T21&lt;='DATI nascosti 1'!$C$8/6, "SI", "NO"),IF(T21&gt; -'DATI nascosti 1'!$C$8/6, "SI", "NO"))</f>
        <v>SI</v>
      </c>
      <c r="V21" s="67" t="str">
        <f>IF(Foglio3!G22&lt;1,IF(Foglio3!G22&gt;-1,"ROTTURA BILANCIATA",""),"")</f>
        <v/>
      </c>
    </row>
    <row r="22" spans="1:22" ht="18.75" x14ac:dyDescent="0.25">
      <c r="A22" s="20"/>
      <c r="B22" s="67" t="s">
        <v>39</v>
      </c>
      <c r="C22" s="68">
        <f>'DATI nascosti 1'!$L$8*10^-3</f>
        <v>6.7500000000000004E-2</v>
      </c>
      <c r="D22" s="68">
        <f>D21-(C22-('DATI nascosti 1'!$C$10/'DATI nascosti 1'!$C$13*C22))/100</f>
        <v>5.4525974025973978E-2</v>
      </c>
      <c r="E22" s="67" t="s">
        <v>39</v>
      </c>
      <c r="F22" s="69">
        <f>(D22*'DATI nascosti 1'!$C$13-C22*'DATI nascosti 1'!$C$10)/(D22-C22)</f>
        <v>-4619.9999999999764</v>
      </c>
      <c r="G22" s="70">
        <v>0</v>
      </c>
      <c r="H22" s="70">
        <v>0</v>
      </c>
      <c r="I22" s="70">
        <v>0</v>
      </c>
      <c r="J22" s="70">
        <v>0</v>
      </c>
      <c r="K22" s="71">
        <f>IF(D22&gt;=('DATI nascosti 1'!$L$10*10^-3),'DATI nascosti 1'!$L$14*'DATI nascosti 1'!$P$12,IF(D22&gt;=(-'DATI nascosti 1'!$L$10*10^-3),'DATI nascosti 1'!$L$16*D22*'DATI nascosti 1'!$P$12,-'DATI nascosti 1'!$L$14*'DATI nascosti 1'!$P$12))</f>
        <v>614659.43222408998</v>
      </c>
      <c r="L22" s="71">
        <v>0</v>
      </c>
      <c r="M22" s="71">
        <f>IF(C22&gt;=('DATI nascosti 1'!$L$10*10^-3),'DATI nascosti 1'!$L$14*'DATI nascosti 1'!$P$11,IF(C22&gt;=(-'DATI nascosti 1'!$L$10*10^-3),'DATI nascosti 1'!$P$11*'DATI nascosti 1'!$L$16*C22,-'DATI nascosti 1'!$L$14*'DATI nascosti 1'!$P$11))</f>
        <v>614659.43222408998</v>
      </c>
      <c r="N22" s="71">
        <f t="shared" si="0"/>
        <v>1229318.86444818</v>
      </c>
      <c r="O22" s="71">
        <f>-K22*('DATI nascosti 1'!$C$13/2)+M22*('DATI nascosti 1'!$C$13/2)</f>
        <v>0</v>
      </c>
      <c r="P22" s="69">
        <f>-TABULATI!N22/10^3</f>
        <v>-1229.31886444818</v>
      </c>
      <c r="Q22" s="69">
        <f>TABULATI!O22/10^6</f>
        <v>0</v>
      </c>
      <c r="R22" s="72">
        <f>-N22/('DATI nascosti 1'!$C$6*'DATI nascosti 1'!$C$13*'DATI nascosti 1'!$H$10*'DATI nascosti 1'!$H$16)</f>
        <v>-0.29581171389629707</v>
      </c>
      <c r="S22" s="72">
        <f>O22/('DATI nascosti 1'!$H$16*'DATI nascosti 1'!$C$6*'DATI nascosti 1'!$C$13^2*'DATI nascosti 1'!$H$10)</f>
        <v>0</v>
      </c>
      <c r="T22" s="73">
        <f t="shared" si="1"/>
        <v>0</v>
      </c>
      <c r="U22" s="67" t="str">
        <f>IF(T22&gt;=0, IF(T22&lt;='DATI nascosti 1'!$C$8/6, "SI", "NO"),IF(T22&gt; -'DATI nascosti 1'!$C$8/6, "SI", "NO"))</f>
        <v>SI</v>
      </c>
      <c r="V22" s="67" t="str">
        <f>IF(Foglio3!G23&lt;1,IF(Foglio3!G23&gt;-1,"ROTTURA BILANCIATA",""),"")</f>
        <v/>
      </c>
    </row>
    <row r="23" spans="1:22" ht="18.75" x14ac:dyDescent="0.25">
      <c r="A23" s="20"/>
      <c r="B23" s="67" t="s">
        <v>39</v>
      </c>
      <c r="C23" s="68">
        <f>'DATI nascosti 1'!$L$8*10^-3</f>
        <v>6.7500000000000004E-2</v>
      </c>
      <c r="D23" s="68">
        <f>D22-(C23-('DATI nascosti 1'!$C$10/'DATI nascosti 1'!$C$13*C23))/100</f>
        <v>5.3877272727272676E-2</v>
      </c>
      <c r="E23" s="67" t="s">
        <v>39</v>
      </c>
      <c r="F23" s="69">
        <f>(D23*'DATI nascosti 1'!$C$13-C23*'DATI nascosti 1'!$C$10)/(D23-C23)</f>
        <v>-4344.9999999999782</v>
      </c>
      <c r="G23" s="70">
        <v>0</v>
      </c>
      <c r="H23" s="70">
        <v>0</v>
      </c>
      <c r="I23" s="70">
        <v>0</v>
      </c>
      <c r="J23" s="70">
        <v>0</v>
      </c>
      <c r="K23" s="71">
        <f>IF(D23&gt;=('DATI nascosti 1'!$L$10*10^-3),'DATI nascosti 1'!$L$14*'DATI nascosti 1'!$P$12,IF(D23&gt;=(-'DATI nascosti 1'!$L$10*10^-3),'DATI nascosti 1'!$L$16*D23*'DATI nascosti 1'!$P$12,-'DATI nascosti 1'!$L$14*'DATI nascosti 1'!$P$12))</f>
        <v>614659.43222408998</v>
      </c>
      <c r="L23" s="71">
        <v>0</v>
      </c>
      <c r="M23" s="71">
        <f>IF(C23&gt;=('DATI nascosti 1'!$L$10*10^-3),'DATI nascosti 1'!$L$14*'DATI nascosti 1'!$P$11,IF(C23&gt;=(-'DATI nascosti 1'!$L$10*10^-3),'DATI nascosti 1'!$P$11*'DATI nascosti 1'!$L$16*C23,-'DATI nascosti 1'!$L$14*'DATI nascosti 1'!$P$11))</f>
        <v>614659.43222408998</v>
      </c>
      <c r="N23" s="71">
        <f t="shared" si="0"/>
        <v>1229318.86444818</v>
      </c>
      <c r="O23" s="71">
        <f>-K23*('DATI nascosti 1'!$C$13/2)+M23*('DATI nascosti 1'!$C$13/2)</f>
        <v>0</v>
      </c>
      <c r="P23" s="69">
        <f>-TABULATI!N23/10^3</f>
        <v>-1229.31886444818</v>
      </c>
      <c r="Q23" s="69">
        <f>TABULATI!O23/10^6</f>
        <v>0</v>
      </c>
      <c r="R23" s="72">
        <f>-N23/('DATI nascosti 1'!$C$6*'DATI nascosti 1'!$C$13*'DATI nascosti 1'!$H$10*'DATI nascosti 1'!$H$16)</f>
        <v>-0.29581171389629707</v>
      </c>
      <c r="S23" s="72">
        <f>O23/('DATI nascosti 1'!$H$16*'DATI nascosti 1'!$C$6*'DATI nascosti 1'!$C$13^2*'DATI nascosti 1'!$H$10)</f>
        <v>0</v>
      </c>
      <c r="T23" s="73">
        <f t="shared" si="1"/>
        <v>0</v>
      </c>
      <c r="U23" s="67" t="str">
        <f>IF(T23&gt;=0, IF(T23&lt;='DATI nascosti 1'!$C$8/6, "SI", "NO"),IF(T23&gt; -'DATI nascosti 1'!$C$8/6, "SI", "NO"))</f>
        <v>SI</v>
      </c>
      <c r="V23" s="67" t="str">
        <f>IF(Foglio3!G24&lt;1,IF(Foglio3!G24&gt;-1,"ROTTURA BILANCIATA",""),"")</f>
        <v/>
      </c>
    </row>
    <row r="24" spans="1:22" ht="18.75" x14ac:dyDescent="0.25">
      <c r="A24" s="20"/>
      <c r="B24" s="67" t="s">
        <v>39</v>
      </c>
      <c r="C24" s="68">
        <f>'DATI nascosti 1'!$L$8*10^-3</f>
        <v>6.7500000000000004E-2</v>
      </c>
      <c r="D24" s="68">
        <f>D23-(C24-('DATI nascosti 1'!$C$10/'DATI nascosti 1'!$C$13*C24))/100</f>
        <v>5.3228571428571375E-2</v>
      </c>
      <c r="E24" s="67" t="s">
        <v>39</v>
      </c>
      <c r="F24" s="69">
        <f>(D24*'DATI nascosti 1'!$C$13-C24*'DATI nascosti 1'!$C$10)/(D24-C24)</f>
        <v>-4094.9999999999786</v>
      </c>
      <c r="G24" s="70">
        <v>0</v>
      </c>
      <c r="H24" s="70">
        <v>0</v>
      </c>
      <c r="I24" s="70">
        <v>0</v>
      </c>
      <c r="J24" s="70">
        <v>0</v>
      </c>
      <c r="K24" s="71">
        <f>IF(D24&gt;=('DATI nascosti 1'!$L$10*10^-3),'DATI nascosti 1'!$L$14*'DATI nascosti 1'!$P$12,IF(D24&gt;=(-'DATI nascosti 1'!$L$10*10^-3),'DATI nascosti 1'!$L$16*D24*'DATI nascosti 1'!$P$12,-'DATI nascosti 1'!$L$14*'DATI nascosti 1'!$P$12))</f>
        <v>614659.43222408998</v>
      </c>
      <c r="L24" s="71">
        <v>0</v>
      </c>
      <c r="M24" s="71">
        <f>IF(C24&gt;=('DATI nascosti 1'!$L$10*10^-3),'DATI nascosti 1'!$L$14*'DATI nascosti 1'!$P$11,IF(C24&gt;=(-'DATI nascosti 1'!$L$10*10^-3),'DATI nascosti 1'!$P$11*'DATI nascosti 1'!$L$16*C24,-'DATI nascosti 1'!$L$14*'DATI nascosti 1'!$P$11))</f>
        <v>614659.43222408998</v>
      </c>
      <c r="N24" s="71">
        <f t="shared" si="0"/>
        <v>1229318.86444818</v>
      </c>
      <c r="O24" s="71">
        <f>-K24*('DATI nascosti 1'!$C$13/2)+M24*('DATI nascosti 1'!$C$13/2)</f>
        <v>0</v>
      </c>
      <c r="P24" s="69">
        <f>-TABULATI!N24/10^3</f>
        <v>-1229.31886444818</v>
      </c>
      <c r="Q24" s="69">
        <f>TABULATI!O24/10^6</f>
        <v>0</v>
      </c>
      <c r="R24" s="72">
        <f>-N24/('DATI nascosti 1'!$C$6*'DATI nascosti 1'!$C$13*'DATI nascosti 1'!$H$10*'DATI nascosti 1'!$H$16)</f>
        <v>-0.29581171389629707</v>
      </c>
      <c r="S24" s="72">
        <f>O24/('DATI nascosti 1'!$H$16*'DATI nascosti 1'!$C$6*'DATI nascosti 1'!$C$13^2*'DATI nascosti 1'!$H$10)</f>
        <v>0</v>
      </c>
      <c r="T24" s="73">
        <f t="shared" si="1"/>
        <v>0</v>
      </c>
      <c r="U24" s="67" t="str">
        <f>IF(T24&gt;=0, IF(T24&lt;='DATI nascosti 1'!$C$8/6, "SI", "NO"),IF(T24&gt; -'DATI nascosti 1'!$C$8/6, "SI", "NO"))</f>
        <v>SI</v>
      </c>
      <c r="V24" s="67" t="str">
        <f>IF(Foglio3!G25&lt;1,IF(Foglio3!G25&gt;-1,"ROTTURA BILANCIATA",""),"")</f>
        <v/>
      </c>
    </row>
    <row r="25" spans="1:22" ht="18.75" x14ac:dyDescent="0.25">
      <c r="A25" s="20"/>
      <c r="B25" s="67" t="s">
        <v>39</v>
      </c>
      <c r="C25" s="68">
        <f>'DATI nascosti 1'!$L$8*10^-3</f>
        <v>6.7500000000000004E-2</v>
      </c>
      <c r="D25" s="68">
        <f>D24-(C25-('DATI nascosti 1'!$C$10/'DATI nascosti 1'!$C$13*C25))/100</f>
        <v>5.2579870129870074E-2</v>
      </c>
      <c r="E25" s="67" t="s">
        <v>39</v>
      </c>
      <c r="F25" s="69">
        <f>(D25*'DATI nascosti 1'!$C$13-C25*'DATI nascosti 1'!$C$10)/(D25-C25)</f>
        <v>-3866.739130434762</v>
      </c>
      <c r="G25" s="70">
        <v>0</v>
      </c>
      <c r="H25" s="70">
        <v>0</v>
      </c>
      <c r="I25" s="70">
        <v>0</v>
      </c>
      <c r="J25" s="70">
        <v>0</v>
      </c>
      <c r="K25" s="71">
        <f>IF(D25&gt;=('DATI nascosti 1'!$L$10*10^-3),'DATI nascosti 1'!$L$14*'DATI nascosti 1'!$P$12,IF(D25&gt;=(-'DATI nascosti 1'!$L$10*10^-3),'DATI nascosti 1'!$L$16*D25*'DATI nascosti 1'!$P$12,-'DATI nascosti 1'!$L$14*'DATI nascosti 1'!$P$12))</f>
        <v>614659.43222408998</v>
      </c>
      <c r="L25" s="71">
        <v>0</v>
      </c>
      <c r="M25" s="71">
        <f>IF(C25&gt;=('DATI nascosti 1'!$L$10*10^-3),'DATI nascosti 1'!$L$14*'DATI nascosti 1'!$P$11,IF(C25&gt;=(-'DATI nascosti 1'!$L$10*10^-3),'DATI nascosti 1'!$P$11*'DATI nascosti 1'!$L$16*C25,-'DATI nascosti 1'!$L$14*'DATI nascosti 1'!$P$11))</f>
        <v>614659.43222408998</v>
      </c>
      <c r="N25" s="71">
        <f t="shared" si="0"/>
        <v>1229318.86444818</v>
      </c>
      <c r="O25" s="71">
        <f>-K25*('DATI nascosti 1'!$C$13/2)+M25*('DATI nascosti 1'!$C$13/2)</f>
        <v>0</v>
      </c>
      <c r="P25" s="69">
        <f>-TABULATI!N25/10^3</f>
        <v>-1229.31886444818</v>
      </c>
      <c r="Q25" s="69">
        <f>TABULATI!O25/10^6</f>
        <v>0</v>
      </c>
      <c r="R25" s="72">
        <f>-N25/('DATI nascosti 1'!$C$6*'DATI nascosti 1'!$C$13*'DATI nascosti 1'!$H$10*'DATI nascosti 1'!$H$16)</f>
        <v>-0.29581171389629707</v>
      </c>
      <c r="S25" s="72">
        <f>O25/('DATI nascosti 1'!$H$16*'DATI nascosti 1'!$C$6*'DATI nascosti 1'!$C$13^2*'DATI nascosti 1'!$H$10)</f>
        <v>0</v>
      </c>
      <c r="T25" s="73">
        <f t="shared" si="1"/>
        <v>0</v>
      </c>
      <c r="U25" s="67" t="str">
        <f>IF(T25&gt;=0, IF(T25&lt;='DATI nascosti 1'!$C$8/6, "SI", "NO"),IF(T25&gt; -'DATI nascosti 1'!$C$8/6, "SI", "NO"))</f>
        <v>SI</v>
      </c>
      <c r="V25" s="67" t="str">
        <f>IF(Foglio3!G26&lt;1,IF(Foglio3!G26&gt;-1,"ROTTURA BILANCIATA",""),"")</f>
        <v/>
      </c>
    </row>
    <row r="26" spans="1:22" ht="18.75" x14ac:dyDescent="0.25">
      <c r="A26" s="20"/>
      <c r="B26" s="67" t="s">
        <v>39</v>
      </c>
      <c r="C26" s="68">
        <f>'DATI nascosti 1'!$L$8*10^-3</f>
        <v>6.7500000000000004E-2</v>
      </c>
      <c r="D26" s="68">
        <f>D25-(C26-('DATI nascosti 1'!$C$10/'DATI nascosti 1'!$C$13*C26))/100</f>
        <v>5.1931168831168772E-2</v>
      </c>
      <c r="E26" s="67" t="s">
        <v>39</v>
      </c>
      <c r="F26" s="69">
        <f>(D26*'DATI nascosti 1'!$C$13-C26*'DATI nascosti 1'!$C$10)/(D26-C26)</f>
        <v>-3657.4999999999809</v>
      </c>
      <c r="G26" s="70">
        <v>0</v>
      </c>
      <c r="H26" s="70">
        <v>0</v>
      </c>
      <c r="I26" s="70">
        <v>0</v>
      </c>
      <c r="J26" s="70">
        <v>0</v>
      </c>
      <c r="K26" s="71">
        <f>IF(D26&gt;=('DATI nascosti 1'!$L$10*10^-3),'DATI nascosti 1'!$L$14*'DATI nascosti 1'!$P$12,IF(D26&gt;=(-'DATI nascosti 1'!$L$10*10^-3),'DATI nascosti 1'!$L$16*D26*'DATI nascosti 1'!$P$12,-'DATI nascosti 1'!$L$14*'DATI nascosti 1'!$P$12))</f>
        <v>614659.43222408998</v>
      </c>
      <c r="L26" s="71">
        <v>0</v>
      </c>
      <c r="M26" s="71">
        <f>IF(C26&gt;=('DATI nascosti 1'!$L$10*10^-3),'DATI nascosti 1'!$L$14*'DATI nascosti 1'!$P$11,IF(C26&gt;=(-'DATI nascosti 1'!$L$10*10^-3),'DATI nascosti 1'!$P$11*'DATI nascosti 1'!$L$16*C26,-'DATI nascosti 1'!$L$14*'DATI nascosti 1'!$P$11))</f>
        <v>614659.43222408998</v>
      </c>
      <c r="N26" s="71">
        <f t="shared" si="0"/>
        <v>1229318.86444818</v>
      </c>
      <c r="O26" s="71">
        <f>-K26*('DATI nascosti 1'!$C$13/2)+M26*('DATI nascosti 1'!$C$13/2)</f>
        <v>0</v>
      </c>
      <c r="P26" s="69">
        <f>-TABULATI!N26/10^3</f>
        <v>-1229.31886444818</v>
      </c>
      <c r="Q26" s="69">
        <f>TABULATI!O26/10^6</f>
        <v>0</v>
      </c>
      <c r="R26" s="72">
        <f>-N26/('DATI nascosti 1'!$C$6*'DATI nascosti 1'!$C$13*'DATI nascosti 1'!$H$10*'DATI nascosti 1'!$H$16)</f>
        <v>-0.29581171389629707</v>
      </c>
      <c r="S26" s="72">
        <f>O26/('DATI nascosti 1'!$H$16*'DATI nascosti 1'!$C$6*'DATI nascosti 1'!$C$13^2*'DATI nascosti 1'!$H$10)</f>
        <v>0</v>
      </c>
      <c r="T26" s="73">
        <f t="shared" si="1"/>
        <v>0</v>
      </c>
      <c r="U26" s="67" t="str">
        <f>IF(T26&gt;=0, IF(T26&lt;='DATI nascosti 1'!$C$8/6, "SI", "NO"),IF(T26&gt; -'DATI nascosti 1'!$C$8/6, "SI", "NO"))</f>
        <v>SI</v>
      </c>
      <c r="V26" s="67" t="str">
        <f>IF(Foglio3!G27&lt;1,IF(Foglio3!G27&gt;-1,"ROTTURA BILANCIATA",""),"")</f>
        <v/>
      </c>
    </row>
    <row r="27" spans="1:22" ht="18.75" x14ac:dyDescent="0.25">
      <c r="A27" s="20"/>
      <c r="B27" s="67" t="s">
        <v>39</v>
      </c>
      <c r="C27" s="68">
        <f>'DATI nascosti 1'!$L$8*10^-3</f>
        <v>6.7500000000000004E-2</v>
      </c>
      <c r="D27" s="68">
        <f>D26-(C27-('DATI nascosti 1'!$C$10/'DATI nascosti 1'!$C$13*C27))/100</f>
        <v>5.1282467532467471E-2</v>
      </c>
      <c r="E27" s="67" t="s">
        <v>39</v>
      </c>
      <c r="F27" s="69">
        <f>(D27*'DATI nascosti 1'!$C$13-C27*'DATI nascosti 1'!$C$10)/(D27-C27)</f>
        <v>-3464.9999999999818</v>
      </c>
      <c r="G27" s="70">
        <v>0</v>
      </c>
      <c r="H27" s="70">
        <v>0</v>
      </c>
      <c r="I27" s="70">
        <v>0</v>
      </c>
      <c r="J27" s="70">
        <v>0</v>
      </c>
      <c r="K27" s="71">
        <f>IF(D27&gt;=('DATI nascosti 1'!$L$10*10^-3),'DATI nascosti 1'!$L$14*'DATI nascosti 1'!$P$12,IF(D27&gt;=(-'DATI nascosti 1'!$L$10*10^-3),'DATI nascosti 1'!$L$16*D27*'DATI nascosti 1'!$P$12,-'DATI nascosti 1'!$L$14*'DATI nascosti 1'!$P$12))</f>
        <v>614659.43222408998</v>
      </c>
      <c r="L27" s="71">
        <v>0</v>
      </c>
      <c r="M27" s="71">
        <f>IF(C27&gt;=('DATI nascosti 1'!$L$10*10^-3),'DATI nascosti 1'!$L$14*'DATI nascosti 1'!$P$11,IF(C27&gt;=(-'DATI nascosti 1'!$L$10*10^-3),'DATI nascosti 1'!$P$11*'DATI nascosti 1'!$L$16*C27,-'DATI nascosti 1'!$L$14*'DATI nascosti 1'!$P$11))</f>
        <v>614659.43222408998</v>
      </c>
      <c r="N27" s="71">
        <f t="shared" si="0"/>
        <v>1229318.86444818</v>
      </c>
      <c r="O27" s="71">
        <f>-K27*('DATI nascosti 1'!$C$13/2)+M27*('DATI nascosti 1'!$C$13/2)</f>
        <v>0</v>
      </c>
      <c r="P27" s="69">
        <f>-TABULATI!N27/10^3</f>
        <v>-1229.31886444818</v>
      </c>
      <c r="Q27" s="69">
        <f>TABULATI!O27/10^6</f>
        <v>0</v>
      </c>
      <c r="R27" s="72">
        <f>-N27/('DATI nascosti 1'!$C$6*'DATI nascosti 1'!$C$13*'DATI nascosti 1'!$H$10*'DATI nascosti 1'!$H$16)</f>
        <v>-0.29581171389629707</v>
      </c>
      <c r="S27" s="72">
        <f>O27/('DATI nascosti 1'!$H$16*'DATI nascosti 1'!$C$6*'DATI nascosti 1'!$C$13^2*'DATI nascosti 1'!$H$10)</f>
        <v>0</v>
      </c>
      <c r="T27" s="73">
        <f t="shared" si="1"/>
        <v>0</v>
      </c>
      <c r="U27" s="67" t="str">
        <f>IF(T27&gt;=0, IF(T27&lt;='DATI nascosti 1'!$C$8/6, "SI", "NO"),IF(T27&gt; -'DATI nascosti 1'!$C$8/6, "SI", "NO"))</f>
        <v>SI</v>
      </c>
      <c r="V27" s="67" t="str">
        <f>IF(Foglio3!G28&lt;1,IF(Foglio3!G28&gt;-1,"ROTTURA BILANCIATA",""),"")</f>
        <v/>
      </c>
    </row>
    <row r="28" spans="1:22" ht="18.75" x14ac:dyDescent="0.25">
      <c r="A28" s="20"/>
      <c r="B28" s="67" t="s">
        <v>39</v>
      </c>
      <c r="C28" s="68">
        <f>'DATI nascosti 1'!$L$8*10^-3</f>
        <v>6.7500000000000004E-2</v>
      </c>
      <c r="D28" s="68">
        <f>D27-(C28-('DATI nascosti 1'!$C$10/'DATI nascosti 1'!$C$13*C28))/100</f>
        <v>5.063376623376617E-2</v>
      </c>
      <c r="E28" s="67" t="s">
        <v>39</v>
      </c>
      <c r="F28" s="69">
        <f>(D28*'DATI nascosti 1'!$C$13-C28*'DATI nascosti 1'!$C$10)/(D28-C28)</f>
        <v>-3287.3076923076746</v>
      </c>
      <c r="G28" s="70">
        <v>0</v>
      </c>
      <c r="H28" s="70">
        <v>0</v>
      </c>
      <c r="I28" s="70">
        <v>0</v>
      </c>
      <c r="J28" s="70">
        <v>0</v>
      </c>
      <c r="K28" s="71">
        <f>IF(D28&gt;=('DATI nascosti 1'!$L$10*10^-3),'DATI nascosti 1'!$L$14*'DATI nascosti 1'!$P$12,IF(D28&gt;=(-'DATI nascosti 1'!$L$10*10^-3),'DATI nascosti 1'!$L$16*D28*'DATI nascosti 1'!$P$12,-'DATI nascosti 1'!$L$14*'DATI nascosti 1'!$P$12))</f>
        <v>614659.43222408998</v>
      </c>
      <c r="L28" s="71">
        <v>0</v>
      </c>
      <c r="M28" s="71">
        <f>IF(C28&gt;=('DATI nascosti 1'!$L$10*10^-3),'DATI nascosti 1'!$L$14*'DATI nascosti 1'!$P$11,IF(C28&gt;=(-'DATI nascosti 1'!$L$10*10^-3),'DATI nascosti 1'!$P$11*'DATI nascosti 1'!$L$16*C28,-'DATI nascosti 1'!$L$14*'DATI nascosti 1'!$P$11))</f>
        <v>614659.43222408998</v>
      </c>
      <c r="N28" s="71">
        <f t="shared" si="0"/>
        <v>1229318.86444818</v>
      </c>
      <c r="O28" s="71">
        <f>-K28*('DATI nascosti 1'!$C$13/2)+M28*('DATI nascosti 1'!$C$13/2)</f>
        <v>0</v>
      </c>
      <c r="P28" s="69">
        <f>-TABULATI!N28/10^3</f>
        <v>-1229.31886444818</v>
      </c>
      <c r="Q28" s="69">
        <f>TABULATI!O28/10^6</f>
        <v>0</v>
      </c>
      <c r="R28" s="72">
        <f>-N28/('DATI nascosti 1'!$C$6*'DATI nascosti 1'!$C$13*'DATI nascosti 1'!$H$10*'DATI nascosti 1'!$H$16)</f>
        <v>-0.29581171389629707</v>
      </c>
      <c r="S28" s="72">
        <f>O28/('DATI nascosti 1'!$H$16*'DATI nascosti 1'!$C$6*'DATI nascosti 1'!$C$13^2*'DATI nascosti 1'!$H$10)</f>
        <v>0</v>
      </c>
      <c r="T28" s="73">
        <f t="shared" si="1"/>
        <v>0</v>
      </c>
      <c r="U28" s="67" t="str">
        <f>IF(T28&gt;=0, IF(T28&lt;='DATI nascosti 1'!$C$8/6, "SI", "NO"),IF(T28&gt; -'DATI nascosti 1'!$C$8/6, "SI", "NO"))</f>
        <v>SI</v>
      </c>
      <c r="V28" s="67" t="str">
        <f>IF(Foglio3!G29&lt;1,IF(Foglio3!G29&gt;-1,"ROTTURA BILANCIATA",""),"")</f>
        <v/>
      </c>
    </row>
    <row r="29" spans="1:22" ht="18.75" x14ac:dyDescent="0.25">
      <c r="A29" s="20"/>
      <c r="B29" s="67" t="s">
        <v>39</v>
      </c>
      <c r="C29" s="68">
        <f>'DATI nascosti 1'!$L$8*10^-3</f>
        <v>6.7500000000000004E-2</v>
      </c>
      <c r="D29" s="68">
        <f>D28-(C29-('DATI nascosti 1'!$C$10/'DATI nascosti 1'!$C$13*C29))/100</f>
        <v>4.9985064935064868E-2</v>
      </c>
      <c r="E29" s="67" t="s">
        <v>39</v>
      </c>
      <c r="F29" s="69">
        <f>(D29*'DATI nascosti 1'!$C$13-C29*'DATI nascosti 1'!$C$10)/(D29-C29)</f>
        <v>-3122.7777777777605</v>
      </c>
      <c r="G29" s="70">
        <v>0</v>
      </c>
      <c r="H29" s="70">
        <v>0</v>
      </c>
      <c r="I29" s="70">
        <v>0</v>
      </c>
      <c r="J29" s="70">
        <v>0</v>
      </c>
      <c r="K29" s="71">
        <f>IF(D29&gt;=('DATI nascosti 1'!$L$10*10^-3),'DATI nascosti 1'!$L$14*'DATI nascosti 1'!$P$12,IF(D29&gt;=(-'DATI nascosti 1'!$L$10*10^-3),'DATI nascosti 1'!$L$16*D29*'DATI nascosti 1'!$P$12,-'DATI nascosti 1'!$L$14*'DATI nascosti 1'!$P$12))</f>
        <v>614659.43222408998</v>
      </c>
      <c r="L29" s="71">
        <v>0</v>
      </c>
      <c r="M29" s="71">
        <f>IF(C29&gt;=('DATI nascosti 1'!$L$10*10^-3),'DATI nascosti 1'!$L$14*'DATI nascosti 1'!$P$11,IF(C29&gt;=(-'DATI nascosti 1'!$L$10*10^-3),'DATI nascosti 1'!$P$11*'DATI nascosti 1'!$L$16*C29,-'DATI nascosti 1'!$L$14*'DATI nascosti 1'!$P$11))</f>
        <v>614659.43222408998</v>
      </c>
      <c r="N29" s="71">
        <f t="shared" si="0"/>
        <v>1229318.86444818</v>
      </c>
      <c r="O29" s="71">
        <f>-K29*('DATI nascosti 1'!$C$13/2)+M29*('DATI nascosti 1'!$C$13/2)</f>
        <v>0</v>
      </c>
      <c r="P29" s="69">
        <f>-TABULATI!N29/10^3</f>
        <v>-1229.31886444818</v>
      </c>
      <c r="Q29" s="69">
        <f>TABULATI!O29/10^6</f>
        <v>0</v>
      </c>
      <c r="R29" s="72">
        <f>-N29/('DATI nascosti 1'!$C$6*'DATI nascosti 1'!$C$13*'DATI nascosti 1'!$H$10*'DATI nascosti 1'!$H$16)</f>
        <v>-0.29581171389629707</v>
      </c>
      <c r="S29" s="72">
        <f>O29/('DATI nascosti 1'!$H$16*'DATI nascosti 1'!$C$6*'DATI nascosti 1'!$C$13^2*'DATI nascosti 1'!$H$10)</f>
        <v>0</v>
      </c>
      <c r="T29" s="73">
        <f t="shared" si="1"/>
        <v>0</v>
      </c>
      <c r="U29" s="67" t="str">
        <f>IF(T29&gt;=0, IF(T29&lt;='DATI nascosti 1'!$C$8/6, "SI", "NO"),IF(T29&gt; -'DATI nascosti 1'!$C$8/6, "SI", "NO"))</f>
        <v>SI</v>
      </c>
      <c r="V29" s="67" t="str">
        <f>IF(Foglio3!G30&lt;1,IF(Foglio3!G30&gt;-1,"ROTTURA BILANCIATA",""),"")</f>
        <v/>
      </c>
    </row>
    <row r="30" spans="1:22" ht="18.75" x14ac:dyDescent="0.25">
      <c r="A30" s="20"/>
      <c r="B30" s="67" t="s">
        <v>39</v>
      </c>
      <c r="C30" s="68">
        <f>'DATI nascosti 1'!$L$8*10^-3</f>
        <v>6.7500000000000004E-2</v>
      </c>
      <c r="D30" s="68">
        <f>D29-(C30-('DATI nascosti 1'!$C$10/'DATI nascosti 1'!$C$13*C30))/100</f>
        <v>4.9336363636363567E-2</v>
      </c>
      <c r="E30" s="67" t="s">
        <v>39</v>
      </c>
      <c r="F30" s="69">
        <f>(D30*'DATI nascosti 1'!$C$13-C30*'DATI nascosti 1'!$C$10)/(D30-C30)</f>
        <v>-2969.9999999999836</v>
      </c>
      <c r="G30" s="70">
        <v>0</v>
      </c>
      <c r="H30" s="70">
        <v>0</v>
      </c>
      <c r="I30" s="70">
        <v>0</v>
      </c>
      <c r="J30" s="70">
        <v>0</v>
      </c>
      <c r="K30" s="71">
        <f>IF(D30&gt;=('DATI nascosti 1'!$L$10*10^-3),'DATI nascosti 1'!$L$14*'DATI nascosti 1'!$P$12,IF(D30&gt;=(-'DATI nascosti 1'!$L$10*10^-3),'DATI nascosti 1'!$L$16*D30*'DATI nascosti 1'!$P$12,-'DATI nascosti 1'!$L$14*'DATI nascosti 1'!$P$12))</f>
        <v>614659.43222408998</v>
      </c>
      <c r="L30" s="71">
        <v>0</v>
      </c>
      <c r="M30" s="71">
        <f>IF(C30&gt;=('DATI nascosti 1'!$L$10*10^-3),'DATI nascosti 1'!$L$14*'DATI nascosti 1'!$P$11,IF(C30&gt;=(-'DATI nascosti 1'!$L$10*10^-3),'DATI nascosti 1'!$P$11*'DATI nascosti 1'!$L$16*C30,-'DATI nascosti 1'!$L$14*'DATI nascosti 1'!$P$11))</f>
        <v>614659.43222408998</v>
      </c>
      <c r="N30" s="71">
        <f t="shared" si="0"/>
        <v>1229318.86444818</v>
      </c>
      <c r="O30" s="71">
        <f>-K30*('DATI nascosti 1'!$C$13/2)+M30*('DATI nascosti 1'!$C$13/2)</f>
        <v>0</v>
      </c>
      <c r="P30" s="69">
        <f>-TABULATI!N30/10^3</f>
        <v>-1229.31886444818</v>
      </c>
      <c r="Q30" s="69">
        <f>TABULATI!O30/10^6</f>
        <v>0</v>
      </c>
      <c r="R30" s="72">
        <f>-N30/('DATI nascosti 1'!$C$6*'DATI nascosti 1'!$C$13*'DATI nascosti 1'!$H$10*'DATI nascosti 1'!$H$16)</f>
        <v>-0.29581171389629707</v>
      </c>
      <c r="S30" s="72">
        <f>O30/('DATI nascosti 1'!$H$16*'DATI nascosti 1'!$C$6*'DATI nascosti 1'!$C$13^2*'DATI nascosti 1'!$H$10)</f>
        <v>0</v>
      </c>
      <c r="T30" s="73">
        <f t="shared" si="1"/>
        <v>0</v>
      </c>
      <c r="U30" s="67" t="str">
        <f>IF(T30&gt;=0, IF(T30&lt;='DATI nascosti 1'!$C$8/6, "SI", "NO"),IF(T30&gt; -'DATI nascosti 1'!$C$8/6, "SI", "NO"))</f>
        <v>SI</v>
      </c>
      <c r="V30" s="67" t="str">
        <f>IF(Foglio3!G31&lt;1,IF(Foglio3!G31&gt;-1,"ROTTURA BILANCIATA",""),"")</f>
        <v/>
      </c>
    </row>
    <row r="31" spans="1:22" ht="18.75" x14ac:dyDescent="0.25">
      <c r="A31" s="20"/>
      <c r="B31" s="67" t="s">
        <v>39</v>
      </c>
      <c r="C31" s="68">
        <f>'DATI nascosti 1'!$L$8*10^-3</f>
        <v>6.7500000000000004E-2</v>
      </c>
      <c r="D31" s="68">
        <f>D30-(C31-('DATI nascosti 1'!$C$10/'DATI nascosti 1'!$C$13*C31))/100</f>
        <v>4.8687662337662266E-2</v>
      </c>
      <c r="E31" s="67" t="s">
        <v>39</v>
      </c>
      <c r="F31" s="69">
        <f>(D31*'DATI nascosti 1'!$C$13-C31*'DATI nascosti 1'!$C$10)/(D31-C31)</f>
        <v>-2827.7586206896394</v>
      </c>
      <c r="G31" s="70">
        <v>0</v>
      </c>
      <c r="H31" s="70">
        <v>0</v>
      </c>
      <c r="I31" s="70">
        <v>0</v>
      </c>
      <c r="J31" s="70">
        <v>0</v>
      </c>
      <c r="K31" s="71">
        <f>IF(D31&gt;=('DATI nascosti 1'!$L$10*10^-3),'DATI nascosti 1'!$L$14*'DATI nascosti 1'!$P$12,IF(D31&gt;=(-'DATI nascosti 1'!$L$10*10^-3),'DATI nascosti 1'!$L$16*D31*'DATI nascosti 1'!$P$12,-'DATI nascosti 1'!$L$14*'DATI nascosti 1'!$P$12))</f>
        <v>614659.43222408998</v>
      </c>
      <c r="L31" s="71">
        <v>0</v>
      </c>
      <c r="M31" s="71">
        <f>IF(C31&gt;=('DATI nascosti 1'!$L$10*10^-3),'DATI nascosti 1'!$L$14*'DATI nascosti 1'!$P$11,IF(C31&gt;=(-'DATI nascosti 1'!$L$10*10^-3),'DATI nascosti 1'!$P$11*'DATI nascosti 1'!$L$16*C31,-'DATI nascosti 1'!$L$14*'DATI nascosti 1'!$P$11))</f>
        <v>614659.43222408998</v>
      </c>
      <c r="N31" s="71">
        <f t="shared" si="0"/>
        <v>1229318.86444818</v>
      </c>
      <c r="O31" s="71">
        <f>-K31*('DATI nascosti 1'!$C$13/2)+M31*('DATI nascosti 1'!$C$13/2)</f>
        <v>0</v>
      </c>
      <c r="P31" s="69">
        <f>-TABULATI!N31/10^3</f>
        <v>-1229.31886444818</v>
      </c>
      <c r="Q31" s="69">
        <f>TABULATI!O31/10^6</f>
        <v>0</v>
      </c>
      <c r="R31" s="72">
        <f>-N31/('DATI nascosti 1'!$C$6*'DATI nascosti 1'!$C$13*'DATI nascosti 1'!$H$10*'DATI nascosti 1'!$H$16)</f>
        <v>-0.29581171389629707</v>
      </c>
      <c r="S31" s="72">
        <f>O31/('DATI nascosti 1'!$H$16*'DATI nascosti 1'!$C$6*'DATI nascosti 1'!$C$13^2*'DATI nascosti 1'!$H$10)</f>
        <v>0</v>
      </c>
      <c r="T31" s="73">
        <f t="shared" si="1"/>
        <v>0</v>
      </c>
      <c r="U31" s="67" t="str">
        <f>IF(T31&gt;=0, IF(T31&lt;='DATI nascosti 1'!$C$8/6, "SI", "NO"),IF(T31&gt; -'DATI nascosti 1'!$C$8/6, "SI", "NO"))</f>
        <v>SI</v>
      </c>
      <c r="V31" s="67" t="str">
        <f>IF(Foglio3!G32&lt;1,IF(Foglio3!G32&gt;-1,"ROTTURA BILANCIATA",""),"")</f>
        <v/>
      </c>
    </row>
    <row r="32" spans="1:22" ht="18.75" x14ac:dyDescent="0.25">
      <c r="A32" s="20"/>
      <c r="B32" s="67" t="s">
        <v>39</v>
      </c>
      <c r="C32" s="68">
        <f>'DATI nascosti 1'!$L$8*10^-3</f>
        <v>6.7500000000000004E-2</v>
      </c>
      <c r="D32" s="68">
        <f>D31-(C32-('DATI nascosti 1'!$C$10/'DATI nascosti 1'!$C$13*C32))/100</f>
        <v>4.8038961038960964E-2</v>
      </c>
      <c r="E32" s="67" t="s">
        <v>39</v>
      </c>
      <c r="F32" s="69">
        <f>(D32*'DATI nascosti 1'!$C$13-C32*'DATI nascosti 1'!$C$10)/(D32-C32)</f>
        <v>-2694.9999999999845</v>
      </c>
      <c r="G32" s="70">
        <v>0</v>
      </c>
      <c r="H32" s="70">
        <v>0</v>
      </c>
      <c r="I32" s="70">
        <v>0</v>
      </c>
      <c r="J32" s="70">
        <v>0</v>
      </c>
      <c r="K32" s="71">
        <f>IF(D32&gt;=('DATI nascosti 1'!$L$10*10^-3),'DATI nascosti 1'!$L$14*'DATI nascosti 1'!$P$12,IF(D32&gt;=(-'DATI nascosti 1'!$L$10*10^-3),'DATI nascosti 1'!$L$16*D32*'DATI nascosti 1'!$P$12,-'DATI nascosti 1'!$L$14*'DATI nascosti 1'!$P$12))</f>
        <v>614659.43222408998</v>
      </c>
      <c r="L32" s="71">
        <v>0</v>
      </c>
      <c r="M32" s="71">
        <f>IF(C32&gt;=('DATI nascosti 1'!$L$10*10^-3),'DATI nascosti 1'!$L$14*'DATI nascosti 1'!$P$11,IF(C32&gt;=(-'DATI nascosti 1'!$L$10*10^-3),'DATI nascosti 1'!$P$11*'DATI nascosti 1'!$L$16*C32,-'DATI nascosti 1'!$L$14*'DATI nascosti 1'!$P$11))</f>
        <v>614659.43222408998</v>
      </c>
      <c r="N32" s="71">
        <f t="shared" si="0"/>
        <v>1229318.86444818</v>
      </c>
      <c r="O32" s="71">
        <f>-K32*('DATI nascosti 1'!$C$13/2)+M32*('DATI nascosti 1'!$C$13/2)</f>
        <v>0</v>
      </c>
      <c r="P32" s="69">
        <f>-TABULATI!N32/10^3</f>
        <v>-1229.31886444818</v>
      </c>
      <c r="Q32" s="69">
        <f>TABULATI!O32/10^6</f>
        <v>0</v>
      </c>
      <c r="R32" s="72">
        <f>-N32/('DATI nascosti 1'!$C$6*'DATI nascosti 1'!$C$13*'DATI nascosti 1'!$H$10*'DATI nascosti 1'!$H$16)</f>
        <v>-0.29581171389629707</v>
      </c>
      <c r="S32" s="72">
        <f>O32/('DATI nascosti 1'!$H$16*'DATI nascosti 1'!$C$6*'DATI nascosti 1'!$C$13^2*'DATI nascosti 1'!$H$10)</f>
        <v>0</v>
      </c>
      <c r="T32" s="73">
        <f t="shared" si="1"/>
        <v>0</v>
      </c>
      <c r="U32" s="67" t="str">
        <f>IF(T32&gt;=0, IF(T32&lt;='DATI nascosti 1'!$C$8/6, "SI", "NO"),IF(T32&gt; -'DATI nascosti 1'!$C$8/6, "SI", "NO"))</f>
        <v>SI</v>
      </c>
      <c r="V32" s="67" t="str">
        <f>IF(Foglio3!G33&lt;1,IF(Foglio3!G33&gt;-1,"ROTTURA BILANCIATA",""),"")</f>
        <v/>
      </c>
    </row>
    <row r="33" spans="1:22" ht="18.75" x14ac:dyDescent="0.25">
      <c r="A33" s="20"/>
      <c r="B33" s="67" t="s">
        <v>39</v>
      </c>
      <c r="C33" s="68">
        <f>'DATI nascosti 1'!$L$8*10^-3</f>
        <v>6.7500000000000004E-2</v>
      </c>
      <c r="D33" s="68">
        <f>D32-(C33-('DATI nascosti 1'!$C$10/'DATI nascosti 1'!$C$13*C33))/100</f>
        <v>4.7390259740259663E-2</v>
      </c>
      <c r="E33" s="67" t="s">
        <v>39</v>
      </c>
      <c r="F33" s="69">
        <f>(D33*'DATI nascosti 1'!$C$13-C33*'DATI nascosti 1'!$C$10)/(D33-C33)</f>
        <v>-2570.8064516128884</v>
      </c>
      <c r="G33" s="70">
        <v>0</v>
      </c>
      <c r="H33" s="70">
        <v>0</v>
      </c>
      <c r="I33" s="70">
        <v>0</v>
      </c>
      <c r="J33" s="70">
        <v>0</v>
      </c>
      <c r="K33" s="71">
        <f>IF(D33&gt;=('DATI nascosti 1'!$L$10*10^-3),'DATI nascosti 1'!$L$14*'DATI nascosti 1'!$P$12,IF(D33&gt;=(-'DATI nascosti 1'!$L$10*10^-3),'DATI nascosti 1'!$L$16*D33*'DATI nascosti 1'!$P$12,-'DATI nascosti 1'!$L$14*'DATI nascosti 1'!$P$12))</f>
        <v>614659.43222408998</v>
      </c>
      <c r="L33" s="71">
        <v>0</v>
      </c>
      <c r="M33" s="71">
        <f>IF(C33&gt;=('DATI nascosti 1'!$L$10*10^-3),'DATI nascosti 1'!$L$14*'DATI nascosti 1'!$P$11,IF(C33&gt;=(-'DATI nascosti 1'!$L$10*10^-3),'DATI nascosti 1'!$P$11*'DATI nascosti 1'!$L$16*C33,-'DATI nascosti 1'!$L$14*'DATI nascosti 1'!$P$11))</f>
        <v>614659.43222408998</v>
      </c>
      <c r="N33" s="71">
        <f t="shared" si="0"/>
        <v>1229318.86444818</v>
      </c>
      <c r="O33" s="71">
        <f>-K33*('DATI nascosti 1'!$C$13/2)+M33*('DATI nascosti 1'!$C$13/2)</f>
        <v>0</v>
      </c>
      <c r="P33" s="69">
        <f>-TABULATI!N33/10^3</f>
        <v>-1229.31886444818</v>
      </c>
      <c r="Q33" s="69">
        <f>TABULATI!O33/10^6</f>
        <v>0</v>
      </c>
      <c r="R33" s="72">
        <f>-N33/('DATI nascosti 1'!$C$6*'DATI nascosti 1'!$C$13*'DATI nascosti 1'!$H$10*'DATI nascosti 1'!$H$16)</f>
        <v>-0.29581171389629707</v>
      </c>
      <c r="S33" s="72">
        <f>O33/('DATI nascosti 1'!$H$16*'DATI nascosti 1'!$C$6*'DATI nascosti 1'!$C$13^2*'DATI nascosti 1'!$H$10)</f>
        <v>0</v>
      </c>
      <c r="T33" s="73">
        <f t="shared" si="1"/>
        <v>0</v>
      </c>
      <c r="U33" s="67" t="str">
        <f>IF(T33&gt;=0, IF(T33&lt;='DATI nascosti 1'!$C$8/6, "SI", "NO"),IF(T33&gt; -'DATI nascosti 1'!$C$8/6, "SI", "NO"))</f>
        <v>SI</v>
      </c>
      <c r="V33" s="67" t="str">
        <f>IF(Foglio3!G34&lt;1,IF(Foglio3!G34&gt;-1,"ROTTURA BILANCIATA",""),"")</f>
        <v/>
      </c>
    </row>
    <row r="34" spans="1:22" ht="18.75" x14ac:dyDescent="0.25">
      <c r="A34" s="20"/>
      <c r="B34" s="67" t="s">
        <v>39</v>
      </c>
      <c r="C34" s="68">
        <f>'DATI nascosti 1'!$L$8*10^-3</f>
        <v>6.7500000000000004E-2</v>
      </c>
      <c r="D34" s="68">
        <f>D33-(C34-('DATI nascosti 1'!$C$10/'DATI nascosti 1'!$C$13*C34))/100</f>
        <v>4.6741558441558362E-2</v>
      </c>
      <c r="E34" s="67" t="s">
        <v>39</v>
      </c>
      <c r="F34" s="69">
        <f>(D34*'DATI nascosti 1'!$C$13-C34*'DATI nascosti 1'!$C$10)/(D34-C34)</f>
        <v>-2454.3749999999854</v>
      </c>
      <c r="G34" s="70">
        <v>0</v>
      </c>
      <c r="H34" s="70">
        <v>0</v>
      </c>
      <c r="I34" s="70">
        <v>0</v>
      </c>
      <c r="J34" s="70">
        <v>0</v>
      </c>
      <c r="K34" s="71">
        <f>IF(D34&gt;=('DATI nascosti 1'!$L$10*10^-3),'DATI nascosti 1'!$L$14*'DATI nascosti 1'!$P$12,IF(D34&gt;=(-'DATI nascosti 1'!$L$10*10^-3),'DATI nascosti 1'!$L$16*D34*'DATI nascosti 1'!$P$12,-'DATI nascosti 1'!$L$14*'DATI nascosti 1'!$P$12))</f>
        <v>614659.43222408998</v>
      </c>
      <c r="L34" s="71">
        <v>0</v>
      </c>
      <c r="M34" s="71">
        <f>IF(C34&gt;=('DATI nascosti 1'!$L$10*10^-3),'DATI nascosti 1'!$L$14*'DATI nascosti 1'!$P$11,IF(C34&gt;=(-'DATI nascosti 1'!$L$10*10^-3),'DATI nascosti 1'!$P$11*'DATI nascosti 1'!$L$16*C34,-'DATI nascosti 1'!$L$14*'DATI nascosti 1'!$P$11))</f>
        <v>614659.43222408998</v>
      </c>
      <c r="N34" s="71">
        <f t="shared" si="0"/>
        <v>1229318.86444818</v>
      </c>
      <c r="O34" s="71">
        <f>-K34*('DATI nascosti 1'!$C$13/2)+M34*('DATI nascosti 1'!$C$13/2)</f>
        <v>0</v>
      </c>
      <c r="P34" s="69">
        <f>-TABULATI!N34/10^3</f>
        <v>-1229.31886444818</v>
      </c>
      <c r="Q34" s="69">
        <f>TABULATI!O34/10^6</f>
        <v>0</v>
      </c>
      <c r="R34" s="72">
        <f>-N34/('DATI nascosti 1'!$C$6*'DATI nascosti 1'!$C$13*'DATI nascosti 1'!$H$10*'DATI nascosti 1'!$H$16)</f>
        <v>-0.29581171389629707</v>
      </c>
      <c r="S34" s="72">
        <f>O34/('DATI nascosti 1'!$H$16*'DATI nascosti 1'!$C$6*'DATI nascosti 1'!$C$13^2*'DATI nascosti 1'!$H$10)</f>
        <v>0</v>
      </c>
      <c r="T34" s="73">
        <f t="shared" si="1"/>
        <v>0</v>
      </c>
      <c r="U34" s="67" t="str">
        <f>IF(T34&gt;=0, IF(T34&lt;='DATI nascosti 1'!$C$8/6, "SI", "NO"),IF(T34&gt; -'DATI nascosti 1'!$C$8/6, "SI", "NO"))</f>
        <v>SI</v>
      </c>
      <c r="V34" s="67" t="str">
        <f>IF(Foglio3!G35&lt;1,IF(Foglio3!G35&gt;-1,"ROTTURA BILANCIATA",""),"")</f>
        <v/>
      </c>
    </row>
    <row r="35" spans="1:22" ht="18.75" x14ac:dyDescent="0.25">
      <c r="A35" s="20"/>
      <c r="B35" s="67" t="s">
        <v>39</v>
      </c>
      <c r="C35" s="68">
        <f>'DATI nascosti 1'!$L$8*10^-3</f>
        <v>6.7500000000000004E-2</v>
      </c>
      <c r="D35" s="68">
        <f>D34-(C35-('DATI nascosti 1'!$C$10/'DATI nascosti 1'!$C$13*C35))/100</f>
        <v>4.609285714285706E-2</v>
      </c>
      <c r="E35" s="67" t="s">
        <v>39</v>
      </c>
      <c r="F35" s="69">
        <f>(D35*'DATI nascosti 1'!$C$13-C35*'DATI nascosti 1'!$C$10)/(D35-C35)</f>
        <v>-2344.9999999999859</v>
      </c>
      <c r="G35" s="70">
        <v>0</v>
      </c>
      <c r="H35" s="70">
        <v>0</v>
      </c>
      <c r="I35" s="70">
        <v>0</v>
      </c>
      <c r="J35" s="70">
        <v>0</v>
      </c>
      <c r="K35" s="71">
        <f>IF(D35&gt;=('DATI nascosti 1'!$L$10*10^-3),'DATI nascosti 1'!$L$14*'DATI nascosti 1'!$P$12,IF(D35&gt;=(-'DATI nascosti 1'!$L$10*10^-3),'DATI nascosti 1'!$L$16*D35*'DATI nascosti 1'!$P$12,-'DATI nascosti 1'!$L$14*'DATI nascosti 1'!$P$12))</f>
        <v>614659.43222408998</v>
      </c>
      <c r="L35" s="71">
        <v>0</v>
      </c>
      <c r="M35" s="71">
        <f>IF(C35&gt;=('DATI nascosti 1'!$L$10*10^-3),'DATI nascosti 1'!$L$14*'DATI nascosti 1'!$P$11,IF(C35&gt;=(-'DATI nascosti 1'!$L$10*10^-3),'DATI nascosti 1'!$P$11*'DATI nascosti 1'!$L$16*C35,-'DATI nascosti 1'!$L$14*'DATI nascosti 1'!$P$11))</f>
        <v>614659.43222408998</v>
      </c>
      <c r="N35" s="71">
        <f t="shared" si="0"/>
        <v>1229318.86444818</v>
      </c>
      <c r="O35" s="71">
        <f>-K35*('DATI nascosti 1'!$C$13/2)+M35*('DATI nascosti 1'!$C$13/2)</f>
        <v>0</v>
      </c>
      <c r="P35" s="69">
        <f>-TABULATI!N35/10^3</f>
        <v>-1229.31886444818</v>
      </c>
      <c r="Q35" s="69">
        <f>TABULATI!O35/10^6</f>
        <v>0</v>
      </c>
      <c r="R35" s="72">
        <f>-N35/('DATI nascosti 1'!$C$6*'DATI nascosti 1'!$C$13*'DATI nascosti 1'!$H$10*'DATI nascosti 1'!$H$16)</f>
        <v>-0.29581171389629707</v>
      </c>
      <c r="S35" s="72">
        <f>O35/('DATI nascosti 1'!$H$16*'DATI nascosti 1'!$C$6*'DATI nascosti 1'!$C$13^2*'DATI nascosti 1'!$H$10)</f>
        <v>0</v>
      </c>
      <c r="T35" s="73">
        <f t="shared" si="1"/>
        <v>0</v>
      </c>
      <c r="U35" s="67" t="str">
        <f>IF(T35&gt;=0, IF(T35&lt;='DATI nascosti 1'!$C$8/6, "SI", "NO"),IF(T35&gt; -'DATI nascosti 1'!$C$8/6, "SI", "NO"))</f>
        <v>SI</v>
      </c>
      <c r="V35" s="67" t="str">
        <f>IF(Foglio3!G36&lt;1,IF(Foglio3!G36&gt;-1,"ROTTURA BILANCIATA",""),"")</f>
        <v/>
      </c>
    </row>
    <row r="36" spans="1:22" ht="18.75" x14ac:dyDescent="0.25">
      <c r="A36" s="20"/>
      <c r="B36" s="67" t="s">
        <v>39</v>
      </c>
      <c r="C36" s="68">
        <f>'DATI nascosti 1'!$L$8*10^-3</f>
        <v>6.7500000000000004E-2</v>
      </c>
      <c r="D36" s="68">
        <f>D35-(C36-('DATI nascosti 1'!$C$10/'DATI nascosti 1'!$C$13*C36))/100</f>
        <v>4.5444155844155759E-2</v>
      </c>
      <c r="E36" s="67" t="s">
        <v>39</v>
      </c>
      <c r="F36" s="69">
        <f>(D36*'DATI nascosti 1'!$C$13-C36*'DATI nascosti 1'!$C$10)/(D36-C36)</f>
        <v>-2242.0588235293981</v>
      </c>
      <c r="G36" s="70">
        <v>0</v>
      </c>
      <c r="H36" s="70">
        <v>0</v>
      </c>
      <c r="I36" s="70">
        <v>0</v>
      </c>
      <c r="J36" s="70">
        <v>0</v>
      </c>
      <c r="K36" s="71">
        <f>IF(D36&gt;=('DATI nascosti 1'!$L$10*10^-3),'DATI nascosti 1'!$L$14*'DATI nascosti 1'!$P$12,IF(D36&gt;=(-'DATI nascosti 1'!$L$10*10^-3),'DATI nascosti 1'!$L$16*D36*'DATI nascosti 1'!$P$12,-'DATI nascosti 1'!$L$14*'DATI nascosti 1'!$P$12))</f>
        <v>614659.43222408998</v>
      </c>
      <c r="L36" s="71">
        <v>0</v>
      </c>
      <c r="M36" s="71">
        <f>IF(C36&gt;=('DATI nascosti 1'!$L$10*10^-3),'DATI nascosti 1'!$L$14*'DATI nascosti 1'!$P$11,IF(C36&gt;=(-'DATI nascosti 1'!$L$10*10^-3),'DATI nascosti 1'!$P$11*'DATI nascosti 1'!$L$16*C36,-'DATI nascosti 1'!$L$14*'DATI nascosti 1'!$P$11))</f>
        <v>614659.43222408998</v>
      </c>
      <c r="N36" s="71">
        <f t="shared" si="0"/>
        <v>1229318.86444818</v>
      </c>
      <c r="O36" s="71">
        <f>-K36*('DATI nascosti 1'!$C$13/2)+M36*('DATI nascosti 1'!$C$13/2)</f>
        <v>0</v>
      </c>
      <c r="P36" s="69">
        <f>-TABULATI!N36/10^3</f>
        <v>-1229.31886444818</v>
      </c>
      <c r="Q36" s="69">
        <f>TABULATI!O36/10^6</f>
        <v>0</v>
      </c>
      <c r="R36" s="72">
        <f>-N36/('DATI nascosti 1'!$C$6*'DATI nascosti 1'!$C$13*'DATI nascosti 1'!$H$10*'DATI nascosti 1'!$H$16)</f>
        <v>-0.29581171389629707</v>
      </c>
      <c r="S36" s="72">
        <f>O36/('DATI nascosti 1'!$H$16*'DATI nascosti 1'!$C$6*'DATI nascosti 1'!$C$13^2*'DATI nascosti 1'!$H$10)</f>
        <v>0</v>
      </c>
      <c r="T36" s="73">
        <f t="shared" si="1"/>
        <v>0</v>
      </c>
      <c r="U36" s="67" t="str">
        <f>IF(T36&gt;=0, IF(T36&lt;='DATI nascosti 1'!$C$8/6, "SI", "NO"),IF(T36&gt; -'DATI nascosti 1'!$C$8/6, "SI", "NO"))</f>
        <v>SI</v>
      </c>
      <c r="V36" s="67" t="str">
        <f>IF(Foglio3!G37&lt;1,IF(Foglio3!G37&gt;-1,"ROTTURA BILANCIATA",""),"")</f>
        <v/>
      </c>
    </row>
    <row r="37" spans="1:22" ht="18.75" x14ac:dyDescent="0.25">
      <c r="A37" s="20"/>
      <c r="B37" s="67" t="s">
        <v>39</v>
      </c>
      <c r="C37" s="68">
        <f>'DATI nascosti 1'!$L$8*10^-3</f>
        <v>6.7500000000000004E-2</v>
      </c>
      <c r="D37" s="68">
        <f>D36-(C37-('DATI nascosti 1'!$C$10/'DATI nascosti 1'!$C$13*C37))/100</f>
        <v>4.4795454545454458E-2</v>
      </c>
      <c r="E37" s="67" t="s">
        <v>39</v>
      </c>
      <c r="F37" s="69">
        <f>(D37*'DATI nascosti 1'!$C$13-C37*'DATI nascosti 1'!$C$10)/(D37-C37)</f>
        <v>-2144.9999999999868</v>
      </c>
      <c r="G37" s="70">
        <v>0</v>
      </c>
      <c r="H37" s="70">
        <v>0</v>
      </c>
      <c r="I37" s="70">
        <v>0</v>
      </c>
      <c r="J37" s="70">
        <v>0</v>
      </c>
      <c r="K37" s="71">
        <f>IF(D37&gt;=('DATI nascosti 1'!$L$10*10^-3),'DATI nascosti 1'!$L$14*'DATI nascosti 1'!$P$12,IF(D37&gt;=(-'DATI nascosti 1'!$L$10*10^-3),'DATI nascosti 1'!$L$16*D37*'DATI nascosti 1'!$P$12,-'DATI nascosti 1'!$L$14*'DATI nascosti 1'!$P$12))</f>
        <v>614659.43222408998</v>
      </c>
      <c r="L37" s="71">
        <v>0</v>
      </c>
      <c r="M37" s="71">
        <f>IF(C37&gt;=('DATI nascosti 1'!$L$10*10^-3),'DATI nascosti 1'!$L$14*'DATI nascosti 1'!$P$11,IF(C37&gt;=(-'DATI nascosti 1'!$L$10*10^-3),'DATI nascosti 1'!$P$11*'DATI nascosti 1'!$L$16*C37,-'DATI nascosti 1'!$L$14*'DATI nascosti 1'!$P$11))</f>
        <v>614659.43222408998</v>
      </c>
      <c r="N37" s="71">
        <f t="shared" si="0"/>
        <v>1229318.86444818</v>
      </c>
      <c r="O37" s="71">
        <f>-K37*('DATI nascosti 1'!$C$13/2)+M37*('DATI nascosti 1'!$C$13/2)</f>
        <v>0</v>
      </c>
      <c r="P37" s="69">
        <f>-TABULATI!N37/10^3</f>
        <v>-1229.31886444818</v>
      </c>
      <c r="Q37" s="69">
        <f>TABULATI!O37/10^6</f>
        <v>0</v>
      </c>
      <c r="R37" s="72">
        <f>-N37/('DATI nascosti 1'!$C$6*'DATI nascosti 1'!$C$13*'DATI nascosti 1'!$H$10*'DATI nascosti 1'!$H$16)</f>
        <v>-0.29581171389629707</v>
      </c>
      <c r="S37" s="72">
        <f>O37/('DATI nascosti 1'!$H$16*'DATI nascosti 1'!$C$6*'DATI nascosti 1'!$C$13^2*'DATI nascosti 1'!$H$10)</f>
        <v>0</v>
      </c>
      <c r="T37" s="73">
        <f t="shared" si="1"/>
        <v>0</v>
      </c>
      <c r="U37" s="67" t="str">
        <f>IF(T37&gt;=0, IF(T37&lt;='DATI nascosti 1'!$C$8/6, "SI", "NO"),IF(T37&gt; -'DATI nascosti 1'!$C$8/6, "SI", "NO"))</f>
        <v>SI</v>
      </c>
      <c r="V37" s="67" t="str">
        <f>IF(Foglio3!G38&lt;1,IF(Foglio3!G38&gt;-1,"ROTTURA BILANCIATA",""),"")</f>
        <v/>
      </c>
    </row>
    <row r="38" spans="1:22" ht="18.75" x14ac:dyDescent="0.25">
      <c r="A38" s="20"/>
      <c r="B38" s="67" t="s">
        <v>39</v>
      </c>
      <c r="C38" s="68">
        <f>'DATI nascosti 1'!$L$8*10^-3</f>
        <v>6.7500000000000004E-2</v>
      </c>
      <c r="D38" s="68">
        <f>D37-(C38-('DATI nascosti 1'!$C$10/'DATI nascosti 1'!$C$13*C38))/100</f>
        <v>4.4146753246753156E-2</v>
      </c>
      <c r="E38" s="67" t="s">
        <v>39</v>
      </c>
      <c r="F38" s="69">
        <f>(D38*'DATI nascosti 1'!$C$13-C38*'DATI nascosti 1'!$C$10)/(D38-C38)</f>
        <v>-2053.3333333333203</v>
      </c>
      <c r="G38" s="70">
        <v>0</v>
      </c>
      <c r="H38" s="70">
        <v>0</v>
      </c>
      <c r="I38" s="70">
        <v>0</v>
      </c>
      <c r="J38" s="70">
        <v>0</v>
      </c>
      <c r="K38" s="71">
        <f>IF(D38&gt;=('DATI nascosti 1'!$L$10*10^-3),'DATI nascosti 1'!$L$14*'DATI nascosti 1'!$P$12,IF(D38&gt;=(-'DATI nascosti 1'!$L$10*10^-3),'DATI nascosti 1'!$L$16*D38*'DATI nascosti 1'!$P$12,-'DATI nascosti 1'!$L$14*'DATI nascosti 1'!$P$12))</f>
        <v>614659.43222408998</v>
      </c>
      <c r="L38" s="71">
        <v>0</v>
      </c>
      <c r="M38" s="71">
        <f>IF(C38&gt;=('DATI nascosti 1'!$L$10*10^-3),'DATI nascosti 1'!$L$14*'DATI nascosti 1'!$P$11,IF(C38&gt;=(-'DATI nascosti 1'!$L$10*10^-3),'DATI nascosti 1'!$P$11*'DATI nascosti 1'!$L$16*C38,-'DATI nascosti 1'!$L$14*'DATI nascosti 1'!$P$11))</f>
        <v>614659.43222408998</v>
      </c>
      <c r="N38" s="71">
        <f t="shared" si="0"/>
        <v>1229318.86444818</v>
      </c>
      <c r="O38" s="71">
        <f>-K38*('DATI nascosti 1'!$C$13/2)+M38*('DATI nascosti 1'!$C$13/2)</f>
        <v>0</v>
      </c>
      <c r="P38" s="69">
        <f>-TABULATI!N38/10^3</f>
        <v>-1229.31886444818</v>
      </c>
      <c r="Q38" s="69">
        <f>TABULATI!O38/10^6</f>
        <v>0</v>
      </c>
      <c r="R38" s="72">
        <f>-N38/('DATI nascosti 1'!$C$6*'DATI nascosti 1'!$C$13*'DATI nascosti 1'!$H$10*'DATI nascosti 1'!$H$16)</f>
        <v>-0.29581171389629707</v>
      </c>
      <c r="S38" s="72">
        <f>O38/('DATI nascosti 1'!$H$16*'DATI nascosti 1'!$C$6*'DATI nascosti 1'!$C$13^2*'DATI nascosti 1'!$H$10)</f>
        <v>0</v>
      </c>
      <c r="T38" s="73">
        <f t="shared" si="1"/>
        <v>0</v>
      </c>
      <c r="U38" s="67" t="str">
        <f>IF(T38&gt;=0, IF(T38&lt;='DATI nascosti 1'!$C$8/6, "SI", "NO"),IF(T38&gt; -'DATI nascosti 1'!$C$8/6, "SI", "NO"))</f>
        <v>SI</v>
      </c>
      <c r="V38" s="67" t="str">
        <f>IF(Foglio3!G39&lt;1,IF(Foglio3!G39&gt;-1,"ROTTURA BILANCIATA",""),"")</f>
        <v/>
      </c>
    </row>
    <row r="39" spans="1:22" ht="18.75" x14ac:dyDescent="0.25">
      <c r="A39" s="20"/>
      <c r="B39" s="67" t="s">
        <v>39</v>
      </c>
      <c r="C39" s="68">
        <f>'DATI nascosti 1'!$L$8*10^-3</f>
        <v>6.7500000000000004E-2</v>
      </c>
      <c r="D39" s="68">
        <f>D38-(C39-('DATI nascosti 1'!$C$10/'DATI nascosti 1'!$C$13*C39))/100</f>
        <v>4.3498051948051855E-2</v>
      </c>
      <c r="E39" s="67" t="s">
        <v>39</v>
      </c>
      <c r="F39" s="69">
        <f>(D39*'DATI nascosti 1'!$C$13-C39*'DATI nascosti 1'!$C$10)/(D39-C39)</f>
        <v>-1966.6216216216089</v>
      </c>
      <c r="G39" s="70">
        <v>0</v>
      </c>
      <c r="H39" s="70">
        <v>0</v>
      </c>
      <c r="I39" s="70">
        <v>0</v>
      </c>
      <c r="J39" s="70">
        <v>0</v>
      </c>
      <c r="K39" s="71">
        <f>IF(D39&gt;=('DATI nascosti 1'!$L$10*10^-3),'DATI nascosti 1'!$L$14*'DATI nascosti 1'!$P$12,IF(D39&gt;=(-'DATI nascosti 1'!$L$10*10^-3),'DATI nascosti 1'!$L$16*D39*'DATI nascosti 1'!$P$12,-'DATI nascosti 1'!$L$14*'DATI nascosti 1'!$P$12))</f>
        <v>614659.43222408998</v>
      </c>
      <c r="L39" s="71">
        <v>0</v>
      </c>
      <c r="M39" s="71">
        <f>IF(C39&gt;=('DATI nascosti 1'!$L$10*10^-3),'DATI nascosti 1'!$L$14*'DATI nascosti 1'!$P$11,IF(C39&gt;=(-'DATI nascosti 1'!$L$10*10^-3),'DATI nascosti 1'!$P$11*'DATI nascosti 1'!$L$16*C39,-'DATI nascosti 1'!$L$14*'DATI nascosti 1'!$P$11))</f>
        <v>614659.43222408998</v>
      </c>
      <c r="N39" s="71">
        <f t="shared" si="0"/>
        <v>1229318.86444818</v>
      </c>
      <c r="O39" s="71">
        <f>-K39*('DATI nascosti 1'!$C$13/2)+M39*('DATI nascosti 1'!$C$13/2)</f>
        <v>0</v>
      </c>
      <c r="P39" s="69">
        <f>-TABULATI!N39/10^3</f>
        <v>-1229.31886444818</v>
      </c>
      <c r="Q39" s="69">
        <f>TABULATI!O39/10^6</f>
        <v>0</v>
      </c>
      <c r="R39" s="72">
        <f>-N39/('DATI nascosti 1'!$C$6*'DATI nascosti 1'!$C$13*'DATI nascosti 1'!$H$10*'DATI nascosti 1'!$H$16)</f>
        <v>-0.29581171389629707</v>
      </c>
      <c r="S39" s="72">
        <f>O39/('DATI nascosti 1'!$H$16*'DATI nascosti 1'!$C$6*'DATI nascosti 1'!$C$13^2*'DATI nascosti 1'!$H$10)</f>
        <v>0</v>
      </c>
      <c r="T39" s="73">
        <f t="shared" si="1"/>
        <v>0</v>
      </c>
      <c r="U39" s="67" t="str">
        <f>IF(T39&gt;=0, IF(T39&lt;='DATI nascosti 1'!$C$8/6, "SI", "NO"),IF(T39&gt; -'DATI nascosti 1'!$C$8/6, "SI", "NO"))</f>
        <v>SI</v>
      </c>
      <c r="V39" s="67" t="str">
        <f>IF(Foglio3!G40&lt;1,IF(Foglio3!G40&gt;-1,"ROTTURA BILANCIATA",""),"")</f>
        <v/>
      </c>
    </row>
    <row r="40" spans="1:22" ht="18.75" x14ac:dyDescent="0.25">
      <c r="A40" s="20"/>
      <c r="B40" s="67" t="s">
        <v>39</v>
      </c>
      <c r="C40" s="68">
        <f>'DATI nascosti 1'!$L$8*10^-3</f>
        <v>6.7500000000000004E-2</v>
      </c>
      <c r="D40" s="68">
        <f>D39-(C40-('DATI nascosti 1'!$C$10/'DATI nascosti 1'!$C$13*C40))/100</f>
        <v>4.2849350649350554E-2</v>
      </c>
      <c r="E40" s="67" t="s">
        <v>39</v>
      </c>
      <c r="F40" s="69">
        <f>(D40*'DATI nascosti 1'!$C$13-C40*'DATI nascosti 1'!$C$10)/(D40-C40)</f>
        <v>-1884.4736842105142</v>
      </c>
      <c r="G40" s="70">
        <v>0</v>
      </c>
      <c r="H40" s="70">
        <v>0</v>
      </c>
      <c r="I40" s="70">
        <v>0</v>
      </c>
      <c r="J40" s="70">
        <v>0</v>
      </c>
      <c r="K40" s="71">
        <f>IF(D40&gt;=('DATI nascosti 1'!$L$10*10^-3),'DATI nascosti 1'!$L$14*'DATI nascosti 1'!$P$12,IF(D40&gt;=(-'DATI nascosti 1'!$L$10*10^-3),'DATI nascosti 1'!$L$16*D40*'DATI nascosti 1'!$P$12,-'DATI nascosti 1'!$L$14*'DATI nascosti 1'!$P$12))</f>
        <v>614659.43222408998</v>
      </c>
      <c r="L40" s="71">
        <v>0</v>
      </c>
      <c r="M40" s="71">
        <f>IF(C40&gt;=('DATI nascosti 1'!$L$10*10^-3),'DATI nascosti 1'!$L$14*'DATI nascosti 1'!$P$11,IF(C40&gt;=(-'DATI nascosti 1'!$L$10*10^-3),'DATI nascosti 1'!$P$11*'DATI nascosti 1'!$L$16*C40,-'DATI nascosti 1'!$L$14*'DATI nascosti 1'!$P$11))</f>
        <v>614659.43222408998</v>
      </c>
      <c r="N40" s="71">
        <f t="shared" si="0"/>
        <v>1229318.86444818</v>
      </c>
      <c r="O40" s="71">
        <f>-K40*('DATI nascosti 1'!$C$13/2)+M40*('DATI nascosti 1'!$C$13/2)</f>
        <v>0</v>
      </c>
      <c r="P40" s="69">
        <f>-TABULATI!N40/10^3</f>
        <v>-1229.31886444818</v>
      </c>
      <c r="Q40" s="69">
        <f>TABULATI!O40/10^6</f>
        <v>0</v>
      </c>
      <c r="R40" s="72">
        <f>-N40/('DATI nascosti 1'!$C$6*'DATI nascosti 1'!$C$13*'DATI nascosti 1'!$H$10*'DATI nascosti 1'!$H$16)</f>
        <v>-0.29581171389629707</v>
      </c>
      <c r="S40" s="72">
        <f>O40/('DATI nascosti 1'!$H$16*'DATI nascosti 1'!$C$6*'DATI nascosti 1'!$C$13^2*'DATI nascosti 1'!$H$10)</f>
        <v>0</v>
      </c>
      <c r="T40" s="73">
        <f t="shared" si="1"/>
        <v>0</v>
      </c>
      <c r="U40" s="67" t="str">
        <f>IF(T40&gt;=0, IF(T40&lt;='DATI nascosti 1'!$C$8/6, "SI", "NO"),IF(T40&gt; -'DATI nascosti 1'!$C$8/6, "SI", "NO"))</f>
        <v>SI</v>
      </c>
      <c r="V40" s="67" t="str">
        <f>IF(Foglio3!G41&lt;1,IF(Foglio3!G41&gt;-1,"ROTTURA BILANCIATA",""),"")</f>
        <v/>
      </c>
    </row>
    <row r="41" spans="1:22" ht="18.75" x14ac:dyDescent="0.25">
      <c r="A41" s="20"/>
      <c r="B41" s="67" t="s">
        <v>39</v>
      </c>
      <c r="C41" s="68">
        <f>'DATI nascosti 1'!$L$8*10^-3</f>
        <v>6.7500000000000004E-2</v>
      </c>
      <c r="D41" s="68">
        <f>D40-(C41-('DATI nascosti 1'!$C$10/'DATI nascosti 1'!$C$13*C41))/100</f>
        <v>4.2200649350649252E-2</v>
      </c>
      <c r="E41" s="67" t="s">
        <v>39</v>
      </c>
      <c r="F41" s="69">
        <f>(D41*'DATI nascosti 1'!$C$13-C41*'DATI nascosti 1'!$C$10)/(D41-C41)</f>
        <v>-1806.5384615384498</v>
      </c>
      <c r="G41" s="70">
        <v>0</v>
      </c>
      <c r="H41" s="70">
        <v>0</v>
      </c>
      <c r="I41" s="70">
        <v>0</v>
      </c>
      <c r="J41" s="70">
        <v>0</v>
      </c>
      <c r="K41" s="71">
        <f>IF(D41&gt;=('DATI nascosti 1'!$L$10*10^-3),'DATI nascosti 1'!$L$14*'DATI nascosti 1'!$P$12,IF(D41&gt;=(-'DATI nascosti 1'!$L$10*10^-3),'DATI nascosti 1'!$L$16*D41*'DATI nascosti 1'!$P$12,-'DATI nascosti 1'!$L$14*'DATI nascosti 1'!$P$12))</f>
        <v>614659.43222408998</v>
      </c>
      <c r="L41" s="71">
        <v>0</v>
      </c>
      <c r="M41" s="71">
        <f>IF(C41&gt;=('DATI nascosti 1'!$L$10*10^-3),'DATI nascosti 1'!$L$14*'DATI nascosti 1'!$P$11,IF(C41&gt;=(-'DATI nascosti 1'!$L$10*10^-3),'DATI nascosti 1'!$P$11*'DATI nascosti 1'!$L$16*C41,-'DATI nascosti 1'!$L$14*'DATI nascosti 1'!$P$11))</f>
        <v>614659.43222408998</v>
      </c>
      <c r="N41" s="71">
        <f t="shared" si="0"/>
        <v>1229318.86444818</v>
      </c>
      <c r="O41" s="71">
        <f>-K41*('DATI nascosti 1'!$C$13/2)+M41*('DATI nascosti 1'!$C$13/2)</f>
        <v>0</v>
      </c>
      <c r="P41" s="69">
        <f>-TABULATI!N41/10^3</f>
        <v>-1229.31886444818</v>
      </c>
      <c r="Q41" s="69">
        <f>TABULATI!O41/10^6</f>
        <v>0</v>
      </c>
      <c r="R41" s="72">
        <f>-N41/('DATI nascosti 1'!$C$6*'DATI nascosti 1'!$C$13*'DATI nascosti 1'!$H$10*'DATI nascosti 1'!$H$16)</f>
        <v>-0.29581171389629707</v>
      </c>
      <c r="S41" s="72">
        <f>O41/('DATI nascosti 1'!$H$16*'DATI nascosti 1'!$C$6*'DATI nascosti 1'!$C$13^2*'DATI nascosti 1'!$H$10)</f>
        <v>0</v>
      </c>
      <c r="T41" s="73">
        <f t="shared" si="1"/>
        <v>0</v>
      </c>
      <c r="U41" s="67" t="str">
        <f>IF(T41&gt;=0, IF(T41&lt;='DATI nascosti 1'!$C$8/6, "SI", "NO"),IF(T41&gt; -'DATI nascosti 1'!$C$8/6, "SI", "NO"))</f>
        <v>SI</v>
      </c>
      <c r="V41" s="67" t="str">
        <f>IF(Foglio3!G42&lt;1,IF(Foglio3!G42&gt;-1,"ROTTURA BILANCIATA",""),"")</f>
        <v/>
      </c>
    </row>
    <row r="42" spans="1:22" ht="18.75" x14ac:dyDescent="0.25">
      <c r="A42" s="20"/>
      <c r="B42" s="67" t="s">
        <v>39</v>
      </c>
      <c r="C42" s="68">
        <f>'DATI nascosti 1'!$L$8*10^-3</f>
        <v>6.7500000000000004E-2</v>
      </c>
      <c r="D42" s="68">
        <f>D41-(C42-('DATI nascosti 1'!$C$10/'DATI nascosti 1'!$C$13*C42))/100</f>
        <v>4.1551948051947951E-2</v>
      </c>
      <c r="E42" s="67" t="s">
        <v>39</v>
      </c>
      <c r="F42" s="69">
        <f>(D42*'DATI nascosti 1'!$C$13-C42*'DATI nascosti 1'!$C$10)/(D42-C42)</f>
        <v>-1732.4999999999886</v>
      </c>
      <c r="G42" s="70">
        <v>0</v>
      </c>
      <c r="H42" s="70">
        <v>0</v>
      </c>
      <c r="I42" s="70">
        <v>0</v>
      </c>
      <c r="J42" s="70">
        <v>0</v>
      </c>
      <c r="K42" s="71">
        <f>IF(D42&gt;=('DATI nascosti 1'!$L$10*10^-3),'DATI nascosti 1'!$L$14*'DATI nascosti 1'!$P$12,IF(D42&gt;=(-'DATI nascosti 1'!$L$10*10^-3),'DATI nascosti 1'!$L$16*D42*'DATI nascosti 1'!$P$12,-'DATI nascosti 1'!$L$14*'DATI nascosti 1'!$P$12))</f>
        <v>614659.43222408998</v>
      </c>
      <c r="L42" s="71">
        <v>0</v>
      </c>
      <c r="M42" s="71">
        <f>IF(C42&gt;=('DATI nascosti 1'!$L$10*10^-3),'DATI nascosti 1'!$L$14*'DATI nascosti 1'!$P$11,IF(C42&gt;=(-'DATI nascosti 1'!$L$10*10^-3),'DATI nascosti 1'!$P$11*'DATI nascosti 1'!$L$16*C42,-'DATI nascosti 1'!$L$14*'DATI nascosti 1'!$P$11))</f>
        <v>614659.43222408998</v>
      </c>
      <c r="N42" s="71">
        <f t="shared" si="0"/>
        <v>1229318.86444818</v>
      </c>
      <c r="O42" s="71">
        <f>-K42*('DATI nascosti 1'!$C$13/2)+M42*('DATI nascosti 1'!$C$13/2)</f>
        <v>0</v>
      </c>
      <c r="P42" s="69">
        <f>-TABULATI!N42/10^3</f>
        <v>-1229.31886444818</v>
      </c>
      <c r="Q42" s="69">
        <f>TABULATI!O42/10^6</f>
        <v>0</v>
      </c>
      <c r="R42" s="72">
        <f>-N42/('DATI nascosti 1'!$C$6*'DATI nascosti 1'!$C$13*'DATI nascosti 1'!$H$10*'DATI nascosti 1'!$H$16)</f>
        <v>-0.29581171389629707</v>
      </c>
      <c r="S42" s="72">
        <f>O42/('DATI nascosti 1'!$H$16*'DATI nascosti 1'!$C$6*'DATI nascosti 1'!$C$13^2*'DATI nascosti 1'!$H$10)</f>
        <v>0</v>
      </c>
      <c r="T42" s="73">
        <f t="shared" si="1"/>
        <v>0</v>
      </c>
      <c r="U42" s="67" t="str">
        <f>IF(T42&gt;=0, IF(T42&lt;='DATI nascosti 1'!$C$8/6, "SI", "NO"),IF(T42&gt; -'DATI nascosti 1'!$C$8/6, "SI", "NO"))</f>
        <v>SI</v>
      </c>
      <c r="V42" s="67" t="str">
        <f>IF(Foglio3!G43&lt;1,IF(Foglio3!G43&gt;-1,"ROTTURA BILANCIATA",""),"")</f>
        <v/>
      </c>
    </row>
    <row r="43" spans="1:22" ht="18.75" x14ac:dyDescent="0.25">
      <c r="A43" s="20"/>
      <c r="B43" s="67" t="s">
        <v>39</v>
      </c>
      <c r="C43" s="68">
        <f>'DATI nascosti 1'!$L$8*10^-3</f>
        <v>6.7500000000000004E-2</v>
      </c>
      <c r="D43" s="68">
        <f>D42-(C43-('DATI nascosti 1'!$C$10/'DATI nascosti 1'!$C$13*C43))/100</f>
        <v>4.090324675324665E-2</v>
      </c>
      <c r="E43" s="67" t="s">
        <v>39</v>
      </c>
      <c r="F43" s="69">
        <f>(D43*'DATI nascosti 1'!$C$13-C43*'DATI nascosti 1'!$C$10)/(D43-C43)</f>
        <v>-1662.0731707316961</v>
      </c>
      <c r="G43" s="70">
        <v>0</v>
      </c>
      <c r="H43" s="70">
        <v>0</v>
      </c>
      <c r="I43" s="70">
        <v>0</v>
      </c>
      <c r="J43" s="70">
        <v>0</v>
      </c>
      <c r="K43" s="71">
        <f>IF(D43&gt;=('DATI nascosti 1'!$L$10*10^-3),'DATI nascosti 1'!$L$14*'DATI nascosti 1'!$P$12,IF(D43&gt;=(-'DATI nascosti 1'!$L$10*10^-3),'DATI nascosti 1'!$L$16*D43*'DATI nascosti 1'!$P$12,-'DATI nascosti 1'!$L$14*'DATI nascosti 1'!$P$12))</f>
        <v>614659.43222408998</v>
      </c>
      <c r="L43" s="71">
        <v>0</v>
      </c>
      <c r="M43" s="71">
        <f>IF(C43&gt;=('DATI nascosti 1'!$L$10*10^-3),'DATI nascosti 1'!$L$14*'DATI nascosti 1'!$P$11,IF(C43&gt;=(-'DATI nascosti 1'!$L$10*10^-3),'DATI nascosti 1'!$P$11*'DATI nascosti 1'!$L$16*C43,-'DATI nascosti 1'!$L$14*'DATI nascosti 1'!$P$11))</f>
        <v>614659.43222408998</v>
      </c>
      <c r="N43" s="71">
        <f t="shared" si="0"/>
        <v>1229318.86444818</v>
      </c>
      <c r="O43" s="71">
        <f>-K43*('DATI nascosti 1'!$C$13/2)+M43*('DATI nascosti 1'!$C$13/2)</f>
        <v>0</v>
      </c>
      <c r="P43" s="69">
        <f>-TABULATI!N43/10^3</f>
        <v>-1229.31886444818</v>
      </c>
      <c r="Q43" s="69">
        <f>TABULATI!O43/10^6</f>
        <v>0</v>
      </c>
      <c r="R43" s="72">
        <f>-N43/('DATI nascosti 1'!$C$6*'DATI nascosti 1'!$C$13*'DATI nascosti 1'!$H$10*'DATI nascosti 1'!$H$16)</f>
        <v>-0.29581171389629707</v>
      </c>
      <c r="S43" s="72">
        <f>O43/('DATI nascosti 1'!$H$16*'DATI nascosti 1'!$C$6*'DATI nascosti 1'!$C$13^2*'DATI nascosti 1'!$H$10)</f>
        <v>0</v>
      </c>
      <c r="T43" s="73">
        <f t="shared" si="1"/>
        <v>0</v>
      </c>
      <c r="U43" s="67" t="str">
        <f>IF(T43&gt;=0, IF(T43&lt;='DATI nascosti 1'!$C$8/6, "SI", "NO"),IF(T43&gt; -'DATI nascosti 1'!$C$8/6, "SI", "NO"))</f>
        <v>SI</v>
      </c>
      <c r="V43" s="67" t="str">
        <f>IF(Foglio3!G44&lt;1,IF(Foglio3!G44&gt;-1,"ROTTURA BILANCIATA",""),"")</f>
        <v/>
      </c>
    </row>
    <row r="44" spans="1:22" ht="18.75" x14ac:dyDescent="0.25">
      <c r="A44" s="20"/>
      <c r="B44" s="67" t="s">
        <v>39</v>
      </c>
      <c r="C44" s="68">
        <f>'DATI nascosti 1'!$L$8*10^-3</f>
        <v>6.7500000000000004E-2</v>
      </c>
      <c r="D44" s="68">
        <f>D43-(C44-('DATI nascosti 1'!$C$10/'DATI nascosti 1'!$C$13*C44))/100</f>
        <v>4.0254545454545348E-2</v>
      </c>
      <c r="E44" s="67" t="s">
        <v>39</v>
      </c>
      <c r="F44" s="69">
        <f>(D44*'DATI nascosti 1'!$C$13-C44*'DATI nascosti 1'!$C$10)/(D44-C44)</f>
        <v>-1594.9999999999891</v>
      </c>
      <c r="G44" s="70">
        <v>0</v>
      </c>
      <c r="H44" s="70">
        <v>0</v>
      </c>
      <c r="I44" s="70">
        <v>0</v>
      </c>
      <c r="J44" s="70">
        <v>0</v>
      </c>
      <c r="K44" s="71">
        <f>IF(D44&gt;=('DATI nascosti 1'!$L$10*10^-3),'DATI nascosti 1'!$L$14*'DATI nascosti 1'!$P$12,IF(D44&gt;=(-'DATI nascosti 1'!$L$10*10^-3),'DATI nascosti 1'!$L$16*D44*'DATI nascosti 1'!$P$12,-'DATI nascosti 1'!$L$14*'DATI nascosti 1'!$P$12))</f>
        <v>614659.43222408998</v>
      </c>
      <c r="L44" s="71">
        <v>0</v>
      </c>
      <c r="M44" s="71">
        <f>IF(C44&gt;=('DATI nascosti 1'!$L$10*10^-3),'DATI nascosti 1'!$L$14*'DATI nascosti 1'!$P$11,IF(C44&gt;=(-'DATI nascosti 1'!$L$10*10^-3),'DATI nascosti 1'!$P$11*'DATI nascosti 1'!$L$16*C44,-'DATI nascosti 1'!$L$14*'DATI nascosti 1'!$P$11))</f>
        <v>614659.43222408998</v>
      </c>
      <c r="N44" s="71">
        <f t="shared" si="0"/>
        <v>1229318.86444818</v>
      </c>
      <c r="O44" s="71">
        <f>-K44*('DATI nascosti 1'!$C$13/2)+M44*('DATI nascosti 1'!$C$13/2)</f>
        <v>0</v>
      </c>
      <c r="P44" s="69">
        <f>-TABULATI!N44/10^3</f>
        <v>-1229.31886444818</v>
      </c>
      <c r="Q44" s="69">
        <f>TABULATI!O44/10^6</f>
        <v>0</v>
      </c>
      <c r="R44" s="72">
        <f>-N44/('DATI nascosti 1'!$C$6*'DATI nascosti 1'!$C$13*'DATI nascosti 1'!$H$10*'DATI nascosti 1'!$H$16)</f>
        <v>-0.29581171389629707</v>
      </c>
      <c r="S44" s="72">
        <f>O44/('DATI nascosti 1'!$H$16*'DATI nascosti 1'!$C$6*'DATI nascosti 1'!$C$13^2*'DATI nascosti 1'!$H$10)</f>
        <v>0</v>
      </c>
      <c r="T44" s="73">
        <f t="shared" si="1"/>
        <v>0</v>
      </c>
      <c r="U44" s="67" t="str">
        <f>IF(T44&gt;=0, IF(T44&lt;='DATI nascosti 1'!$C$8/6, "SI", "NO"),IF(T44&gt; -'DATI nascosti 1'!$C$8/6, "SI", "NO"))</f>
        <v>SI</v>
      </c>
      <c r="V44" s="67" t="str">
        <f>IF(Foglio3!G45&lt;1,IF(Foglio3!G45&gt;-1,"ROTTURA BILANCIATA",""),"")</f>
        <v/>
      </c>
    </row>
    <row r="45" spans="1:22" ht="18.75" x14ac:dyDescent="0.25">
      <c r="A45" s="20"/>
      <c r="B45" s="67" t="s">
        <v>39</v>
      </c>
      <c r="C45" s="68">
        <f>'DATI nascosti 1'!$L$8*10^-3</f>
        <v>6.7500000000000004E-2</v>
      </c>
      <c r="D45" s="68">
        <f>D44-(C45-('DATI nascosti 1'!$C$10/'DATI nascosti 1'!$C$13*C45))/100</f>
        <v>3.9605844155844047E-2</v>
      </c>
      <c r="E45" s="67" t="s">
        <v>39</v>
      </c>
      <c r="F45" s="69">
        <f>(D45*'DATI nascosti 1'!$C$13-C45*'DATI nascosti 1'!$C$10)/(D45-C45)</f>
        <v>-1531.0465116278963</v>
      </c>
      <c r="G45" s="70">
        <v>0</v>
      </c>
      <c r="H45" s="70">
        <v>0</v>
      </c>
      <c r="I45" s="70">
        <v>0</v>
      </c>
      <c r="J45" s="70">
        <v>0</v>
      </c>
      <c r="K45" s="71">
        <f>IF(D45&gt;=('DATI nascosti 1'!$L$10*10^-3),'DATI nascosti 1'!$L$14*'DATI nascosti 1'!$P$12,IF(D45&gt;=(-'DATI nascosti 1'!$L$10*10^-3),'DATI nascosti 1'!$L$16*D45*'DATI nascosti 1'!$P$12,-'DATI nascosti 1'!$L$14*'DATI nascosti 1'!$P$12))</f>
        <v>614659.43222408998</v>
      </c>
      <c r="L45" s="71">
        <v>0</v>
      </c>
      <c r="M45" s="71">
        <f>IF(C45&gt;=('DATI nascosti 1'!$L$10*10^-3),'DATI nascosti 1'!$L$14*'DATI nascosti 1'!$P$11,IF(C45&gt;=(-'DATI nascosti 1'!$L$10*10^-3),'DATI nascosti 1'!$P$11*'DATI nascosti 1'!$L$16*C45,-'DATI nascosti 1'!$L$14*'DATI nascosti 1'!$P$11))</f>
        <v>614659.43222408998</v>
      </c>
      <c r="N45" s="71">
        <f t="shared" si="0"/>
        <v>1229318.86444818</v>
      </c>
      <c r="O45" s="71">
        <f>-K45*('DATI nascosti 1'!$C$13/2)+M45*('DATI nascosti 1'!$C$13/2)</f>
        <v>0</v>
      </c>
      <c r="P45" s="69">
        <f>-TABULATI!N45/10^3</f>
        <v>-1229.31886444818</v>
      </c>
      <c r="Q45" s="69">
        <f>TABULATI!O45/10^6</f>
        <v>0</v>
      </c>
      <c r="R45" s="72">
        <f>-N45/('DATI nascosti 1'!$C$6*'DATI nascosti 1'!$C$13*'DATI nascosti 1'!$H$10*'DATI nascosti 1'!$H$16)</f>
        <v>-0.29581171389629707</v>
      </c>
      <c r="S45" s="72">
        <f>O45/('DATI nascosti 1'!$H$16*'DATI nascosti 1'!$C$6*'DATI nascosti 1'!$C$13^2*'DATI nascosti 1'!$H$10)</f>
        <v>0</v>
      </c>
      <c r="T45" s="73">
        <f t="shared" si="1"/>
        <v>0</v>
      </c>
      <c r="U45" s="67" t="str">
        <f>IF(T45&gt;=0, IF(T45&lt;='DATI nascosti 1'!$C$8/6, "SI", "NO"),IF(T45&gt; -'DATI nascosti 1'!$C$8/6, "SI", "NO"))</f>
        <v>SI</v>
      </c>
      <c r="V45" s="67" t="str">
        <f>IF(Foglio3!G46&lt;1,IF(Foglio3!G46&gt;-1,"ROTTURA BILANCIATA",""),"")</f>
        <v/>
      </c>
    </row>
    <row r="46" spans="1:22" ht="18.75" x14ac:dyDescent="0.25">
      <c r="A46" s="20"/>
      <c r="B46" s="67" t="s">
        <v>39</v>
      </c>
      <c r="C46" s="68">
        <f>'DATI nascosti 1'!$L$8*10^-3</f>
        <v>6.7500000000000004E-2</v>
      </c>
      <c r="D46" s="68">
        <f>D45-(C46-('DATI nascosti 1'!$C$10/'DATI nascosti 1'!$C$13*C46))/100</f>
        <v>3.8957142857142746E-2</v>
      </c>
      <c r="E46" s="67" t="s">
        <v>39</v>
      </c>
      <c r="F46" s="69">
        <f>(D46*'DATI nascosti 1'!$C$13-C46*'DATI nascosti 1'!$C$10)/(D46-C46)</f>
        <v>-1469.9999999999895</v>
      </c>
      <c r="G46" s="70">
        <v>0</v>
      </c>
      <c r="H46" s="70">
        <v>0</v>
      </c>
      <c r="I46" s="70">
        <v>0</v>
      </c>
      <c r="J46" s="70">
        <v>0</v>
      </c>
      <c r="K46" s="71">
        <f>IF(D46&gt;=('DATI nascosti 1'!$L$10*10^-3),'DATI nascosti 1'!$L$14*'DATI nascosti 1'!$P$12,IF(D46&gt;=(-'DATI nascosti 1'!$L$10*10^-3),'DATI nascosti 1'!$L$16*D46*'DATI nascosti 1'!$P$12,-'DATI nascosti 1'!$L$14*'DATI nascosti 1'!$P$12))</f>
        <v>614659.43222408998</v>
      </c>
      <c r="L46" s="71">
        <v>0</v>
      </c>
      <c r="M46" s="71">
        <f>IF(C46&gt;=('DATI nascosti 1'!$L$10*10^-3),'DATI nascosti 1'!$L$14*'DATI nascosti 1'!$P$11,IF(C46&gt;=(-'DATI nascosti 1'!$L$10*10^-3),'DATI nascosti 1'!$P$11*'DATI nascosti 1'!$L$16*C46,-'DATI nascosti 1'!$L$14*'DATI nascosti 1'!$P$11))</f>
        <v>614659.43222408998</v>
      </c>
      <c r="N46" s="71">
        <f t="shared" si="0"/>
        <v>1229318.86444818</v>
      </c>
      <c r="O46" s="71">
        <f>-K46*('DATI nascosti 1'!$C$13/2)+M46*('DATI nascosti 1'!$C$13/2)</f>
        <v>0</v>
      </c>
      <c r="P46" s="69">
        <f>-TABULATI!N46/10^3</f>
        <v>-1229.31886444818</v>
      </c>
      <c r="Q46" s="69">
        <f>TABULATI!O46/10^6</f>
        <v>0</v>
      </c>
      <c r="R46" s="72">
        <f>-N46/('DATI nascosti 1'!$C$6*'DATI nascosti 1'!$C$13*'DATI nascosti 1'!$H$10*'DATI nascosti 1'!$H$16)</f>
        <v>-0.29581171389629707</v>
      </c>
      <c r="S46" s="72">
        <f>O46/('DATI nascosti 1'!$H$16*'DATI nascosti 1'!$C$6*'DATI nascosti 1'!$C$13^2*'DATI nascosti 1'!$H$10)</f>
        <v>0</v>
      </c>
      <c r="T46" s="73">
        <f t="shared" si="1"/>
        <v>0</v>
      </c>
      <c r="U46" s="67" t="str">
        <f>IF(T46&gt;=0, IF(T46&lt;='DATI nascosti 1'!$C$8/6, "SI", "NO"),IF(T46&gt; -'DATI nascosti 1'!$C$8/6, "SI", "NO"))</f>
        <v>SI</v>
      </c>
      <c r="V46" s="67" t="str">
        <f>IF(Foglio3!G47&lt;1,IF(Foglio3!G47&gt;-1,"ROTTURA BILANCIATA",""),"")</f>
        <v/>
      </c>
    </row>
    <row r="47" spans="1:22" ht="18.75" x14ac:dyDescent="0.25">
      <c r="A47" s="20"/>
      <c r="B47" s="67" t="s">
        <v>39</v>
      </c>
      <c r="C47" s="68">
        <f>'DATI nascosti 1'!$L$8*10^-3</f>
        <v>6.7500000000000004E-2</v>
      </c>
      <c r="D47" s="68">
        <f>D46-(C47-('DATI nascosti 1'!$C$10/'DATI nascosti 1'!$C$13*C47))/100</f>
        <v>3.8308441558441444E-2</v>
      </c>
      <c r="E47" s="67" t="s">
        <v>39</v>
      </c>
      <c r="F47" s="69">
        <f>(D47*'DATI nascosti 1'!$C$13-C47*'DATI nascosti 1'!$C$10)/(D47-C47)</f>
        <v>-1411.6666666666563</v>
      </c>
      <c r="G47" s="70">
        <v>0</v>
      </c>
      <c r="H47" s="70">
        <v>0</v>
      </c>
      <c r="I47" s="70">
        <v>0</v>
      </c>
      <c r="J47" s="70">
        <v>0</v>
      </c>
      <c r="K47" s="71">
        <f>IF(D47&gt;=('DATI nascosti 1'!$L$10*10^-3),'DATI nascosti 1'!$L$14*'DATI nascosti 1'!$P$12,IF(D47&gt;=(-'DATI nascosti 1'!$L$10*10^-3),'DATI nascosti 1'!$L$16*D47*'DATI nascosti 1'!$P$12,-'DATI nascosti 1'!$L$14*'DATI nascosti 1'!$P$12))</f>
        <v>614659.43222408998</v>
      </c>
      <c r="L47" s="71">
        <v>0</v>
      </c>
      <c r="M47" s="71">
        <f>IF(C47&gt;=('DATI nascosti 1'!$L$10*10^-3),'DATI nascosti 1'!$L$14*'DATI nascosti 1'!$P$11,IF(C47&gt;=(-'DATI nascosti 1'!$L$10*10^-3),'DATI nascosti 1'!$P$11*'DATI nascosti 1'!$L$16*C47,-'DATI nascosti 1'!$L$14*'DATI nascosti 1'!$P$11))</f>
        <v>614659.43222408998</v>
      </c>
      <c r="N47" s="71">
        <f t="shared" si="0"/>
        <v>1229318.86444818</v>
      </c>
      <c r="O47" s="71">
        <f>-K47*('DATI nascosti 1'!$C$13/2)+M47*('DATI nascosti 1'!$C$13/2)</f>
        <v>0</v>
      </c>
      <c r="P47" s="69">
        <f>-TABULATI!N47/10^3</f>
        <v>-1229.31886444818</v>
      </c>
      <c r="Q47" s="69">
        <f>TABULATI!O47/10^6</f>
        <v>0</v>
      </c>
      <c r="R47" s="72">
        <f>-N47/('DATI nascosti 1'!$C$6*'DATI nascosti 1'!$C$13*'DATI nascosti 1'!$H$10*'DATI nascosti 1'!$H$16)</f>
        <v>-0.29581171389629707</v>
      </c>
      <c r="S47" s="72">
        <f>O47/('DATI nascosti 1'!$H$16*'DATI nascosti 1'!$C$6*'DATI nascosti 1'!$C$13^2*'DATI nascosti 1'!$H$10)</f>
        <v>0</v>
      </c>
      <c r="T47" s="73">
        <f t="shared" si="1"/>
        <v>0</v>
      </c>
      <c r="U47" s="67" t="str">
        <f>IF(T47&gt;=0, IF(T47&lt;='DATI nascosti 1'!$C$8/6, "SI", "NO"),IF(T47&gt; -'DATI nascosti 1'!$C$8/6, "SI", "NO"))</f>
        <v>SI</v>
      </c>
      <c r="V47" s="67" t="str">
        <f>IF(Foglio3!G48&lt;1,IF(Foglio3!G48&gt;-1,"ROTTURA BILANCIATA",""),"")</f>
        <v/>
      </c>
    </row>
    <row r="48" spans="1:22" ht="18.75" x14ac:dyDescent="0.25">
      <c r="A48" s="20"/>
      <c r="B48" s="67" t="s">
        <v>39</v>
      </c>
      <c r="C48" s="68">
        <f>'DATI nascosti 1'!$L$8*10^-3</f>
        <v>6.7500000000000004E-2</v>
      </c>
      <c r="D48" s="68">
        <f>D47-(C48-('DATI nascosti 1'!$C$10/'DATI nascosti 1'!$C$13*C48))/100</f>
        <v>3.7659740259740143E-2</v>
      </c>
      <c r="E48" s="67" t="s">
        <v>39</v>
      </c>
      <c r="F48" s="69">
        <f>(D48*'DATI nascosti 1'!$C$13-C48*'DATI nascosti 1'!$C$10)/(D48-C48)</f>
        <v>-1355.8695652173813</v>
      </c>
      <c r="G48" s="70">
        <v>0</v>
      </c>
      <c r="H48" s="70">
        <v>0</v>
      </c>
      <c r="I48" s="70">
        <v>0</v>
      </c>
      <c r="J48" s="70">
        <v>0</v>
      </c>
      <c r="K48" s="71">
        <f>IF(D48&gt;=('DATI nascosti 1'!$L$10*10^-3),'DATI nascosti 1'!$L$14*'DATI nascosti 1'!$P$12,IF(D48&gt;=(-'DATI nascosti 1'!$L$10*10^-3),'DATI nascosti 1'!$L$16*D48*'DATI nascosti 1'!$P$12,-'DATI nascosti 1'!$L$14*'DATI nascosti 1'!$P$12))</f>
        <v>614659.43222408998</v>
      </c>
      <c r="L48" s="71">
        <v>0</v>
      </c>
      <c r="M48" s="71">
        <f>IF(C48&gt;=('DATI nascosti 1'!$L$10*10^-3),'DATI nascosti 1'!$L$14*'DATI nascosti 1'!$P$11,IF(C48&gt;=(-'DATI nascosti 1'!$L$10*10^-3),'DATI nascosti 1'!$P$11*'DATI nascosti 1'!$L$16*C48,-'DATI nascosti 1'!$L$14*'DATI nascosti 1'!$P$11))</f>
        <v>614659.43222408998</v>
      </c>
      <c r="N48" s="71">
        <f t="shared" si="0"/>
        <v>1229318.86444818</v>
      </c>
      <c r="O48" s="71">
        <f>-K48*('DATI nascosti 1'!$C$13/2)+M48*('DATI nascosti 1'!$C$13/2)</f>
        <v>0</v>
      </c>
      <c r="P48" s="69">
        <f>-TABULATI!N48/10^3</f>
        <v>-1229.31886444818</v>
      </c>
      <c r="Q48" s="69">
        <f>TABULATI!O48/10^6</f>
        <v>0</v>
      </c>
      <c r="R48" s="72">
        <f>-N48/('DATI nascosti 1'!$C$6*'DATI nascosti 1'!$C$13*'DATI nascosti 1'!$H$10*'DATI nascosti 1'!$H$16)</f>
        <v>-0.29581171389629707</v>
      </c>
      <c r="S48" s="72">
        <f>O48/('DATI nascosti 1'!$H$16*'DATI nascosti 1'!$C$6*'DATI nascosti 1'!$C$13^2*'DATI nascosti 1'!$H$10)</f>
        <v>0</v>
      </c>
      <c r="T48" s="73">
        <f t="shared" si="1"/>
        <v>0</v>
      </c>
      <c r="U48" s="67" t="str">
        <f>IF(T48&gt;=0, IF(T48&lt;='DATI nascosti 1'!$C$8/6, "SI", "NO"),IF(T48&gt; -'DATI nascosti 1'!$C$8/6, "SI", "NO"))</f>
        <v>SI</v>
      </c>
      <c r="V48" s="67" t="str">
        <f>IF(Foglio3!G49&lt;1,IF(Foglio3!G49&gt;-1,"ROTTURA BILANCIATA",""),"")</f>
        <v/>
      </c>
    </row>
    <row r="49" spans="1:22" ht="18.75" x14ac:dyDescent="0.25">
      <c r="A49" s="20"/>
      <c r="B49" s="67" t="s">
        <v>39</v>
      </c>
      <c r="C49" s="68">
        <f>'DATI nascosti 1'!$L$8*10^-3</f>
        <v>6.7500000000000004E-2</v>
      </c>
      <c r="D49" s="68">
        <f>D48-(C49-('DATI nascosti 1'!$C$10/'DATI nascosti 1'!$C$13*C49))/100</f>
        <v>3.7011038961038842E-2</v>
      </c>
      <c r="E49" s="67" t="s">
        <v>39</v>
      </c>
      <c r="F49" s="69">
        <f>(D49*'DATI nascosti 1'!$C$13-C49*'DATI nascosti 1'!$C$10)/(D49-C49)</f>
        <v>-1302.4468085106284</v>
      </c>
      <c r="G49" s="70">
        <v>0</v>
      </c>
      <c r="H49" s="70">
        <v>0</v>
      </c>
      <c r="I49" s="70">
        <v>0</v>
      </c>
      <c r="J49" s="70">
        <v>0</v>
      </c>
      <c r="K49" s="71">
        <f>IF(D49&gt;=('DATI nascosti 1'!$L$10*10^-3),'DATI nascosti 1'!$L$14*'DATI nascosti 1'!$P$12,IF(D49&gt;=(-'DATI nascosti 1'!$L$10*10^-3),'DATI nascosti 1'!$L$16*D49*'DATI nascosti 1'!$P$12,-'DATI nascosti 1'!$L$14*'DATI nascosti 1'!$P$12))</f>
        <v>614659.43222408998</v>
      </c>
      <c r="L49" s="71">
        <v>0</v>
      </c>
      <c r="M49" s="71">
        <f>IF(C49&gt;=('DATI nascosti 1'!$L$10*10^-3),'DATI nascosti 1'!$L$14*'DATI nascosti 1'!$P$11,IF(C49&gt;=(-'DATI nascosti 1'!$L$10*10^-3),'DATI nascosti 1'!$P$11*'DATI nascosti 1'!$L$16*C49,-'DATI nascosti 1'!$L$14*'DATI nascosti 1'!$P$11))</f>
        <v>614659.43222408998</v>
      </c>
      <c r="N49" s="71">
        <f t="shared" si="0"/>
        <v>1229318.86444818</v>
      </c>
      <c r="O49" s="71">
        <f>-K49*('DATI nascosti 1'!$C$13/2)+M49*('DATI nascosti 1'!$C$13/2)</f>
        <v>0</v>
      </c>
      <c r="P49" s="69">
        <f>-TABULATI!N49/10^3</f>
        <v>-1229.31886444818</v>
      </c>
      <c r="Q49" s="69">
        <f>TABULATI!O49/10^6</f>
        <v>0</v>
      </c>
      <c r="R49" s="72">
        <f>-N49/('DATI nascosti 1'!$C$6*'DATI nascosti 1'!$C$13*'DATI nascosti 1'!$H$10*'DATI nascosti 1'!$H$16)</f>
        <v>-0.29581171389629707</v>
      </c>
      <c r="S49" s="72">
        <f>O49/('DATI nascosti 1'!$H$16*'DATI nascosti 1'!$C$6*'DATI nascosti 1'!$C$13^2*'DATI nascosti 1'!$H$10)</f>
        <v>0</v>
      </c>
      <c r="T49" s="73">
        <f t="shared" si="1"/>
        <v>0</v>
      </c>
      <c r="U49" s="67" t="str">
        <f>IF(T49&gt;=0, IF(T49&lt;='DATI nascosti 1'!$C$8/6, "SI", "NO"),IF(T49&gt; -'DATI nascosti 1'!$C$8/6, "SI", "NO"))</f>
        <v>SI</v>
      </c>
      <c r="V49" s="67" t="str">
        <f>IF(Foglio3!G50&lt;1,IF(Foglio3!G50&gt;-1,"ROTTURA BILANCIATA",""),"")</f>
        <v/>
      </c>
    </row>
    <row r="50" spans="1:22" ht="18.75" x14ac:dyDescent="0.25">
      <c r="A50" s="20"/>
      <c r="B50" s="67" t="s">
        <v>39</v>
      </c>
      <c r="C50" s="68">
        <f>'DATI nascosti 1'!$L$8*10^-3</f>
        <v>6.7500000000000004E-2</v>
      </c>
      <c r="D50" s="68">
        <f>D49-(C50-('DATI nascosti 1'!$C$10/'DATI nascosti 1'!$C$13*C50))/100</f>
        <v>3.6362337662337541E-2</v>
      </c>
      <c r="E50" s="67" t="s">
        <v>39</v>
      </c>
      <c r="F50" s="69">
        <f>(D50*'DATI nascosti 1'!$C$13-C50*'DATI nascosti 1'!$C$10)/(D50-C50)</f>
        <v>-1251.2499999999902</v>
      </c>
      <c r="G50" s="70">
        <v>0</v>
      </c>
      <c r="H50" s="70">
        <v>0</v>
      </c>
      <c r="I50" s="70">
        <v>0</v>
      </c>
      <c r="J50" s="70">
        <v>0</v>
      </c>
      <c r="K50" s="71">
        <f>IF(D50&gt;=('DATI nascosti 1'!$L$10*10^-3),'DATI nascosti 1'!$L$14*'DATI nascosti 1'!$P$12,IF(D50&gt;=(-'DATI nascosti 1'!$L$10*10^-3),'DATI nascosti 1'!$L$16*D50*'DATI nascosti 1'!$P$12,-'DATI nascosti 1'!$L$14*'DATI nascosti 1'!$P$12))</f>
        <v>614659.43222408998</v>
      </c>
      <c r="L50" s="71">
        <v>0</v>
      </c>
      <c r="M50" s="71">
        <f>IF(C50&gt;=('DATI nascosti 1'!$L$10*10^-3),'DATI nascosti 1'!$L$14*'DATI nascosti 1'!$P$11,IF(C50&gt;=(-'DATI nascosti 1'!$L$10*10^-3),'DATI nascosti 1'!$P$11*'DATI nascosti 1'!$L$16*C50,-'DATI nascosti 1'!$L$14*'DATI nascosti 1'!$P$11))</f>
        <v>614659.43222408998</v>
      </c>
      <c r="N50" s="71">
        <f t="shared" si="0"/>
        <v>1229318.86444818</v>
      </c>
      <c r="O50" s="71">
        <f>-K50*('DATI nascosti 1'!$C$13/2)+M50*('DATI nascosti 1'!$C$13/2)</f>
        <v>0</v>
      </c>
      <c r="P50" s="69">
        <f>-TABULATI!N50/10^3</f>
        <v>-1229.31886444818</v>
      </c>
      <c r="Q50" s="69">
        <f>TABULATI!O50/10^6</f>
        <v>0</v>
      </c>
      <c r="R50" s="72">
        <f>-N50/('DATI nascosti 1'!$C$6*'DATI nascosti 1'!$C$13*'DATI nascosti 1'!$H$10*'DATI nascosti 1'!$H$16)</f>
        <v>-0.29581171389629707</v>
      </c>
      <c r="S50" s="72">
        <f>O50/('DATI nascosti 1'!$H$16*'DATI nascosti 1'!$C$6*'DATI nascosti 1'!$C$13^2*'DATI nascosti 1'!$H$10)</f>
        <v>0</v>
      </c>
      <c r="T50" s="73">
        <f t="shared" si="1"/>
        <v>0</v>
      </c>
      <c r="U50" s="67" t="str">
        <f>IF(T50&gt;=0, IF(T50&lt;='DATI nascosti 1'!$C$8/6, "SI", "NO"),IF(T50&gt; -'DATI nascosti 1'!$C$8/6, "SI", "NO"))</f>
        <v>SI</v>
      </c>
      <c r="V50" s="67" t="str">
        <f>IF(Foglio3!G51&lt;1,IF(Foglio3!G51&gt;-1,"ROTTURA BILANCIATA",""),"")</f>
        <v/>
      </c>
    </row>
    <row r="51" spans="1:22" ht="18.75" x14ac:dyDescent="0.25">
      <c r="A51" s="20"/>
      <c r="B51" s="67" t="s">
        <v>39</v>
      </c>
      <c r="C51" s="68">
        <f>'DATI nascosti 1'!$L$8*10^-3</f>
        <v>6.7500000000000004E-2</v>
      </c>
      <c r="D51" s="68">
        <f>D50-(C51-('DATI nascosti 1'!$C$10/'DATI nascosti 1'!$C$13*C51))/100</f>
        <v>3.5713636363636239E-2</v>
      </c>
      <c r="E51" s="67" t="s">
        <v>39</v>
      </c>
      <c r="F51" s="69">
        <f>(D51*'DATI nascosti 1'!$C$13-C51*'DATI nascosti 1'!$C$10)/(D51-C51)</f>
        <v>-1202.1428571428476</v>
      </c>
      <c r="G51" s="70">
        <v>0</v>
      </c>
      <c r="H51" s="70">
        <v>0</v>
      </c>
      <c r="I51" s="70">
        <v>0</v>
      </c>
      <c r="J51" s="70">
        <v>0</v>
      </c>
      <c r="K51" s="71">
        <f>IF(D51&gt;=('DATI nascosti 1'!$L$10*10^-3),'DATI nascosti 1'!$L$14*'DATI nascosti 1'!$P$12,IF(D51&gt;=(-'DATI nascosti 1'!$L$10*10^-3),'DATI nascosti 1'!$L$16*D51*'DATI nascosti 1'!$P$12,-'DATI nascosti 1'!$L$14*'DATI nascosti 1'!$P$12))</f>
        <v>614659.43222408998</v>
      </c>
      <c r="L51" s="71">
        <v>0</v>
      </c>
      <c r="M51" s="71">
        <f>IF(C51&gt;=('DATI nascosti 1'!$L$10*10^-3),'DATI nascosti 1'!$L$14*'DATI nascosti 1'!$P$11,IF(C51&gt;=(-'DATI nascosti 1'!$L$10*10^-3),'DATI nascosti 1'!$P$11*'DATI nascosti 1'!$L$16*C51,-'DATI nascosti 1'!$L$14*'DATI nascosti 1'!$P$11))</f>
        <v>614659.43222408998</v>
      </c>
      <c r="N51" s="71">
        <f t="shared" si="0"/>
        <v>1229318.86444818</v>
      </c>
      <c r="O51" s="71">
        <f>-K51*('DATI nascosti 1'!$C$13/2)+M51*('DATI nascosti 1'!$C$13/2)</f>
        <v>0</v>
      </c>
      <c r="P51" s="69">
        <f>-TABULATI!N51/10^3</f>
        <v>-1229.31886444818</v>
      </c>
      <c r="Q51" s="69">
        <f>TABULATI!O51/10^6</f>
        <v>0</v>
      </c>
      <c r="R51" s="72">
        <f>-N51/('DATI nascosti 1'!$C$6*'DATI nascosti 1'!$C$13*'DATI nascosti 1'!$H$10*'DATI nascosti 1'!$H$16)</f>
        <v>-0.29581171389629707</v>
      </c>
      <c r="S51" s="72">
        <f>O51/('DATI nascosti 1'!$H$16*'DATI nascosti 1'!$C$6*'DATI nascosti 1'!$C$13^2*'DATI nascosti 1'!$H$10)</f>
        <v>0</v>
      </c>
      <c r="T51" s="73">
        <f t="shared" si="1"/>
        <v>0</v>
      </c>
      <c r="U51" s="67" t="str">
        <f>IF(T51&gt;=0, IF(T51&lt;='DATI nascosti 1'!$C$8/6, "SI", "NO"),IF(T51&gt; -'DATI nascosti 1'!$C$8/6, "SI", "NO"))</f>
        <v>SI</v>
      </c>
      <c r="V51" s="67" t="str">
        <f>IF(Foglio3!G52&lt;1,IF(Foglio3!G52&gt;-1,"ROTTURA BILANCIATA",""),"")</f>
        <v/>
      </c>
    </row>
    <row r="52" spans="1:22" ht="18.75" x14ac:dyDescent="0.25">
      <c r="A52" s="20"/>
      <c r="B52" s="67" t="s">
        <v>39</v>
      </c>
      <c r="C52" s="68">
        <f>'DATI nascosti 1'!$L$8*10^-3</f>
        <v>6.7500000000000004E-2</v>
      </c>
      <c r="D52" s="68">
        <f>D51-(C52-('DATI nascosti 1'!$C$10/'DATI nascosti 1'!$C$13*C52))/100</f>
        <v>3.5064935064934938E-2</v>
      </c>
      <c r="E52" s="67" t="s">
        <v>39</v>
      </c>
      <c r="F52" s="69">
        <f>(D52*'DATI nascosti 1'!$C$13-C52*'DATI nascosti 1'!$C$10)/(D52-C52)</f>
        <v>-1154.9999999999907</v>
      </c>
      <c r="G52" s="70">
        <v>0</v>
      </c>
      <c r="H52" s="70">
        <v>0</v>
      </c>
      <c r="I52" s="70">
        <v>0</v>
      </c>
      <c r="J52" s="70">
        <v>0</v>
      </c>
      <c r="K52" s="71">
        <f>IF(D52&gt;=('DATI nascosti 1'!$L$10*10^-3),'DATI nascosti 1'!$L$14*'DATI nascosti 1'!$P$12,IF(D52&gt;=(-'DATI nascosti 1'!$L$10*10^-3),'DATI nascosti 1'!$L$16*D52*'DATI nascosti 1'!$P$12,-'DATI nascosti 1'!$L$14*'DATI nascosti 1'!$P$12))</f>
        <v>614659.43222408998</v>
      </c>
      <c r="L52" s="71">
        <v>0</v>
      </c>
      <c r="M52" s="71">
        <f>IF(C52&gt;=('DATI nascosti 1'!$L$10*10^-3),'DATI nascosti 1'!$L$14*'DATI nascosti 1'!$P$11,IF(C52&gt;=(-'DATI nascosti 1'!$L$10*10^-3),'DATI nascosti 1'!$P$11*'DATI nascosti 1'!$L$16*C52,-'DATI nascosti 1'!$L$14*'DATI nascosti 1'!$P$11))</f>
        <v>614659.43222408998</v>
      </c>
      <c r="N52" s="71">
        <f t="shared" si="0"/>
        <v>1229318.86444818</v>
      </c>
      <c r="O52" s="71">
        <f>-K52*('DATI nascosti 1'!$C$13/2)+M52*('DATI nascosti 1'!$C$13/2)</f>
        <v>0</v>
      </c>
      <c r="P52" s="69">
        <f>-TABULATI!N52/10^3</f>
        <v>-1229.31886444818</v>
      </c>
      <c r="Q52" s="69">
        <f>TABULATI!O52/10^6</f>
        <v>0</v>
      </c>
      <c r="R52" s="72">
        <f>-N52/('DATI nascosti 1'!$C$6*'DATI nascosti 1'!$C$13*'DATI nascosti 1'!$H$10*'DATI nascosti 1'!$H$16)</f>
        <v>-0.29581171389629707</v>
      </c>
      <c r="S52" s="72">
        <f>O52/('DATI nascosti 1'!$H$16*'DATI nascosti 1'!$C$6*'DATI nascosti 1'!$C$13^2*'DATI nascosti 1'!$H$10)</f>
        <v>0</v>
      </c>
      <c r="T52" s="73">
        <f t="shared" si="1"/>
        <v>0</v>
      </c>
      <c r="U52" s="67" t="str">
        <f>IF(T52&gt;=0, IF(T52&lt;='DATI nascosti 1'!$C$8/6, "SI", "NO"),IF(T52&gt; -'DATI nascosti 1'!$C$8/6, "SI", "NO"))</f>
        <v>SI</v>
      </c>
      <c r="V52" s="67" t="str">
        <f>IF(Foglio3!G53&lt;1,IF(Foglio3!G53&gt;-1,"ROTTURA BILANCIATA",""),"")</f>
        <v/>
      </c>
    </row>
    <row r="53" spans="1:22" ht="18.75" x14ac:dyDescent="0.25">
      <c r="A53" s="20"/>
      <c r="B53" s="67" t="s">
        <v>39</v>
      </c>
      <c r="C53" s="68">
        <f>'DATI nascosti 1'!$L$8*10^-3</f>
        <v>6.7500000000000004E-2</v>
      </c>
      <c r="D53" s="68">
        <f>D52-(C53-('DATI nascosti 1'!$C$10/'DATI nascosti 1'!$C$13*C53))/100</f>
        <v>3.4416233766233637E-2</v>
      </c>
      <c r="E53" s="67" t="s">
        <v>39</v>
      </c>
      <c r="F53" s="69">
        <f>(D53*'DATI nascosti 1'!$C$13-C53*'DATI nascosti 1'!$C$10)/(D53-C53)</f>
        <v>-1109.7058823529321</v>
      </c>
      <c r="G53" s="70">
        <v>0</v>
      </c>
      <c r="H53" s="70">
        <v>0</v>
      </c>
      <c r="I53" s="70">
        <v>0</v>
      </c>
      <c r="J53" s="70">
        <v>0</v>
      </c>
      <c r="K53" s="71">
        <f>IF(D53&gt;=('DATI nascosti 1'!$L$10*10^-3),'DATI nascosti 1'!$L$14*'DATI nascosti 1'!$P$12,IF(D53&gt;=(-'DATI nascosti 1'!$L$10*10^-3),'DATI nascosti 1'!$L$16*D53*'DATI nascosti 1'!$P$12,-'DATI nascosti 1'!$L$14*'DATI nascosti 1'!$P$12))</f>
        <v>614659.43222408998</v>
      </c>
      <c r="L53" s="71">
        <v>0</v>
      </c>
      <c r="M53" s="71">
        <f>IF(C53&gt;=('DATI nascosti 1'!$L$10*10^-3),'DATI nascosti 1'!$L$14*'DATI nascosti 1'!$P$11,IF(C53&gt;=(-'DATI nascosti 1'!$L$10*10^-3),'DATI nascosti 1'!$P$11*'DATI nascosti 1'!$L$16*C53,-'DATI nascosti 1'!$L$14*'DATI nascosti 1'!$P$11))</f>
        <v>614659.43222408998</v>
      </c>
      <c r="N53" s="71">
        <f t="shared" si="0"/>
        <v>1229318.86444818</v>
      </c>
      <c r="O53" s="71">
        <f>-K53*('DATI nascosti 1'!$C$13/2)+M53*('DATI nascosti 1'!$C$13/2)</f>
        <v>0</v>
      </c>
      <c r="P53" s="69">
        <f>-TABULATI!N53/10^3</f>
        <v>-1229.31886444818</v>
      </c>
      <c r="Q53" s="69">
        <f>TABULATI!O53/10^6</f>
        <v>0</v>
      </c>
      <c r="R53" s="72">
        <f>-N53/('DATI nascosti 1'!$C$6*'DATI nascosti 1'!$C$13*'DATI nascosti 1'!$H$10*'DATI nascosti 1'!$H$16)</f>
        <v>-0.29581171389629707</v>
      </c>
      <c r="S53" s="72">
        <f>O53/('DATI nascosti 1'!$H$16*'DATI nascosti 1'!$C$6*'DATI nascosti 1'!$C$13^2*'DATI nascosti 1'!$H$10)</f>
        <v>0</v>
      </c>
      <c r="T53" s="73">
        <f t="shared" si="1"/>
        <v>0</v>
      </c>
      <c r="U53" s="67" t="str">
        <f>IF(T53&gt;=0, IF(T53&lt;='DATI nascosti 1'!$C$8/6, "SI", "NO"),IF(T53&gt; -'DATI nascosti 1'!$C$8/6, "SI", "NO"))</f>
        <v>SI</v>
      </c>
      <c r="V53" s="67" t="str">
        <f>IF(Foglio3!G54&lt;1,IF(Foglio3!G54&gt;-1,"ROTTURA BILANCIATA",""),"")</f>
        <v/>
      </c>
    </row>
    <row r="54" spans="1:22" ht="18.75" x14ac:dyDescent="0.25">
      <c r="A54" s="20"/>
      <c r="B54" s="67" t="s">
        <v>39</v>
      </c>
      <c r="C54" s="68">
        <f>'DATI nascosti 1'!$L$8*10^-3</f>
        <v>6.7500000000000004E-2</v>
      </c>
      <c r="D54" s="68">
        <f>D53-(C54-('DATI nascosti 1'!$C$10/'DATI nascosti 1'!$C$13*C54))/100</f>
        <v>3.3767532467532335E-2</v>
      </c>
      <c r="E54" s="67" t="s">
        <v>39</v>
      </c>
      <c r="F54" s="69">
        <f>(D54*'DATI nascosti 1'!$C$13-C54*'DATI nascosti 1'!$C$10)/(D54-C54)</f>
        <v>-1066.1538461538371</v>
      </c>
      <c r="G54" s="70">
        <v>0</v>
      </c>
      <c r="H54" s="70">
        <v>0</v>
      </c>
      <c r="I54" s="70">
        <v>0</v>
      </c>
      <c r="J54" s="70">
        <v>0</v>
      </c>
      <c r="K54" s="71">
        <f>IF(D54&gt;=('DATI nascosti 1'!$L$10*10^-3),'DATI nascosti 1'!$L$14*'DATI nascosti 1'!$P$12,IF(D54&gt;=(-'DATI nascosti 1'!$L$10*10^-3),'DATI nascosti 1'!$L$16*D54*'DATI nascosti 1'!$P$12,-'DATI nascosti 1'!$L$14*'DATI nascosti 1'!$P$12))</f>
        <v>614659.43222408998</v>
      </c>
      <c r="L54" s="71">
        <v>0</v>
      </c>
      <c r="M54" s="71">
        <f>IF(C54&gt;=('DATI nascosti 1'!$L$10*10^-3),'DATI nascosti 1'!$L$14*'DATI nascosti 1'!$P$11,IF(C54&gt;=(-'DATI nascosti 1'!$L$10*10^-3),'DATI nascosti 1'!$P$11*'DATI nascosti 1'!$L$16*C54,-'DATI nascosti 1'!$L$14*'DATI nascosti 1'!$P$11))</f>
        <v>614659.43222408998</v>
      </c>
      <c r="N54" s="71">
        <f t="shared" si="0"/>
        <v>1229318.86444818</v>
      </c>
      <c r="O54" s="71">
        <f>-K54*('DATI nascosti 1'!$C$13/2)+M54*('DATI nascosti 1'!$C$13/2)</f>
        <v>0</v>
      </c>
      <c r="P54" s="69">
        <f>-TABULATI!N54/10^3</f>
        <v>-1229.31886444818</v>
      </c>
      <c r="Q54" s="69">
        <f>TABULATI!O54/10^6</f>
        <v>0</v>
      </c>
      <c r="R54" s="72">
        <f>-N54/('DATI nascosti 1'!$C$6*'DATI nascosti 1'!$C$13*'DATI nascosti 1'!$H$10*'DATI nascosti 1'!$H$16)</f>
        <v>-0.29581171389629707</v>
      </c>
      <c r="S54" s="72">
        <f>O54/('DATI nascosti 1'!$H$16*'DATI nascosti 1'!$C$6*'DATI nascosti 1'!$C$13^2*'DATI nascosti 1'!$H$10)</f>
        <v>0</v>
      </c>
      <c r="T54" s="73">
        <f t="shared" si="1"/>
        <v>0</v>
      </c>
      <c r="U54" s="67" t="str">
        <f>IF(T54&gt;=0, IF(T54&lt;='DATI nascosti 1'!$C$8/6, "SI", "NO"),IF(T54&gt; -'DATI nascosti 1'!$C$8/6, "SI", "NO"))</f>
        <v>SI</v>
      </c>
      <c r="V54" s="67" t="str">
        <f>IF(Foglio3!G55&lt;1,IF(Foglio3!G55&gt;-1,"ROTTURA BILANCIATA",""),"")</f>
        <v/>
      </c>
    </row>
    <row r="55" spans="1:22" ht="18.75" x14ac:dyDescent="0.25">
      <c r="A55" s="20"/>
      <c r="B55" s="67" t="s">
        <v>39</v>
      </c>
      <c r="C55" s="68">
        <f>'DATI nascosti 1'!$L$8*10^-3</f>
        <v>6.7500000000000004E-2</v>
      </c>
      <c r="D55" s="68">
        <f>D54-(C55-('DATI nascosti 1'!$C$10/'DATI nascosti 1'!$C$13*C55))/100</f>
        <v>3.3118831168831034E-2</v>
      </c>
      <c r="E55" s="67" t="s">
        <v>39</v>
      </c>
      <c r="F55" s="69">
        <f>(D55*'DATI nascosti 1'!$C$13-C55*'DATI nascosti 1'!$C$10)/(D55-C55)</f>
        <v>-1024.2452830188593</v>
      </c>
      <c r="G55" s="70">
        <v>0</v>
      </c>
      <c r="H55" s="70">
        <v>0</v>
      </c>
      <c r="I55" s="70">
        <v>0</v>
      </c>
      <c r="J55" s="70">
        <v>0</v>
      </c>
      <c r="K55" s="71">
        <f>IF(D55&gt;=('DATI nascosti 1'!$L$10*10^-3),'DATI nascosti 1'!$L$14*'DATI nascosti 1'!$P$12,IF(D55&gt;=(-'DATI nascosti 1'!$L$10*10^-3),'DATI nascosti 1'!$L$16*D55*'DATI nascosti 1'!$P$12,-'DATI nascosti 1'!$L$14*'DATI nascosti 1'!$P$12))</f>
        <v>614659.43222408998</v>
      </c>
      <c r="L55" s="71">
        <v>0</v>
      </c>
      <c r="M55" s="71">
        <f>IF(C55&gt;=('DATI nascosti 1'!$L$10*10^-3),'DATI nascosti 1'!$L$14*'DATI nascosti 1'!$P$11,IF(C55&gt;=(-'DATI nascosti 1'!$L$10*10^-3),'DATI nascosti 1'!$P$11*'DATI nascosti 1'!$L$16*C55,-'DATI nascosti 1'!$L$14*'DATI nascosti 1'!$P$11))</f>
        <v>614659.43222408998</v>
      </c>
      <c r="N55" s="71">
        <f t="shared" si="0"/>
        <v>1229318.86444818</v>
      </c>
      <c r="O55" s="71">
        <f>-K55*('DATI nascosti 1'!$C$13/2)+M55*('DATI nascosti 1'!$C$13/2)</f>
        <v>0</v>
      </c>
      <c r="P55" s="69">
        <f>-TABULATI!N55/10^3</f>
        <v>-1229.31886444818</v>
      </c>
      <c r="Q55" s="69">
        <f>TABULATI!O55/10^6</f>
        <v>0</v>
      </c>
      <c r="R55" s="72">
        <f>-N55/('DATI nascosti 1'!$C$6*'DATI nascosti 1'!$C$13*'DATI nascosti 1'!$H$10*'DATI nascosti 1'!$H$16)</f>
        <v>-0.29581171389629707</v>
      </c>
      <c r="S55" s="72">
        <f>O55/('DATI nascosti 1'!$H$16*'DATI nascosti 1'!$C$6*'DATI nascosti 1'!$C$13^2*'DATI nascosti 1'!$H$10)</f>
        <v>0</v>
      </c>
      <c r="T55" s="73">
        <f t="shared" si="1"/>
        <v>0</v>
      </c>
      <c r="U55" s="67" t="str">
        <f>IF(T55&gt;=0, IF(T55&lt;='DATI nascosti 1'!$C$8/6, "SI", "NO"),IF(T55&gt; -'DATI nascosti 1'!$C$8/6, "SI", "NO"))</f>
        <v>SI</v>
      </c>
      <c r="V55" s="67" t="str">
        <f>IF(Foglio3!G56&lt;1,IF(Foglio3!G56&gt;-1,"ROTTURA BILANCIATA",""),"")</f>
        <v/>
      </c>
    </row>
    <row r="56" spans="1:22" ht="18.75" x14ac:dyDescent="0.25">
      <c r="A56" s="20"/>
      <c r="B56" s="67" t="s">
        <v>39</v>
      </c>
      <c r="C56" s="68">
        <f>'DATI nascosti 1'!$L$8*10^-3</f>
        <v>6.7500000000000004E-2</v>
      </c>
      <c r="D56" s="68">
        <f>D55-(C56-('DATI nascosti 1'!$C$10/'DATI nascosti 1'!$C$13*C56))/100</f>
        <v>3.2470129870129733E-2</v>
      </c>
      <c r="E56" s="67" t="s">
        <v>39</v>
      </c>
      <c r="F56" s="69">
        <f>(D56*'DATI nascosti 1'!$C$13-C56*'DATI nascosti 1'!$C$10)/(D56-C56)</f>
        <v>-983.88888888888039</v>
      </c>
      <c r="G56" s="70">
        <v>0</v>
      </c>
      <c r="H56" s="70">
        <v>0</v>
      </c>
      <c r="I56" s="70">
        <v>0</v>
      </c>
      <c r="J56" s="70">
        <v>0</v>
      </c>
      <c r="K56" s="71">
        <f>IF(D56&gt;=('DATI nascosti 1'!$L$10*10^-3),'DATI nascosti 1'!$L$14*'DATI nascosti 1'!$P$12,IF(D56&gt;=(-'DATI nascosti 1'!$L$10*10^-3),'DATI nascosti 1'!$L$16*D56*'DATI nascosti 1'!$P$12,-'DATI nascosti 1'!$L$14*'DATI nascosti 1'!$P$12))</f>
        <v>614659.43222408998</v>
      </c>
      <c r="L56" s="71">
        <v>0</v>
      </c>
      <c r="M56" s="71">
        <f>IF(C56&gt;=('DATI nascosti 1'!$L$10*10^-3),'DATI nascosti 1'!$L$14*'DATI nascosti 1'!$P$11,IF(C56&gt;=(-'DATI nascosti 1'!$L$10*10^-3),'DATI nascosti 1'!$P$11*'DATI nascosti 1'!$L$16*C56,-'DATI nascosti 1'!$L$14*'DATI nascosti 1'!$P$11))</f>
        <v>614659.43222408998</v>
      </c>
      <c r="N56" s="71">
        <f t="shared" si="0"/>
        <v>1229318.86444818</v>
      </c>
      <c r="O56" s="71">
        <f>-K56*('DATI nascosti 1'!$C$13/2)+M56*('DATI nascosti 1'!$C$13/2)</f>
        <v>0</v>
      </c>
      <c r="P56" s="69">
        <f>-TABULATI!N56/10^3</f>
        <v>-1229.31886444818</v>
      </c>
      <c r="Q56" s="69">
        <f>TABULATI!O56/10^6</f>
        <v>0</v>
      </c>
      <c r="R56" s="72">
        <f>-N56/('DATI nascosti 1'!$C$6*'DATI nascosti 1'!$C$13*'DATI nascosti 1'!$H$10*'DATI nascosti 1'!$H$16)</f>
        <v>-0.29581171389629707</v>
      </c>
      <c r="S56" s="72">
        <f>O56/('DATI nascosti 1'!$H$16*'DATI nascosti 1'!$C$6*'DATI nascosti 1'!$C$13^2*'DATI nascosti 1'!$H$10)</f>
        <v>0</v>
      </c>
      <c r="T56" s="73">
        <f t="shared" si="1"/>
        <v>0</v>
      </c>
      <c r="U56" s="67" t="str">
        <f>IF(T56&gt;=0, IF(T56&lt;='DATI nascosti 1'!$C$8/6, "SI", "NO"),IF(T56&gt; -'DATI nascosti 1'!$C$8/6, "SI", "NO"))</f>
        <v>SI</v>
      </c>
      <c r="V56" s="67" t="str">
        <f>IF(Foglio3!G57&lt;1,IF(Foglio3!G57&gt;-1,"ROTTURA BILANCIATA",""),"")</f>
        <v/>
      </c>
    </row>
    <row r="57" spans="1:22" ht="18.75" x14ac:dyDescent="0.25">
      <c r="A57" s="20"/>
      <c r="B57" s="67" t="s">
        <v>39</v>
      </c>
      <c r="C57" s="68">
        <f>'DATI nascosti 1'!$L$8*10^-3</f>
        <v>6.7500000000000004E-2</v>
      </c>
      <c r="D57" s="68">
        <f>D56-(C57-('DATI nascosti 1'!$C$10/'DATI nascosti 1'!$C$13*C57))/100</f>
        <v>3.1821428571428431E-2</v>
      </c>
      <c r="E57" s="67" t="s">
        <v>39</v>
      </c>
      <c r="F57" s="69">
        <f>(D57*'DATI nascosti 1'!$C$13-C57*'DATI nascosti 1'!$C$10)/(D57-C57)</f>
        <v>-944.9999999999917</v>
      </c>
      <c r="G57" s="70">
        <v>0</v>
      </c>
      <c r="H57" s="70">
        <v>0</v>
      </c>
      <c r="I57" s="70">
        <v>0</v>
      </c>
      <c r="J57" s="70">
        <v>0</v>
      </c>
      <c r="K57" s="71">
        <f>IF(D57&gt;=('DATI nascosti 1'!$L$10*10^-3),'DATI nascosti 1'!$L$14*'DATI nascosti 1'!$P$12,IF(D57&gt;=(-'DATI nascosti 1'!$L$10*10^-3),'DATI nascosti 1'!$L$16*D57*'DATI nascosti 1'!$P$12,-'DATI nascosti 1'!$L$14*'DATI nascosti 1'!$P$12))</f>
        <v>614659.43222408998</v>
      </c>
      <c r="L57" s="71">
        <v>0</v>
      </c>
      <c r="M57" s="71">
        <f>IF(C57&gt;=('DATI nascosti 1'!$L$10*10^-3),'DATI nascosti 1'!$L$14*'DATI nascosti 1'!$P$11,IF(C57&gt;=(-'DATI nascosti 1'!$L$10*10^-3),'DATI nascosti 1'!$P$11*'DATI nascosti 1'!$L$16*C57,-'DATI nascosti 1'!$L$14*'DATI nascosti 1'!$P$11))</f>
        <v>614659.43222408998</v>
      </c>
      <c r="N57" s="71">
        <f t="shared" si="0"/>
        <v>1229318.86444818</v>
      </c>
      <c r="O57" s="71">
        <f>-K57*('DATI nascosti 1'!$C$13/2)+M57*('DATI nascosti 1'!$C$13/2)</f>
        <v>0</v>
      </c>
      <c r="P57" s="69">
        <f>-TABULATI!N57/10^3</f>
        <v>-1229.31886444818</v>
      </c>
      <c r="Q57" s="69">
        <f>TABULATI!O57/10^6</f>
        <v>0</v>
      </c>
      <c r="R57" s="72">
        <f>-N57/('DATI nascosti 1'!$C$6*'DATI nascosti 1'!$C$13*'DATI nascosti 1'!$H$10*'DATI nascosti 1'!$H$16)</f>
        <v>-0.29581171389629707</v>
      </c>
      <c r="S57" s="72">
        <f>O57/('DATI nascosti 1'!$H$16*'DATI nascosti 1'!$C$6*'DATI nascosti 1'!$C$13^2*'DATI nascosti 1'!$H$10)</f>
        <v>0</v>
      </c>
      <c r="T57" s="73">
        <f t="shared" si="1"/>
        <v>0</v>
      </c>
      <c r="U57" s="67" t="str">
        <f>IF(T57&gt;=0, IF(T57&lt;='DATI nascosti 1'!$C$8/6, "SI", "NO"),IF(T57&gt; -'DATI nascosti 1'!$C$8/6, "SI", "NO"))</f>
        <v>SI</v>
      </c>
      <c r="V57" s="67" t="str">
        <f>IF(Foglio3!G58&lt;1,IF(Foglio3!G58&gt;-1,"ROTTURA BILANCIATA",""),"")</f>
        <v/>
      </c>
    </row>
    <row r="58" spans="1:22" ht="18.75" x14ac:dyDescent="0.25">
      <c r="A58" s="20"/>
      <c r="B58" s="67" t="s">
        <v>39</v>
      </c>
      <c r="C58" s="68">
        <f>'DATI nascosti 1'!$L$8*10^-3</f>
        <v>6.7500000000000004E-2</v>
      </c>
      <c r="D58" s="68">
        <f>D57-(C58-('DATI nascosti 1'!$C$10/'DATI nascosti 1'!$C$13*C58))/100</f>
        <v>3.1172727272727133E-2</v>
      </c>
      <c r="E58" s="67" t="s">
        <v>39</v>
      </c>
      <c r="F58" s="69">
        <f>(D58*'DATI nascosti 1'!$C$13-C58*'DATI nascosti 1'!$C$10)/(D58-C58)</f>
        <v>-907.49999999999181</v>
      </c>
      <c r="G58" s="70">
        <v>0</v>
      </c>
      <c r="H58" s="70">
        <v>0</v>
      </c>
      <c r="I58" s="70">
        <v>0</v>
      </c>
      <c r="J58" s="70">
        <v>0</v>
      </c>
      <c r="K58" s="71">
        <f>IF(D58&gt;=('DATI nascosti 1'!$L$10*10^-3),'DATI nascosti 1'!$L$14*'DATI nascosti 1'!$P$12,IF(D58&gt;=(-'DATI nascosti 1'!$L$10*10^-3),'DATI nascosti 1'!$L$16*D58*'DATI nascosti 1'!$P$12,-'DATI nascosti 1'!$L$14*'DATI nascosti 1'!$P$12))</f>
        <v>614659.43222408998</v>
      </c>
      <c r="L58" s="71">
        <v>0</v>
      </c>
      <c r="M58" s="71">
        <f>IF(C58&gt;=('DATI nascosti 1'!$L$10*10^-3),'DATI nascosti 1'!$L$14*'DATI nascosti 1'!$P$11,IF(C58&gt;=(-'DATI nascosti 1'!$L$10*10^-3),'DATI nascosti 1'!$P$11*'DATI nascosti 1'!$L$16*C58,-'DATI nascosti 1'!$L$14*'DATI nascosti 1'!$P$11))</f>
        <v>614659.43222408998</v>
      </c>
      <c r="N58" s="71">
        <f t="shared" si="0"/>
        <v>1229318.86444818</v>
      </c>
      <c r="O58" s="71">
        <f>-K58*('DATI nascosti 1'!$C$13/2)+M58*('DATI nascosti 1'!$C$13/2)</f>
        <v>0</v>
      </c>
      <c r="P58" s="69">
        <f>-TABULATI!N58/10^3</f>
        <v>-1229.31886444818</v>
      </c>
      <c r="Q58" s="69">
        <f>TABULATI!O58/10^6</f>
        <v>0</v>
      </c>
      <c r="R58" s="72">
        <f>-N58/('DATI nascosti 1'!$C$6*'DATI nascosti 1'!$C$13*'DATI nascosti 1'!$H$10*'DATI nascosti 1'!$H$16)</f>
        <v>-0.29581171389629707</v>
      </c>
      <c r="S58" s="72">
        <f>O58/('DATI nascosti 1'!$H$16*'DATI nascosti 1'!$C$6*'DATI nascosti 1'!$C$13^2*'DATI nascosti 1'!$H$10)</f>
        <v>0</v>
      </c>
      <c r="T58" s="73">
        <f t="shared" si="1"/>
        <v>0</v>
      </c>
      <c r="U58" s="67" t="str">
        <f>IF(T58&gt;=0, IF(T58&lt;='DATI nascosti 1'!$C$8/6, "SI", "NO"),IF(T58&gt; -'DATI nascosti 1'!$C$8/6, "SI", "NO"))</f>
        <v>SI</v>
      </c>
      <c r="V58" s="67" t="str">
        <f>IF(Foglio3!G59&lt;1,IF(Foglio3!G59&gt;-1,"ROTTURA BILANCIATA",""),"")</f>
        <v/>
      </c>
    </row>
    <row r="59" spans="1:22" ht="18.75" x14ac:dyDescent="0.25">
      <c r="A59" s="20"/>
      <c r="B59" s="67" t="s">
        <v>39</v>
      </c>
      <c r="C59" s="68">
        <f>'DATI nascosti 1'!$L$8*10^-3</f>
        <v>6.7500000000000004E-2</v>
      </c>
      <c r="D59" s="68">
        <f>D58-(C59-('DATI nascosti 1'!$C$10/'DATI nascosti 1'!$C$13*C59))/100</f>
        <v>3.0524025974025835E-2</v>
      </c>
      <c r="E59" s="67" t="s">
        <v>39</v>
      </c>
      <c r="F59" s="69">
        <f>(D59*'DATI nascosti 1'!$C$13-C59*'DATI nascosti 1'!$C$10)/(D59-C59)</f>
        <v>-871.31578947367643</v>
      </c>
      <c r="G59" s="70">
        <v>0</v>
      </c>
      <c r="H59" s="70">
        <v>0</v>
      </c>
      <c r="I59" s="70">
        <v>0</v>
      </c>
      <c r="J59" s="70">
        <v>0</v>
      </c>
      <c r="K59" s="71">
        <f>IF(D59&gt;=('DATI nascosti 1'!$L$10*10^-3),'DATI nascosti 1'!$L$14*'DATI nascosti 1'!$P$12,IF(D59&gt;=(-'DATI nascosti 1'!$L$10*10^-3),'DATI nascosti 1'!$L$16*D59*'DATI nascosti 1'!$P$12,-'DATI nascosti 1'!$L$14*'DATI nascosti 1'!$P$12))</f>
        <v>614659.43222408998</v>
      </c>
      <c r="L59" s="71">
        <v>0</v>
      </c>
      <c r="M59" s="71">
        <f>IF(C59&gt;=('DATI nascosti 1'!$L$10*10^-3),'DATI nascosti 1'!$L$14*'DATI nascosti 1'!$P$11,IF(C59&gt;=(-'DATI nascosti 1'!$L$10*10^-3),'DATI nascosti 1'!$P$11*'DATI nascosti 1'!$L$16*C59,-'DATI nascosti 1'!$L$14*'DATI nascosti 1'!$P$11))</f>
        <v>614659.43222408998</v>
      </c>
      <c r="N59" s="71">
        <f t="shared" si="0"/>
        <v>1229318.86444818</v>
      </c>
      <c r="O59" s="71">
        <f>-K59*('DATI nascosti 1'!$C$13/2)+M59*('DATI nascosti 1'!$C$13/2)</f>
        <v>0</v>
      </c>
      <c r="P59" s="69">
        <f>-TABULATI!N59/10^3</f>
        <v>-1229.31886444818</v>
      </c>
      <c r="Q59" s="69">
        <f>TABULATI!O59/10^6</f>
        <v>0</v>
      </c>
      <c r="R59" s="72">
        <f>-N59/('DATI nascosti 1'!$C$6*'DATI nascosti 1'!$C$13*'DATI nascosti 1'!$H$10*'DATI nascosti 1'!$H$16)</f>
        <v>-0.29581171389629707</v>
      </c>
      <c r="S59" s="72">
        <f>O59/('DATI nascosti 1'!$H$16*'DATI nascosti 1'!$C$6*'DATI nascosti 1'!$C$13^2*'DATI nascosti 1'!$H$10)</f>
        <v>0</v>
      </c>
      <c r="T59" s="73">
        <f t="shared" si="1"/>
        <v>0</v>
      </c>
      <c r="U59" s="67" t="str">
        <f>IF(T59&gt;=0, IF(T59&lt;='DATI nascosti 1'!$C$8/6, "SI", "NO"),IF(T59&gt; -'DATI nascosti 1'!$C$8/6, "SI", "NO"))</f>
        <v>SI</v>
      </c>
      <c r="V59" s="67" t="str">
        <f>IF(Foglio3!G60&lt;1,IF(Foglio3!G60&gt;-1,"ROTTURA BILANCIATA",""),"")</f>
        <v/>
      </c>
    </row>
    <row r="60" spans="1:22" ht="18.75" x14ac:dyDescent="0.25">
      <c r="A60" s="20"/>
      <c r="B60" s="67" t="s">
        <v>39</v>
      </c>
      <c r="C60" s="68">
        <f>'DATI nascosti 1'!$L$8*10^-3</f>
        <v>6.7500000000000004E-2</v>
      </c>
      <c r="D60" s="68">
        <f>D59-(C60-('DATI nascosti 1'!$C$10/'DATI nascosti 1'!$C$13*C60))/100</f>
        <v>2.9875324675324538E-2</v>
      </c>
      <c r="E60" s="67" t="s">
        <v>39</v>
      </c>
      <c r="F60" s="69">
        <f>(D60*'DATI nascosti 1'!$C$13-C60*'DATI nascosti 1'!$C$10)/(D60-C60)</f>
        <v>-836.37931034482028</v>
      </c>
      <c r="G60" s="70">
        <v>0</v>
      </c>
      <c r="H60" s="70">
        <v>0</v>
      </c>
      <c r="I60" s="70">
        <v>0</v>
      </c>
      <c r="J60" s="70">
        <v>0</v>
      </c>
      <c r="K60" s="71">
        <f>IF(D60&gt;=('DATI nascosti 1'!$L$10*10^-3),'DATI nascosti 1'!$L$14*'DATI nascosti 1'!$P$12,IF(D60&gt;=(-'DATI nascosti 1'!$L$10*10^-3),'DATI nascosti 1'!$L$16*D60*'DATI nascosti 1'!$P$12,-'DATI nascosti 1'!$L$14*'DATI nascosti 1'!$P$12))</f>
        <v>614659.43222408998</v>
      </c>
      <c r="L60" s="71">
        <v>0</v>
      </c>
      <c r="M60" s="71">
        <f>IF(C60&gt;=('DATI nascosti 1'!$L$10*10^-3),'DATI nascosti 1'!$L$14*'DATI nascosti 1'!$P$11,IF(C60&gt;=(-'DATI nascosti 1'!$L$10*10^-3),'DATI nascosti 1'!$P$11*'DATI nascosti 1'!$L$16*C60,-'DATI nascosti 1'!$L$14*'DATI nascosti 1'!$P$11))</f>
        <v>614659.43222408998</v>
      </c>
      <c r="N60" s="71">
        <f t="shared" si="0"/>
        <v>1229318.86444818</v>
      </c>
      <c r="O60" s="71">
        <f>-K60*('DATI nascosti 1'!$C$13/2)+M60*('DATI nascosti 1'!$C$13/2)</f>
        <v>0</v>
      </c>
      <c r="P60" s="69">
        <f>-TABULATI!N60/10^3</f>
        <v>-1229.31886444818</v>
      </c>
      <c r="Q60" s="69">
        <f>TABULATI!O60/10^6</f>
        <v>0</v>
      </c>
      <c r="R60" s="72">
        <f>-N60/('DATI nascosti 1'!$C$6*'DATI nascosti 1'!$C$13*'DATI nascosti 1'!$H$10*'DATI nascosti 1'!$H$16)</f>
        <v>-0.29581171389629707</v>
      </c>
      <c r="S60" s="72">
        <f>O60/('DATI nascosti 1'!$H$16*'DATI nascosti 1'!$C$6*'DATI nascosti 1'!$C$13^2*'DATI nascosti 1'!$H$10)</f>
        <v>0</v>
      </c>
      <c r="T60" s="73">
        <f t="shared" si="1"/>
        <v>0</v>
      </c>
      <c r="U60" s="67" t="str">
        <f>IF(T60&gt;=0, IF(T60&lt;='DATI nascosti 1'!$C$8/6, "SI", "NO"),IF(T60&gt; -'DATI nascosti 1'!$C$8/6, "SI", "NO"))</f>
        <v>SI</v>
      </c>
      <c r="V60" s="67" t="str">
        <f>IF(Foglio3!G61&lt;1,IF(Foglio3!G61&gt;-1,"ROTTURA BILANCIATA",""),"")</f>
        <v/>
      </c>
    </row>
    <row r="61" spans="1:22" ht="18.75" x14ac:dyDescent="0.25">
      <c r="A61" s="20"/>
      <c r="B61" s="67" t="s">
        <v>39</v>
      </c>
      <c r="C61" s="68">
        <f>'DATI nascosti 1'!$L$8*10^-3</f>
        <v>6.7500000000000004E-2</v>
      </c>
      <c r="D61" s="68">
        <f>D60-(C61-('DATI nascosti 1'!$C$10/'DATI nascosti 1'!$C$13*C61))/100</f>
        <v>2.922662337662324E-2</v>
      </c>
      <c r="E61" s="67" t="s">
        <v>39</v>
      </c>
      <c r="F61" s="69">
        <f>(D61*'DATI nascosti 1'!$C$13-C61*'DATI nascosti 1'!$C$10)/(D61-C61)</f>
        <v>-802.6271186440606</v>
      </c>
      <c r="G61" s="70">
        <v>0</v>
      </c>
      <c r="H61" s="70">
        <v>0</v>
      </c>
      <c r="I61" s="70">
        <v>0</v>
      </c>
      <c r="J61" s="70">
        <v>0</v>
      </c>
      <c r="K61" s="71">
        <f>IF(D61&gt;=('DATI nascosti 1'!$L$10*10^-3),'DATI nascosti 1'!$L$14*'DATI nascosti 1'!$P$12,IF(D61&gt;=(-'DATI nascosti 1'!$L$10*10^-3),'DATI nascosti 1'!$L$16*D61*'DATI nascosti 1'!$P$12,-'DATI nascosti 1'!$L$14*'DATI nascosti 1'!$P$12))</f>
        <v>614659.43222408998</v>
      </c>
      <c r="L61" s="71">
        <v>0</v>
      </c>
      <c r="M61" s="71">
        <f>IF(C61&gt;=('DATI nascosti 1'!$L$10*10^-3),'DATI nascosti 1'!$L$14*'DATI nascosti 1'!$P$11,IF(C61&gt;=(-'DATI nascosti 1'!$L$10*10^-3),'DATI nascosti 1'!$P$11*'DATI nascosti 1'!$L$16*C61,-'DATI nascosti 1'!$L$14*'DATI nascosti 1'!$P$11))</f>
        <v>614659.43222408998</v>
      </c>
      <c r="N61" s="71">
        <f t="shared" si="0"/>
        <v>1229318.86444818</v>
      </c>
      <c r="O61" s="71">
        <f>-K61*('DATI nascosti 1'!$C$13/2)+M61*('DATI nascosti 1'!$C$13/2)</f>
        <v>0</v>
      </c>
      <c r="P61" s="69">
        <f>-TABULATI!N61/10^3</f>
        <v>-1229.31886444818</v>
      </c>
      <c r="Q61" s="69">
        <f>TABULATI!O61/10^6</f>
        <v>0</v>
      </c>
      <c r="R61" s="72">
        <f>-N61/('DATI nascosti 1'!$C$6*'DATI nascosti 1'!$C$13*'DATI nascosti 1'!$H$10*'DATI nascosti 1'!$H$16)</f>
        <v>-0.29581171389629707</v>
      </c>
      <c r="S61" s="72">
        <f>O61/('DATI nascosti 1'!$H$16*'DATI nascosti 1'!$C$6*'DATI nascosti 1'!$C$13^2*'DATI nascosti 1'!$H$10)</f>
        <v>0</v>
      </c>
      <c r="T61" s="73">
        <f t="shared" si="1"/>
        <v>0</v>
      </c>
      <c r="U61" s="67" t="str">
        <f>IF(T61&gt;=0, IF(T61&lt;='DATI nascosti 1'!$C$8/6, "SI", "NO"),IF(T61&gt; -'DATI nascosti 1'!$C$8/6, "SI", "NO"))</f>
        <v>SI</v>
      </c>
      <c r="V61" s="67" t="str">
        <f>IF(Foglio3!G62&lt;1,IF(Foglio3!G62&gt;-1,"ROTTURA BILANCIATA",""),"")</f>
        <v/>
      </c>
    </row>
    <row r="62" spans="1:22" ht="18.75" x14ac:dyDescent="0.25">
      <c r="A62" s="20"/>
      <c r="B62" s="67" t="s">
        <v>39</v>
      </c>
      <c r="C62" s="68">
        <f>'DATI nascosti 1'!$L$8*10^-3</f>
        <v>6.7500000000000004E-2</v>
      </c>
      <c r="D62" s="68">
        <f>D61-(C62-('DATI nascosti 1'!$C$10/'DATI nascosti 1'!$C$13*C62))/100</f>
        <v>2.8577922077921942E-2</v>
      </c>
      <c r="E62" s="67" t="s">
        <v>39</v>
      </c>
      <c r="F62" s="69">
        <f>(D62*'DATI nascosti 1'!$C$13-C62*'DATI nascosti 1'!$C$10)/(D62-C62)</f>
        <v>-769.99999999999307</v>
      </c>
      <c r="G62" s="70">
        <v>0</v>
      </c>
      <c r="H62" s="70">
        <v>0</v>
      </c>
      <c r="I62" s="70">
        <v>0</v>
      </c>
      <c r="J62" s="70">
        <v>0</v>
      </c>
      <c r="K62" s="71">
        <f>IF(D62&gt;=('DATI nascosti 1'!$L$10*10^-3),'DATI nascosti 1'!$L$14*'DATI nascosti 1'!$P$12,IF(D62&gt;=(-'DATI nascosti 1'!$L$10*10^-3),'DATI nascosti 1'!$L$16*D62*'DATI nascosti 1'!$P$12,-'DATI nascosti 1'!$L$14*'DATI nascosti 1'!$P$12))</f>
        <v>614659.43222408998</v>
      </c>
      <c r="L62" s="71">
        <v>0</v>
      </c>
      <c r="M62" s="71">
        <f>IF(C62&gt;=('DATI nascosti 1'!$L$10*10^-3),'DATI nascosti 1'!$L$14*'DATI nascosti 1'!$P$11,IF(C62&gt;=(-'DATI nascosti 1'!$L$10*10^-3),'DATI nascosti 1'!$P$11*'DATI nascosti 1'!$L$16*C62,-'DATI nascosti 1'!$L$14*'DATI nascosti 1'!$P$11))</f>
        <v>614659.43222408998</v>
      </c>
      <c r="N62" s="71">
        <f t="shared" si="0"/>
        <v>1229318.86444818</v>
      </c>
      <c r="O62" s="71">
        <f>-K62*('DATI nascosti 1'!$C$13/2)+M62*('DATI nascosti 1'!$C$13/2)</f>
        <v>0</v>
      </c>
      <c r="P62" s="69">
        <f>-TABULATI!N62/10^3</f>
        <v>-1229.31886444818</v>
      </c>
      <c r="Q62" s="69">
        <f>TABULATI!O62/10^6</f>
        <v>0</v>
      </c>
      <c r="R62" s="72">
        <f>-N62/('DATI nascosti 1'!$C$6*'DATI nascosti 1'!$C$13*'DATI nascosti 1'!$H$10*'DATI nascosti 1'!$H$16)</f>
        <v>-0.29581171389629707</v>
      </c>
      <c r="S62" s="72">
        <f>O62/('DATI nascosti 1'!$H$16*'DATI nascosti 1'!$C$6*'DATI nascosti 1'!$C$13^2*'DATI nascosti 1'!$H$10)</f>
        <v>0</v>
      </c>
      <c r="T62" s="73">
        <f t="shared" si="1"/>
        <v>0</v>
      </c>
      <c r="U62" s="67" t="str">
        <f>IF(T62&gt;=0, IF(T62&lt;='DATI nascosti 1'!$C$8/6, "SI", "NO"),IF(T62&gt; -'DATI nascosti 1'!$C$8/6, "SI", "NO"))</f>
        <v>SI</v>
      </c>
      <c r="V62" s="67" t="str">
        <f>IF(Foglio3!G63&lt;1,IF(Foglio3!G63&gt;-1,"ROTTURA BILANCIATA",""),"")</f>
        <v/>
      </c>
    </row>
    <row r="63" spans="1:22" ht="18.75" x14ac:dyDescent="0.25">
      <c r="A63" s="20"/>
      <c r="B63" s="67" t="s">
        <v>39</v>
      </c>
      <c r="C63" s="68">
        <f>'DATI nascosti 1'!$L$8*10^-3</f>
        <v>6.7500000000000004E-2</v>
      </c>
      <c r="D63" s="68">
        <f>D62-(C63-('DATI nascosti 1'!$C$10/'DATI nascosti 1'!$C$13*C63))/100</f>
        <v>2.7929220779220644E-2</v>
      </c>
      <c r="E63" s="67" t="s">
        <v>39</v>
      </c>
      <c r="F63" s="69">
        <f>(D63*'DATI nascosti 1'!$C$13-C63*'DATI nascosti 1'!$C$10)/(D63-C63)</f>
        <v>-738.44262295081296</v>
      </c>
      <c r="G63" s="70">
        <v>0</v>
      </c>
      <c r="H63" s="70">
        <v>0</v>
      </c>
      <c r="I63" s="70">
        <v>0</v>
      </c>
      <c r="J63" s="70">
        <v>0</v>
      </c>
      <c r="K63" s="71">
        <f>IF(D63&gt;=('DATI nascosti 1'!$L$10*10^-3),'DATI nascosti 1'!$L$14*'DATI nascosti 1'!$P$12,IF(D63&gt;=(-'DATI nascosti 1'!$L$10*10^-3),'DATI nascosti 1'!$L$16*D63*'DATI nascosti 1'!$P$12,-'DATI nascosti 1'!$L$14*'DATI nascosti 1'!$P$12))</f>
        <v>614659.43222408998</v>
      </c>
      <c r="L63" s="71">
        <v>0</v>
      </c>
      <c r="M63" s="71">
        <f>IF(C63&gt;=('DATI nascosti 1'!$L$10*10^-3),'DATI nascosti 1'!$L$14*'DATI nascosti 1'!$P$11,IF(C63&gt;=(-'DATI nascosti 1'!$L$10*10^-3),'DATI nascosti 1'!$P$11*'DATI nascosti 1'!$L$16*C63,-'DATI nascosti 1'!$L$14*'DATI nascosti 1'!$P$11))</f>
        <v>614659.43222408998</v>
      </c>
      <c r="N63" s="71">
        <f t="shared" si="0"/>
        <v>1229318.86444818</v>
      </c>
      <c r="O63" s="71">
        <f>-K63*('DATI nascosti 1'!$C$13/2)+M63*('DATI nascosti 1'!$C$13/2)</f>
        <v>0</v>
      </c>
      <c r="P63" s="69">
        <f>-TABULATI!N63/10^3</f>
        <v>-1229.31886444818</v>
      </c>
      <c r="Q63" s="69">
        <f>TABULATI!O63/10^6</f>
        <v>0</v>
      </c>
      <c r="R63" s="72">
        <f>-N63/('DATI nascosti 1'!$C$6*'DATI nascosti 1'!$C$13*'DATI nascosti 1'!$H$10*'DATI nascosti 1'!$H$16)</f>
        <v>-0.29581171389629707</v>
      </c>
      <c r="S63" s="72">
        <f>O63/('DATI nascosti 1'!$H$16*'DATI nascosti 1'!$C$6*'DATI nascosti 1'!$C$13^2*'DATI nascosti 1'!$H$10)</f>
        <v>0</v>
      </c>
      <c r="T63" s="73">
        <f t="shared" si="1"/>
        <v>0</v>
      </c>
      <c r="U63" s="67" t="str">
        <f>IF(T63&gt;=0, IF(T63&lt;='DATI nascosti 1'!$C$8/6, "SI", "NO"),IF(T63&gt; -'DATI nascosti 1'!$C$8/6, "SI", "NO"))</f>
        <v>SI</v>
      </c>
      <c r="V63" s="67" t="str">
        <f>IF(Foglio3!G64&lt;1,IF(Foglio3!G64&gt;-1,"ROTTURA BILANCIATA",""),"")</f>
        <v/>
      </c>
    </row>
    <row r="64" spans="1:22" ht="18.75" x14ac:dyDescent="0.25">
      <c r="A64" s="20"/>
      <c r="B64" s="67" t="s">
        <v>39</v>
      </c>
      <c r="C64" s="68">
        <f>'DATI nascosti 1'!$L$8*10^-3</f>
        <v>6.7500000000000004E-2</v>
      </c>
      <c r="D64" s="68">
        <f>D63-(C64-('DATI nascosti 1'!$C$10/'DATI nascosti 1'!$C$13*C64))/100</f>
        <v>2.7280519480519346E-2</v>
      </c>
      <c r="E64" s="67" t="s">
        <v>39</v>
      </c>
      <c r="F64" s="69">
        <f>(D64*'DATI nascosti 1'!$C$13-C64*'DATI nascosti 1'!$C$10)/(D64-C64)</f>
        <v>-707.90322580644533</v>
      </c>
      <c r="G64" s="70">
        <v>0</v>
      </c>
      <c r="H64" s="70">
        <v>0</v>
      </c>
      <c r="I64" s="70">
        <v>0</v>
      </c>
      <c r="J64" s="70">
        <v>0</v>
      </c>
      <c r="K64" s="71">
        <f>IF(D64&gt;=('DATI nascosti 1'!$L$10*10^-3),'DATI nascosti 1'!$L$14*'DATI nascosti 1'!$P$12,IF(D64&gt;=(-'DATI nascosti 1'!$L$10*10^-3),'DATI nascosti 1'!$L$16*D64*'DATI nascosti 1'!$P$12,-'DATI nascosti 1'!$L$14*'DATI nascosti 1'!$P$12))</f>
        <v>614659.43222408998</v>
      </c>
      <c r="L64" s="71">
        <v>0</v>
      </c>
      <c r="M64" s="71">
        <f>IF(C64&gt;=('DATI nascosti 1'!$L$10*10^-3),'DATI nascosti 1'!$L$14*'DATI nascosti 1'!$P$11,IF(C64&gt;=(-'DATI nascosti 1'!$L$10*10^-3),'DATI nascosti 1'!$P$11*'DATI nascosti 1'!$L$16*C64,-'DATI nascosti 1'!$L$14*'DATI nascosti 1'!$P$11))</f>
        <v>614659.43222408998</v>
      </c>
      <c r="N64" s="71">
        <f t="shared" si="0"/>
        <v>1229318.86444818</v>
      </c>
      <c r="O64" s="71">
        <f>-K64*('DATI nascosti 1'!$C$13/2)+M64*('DATI nascosti 1'!$C$13/2)</f>
        <v>0</v>
      </c>
      <c r="P64" s="69">
        <f>-TABULATI!N64/10^3</f>
        <v>-1229.31886444818</v>
      </c>
      <c r="Q64" s="69">
        <f>TABULATI!O64/10^6</f>
        <v>0</v>
      </c>
      <c r="R64" s="72">
        <f>-N64/('DATI nascosti 1'!$C$6*'DATI nascosti 1'!$C$13*'DATI nascosti 1'!$H$10*'DATI nascosti 1'!$H$16)</f>
        <v>-0.29581171389629707</v>
      </c>
      <c r="S64" s="72">
        <f>O64/('DATI nascosti 1'!$H$16*'DATI nascosti 1'!$C$6*'DATI nascosti 1'!$C$13^2*'DATI nascosti 1'!$H$10)</f>
        <v>0</v>
      </c>
      <c r="T64" s="73">
        <f t="shared" si="1"/>
        <v>0</v>
      </c>
      <c r="U64" s="67" t="str">
        <f>IF(T64&gt;=0, IF(T64&lt;='DATI nascosti 1'!$C$8/6, "SI", "NO"),IF(T64&gt; -'DATI nascosti 1'!$C$8/6, "SI", "NO"))</f>
        <v>SI</v>
      </c>
      <c r="V64" s="67" t="str">
        <f>IF(Foglio3!G65&lt;1,IF(Foglio3!G65&gt;-1,"ROTTURA BILANCIATA",""),"")</f>
        <v/>
      </c>
    </row>
    <row r="65" spans="1:22" ht="18.75" x14ac:dyDescent="0.25">
      <c r="A65" s="20"/>
      <c r="B65" s="67" t="s">
        <v>39</v>
      </c>
      <c r="C65" s="68">
        <f>'DATI nascosti 1'!$L$8*10^-3</f>
        <v>6.7500000000000004E-2</v>
      </c>
      <c r="D65" s="68">
        <f>D64-(C65-('DATI nascosti 1'!$C$10/'DATI nascosti 1'!$C$13*C65))/100</f>
        <v>2.6631818181818048E-2</v>
      </c>
      <c r="E65" s="67" t="s">
        <v>39</v>
      </c>
      <c r="F65" s="69">
        <f>(D65*'DATI nascosti 1'!$C$13-C65*'DATI nascosti 1'!$C$10)/(D65-C65)</f>
        <v>-678.33333333332723</v>
      </c>
      <c r="G65" s="70">
        <v>0</v>
      </c>
      <c r="H65" s="70">
        <v>0</v>
      </c>
      <c r="I65" s="70">
        <v>0</v>
      </c>
      <c r="J65" s="70">
        <v>0</v>
      </c>
      <c r="K65" s="71">
        <f>IF(D65&gt;=('DATI nascosti 1'!$L$10*10^-3),'DATI nascosti 1'!$L$14*'DATI nascosti 1'!$P$12,IF(D65&gt;=(-'DATI nascosti 1'!$L$10*10^-3),'DATI nascosti 1'!$L$16*D65*'DATI nascosti 1'!$P$12,-'DATI nascosti 1'!$L$14*'DATI nascosti 1'!$P$12))</f>
        <v>614659.43222408998</v>
      </c>
      <c r="L65" s="71">
        <v>0</v>
      </c>
      <c r="M65" s="71">
        <f>IF(C65&gt;=('DATI nascosti 1'!$L$10*10^-3),'DATI nascosti 1'!$L$14*'DATI nascosti 1'!$P$11,IF(C65&gt;=(-'DATI nascosti 1'!$L$10*10^-3),'DATI nascosti 1'!$P$11*'DATI nascosti 1'!$L$16*C65,-'DATI nascosti 1'!$L$14*'DATI nascosti 1'!$P$11))</f>
        <v>614659.43222408998</v>
      </c>
      <c r="N65" s="71">
        <f t="shared" si="0"/>
        <v>1229318.86444818</v>
      </c>
      <c r="O65" s="71">
        <f>-K65*('DATI nascosti 1'!$C$13/2)+M65*('DATI nascosti 1'!$C$13/2)</f>
        <v>0</v>
      </c>
      <c r="P65" s="69">
        <f>-TABULATI!N65/10^3</f>
        <v>-1229.31886444818</v>
      </c>
      <c r="Q65" s="69">
        <f>TABULATI!O65/10^6</f>
        <v>0</v>
      </c>
      <c r="R65" s="72">
        <f>-N65/('DATI nascosti 1'!$C$6*'DATI nascosti 1'!$C$13*'DATI nascosti 1'!$H$10*'DATI nascosti 1'!$H$16)</f>
        <v>-0.29581171389629707</v>
      </c>
      <c r="S65" s="72">
        <f>O65/('DATI nascosti 1'!$H$16*'DATI nascosti 1'!$C$6*'DATI nascosti 1'!$C$13^2*'DATI nascosti 1'!$H$10)</f>
        <v>0</v>
      </c>
      <c r="T65" s="73">
        <f t="shared" si="1"/>
        <v>0</v>
      </c>
      <c r="U65" s="67" t="str">
        <f>IF(T65&gt;=0, IF(T65&lt;='DATI nascosti 1'!$C$8/6, "SI", "NO"),IF(T65&gt; -'DATI nascosti 1'!$C$8/6, "SI", "NO"))</f>
        <v>SI</v>
      </c>
      <c r="V65" s="67" t="str">
        <f>IF(Foglio3!G66&lt;1,IF(Foglio3!G66&gt;-1,"ROTTURA BILANCIATA",""),"")</f>
        <v/>
      </c>
    </row>
    <row r="66" spans="1:22" ht="18.75" x14ac:dyDescent="0.25">
      <c r="A66" s="20"/>
      <c r="B66" s="67" t="s">
        <v>39</v>
      </c>
      <c r="C66" s="68">
        <f>'DATI nascosti 1'!$L$8*10^-3</f>
        <v>6.7500000000000004E-2</v>
      </c>
      <c r="D66" s="68">
        <f>D65-(C66-('DATI nascosti 1'!$C$10/'DATI nascosti 1'!$C$13*C66))/100</f>
        <v>2.598311688311675E-2</v>
      </c>
      <c r="E66" s="67" t="s">
        <v>39</v>
      </c>
      <c r="F66" s="69">
        <f>(D66*'DATI nascosti 1'!$C$13-C66*'DATI nascosti 1'!$C$10)/(D66-C66)</f>
        <v>-649.68749999999409</v>
      </c>
      <c r="G66" s="70">
        <v>0</v>
      </c>
      <c r="H66" s="70">
        <v>0</v>
      </c>
      <c r="I66" s="70">
        <v>0</v>
      </c>
      <c r="J66" s="70">
        <v>0</v>
      </c>
      <c r="K66" s="71">
        <f>IF(D66&gt;=('DATI nascosti 1'!$L$10*10^-3),'DATI nascosti 1'!$L$14*'DATI nascosti 1'!$P$12,IF(D66&gt;=(-'DATI nascosti 1'!$L$10*10^-3),'DATI nascosti 1'!$L$16*D66*'DATI nascosti 1'!$P$12,-'DATI nascosti 1'!$L$14*'DATI nascosti 1'!$P$12))</f>
        <v>614659.43222408998</v>
      </c>
      <c r="L66" s="71">
        <v>0</v>
      </c>
      <c r="M66" s="71">
        <f>IF(C66&gt;=('DATI nascosti 1'!$L$10*10^-3),'DATI nascosti 1'!$L$14*'DATI nascosti 1'!$P$11,IF(C66&gt;=(-'DATI nascosti 1'!$L$10*10^-3),'DATI nascosti 1'!$P$11*'DATI nascosti 1'!$L$16*C66,-'DATI nascosti 1'!$L$14*'DATI nascosti 1'!$P$11))</f>
        <v>614659.43222408998</v>
      </c>
      <c r="N66" s="71">
        <f t="shared" ref="N66:N129" si="2">K66+L66+M66</f>
        <v>1229318.86444818</v>
      </c>
      <c r="O66" s="71">
        <f>-K66*('DATI nascosti 1'!$C$13/2)+M66*('DATI nascosti 1'!$C$13/2)</f>
        <v>0</v>
      </c>
      <c r="P66" s="69">
        <f>-TABULATI!N66/10^3</f>
        <v>-1229.31886444818</v>
      </c>
      <c r="Q66" s="69">
        <f>TABULATI!O66/10^6</f>
        <v>0</v>
      </c>
      <c r="R66" s="72">
        <f>-N66/('DATI nascosti 1'!$C$6*'DATI nascosti 1'!$C$13*'DATI nascosti 1'!$H$10*'DATI nascosti 1'!$H$16)</f>
        <v>-0.29581171389629707</v>
      </c>
      <c r="S66" s="72">
        <f>O66/('DATI nascosti 1'!$H$16*'DATI nascosti 1'!$C$6*'DATI nascosti 1'!$C$13^2*'DATI nascosti 1'!$H$10)</f>
        <v>0</v>
      </c>
      <c r="T66" s="73">
        <f t="shared" ref="T66:T129" si="3">O66/N66</f>
        <v>0</v>
      </c>
      <c r="U66" s="67" t="str">
        <f>IF(T66&gt;=0, IF(T66&lt;='DATI nascosti 1'!$C$8/6, "SI", "NO"),IF(T66&gt; -'DATI nascosti 1'!$C$8/6, "SI", "NO"))</f>
        <v>SI</v>
      </c>
      <c r="V66" s="67" t="str">
        <f>IF(Foglio3!G67&lt;1,IF(Foglio3!G67&gt;-1,"ROTTURA BILANCIATA",""),"")</f>
        <v/>
      </c>
    </row>
    <row r="67" spans="1:22" ht="18.75" x14ac:dyDescent="0.25">
      <c r="A67" s="20"/>
      <c r="B67" s="67" t="s">
        <v>39</v>
      </c>
      <c r="C67" s="68">
        <f>'DATI nascosti 1'!$L$8*10^-3</f>
        <v>6.7500000000000004E-2</v>
      </c>
      <c r="D67" s="68">
        <f>D66-(C67-('DATI nascosti 1'!$C$10/'DATI nascosti 1'!$C$13*C67))/100</f>
        <v>2.5334415584415453E-2</v>
      </c>
      <c r="E67" s="67" t="s">
        <v>39</v>
      </c>
      <c r="F67" s="69">
        <f>(D67*'DATI nascosti 1'!$C$13-C67*'DATI nascosti 1'!$C$10)/(D67-C67)</f>
        <v>-621.92307692307122</v>
      </c>
      <c r="G67" s="70">
        <v>0</v>
      </c>
      <c r="H67" s="70">
        <v>0</v>
      </c>
      <c r="I67" s="70">
        <v>0</v>
      </c>
      <c r="J67" s="70">
        <v>0</v>
      </c>
      <c r="K67" s="71">
        <f>IF(D67&gt;=('DATI nascosti 1'!$L$10*10^-3),'DATI nascosti 1'!$L$14*'DATI nascosti 1'!$P$12,IF(D67&gt;=(-'DATI nascosti 1'!$L$10*10^-3),'DATI nascosti 1'!$L$16*D67*'DATI nascosti 1'!$P$12,-'DATI nascosti 1'!$L$14*'DATI nascosti 1'!$P$12))</f>
        <v>614659.43222408998</v>
      </c>
      <c r="L67" s="71">
        <v>0</v>
      </c>
      <c r="M67" s="71">
        <f>IF(C67&gt;=('DATI nascosti 1'!$L$10*10^-3),'DATI nascosti 1'!$L$14*'DATI nascosti 1'!$P$11,IF(C67&gt;=(-'DATI nascosti 1'!$L$10*10^-3),'DATI nascosti 1'!$P$11*'DATI nascosti 1'!$L$16*C67,-'DATI nascosti 1'!$L$14*'DATI nascosti 1'!$P$11))</f>
        <v>614659.43222408998</v>
      </c>
      <c r="N67" s="71">
        <f t="shared" si="2"/>
        <v>1229318.86444818</v>
      </c>
      <c r="O67" s="71">
        <f>-K67*('DATI nascosti 1'!$C$13/2)+M67*('DATI nascosti 1'!$C$13/2)</f>
        <v>0</v>
      </c>
      <c r="P67" s="69">
        <f>-TABULATI!N67/10^3</f>
        <v>-1229.31886444818</v>
      </c>
      <c r="Q67" s="69">
        <f>TABULATI!O67/10^6</f>
        <v>0</v>
      </c>
      <c r="R67" s="72">
        <f>-N67/('DATI nascosti 1'!$C$6*'DATI nascosti 1'!$C$13*'DATI nascosti 1'!$H$10*'DATI nascosti 1'!$H$16)</f>
        <v>-0.29581171389629707</v>
      </c>
      <c r="S67" s="72">
        <f>O67/('DATI nascosti 1'!$H$16*'DATI nascosti 1'!$C$6*'DATI nascosti 1'!$C$13^2*'DATI nascosti 1'!$H$10)</f>
        <v>0</v>
      </c>
      <c r="T67" s="73">
        <f t="shared" si="3"/>
        <v>0</v>
      </c>
      <c r="U67" s="67" t="str">
        <f>IF(T67&gt;=0, IF(T67&lt;='DATI nascosti 1'!$C$8/6, "SI", "NO"),IF(T67&gt; -'DATI nascosti 1'!$C$8/6, "SI", "NO"))</f>
        <v>SI</v>
      </c>
      <c r="V67" s="67" t="str">
        <f>IF(Foglio3!G68&lt;1,IF(Foglio3!G68&gt;-1,"ROTTURA BILANCIATA",""),"")</f>
        <v/>
      </c>
    </row>
    <row r="68" spans="1:22" ht="18.75" x14ac:dyDescent="0.25">
      <c r="A68" s="20"/>
      <c r="B68" s="67" t="s">
        <v>39</v>
      </c>
      <c r="C68" s="68">
        <f>'DATI nascosti 1'!$L$8*10^-3</f>
        <v>6.7500000000000004E-2</v>
      </c>
      <c r="D68" s="68">
        <f>D67-(C68-('DATI nascosti 1'!$C$10/'DATI nascosti 1'!$C$13*C68))/100</f>
        <v>2.4685714285714155E-2</v>
      </c>
      <c r="E68" s="67" t="s">
        <v>39</v>
      </c>
      <c r="F68" s="69">
        <f>(D68*'DATI nascosti 1'!$C$13-C68*'DATI nascosti 1'!$C$10)/(D68-C68)</f>
        <v>-594.99999999999454</v>
      </c>
      <c r="G68" s="70">
        <v>0</v>
      </c>
      <c r="H68" s="70">
        <v>0</v>
      </c>
      <c r="I68" s="70">
        <v>0</v>
      </c>
      <c r="J68" s="70">
        <v>0</v>
      </c>
      <c r="K68" s="71">
        <f>IF(D68&gt;=('DATI nascosti 1'!$L$10*10^-3),'DATI nascosti 1'!$L$14*'DATI nascosti 1'!$P$12,IF(D68&gt;=(-'DATI nascosti 1'!$L$10*10^-3),'DATI nascosti 1'!$L$16*D68*'DATI nascosti 1'!$P$12,-'DATI nascosti 1'!$L$14*'DATI nascosti 1'!$P$12))</f>
        <v>614659.43222408998</v>
      </c>
      <c r="L68" s="71">
        <v>0</v>
      </c>
      <c r="M68" s="71">
        <f>IF(C68&gt;=('DATI nascosti 1'!$L$10*10^-3),'DATI nascosti 1'!$L$14*'DATI nascosti 1'!$P$11,IF(C68&gt;=(-'DATI nascosti 1'!$L$10*10^-3),'DATI nascosti 1'!$P$11*'DATI nascosti 1'!$L$16*C68,-'DATI nascosti 1'!$L$14*'DATI nascosti 1'!$P$11))</f>
        <v>614659.43222408998</v>
      </c>
      <c r="N68" s="71">
        <f t="shared" si="2"/>
        <v>1229318.86444818</v>
      </c>
      <c r="O68" s="71">
        <f>-K68*('DATI nascosti 1'!$C$13/2)+M68*('DATI nascosti 1'!$C$13/2)</f>
        <v>0</v>
      </c>
      <c r="P68" s="69">
        <f>-TABULATI!N68/10^3</f>
        <v>-1229.31886444818</v>
      </c>
      <c r="Q68" s="69">
        <f>TABULATI!O68/10^6</f>
        <v>0</v>
      </c>
      <c r="R68" s="72">
        <f>-N68/('DATI nascosti 1'!$C$6*'DATI nascosti 1'!$C$13*'DATI nascosti 1'!$H$10*'DATI nascosti 1'!$H$16)</f>
        <v>-0.29581171389629707</v>
      </c>
      <c r="S68" s="72">
        <f>O68/('DATI nascosti 1'!$H$16*'DATI nascosti 1'!$C$6*'DATI nascosti 1'!$C$13^2*'DATI nascosti 1'!$H$10)</f>
        <v>0</v>
      </c>
      <c r="T68" s="73">
        <f t="shared" si="3"/>
        <v>0</v>
      </c>
      <c r="U68" s="67" t="str">
        <f>IF(T68&gt;=0, IF(T68&lt;='DATI nascosti 1'!$C$8/6, "SI", "NO"),IF(T68&gt; -'DATI nascosti 1'!$C$8/6, "SI", "NO"))</f>
        <v>SI</v>
      </c>
      <c r="V68" s="67" t="str">
        <f>IF(Foglio3!G69&lt;1,IF(Foglio3!G69&gt;-1,"ROTTURA BILANCIATA",""),"")</f>
        <v/>
      </c>
    </row>
    <row r="69" spans="1:22" ht="18.75" x14ac:dyDescent="0.25">
      <c r="A69" s="20"/>
      <c r="B69" s="67" t="s">
        <v>39</v>
      </c>
      <c r="C69" s="68">
        <f>'DATI nascosti 1'!$L$8*10^-3</f>
        <v>6.7500000000000004E-2</v>
      </c>
      <c r="D69" s="68">
        <f>D68-(C69-('DATI nascosti 1'!$C$10/'DATI nascosti 1'!$C$13*C69))/100</f>
        <v>2.4037012987012857E-2</v>
      </c>
      <c r="E69" s="67" t="s">
        <v>39</v>
      </c>
      <c r="F69" s="69">
        <f>(D69*'DATI nascosti 1'!$C$13-C69*'DATI nascosti 1'!$C$10)/(D69-C69)</f>
        <v>-568.88059701492011</v>
      </c>
      <c r="G69" s="70">
        <v>0</v>
      </c>
      <c r="H69" s="70">
        <v>0</v>
      </c>
      <c r="I69" s="70">
        <v>0</v>
      </c>
      <c r="J69" s="70">
        <v>0</v>
      </c>
      <c r="K69" s="71">
        <f>IF(D69&gt;=('DATI nascosti 1'!$L$10*10^-3),'DATI nascosti 1'!$L$14*'DATI nascosti 1'!$P$12,IF(D69&gt;=(-'DATI nascosti 1'!$L$10*10^-3),'DATI nascosti 1'!$L$16*D69*'DATI nascosti 1'!$P$12,-'DATI nascosti 1'!$L$14*'DATI nascosti 1'!$P$12))</f>
        <v>614659.43222408998</v>
      </c>
      <c r="L69" s="71">
        <v>0</v>
      </c>
      <c r="M69" s="71">
        <f>IF(C69&gt;=('DATI nascosti 1'!$L$10*10^-3),'DATI nascosti 1'!$L$14*'DATI nascosti 1'!$P$11,IF(C69&gt;=(-'DATI nascosti 1'!$L$10*10^-3),'DATI nascosti 1'!$P$11*'DATI nascosti 1'!$L$16*C69,-'DATI nascosti 1'!$L$14*'DATI nascosti 1'!$P$11))</f>
        <v>614659.43222408998</v>
      </c>
      <c r="N69" s="71">
        <f t="shared" si="2"/>
        <v>1229318.86444818</v>
      </c>
      <c r="O69" s="71">
        <f>-K69*('DATI nascosti 1'!$C$13/2)+M69*('DATI nascosti 1'!$C$13/2)</f>
        <v>0</v>
      </c>
      <c r="P69" s="69">
        <f>-TABULATI!N69/10^3</f>
        <v>-1229.31886444818</v>
      </c>
      <c r="Q69" s="69">
        <f>TABULATI!O69/10^6</f>
        <v>0</v>
      </c>
      <c r="R69" s="72">
        <f>-N69/('DATI nascosti 1'!$C$6*'DATI nascosti 1'!$C$13*'DATI nascosti 1'!$H$10*'DATI nascosti 1'!$H$16)</f>
        <v>-0.29581171389629707</v>
      </c>
      <c r="S69" s="72">
        <f>O69/('DATI nascosti 1'!$H$16*'DATI nascosti 1'!$C$6*'DATI nascosti 1'!$C$13^2*'DATI nascosti 1'!$H$10)</f>
        <v>0</v>
      </c>
      <c r="T69" s="73">
        <f t="shared" si="3"/>
        <v>0</v>
      </c>
      <c r="U69" s="67" t="str">
        <f>IF(T69&gt;=0, IF(T69&lt;='DATI nascosti 1'!$C$8/6, "SI", "NO"),IF(T69&gt; -'DATI nascosti 1'!$C$8/6, "SI", "NO"))</f>
        <v>SI</v>
      </c>
      <c r="V69" s="67" t="str">
        <f>IF(Foglio3!G70&lt;1,IF(Foglio3!G70&gt;-1,"ROTTURA BILANCIATA",""),"")</f>
        <v/>
      </c>
    </row>
    <row r="70" spans="1:22" ht="18.75" x14ac:dyDescent="0.25">
      <c r="A70" s="20"/>
      <c r="B70" s="67" t="s">
        <v>39</v>
      </c>
      <c r="C70" s="68">
        <f>'DATI nascosti 1'!$L$8*10^-3</f>
        <v>6.7500000000000004E-2</v>
      </c>
      <c r="D70" s="68">
        <f>D69-(C70-('DATI nascosti 1'!$C$10/'DATI nascosti 1'!$C$13*C70))/100</f>
        <v>2.3388311688311559E-2</v>
      </c>
      <c r="E70" s="67" t="s">
        <v>39</v>
      </c>
      <c r="F70" s="69">
        <f>(D70*'DATI nascosti 1'!$C$13-C70*'DATI nascosti 1'!$C$10)/(D70-C70)</f>
        <v>-543.52941176470074</v>
      </c>
      <c r="G70" s="70">
        <v>0</v>
      </c>
      <c r="H70" s="70">
        <v>0</v>
      </c>
      <c r="I70" s="70">
        <v>0</v>
      </c>
      <c r="J70" s="70">
        <v>0</v>
      </c>
      <c r="K70" s="71">
        <f>IF(D70&gt;=('DATI nascosti 1'!$L$10*10^-3),'DATI nascosti 1'!$L$14*'DATI nascosti 1'!$P$12,IF(D70&gt;=(-'DATI nascosti 1'!$L$10*10^-3),'DATI nascosti 1'!$L$16*D70*'DATI nascosti 1'!$P$12,-'DATI nascosti 1'!$L$14*'DATI nascosti 1'!$P$12))</f>
        <v>614659.43222408998</v>
      </c>
      <c r="L70" s="71">
        <v>0</v>
      </c>
      <c r="M70" s="71">
        <f>IF(C70&gt;=('DATI nascosti 1'!$L$10*10^-3),'DATI nascosti 1'!$L$14*'DATI nascosti 1'!$P$11,IF(C70&gt;=(-'DATI nascosti 1'!$L$10*10^-3),'DATI nascosti 1'!$P$11*'DATI nascosti 1'!$L$16*C70,-'DATI nascosti 1'!$L$14*'DATI nascosti 1'!$P$11))</f>
        <v>614659.43222408998</v>
      </c>
      <c r="N70" s="71">
        <f t="shared" si="2"/>
        <v>1229318.86444818</v>
      </c>
      <c r="O70" s="71">
        <f>-K70*('DATI nascosti 1'!$C$13/2)+M70*('DATI nascosti 1'!$C$13/2)</f>
        <v>0</v>
      </c>
      <c r="P70" s="69">
        <f>-TABULATI!N70/10^3</f>
        <v>-1229.31886444818</v>
      </c>
      <c r="Q70" s="69">
        <f>TABULATI!O70/10^6</f>
        <v>0</v>
      </c>
      <c r="R70" s="72">
        <f>-N70/('DATI nascosti 1'!$C$6*'DATI nascosti 1'!$C$13*'DATI nascosti 1'!$H$10*'DATI nascosti 1'!$H$16)</f>
        <v>-0.29581171389629707</v>
      </c>
      <c r="S70" s="72">
        <f>O70/('DATI nascosti 1'!$H$16*'DATI nascosti 1'!$C$6*'DATI nascosti 1'!$C$13^2*'DATI nascosti 1'!$H$10)</f>
        <v>0</v>
      </c>
      <c r="T70" s="73">
        <f t="shared" si="3"/>
        <v>0</v>
      </c>
      <c r="U70" s="67" t="str">
        <f>IF(T70&gt;=0, IF(T70&lt;='DATI nascosti 1'!$C$8/6, "SI", "NO"),IF(T70&gt; -'DATI nascosti 1'!$C$8/6, "SI", "NO"))</f>
        <v>SI</v>
      </c>
      <c r="V70" s="67" t="str">
        <f>IF(Foglio3!G71&lt;1,IF(Foglio3!G71&gt;-1,"ROTTURA BILANCIATA",""),"")</f>
        <v/>
      </c>
    </row>
    <row r="71" spans="1:22" ht="18.75" x14ac:dyDescent="0.25">
      <c r="A71" s="20"/>
      <c r="B71" s="67" t="s">
        <v>39</v>
      </c>
      <c r="C71" s="68">
        <f>'DATI nascosti 1'!$L$8*10^-3</f>
        <v>6.7500000000000004E-2</v>
      </c>
      <c r="D71" s="68">
        <f>D70-(C71-('DATI nascosti 1'!$C$10/'DATI nascosti 1'!$C$13*C71))/100</f>
        <v>2.2739610389610261E-2</v>
      </c>
      <c r="E71" s="67" t="s">
        <v>39</v>
      </c>
      <c r="F71" s="69">
        <f>(D71*'DATI nascosti 1'!$C$13-C71*'DATI nascosti 1'!$C$10)/(D71-C71)</f>
        <v>-518.91304347825599</v>
      </c>
      <c r="G71" s="70">
        <v>0</v>
      </c>
      <c r="H71" s="70">
        <v>0</v>
      </c>
      <c r="I71" s="70">
        <v>0</v>
      </c>
      <c r="J71" s="70">
        <v>0</v>
      </c>
      <c r="K71" s="71">
        <f>IF(D71&gt;=('DATI nascosti 1'!$L$10*10^-3),'DATI nascosti 1'!$L$14*'DATI nascosti 1'!$P$12,IF(D71&gt;=(-'DATI nascosti 1'!$L$10*10^-3),'DATI nascosti 1'!$L$16*D71*'DATI nascosti 1'!$P$12,-'DATI nascosti 1'!$L$14*'DATI nascosti 1'!$P$12))</f>
        <v>614659.43222408998</v>
      </c>
      <c r="L71" s="71">
        <v>0</v>
      </c>
      <c r="M71" s="71">
        <f>IF(C71&gt;=('DATI nascosti 1'!$L$10*10^-3),'DATI nascosti 1'!$L$14*'DATI nascosti 1'!$P$11,IF(C71&gt;=(-'DATI nascosti 1'!$L$10*10^-3),'DATI nascosti 1'!$P$11*'DATI nascosti 1'!$L$16*C71,-'DATI nascosti 1'!$L$14*'DATI nascosti 1'!$P$11))</f>
        <v>614659.43222408998</v>
      </c>
      <c r="N71" s="71">
        <f t="shared" si="2"/>
        <v>1229318.86444818</v>
      </c>
      <c r="O71" s="71">
        <f>-K71*('DATI nascosti 1'!$C$13/2)+M71*('DATI nascosti 1'!$C$13/2)</f>
        <v>0</v>
      </c>
      <c r="P71" s="69">
        <f>-TABULATI!N71/10^3</f>
        <v>-1229.31886444818</v>
      </c>
      <c r="Q71" s="69">
        <f>TABULATI!O71/10^6</f>
        <v>0</v>
      </c>
      <c r="R71" s="72">
        <f>-N71/('DATI nascosti 1'!$C$6*'DATI nascosti 1'!$C$13*'DATI nascosti 1'!$H$10*'DATI nascosti 1'!$H$16)</f>
        <v>-0.29581171389629707</v>
      </c>
      <c r="S71" s="72">
        <f>O71/('DATI nascosti 1'!$H$16*'DATI nascosti 1'!$C$6*'DATI nascosti 1'!$C$13^2*'DATI nascosti 1'!$H$10)</f>
        <v>0</v>
      </c>
      <c r="T71" s="73">
        <f t="shared" si="3"/>
        <v>0</v>
      </c>
      <c r="U71" s="67" t="str">
        <f>IF(T71&gt;=0, IF(T71&lt;='DATI nascosti 1'!$C$8/6, "SI", "NO"),IF(T71&gt; -'DATI nascosti 1'!$C$8/6, "SI", "NO"))</f>
        <v>SI</v>
      </c>
      <c r="V71" s="67" t="str">
        <f>IF(Foglio3!G72&lt;1,IF(Foglio3!G72&gt;-1,"ROTTURA BILANCIATA",""),"")</f>
        <v/>
      </c>
    </row>
    <row r="72" spans="1:22" ht="18.75" x14ac:dyDescent="0.25">
      <c r="A72" s="20"/>
      <c r="B72" s="67" t="s">
        <v>39</v>
      </c>
      <c r="C72" s="68">
        <f>'DATI nascosti 1'!$L$8*10^-3</f>
        <v>6.7500000000000004E-2</v>
      </c>
      <c r="D72" s="68">
        <f>D71-(C72-('DATI nascosti 1'!$C$10/'DATI nascosti 1'!$C$13*C72))/100</f>
        <v>2.2090909090908963E-2</v>
      </c>
      <c r="E72" s="67" t="s">
        <v>39</v>
      </c>
      <c r="F72" s="69">
        <f>(D72*'DATI nascosti 1'!$C$13-C72*'DATI nascosti 1'!$C$10)/(D72-C72)</f>
        <v>-494.99999999999528</v>
      </c>
      <c r="G72" s="70">
        <v>0</v>
      </c>
      <c r="H72" s="70">
        <v>0</v>
      </c>
      <c r="I72" s="70">
        <v>0</v>
      </c>
      <c r="J72" s="70">
        <v>0</v>
      </c>
      <c r="K72" s="71">
        <f>IF(D72&gt;=('DATI nascosti 1'!$L$10*10^-3),'DATI nascosti 1'!$L$14*'DATI nascosti 1'!$P$12,IF(D72&gt;=(-'DATI nascosti 1'!$L$10*10^-3),'DATI nascosti 1'!$L$16*D72*'DATI nascosti 1'!$P$12,-'DATI nascosti 1'!$L$14*'DATI nascosti 1'!$P$12))</f>
        <v>614659.43222408998</v>
      </c>
      <c r="L72" s="71">
        <v>0</v>
      </c>
      <c r="M72" s="71">
        <f>IF(C72&gt;=('DATI nascosti 1'!$L$10*10^-3),'DATI nascosti 1'!$L$14*'DATI nascosti 1'!$P$11,IF(C72&gt;=(-'DATI nascosti 1'!$L$10*10^-3),'DATI nascosti 1'!$P$11*'DATI nascosti 1'!$L$16*C72,-'DATI nascosti 1'!$L$14*'DATI nascosti 1'!$P$11))</f>
        <v>614659.43222408998</v>
      </c>
      <c r="N72" s="71">
        <f t="shared" si="2"/>
        <v>1229318.86444818</v>
      </c>
      <c r="O72" s="71">
        <f>-K72*('DATI nascosti 1'!$C$13/2)+M72*('DATI nascosti 1'!$C$13/2)</f>
        <v>0</v>
      </c>
      <c r="P72" s="69">
        <f>-TABULATI!N72/10^3</f>
        <v>-1229.31886444818</v>
      </c>
      <c r="Q72" s="69">
        <f>TABULATI!O72/10^6</f>
        <v>0</v>
      </c>
      <c r="R72" s="72">
        <f>-N72/('DATI nascosti 1'!$C$6*'DATI nascosti 1'!$C$13*'DATI nascosti 1'!$H$10*'DATI nascosti 1'!$H$16)</f>
        <v>-0.29581171389629707</v>
      </c>
      <c r="S72" s="72">
        <f>O72/('DATI nascosti 1'!$H$16*'DATI nascosti 1'!$C$6*'DATI nascosti 1'!$C$13^2*'DATI nascosti 1'!$H$10)</f>
        <v>0</v>
      </c>
      <c r="T72" s="73">
        <f t="shared" si="3"/>
        <v>0</v>
      </c>
      <c r="U72" s="67" t="str">
        <f>IF(T72&gt;=0, IF(T72&lt;='DATI nascosti 1'!$C$8/6, "SI", "NO"),IF(T72&gt; -'DATI nascosti 1'!$C$8/6, "SI", "NO"))</f>
        <v>SI</v>
      </c>
      <c r="V72" s="67" t="str">
        <f>IF(Foglio3!G73&lt;1,IF(Foglio3!G73&gt;-1,"ROTTURA BILANCIATA",""),"")</f>
        <v/>
      </c>
    </row>
    <row r="73" spans="1:22" ht="18.75" x14ac:dyDescent="0.25">
      <c r="A73" s="20"/>
      <c r="B73" s="67" t="s">
        <v>39</v>
      </c>
      <c r="C73" s="68">
        <f>'DATI nascosti 1'!$L$8*10^-3</f>
        <v>6.7500000000000004E-2</v>
      </c>
      <c r="D73" s="68">
        <f>D72-(C73-('DATI nascosti 1'!$C$10/'DATI nascosti 1'!$C$13*C73))/100</f>
        <v>2.1442207792207665E-2</v>
      </c>
      <c r="E73" s="67" t="s">
        <v>39</v>
      </c>
      <c r="F73" s="69">
        <f>(D73*'DATI nascosti 1'!$C$13-C73*'DATI nascosti 1'!$C$10)/(D73-C73)</f>
        <v>-471.76056338027718</v>
      </c>
      <c r="G73" s="70">
        <v>0</v>
      </c>
      <c r="H73" s="70">
        <v>0</v>
      </c>
      <c r="I73" s="70">
        <v>0</v>
      </c>
      <c r="J73" s="70">
        <v>0</v>
      </c>
      <c r="K73" s="71">
        <f>IF(D73&gt;=('DATI nascosti 1'!$L$10*10^-3),'DATI nascosti 1'!$L$14*'DATI nascosti 1'!$P$12,IF(D73&gt;=(-'DATI nascosti 1'!$L$10*10^-3),'DATI nascosti 1'!$L$16*D73*'DATI nascosti 1'!$P$12,-'DATI nascosti 1'!$L$14*'DATI nascosti 1'!$P$12))</f>
        <v>614659.43222408998</v>
      </c>
      <c r="L73" s="71">
        <v>0</v>
      </c>
      <c r="M73" s="71">
        <f>IF(C73&gt;=('DATI nascosti 1'!$L$10*10^-3),'DATI nascosti 1'!$L$14*'DATI nascosti 1'!$P$11,IF(C73&gt;=(-'DATI nascosti 1'!$L$10*10^-3),'DATI nascosti 1'!$P$11*'DATI nascosti 1'!$L$16*C73,-'DATI nascosti 1'!$L$14*'DATI nascosti 1'!$P$11))</f>
        <v>614659.43222408998</v>
      </c>
      <c r="N73" s="71">
        <f t="shared" si="2"/>
        <v>1229318.86444818</v>
      </c>
      <c r="O73" s="71">
        <f>-K73*('DATI nascosti 1'!$C$13/2)+M73*('DATI nascosti 1'!$C$13/2)</f>
        <v>0</v>
      </c>
      <c r="P73" s="69">
        <f>-TABULATI!N73/10^3</f>
        <v>-1229.31886444818</v>
      </c>
      <c r="Q73" s="69">
        <f>TABULATI!O73/10^6</f>
        <v>0</v>
      </c>
      <c r="R73" s="72">
        <f>-N73/('DATI nascosti 1'!$C$6*'DATI nascosti 1'!$C$13*'DATI nascosti 1'!$H$10*'DATI nascosti 1'!$H$16)</f>
        <v>-0.29581171389629707</v>
      </c>
      <c r="S73" s="72">
        <f>O73/('DATI nascosti 1'!$H$16*'DATI nascosti 1'!$C$6*'DATI nascosti 1'!$C$13^2*'DATI nascosti 1'!$H$10)</f>
        <v>0</v>
      </c>
      <c r="T73" s="73">
        <f t="shared" si="3"/>
        <v>0</v>
      </c>
      <c r="U73" s="67" t="str">
        <f>IF(T73&gt;=0, IF(T73&lt;='DATI nascosti 1'!$C$8/6, "SI", "NO"),IF(T73&gt; -'DATI nascosti 1'!$C$8/6, "SI", "NO"))</f>
        <v>SI</v>
      </c>
      <c r="V73" s="67" t="str">
        <f>IF(Foglio3!G74&lt;1,IF(Foglio3!G74&gt;-1,"ROTTURA BILANCIATA",""),"")</f>
        <v/>
      </c>
    </row>
    <row r="74" spans="1:22" ht="18.75" x14ac:dyDescent="0.25">
      <c r="A74" s="20"/>
      <c r="B74" s="67" t="s">
        <v>39</v>
      </c>
      <c r="C74" s="68">
        <f>'DATI nascosti 1'!$L$8*10^-3</f>
        <v>6.7500000000000004E-2</v>
      </c>
      <c r="D74" s="68">
        <f>D73-(C74-('DATI nascosti 1'!$C$10/'DATI nascosti 1'!$C$13*C74))/100</f>
        <v>2.0793506493506368E-2</v>
      </c>
      <c r="E74" s="67" t="s">
        <v>39</v>
      </c>
      <c r="F74" s="69">
        <f>(D74*'DATI nascosti 1'!$C$13-C74*'DATI nascosti 1'!$C$10)/(D74-C74)</f>
        <v>-449.16666666666225</v>
      </c>
      <c r="G74" s="70">
        <v>0</v>
      </c>
      <c r="H74" s="70">
        <v>0</v>
      </c>
      <c r="I74" s="70">
        <v>0</v>
      </c>
      <c r="J74" s="70">
        <v>0</v>
      </c>
      <c r="K74" s="71">
        <f>IF(D74&gt;=('DATI nascosti 1'!$L$10*10^-3),'DATI nascosti 1'!$L$14*'DATI nascosti 1'!$P$12,IF(D74&gt;=(-'DATI nascosti 1'!$L$10*10^-3),'DATI nascosti 1'!$L$16*D74*'DATI nascosti 1'!$P$12,-'DATI nascosti 1'!$L$14*'DATI nascosti 1'!$P$12))</f>
        <v>614659.43222408998</v>
      </c>
      <c r="L74" s="71">
        <v>0</v>
      </c>
      <c r="M74" s="71">
        <f>IF(C74&gt;=('DATI nascosti 1'!$L$10*10^-3),'DATI nascosti 1'!$L$14*'DATI nascosti 1'!$P$11,IF(C74&gt;=(-'DATI nascosti 1'!$L$10*10^-3),'DATI nascosti 1'!$P$11*'DATI nascosti 1'!$L$16*C74,-'DATI nascosti 1'!$L$14*'DATI nascosti 1'!$P$11))</f>
        <v>614659.43222408998</v>
      </c>
      <c r="N74" s="71">
        <f t="shared" si="2"/>
        <v>1229318.86444818</v>
      </c>
      <c r="O74" s="71">
        <f>-K74*('DATI nascosti 1'!$C$13/2)+M74*('DATI nascosti 1'!$C$13/2)</f>
        <v>0</v>
      </c>
      <c r="P74" s="69">
        <f>-TABULATI!N74/10^3</f>
        <v>-1229.31886444818</v>
      </c>
      <c r="Q74" s="69">
        <f>TABULATI!O74/10^6</f>
        <v>0</v>
      </c>
      <c r="R74" s="72">
        <f>-N74/('DATI nascosti 1'!$C$6*'DATI nascosti 1'!$C$13*'DATI nascosti 1'!$H$10*'DATI nascosti 1'!$H$16)</f>
        <v>-0.29581171389629707</v>
      </c>
      <c r="S74" s="72">
        <f>O74/('DATI nascosti 1'!$H$16*'DATI nascosti 1'!$C$6*'DATI nascosti 1'!$C$13^2*'DATI nascosti 1'!$H$10)</f>
        <v>0</v>
      </c>
      <c r="T74" s="73">
        <f t="shared" si="3"/>
        <v>0</v>
      </c>
      <c r="U74" s="67" t="str">
        <f>IF(T74&gt;=0, IF(T74&lt;='DATI nascosti 1'!$C$8/6, "SI", "NO"),IF(T74&gt; -'DATI nascosti 1'!$C$8/6, "SI", "NO"))</f>
        <v>SI</v>
      </c>
      <c r="V74" s="67" t="str">
        <f>IF(Foglio3!G75&lt;1,IF(Foglio3!G75&gt;-1,"ROTTURA BILANCIATA",""),"")</f>
        <v/>
      </c>
    </row>
    <row r="75" spans="1:22" ht="18.75" x14ac:dyDescent="0.25">
      <c r="A75" s="20"/>
      <c r="B75" s="67" t="s">
        <v>39</v>
      </c>
      <c r="C75" s="68">
        <f>'DATI nascosti 1'!$L$8*10^-3</f>
        <v>6.7500000000000004E-2</v>
      </c>
      <c r="D75" s="68">
        <f>D74-(C75-('DATI nascosti 1'!$C$10/'DATI nascosti 1'!$C$13*C75))/100</f>
        <v>2.014480519480507E-2</v>
      </c>
      <c r="E75" s="67" t="s">
        <v>39</v>
      </c>
      <c r="F75" s="69">
        <f>(D75*'DATI nascosti 1'!$C$13-C75*'DATI nascosti 1'!$C$10)/(D75-C75)</f>
        <v>-427.19178082191354</v>
      </c>
      <c r="G75" s="70">
        <v>0</v>
      </c>
      <c r="H75" s="70">
        <v>0</v>
      </c>
      <c r="I75" s="70">
        <v>0</v>
      </c>
      <c r="J75" s="70">
        <v>0</v>
      </c>
      <c r="K75" s="71">
        <f>IF(D75&gt;=('DATI nascosti 1'!$L$10*10^-3),'DATI nascosti 1'!$L$14*'DATI nascosti 1'!$P$12,IF(D75&gt;=(-'DATI nascosti 1'!$L$10*10^-3),'DATI nascosti 1'!$L$16*D75*'DATI nascosti 1'!$P$12,-'DATI nascosti 1'!$L$14*'DATI nascosti 1'!$P$12))</f>
        <v>614659.43222408998</v>
      </c>
      <c r="L75" s="71">
        <v>0</v>
      </c>
      <c r="M75" s="71">
        <f>IF(C75&gt;=('DATI nascosti 1'!$L$10*10^-3),'DATI nascosti 1'!$L$14*'DATI nascosti 1'!$P$11,IF(C75&gt;=(-'DATI nascosti 1'!$L$10*10^-3),'DATI nascosti 1'!$P$11*'DATI nascosti 1'!$L$16*C75,-'DATI nascosti 1'!$L$14*'DATI nascosti 1'!$P$11))</f>
        <v>614659.43222408998</v>
      </c>
      <c r="N75" s="71">
        <f t="shared" si="2"/>
        <v>1229318.86444818</v>
      </c>
      <c r="O75" s="71">
        <f>-K75*('DATI nascosti 1'!$C$13/2)+M75*('DATI nascosti 1'!$C$13/2)</f>
        <v>0</v>
      </c>
      <c r="P75" s="69">
        <f>-TABULATI!N75/10^3</f>
        <v>-1229.31886444818</v>
      </c>
      <c r="Q75" s="69">
        <f>TABULATI!O75/10^6</f>
        <v>0</v>
      </c>
      <c r="R75" s="72">
        <f>-N75/('DATI nascosti 1'!$C$6*'DATI nascosti 1'!$C$13*'DATI nascosti 1'!$H$10*'DATI nascosti 1'!$H$16)</f>
        <v>-0.29581171389629707</v>
      </c>
      <c r="S75" s="72">
        <f>O75/('DATI nascosti 1'!$H$16*'DATI nascosti 1'!$C$6*'DATI nascosti 1'!$C$13^2*'DATI nascosti 1'!$H$10)</f>
        <v>0</v>
      </c>
      <c r="T75" s="73">
        <f t="shared" si="3"/>
        <v>0</v>
      </c>
      <c r="U75" s="67" t="str">
        <f>IF(T75&gt;=0, IF(T75&lt;='DATI nascosti 1'!$C$8/6, "SI", "NO"),IF(T75&gt; -'DATI nascosti 1'!$C$8/6, "SI", "NO"))</f>
        <v>SI</v>
      </c>
      <c r="V75" s="67" t="str">
        <f>IF(Foglio3!G76&lt;1,IF(Foglio3!G76&gt;-1,"ROTTURA BILANCIATA",""),"")</f>
        <v/>
      </c>
    </row>
    <row r="76" spans="1:22" ht="18.75" x14ac:dyDescent="0.25">
      <c r="A76" s="20"/>
      <c r="B76" s="67" t="s">
        <v>39</v>
      </c>
      <c r="C76" s="68">
        <f>'DATI nascosti 1'!$L$8*10^-3</f>
        <v>6.7500000000000004E-2</v>
      </c>
      <c r="D76" s="68">
        <f>D75-(C76-('DATI nascosti 1'!$C$10/'DATI nascosti 1'!$C$13*C76))/100</f>
        <v>1.9496103896103772E-2</v>
      </c>
      <c r="E76" s="67" t="s">
        <v>39</v>
      </c>
      <c r="F76" s="69">
        <f>(D76*'DATI nascosti 1'!$C$13-C76*'DATI nascosti 1'!$C$10)/(D76-C76)</f>
        <v>-405.81081081080669</v>
      </c>
      <c r="G76" s="70">
        <v>0</v>
      </c>
      <c r="H76" s="70">
        <v>0</v>
      </c>
      <c r="I76" s="70">
        <v>0</v>
      </c>
      <c r="J76" s="70">
        <v>0</v>
      </c>
      <c r="K76" s="71">
        <f>IF(D76&gt;=('DATI nascosti 1'!$L$10*10^-3),'DATI nascosti 1'!$L$14*'DATI nascosti 1'!$P$12,IF(D76&gt;=(-'DATI nascosti 1'!$L$10*10^-3),'DATI nascosti 1'!$L$16*D76*'DATI nascosti 1'!$P$12,-'DATI nascosti 1'!$L$14*'DATI nascosti 1'!$P$12))</f>
        <v>614659.43222408998</v>
      </c>
      <c r="L76" s="71">
        <v>0</v>
      </c>
      <c r="M76" s="71">
        <f>IF(C76&gt;=('DATI nascosti 1'!$L$10*10^-3),'DATI nascosti 1'!$L$14*'DATI nascosti 1'!$P$11,IF(C76&gt;=(-'DATI nascosti 1'!$L$10*10^-3),'DATI nascosti 1'!$P$11*'DATI nascosti 1'!$L$16*C76,-'DATI nascosti 1'!$L$14*'DATI nascosti 1'!$P$11))</f>
        <v>614659.43222408998</v>
      </c>
      <c r="N76" s="71">
        <f t="shared" si="2"/>
        <v>1229318.86444818</v>
      </c>
      <c r="O76" s="71">
        <f>-K76*('DATI nascosti 1'!$C$13/2)+M76*('DATI nascosti 1'!$C$13/2)</f>
        <v>0</v>
      </c>
      <c r="P76" s="69">
        <f>-TABULATI!N76/10^3</f>
        <v>-1229.31886444818</v>
      </c>
      <c r="Q76" s="69">
        <f>TABULATI!O76/10^6</f>
        <v>0</v>
      </c>
      <c r="R76" s="72">
        <f>-N76/('DATI nascosti 1'!$C$6*'DATI nascosti 1'!$C$13*'DATI nascosti 1'!$H$10*'DATI nascosti 1'!$H$16)</f>
        <v>-0.29581171389629707</v>
      </c>
      <c r="S76" s="72">
        <f>O76/('DATI nascosti 1'!$H$16*'DATI nascosti 1'!$C$6*'DATI nascosti 1'!$C$13^2*'DATI nascosti 1'!$H$10)</f>
        <v>0</v>
      </c>
      <c r="T76" s="73">
        <f t="shared" si="3"/>
        <v>0</v>
      </c>
      <c r="U76" s="67" t="str">
        <f>IF(T76&gt;=0, IF(T76&lt;='DATI nascosti 1'!$C$8/6, "SI", "NO"),IF(T76&gt; -'DATI nascosti 1'!$C$8/6, "SI", "NO"))</f>
        <v>SI</v>
      </c>
      <c r="V76" s="67" t="str">
        <f>IF(Foglio3!G77&lt;1,IF(Foglio3!G77&gt;-1,"ROTTURA BILANCIATA",""),"")</f>
        <v/>
      </c>
    </row>
    <row r="77" spans="1:22" ht="18.75" x14ac:dyDescent="0.25">
      <c r="A77" s="20"/>
      <c r="B77" s="67" t="s">
        <v>39</v>
      </c>
      <c r="C77" s="68">
        <f>'DATI nascosti 1'!$L$8*10^-3</f>
        <v>6.7500000000000004E-2</v>
      </c>
      <c r="D77" s="68">
        <f>D76-(C77-('DATI nascosti 1'!$C$10/'DATI nascosti 1'!$C$13*C77))/100</f>
        <v>1.8847402597402474E-2</v>
      </c>
      <c r="E77" s="67" t="s">
        <v>39</v>
      </c>
      <c r="F77" s="69">
        <f>(D77*'DATI nascosti 1'!$C$13-C77*'DATI nascosti 1'!$C$10)/(D77-C77)</f>
        <v>-384.99999999999608</v>
      </c>
      <c r="G77" s="70">
        <v>0</v>
      </c>
      <c r="H77" s="70">
        <v>0</v>
      </c>
      <c r="I77" s="70">
        <v>0</v>
      </c>
      <c r="J77" s="70">
        <v>0</v>
      </c>
      <c r="K77" s="71">
        <f>IF(D77&gt;=('DATI nascosti 1'!$L$10*10^-3),'DATI nascosti 1'!$L$14*'DATI nascosti 1'!$P$12,IF(D77&gt;=(-'DATI nascosti 1'!$L$10*10^-3),'DATI nascosti 1'!$L$16*D77*'DATI nascosti 1'!$P$12,-'DATI nascosti 1'!$L$14*'DATI nascosti 1'!$P$12))</f>
        <v>614659.43222408998</v>
      </c>
      <c r="L77" s="71">
        <v>0</v>
      </c>
      <c r="M77" s="71">
        <f>IF(C77&gt;=('DATI nascosti 1'!$L$10*10^-3),'DATI nascosti 1'!$L$14*'DATI nascosti 1'!$P$11,IF(C77&gt;=(-'DATI nascosti 1'!$L$10*10^-3),'DATI nascosti 1'!$P$11*'DATI nascosti 1'!$L$16*C77,-'DATI nascosti 1'!$L$14*'DATI nascosti 1'!$P$11))</f>
        <v>614659.43222408998</v>
      </c>
      <c r="N77" s="71">
        <f t="shared" si="2"/>
        <v>1229318.86444818</v>
      </c>
      <c r="O77" s="71">
        <f>-K77*('DATI nascosti 1'!$C$13/2)+M77*('DATI nascosti 1'!$C$13/2)</f>
        <v>0</v>
      </c>
      <c r="P77" s="69">
        <f>-TABULATI!N77/10^3</f>
        <v>-1229.31886444818</v>
      </c>
      <c r="Q77" s="69">
        <f>TABULATI!O77/10^6</f>
        <v>0</v>
      </c>
      <c r="R77" s="72">
        <f>-N77/('DATI nascosti 1'!$C$6*'DATI nascosti 1'!$C$13*'DATI nascosti 1'!$H$10*'DATI nascosti 1'!$H$16)</f>
        <v>-0.29581171389629707</v>
      </c>
      <c r="S77" s="72">
        <f>O77/('DATI nascosti 1'!$H$16*'DATI nascosti 1'!$C$6*'DATI nascosti 1'!$C$13^2*'DATI nascosti 1'!$H$10)</f>
        <v>0</v>
      </c>
      <c r="T77" s="73">
        <f t="shared" si="3"/>
        <v>0</v>
      </c>
      <c r="U77" s="67" t="str">
        <f>IF(T77&gt;=0, IF(T77&lt;='DATI nascosti 1'!$C$8/6, "SI", "NO"),IF(T77&gt; -'DATI nascosti 1'!$C$8/6, "SI", "NO"))</f>
        <v>SI</v>
      </c>
      <c r="V77" s="67" t="str">
        <f>IF(Foglio3!G78&lt;1,IF(Foglio3!G78&gt;-1,"ROTTURA BILANCIATA",""),"")</f>
        <v/>
      </c>
    </row>
    <row r="78" spans="1:22" ht="18.75" x14ac:dyDescent="0.25">
      <c r="A78" s="20"/>
      <c r="B78" s="67" t="s">
        <v>39</v>
      </c>
      <c r="C78" s="68">
        <f>'DATI nascosti 1'!$L$8*10^-3</f>
        <v>6.7500000000000004E-2</v>
      </c>
      <c r="D78" s="68">
        <f>D77-(C78-('DATI nascosti 1'!$C$10/'DATI nascosti 1'!$C$13*C78))/100</f>
        <v>1.8198701298701176E-2</v>
      </c>
      <c r="E78" s="67" t="s">
        <v>39</v>
      </c>
      <c r="F78" s="69">
        <f>(D78*'DATI nascosti 1'!$C$13-C78*'DATI nascosti 1'!$C$10)/(D78-C78)</f>
        <v>-364.73684210525931</v>
      </c>
      <c r="G78" s="70">
        <v>0</v>
      </c>
      <c r="H78" s="70">
        <v>0</v>
      </c>
      <c r="I78" s="70">
        <v>0</v>
      </c>
      <c r="J78" s="70">
        <v>0</v>
      </c>
      <c r="K78" s="71">
        <f>IF(D78&gt;=('DATI nascosti 1'!$L$10*10^-3),'DATI nascosti 1'!$L$14*'DATI nascosti 1'!$P$12,IF(D78&gt;=(-'DATI nascosti 1'!$L$10*10^-3),'DATI nascosti 1'!$L$16*D78*'DATI nascosti 1'!$P$12,-'DATI nascosti 1'!$L$14*'DATI nascosti 1'!$P$12))</f>
        <v>614659.43222408998</v>
      </c>
      <c r="L78" s="71">
        <v>0</v>
      </c>
      <c r="M78" s="71">
        <f>IF(C78&gt;=('DATI nascosti 1'!$L$10*10^-3),'DATI nascosti 1'!$L$14*'DATI nascosti 1'!$P$11,IF(C78&gt;=(-'DATI nascosti 1'!$L$10*10^-3),'DATI nascosti 1'!$P$11*'DATI nascosti 1'!$L$16*C78,-'DATI nascosti 1'!$L$14*'DATI nascosti 1'!$P$11))</f>
        <v>614659.43222408998</v>
      </c>
      <c r="N78" s="71">
        <f t="shared" si="2"/>
        <v>1229318.86444818</v>
      </c>
      <c r="O78" s="71">
        <f>-K78*('DATI nascosti 1'!$C$13/2)+M78*('DATI nascosti 1'!$C$13/2)</f>
        <v>0</v>
      </c>
      <c r="P78" s="69">
        <f>-TABULATI!N78/10^3</f>
        <v>-1229.31886444818</v>
      </c>
      <c r="Q78" s="69">
        <f>TABULATI!O78/10^6</f>
        <v>0</v>
      </c>
      <c r="R78" s="72">
        <f>-N78/('DATI nascosti 1'!$C$6*'DATI nascosti 1'!$C$13*'DATI nascosti 1'!$H$10*'DATI nascosti 1'!$H$16)</f>
        <v>-0.29581171389629707</v>
      </c>
      <c r="S78" s="72">
        <f>O78/('DATI nascosti 1'!$H$16*'DATI nascosti 1'!$C$6*'DATI nascosti 1'!$C$13^2*'DATI nascosti 1'!$H$10)</f>
        <v>0</v>
      </c>
      <c r="T78" s="73">
        <f t="shared" si="3"/>
        <v>0</v>
      </c>
      <c r="U78" s="67" t="str">
        <f>IF(T78&gt;=0, IF(T78&lt;='DATI nascosti 1'!$C$8/6, "SI", "NO"),IF(T78&gt; -'DATI nascosti 1'!$C$8/6, "SI", "NO"))</f>
        <v>SI</v>
      </c>
      <c r="V78" s="67" t="str">
        <f>IF(Foglio3!G79&lt;1,IF(Foglio3!G79&gt;-1,"ROTTURA BILANCIATA",""),"")</f>
        <v/>
      </c>
    </row>
    <row r="79" spans="1:22" ht="18.75" x14ac:dyDescent="0.25">
      <c r="A79" s="20"/>
      <c r="B79" s="67" t="s">
        <v>39</v>
      </c>
      <c r="C79" s="68">
        <f>'DATI nascosti 1'!$L$8*10^-3</f>
        <v>6.7500000000000004E-2</v>
      </c>
      <c r="D79" s="68">
        <f>D78-(C79-('DATI nascosti 1'!$C$10/'DATI nascosti 1'!$C$13*C79))/100</f>
        <v>1.7549999999999878E-2</v>
      </c>
      <c r="E79" s="67" t="s">
        <v>39</v>
      </c>
      <c r="F79" s="69">
        <f>(D79*'DATI nascosti 1'!$C$13-C79*'DATI nascosti 1'!$C$10)/(D79-C79)</f>
        <v>-344.99999999999625</v>
      </c>
      <c r="G79" s="70">
        <v>0</v>
      </c>
      <c r="H79" s="70">
        <v>0</v>
      </c>
      <c r="I79" s="70">
        <v>0</v>
      </c>
      <c r="J79" s="70">
        <v>0</v>
      </c>
      <c r="K79" s="71">
        <f>IF(D79&gt;=('DATI nascosti 1'!$L$10*10^-3),'DATI nascosti 1'!$L$14*'DATI nascosti 1'!$P$12,IF(D79&gt;=(-'DATI nascosti 1'!$L$10*10^-3),'DATI nascosti 1'!$L$16*D79*'DATI nascosti 1'!$P$12,-'DATI nascosti 1'!$L$14*'DATI nascosti 1'!$P$12))</f>
        <v>614659.43222408998</v>
      </c>
      <c r="L79" s="71">
        <v>0</v>
      </c>
      <c r="M79" s="71">
        <f>IF(C79&gt;=('DATI nascosti 1'!$L$10*10^-3),'DATI nascosti 1'!$L$14*'DATI nascosti 1'!$P$11,IF(C79&gt;=(-'DATI nascosti 1'!$L$10*10^-3),'DATI nascosti 1'!$P$11*'DATI nascosti 1'!$L$16*C79,-'DATI nascosti 1'!$L$14*'DATI nascosti 1'!$P$11))</f>
        <v>614659.43222408998</v>
      </c>
      <c r="N79" s="71">
        <f t="shared" si="2"/>
        <v>1229318.86444818</v>
      </c>
      <c r="O79" s="71">
        <f>-K79*('DATI nascosti 1'!$C$13/2)+M79*('DATI nascosti 1'!$C$13/2)</f>
        <v>0</v>
      </c>
      <c r="P79" s="69">
        <f>-TABULATI!N79/10^3</f>
        <v>-1229.31886444818</v>
      </c>
      <c r="Q79" s="69">
        <f>TABULATI!O79/10^6</f>
        <v>0</v>
      </c>
      <c r="R79" s="72">
        <f>-N79/('DATI nascosti 1'!$C$6*'DATI nascosti 1'!$C$13*'DATI nascosti 1'!$H$10*'DATI nascosti 1'!$H$16)</f>
        <v>-0.29581171389629707</v>
      </c>
      <c r="S79" s="72">
        <f>O79/('DATI nascosti 1'!$H$16*'DATI nascosti 1'!$C$6*'DATI nascosti 1'!$C$13^2*'DATI nascosti 1'!$H$10)</f>
        <v>0</v>
      </c>
      <c r="T79" s="73">
        <f t="shared" si="3"/>
        <v>0</v>
      </c>
      <c r="U79" s="67" t="str">
        <f>IF(T79&gt;=0, IF(T79&lt;='DATI nascosti 1'!$C$8/6, "SI", "NO"),IF(T79&gt; -'DATI nascosti 1'!$C$8/6, "SI", "NO"))</f>
        <v>SI</v>
      </c>
      <c r="V79" s="67" t="str">
        <f>IF(Foglio3!G80&lt;1,IF(Foglio3!G80&gt;-1,"ROTTURA BILANCIATA",""),"")</f>
        <v/>
      </c>
    </row>
    <row r="80" spans="1:22" ht="18.75" x14ac:dyDescent="0.25">
      <c r="A80" s="20"/>
      <c r="B80" s="67" t="s">
        <v>39</v>
      </c>
      <c r="C80" s="68">
        <f>'DATI nascosti 1'!$L$8*10^-3</f>
        <v>6.7500000000000004E-2</v>
      </c>
      <c r="D80" s="68">
        <f>D79-(C80-('DATI nascosti 1'!$C$10/'DATI nascosti 1'!$C$13*C80))/100</f>
        <v>1.690129870129858E-2</v>
      </c>
      <c r="E80" s="67" t="s">
        <v>39</v>
      </c>
      <c r="F80" s="69">
        <f>(D80*'DATI nascosti 1'!$C$13-C80*'DATI nascosti 1'!$C$10)/(D80-C80)</f>
        <v>-325.76923076922714</v>
      </c>
      <c r="G80" s="70">
        <v>0</v>
      </c>
      <c r="H80" s="70">
        <v>0</v>
      </c>
      <c r="I80" s="70">
        <v>0</v>
      </c>
      <c r="J80" s="70">
        <v>0</v>
      </c>
      <c r="K80" s="71">
        <f>IF(D80&gt;=('DATI nascosti 1'!$L$10*10^-3),'DATI nascosti 1'!$L$14*'DATI nascosti 1'!$P$12,IF(D80&gt;=(-'DATI nascosti 1'!$L$10*10^-3),'DATI nascosti 1'!$L$16*D80*'DATI nascosti 1'!$P$12,-'DATI nascosti 1'!$L$14*'DATI nascosti 1'!$P$12))</f>
        <v>614659.43222408998</v>
      </c>
      <c r="L80" s="71">
        <v>0</v>
      </c>
      <c r="M80" s="71">
        <f>IF(C80&gt;=('DATI nascosti 1'!$L$10*10^-3),'DATI nascosti 1'!$L$14*'DATI nascosti 1'!$P$11,IF(C80&gt;=(-'DATI nascosti 1'!$L$10*10^-3),'DATI nascosti 1'!$P$11*'DATI nascosti 1'!$L$16*C80,-'DATI nascosti 1'!$L$14*'DATI nascosti 1'!$P$11))</f>
        <v>614659.43222408998</v>
      </c>
      <c r="N80" s="71">
        <f t="shared" si="2"/>
        <v>1229318.86444818</v>
      </c>
      <c r="O80" s="71">
        <f>-K80*('DATI nascosti 1'!$C$13/2)+M80*('DATI nascosti 1'!$C$13/2)</f>
        <v>0</v>
      </c>
      <c r="P80" s="69">
        <f>-TABULATI!N80/10^3</f>
        <v>-1229.31886444818</v>
      </c>
      <c r="Q80" s="69">
        <f>TABULATI!O80/10^6</f>
        <v>0</v>
      </c>
      <c r="R80" s="72">
        <f>-N80/('DATI nascosti 1'!$C$6*'DATI nascosti 1'!$C$13*'DATI nascosti 1'!$H$10*'DATI nascosti 1'!$H$16)</f>
        <v>-0.29581171389629707</v>
      </c>
      <c r="S80" s="72">
        <f>O80/('DATI nascosti 1'!$H$16*'DATI nascosti 1'!$C$6*'DATI nascosti 1'!$C$13^2*'DATI nascosti 1'!$H$10)</f>
        <v>0</v>
      </c>
      <c r="T80" s="73">
        <f t="shared" si="3"/>
        <v>0</v>
      </c>
      <c r="U80" s="67" t="str">
        <f>IF(T80&gt;=0, IF(T80&lt;='DATI nascosti 1'!$C$8/6, "SI", "NO"),IF(T80&gt; -'DATI nascosti 1'!$C$8/6, "SI", "NO"))</f>
        <v>SI</v>
      </c>
      <c r="V80" s="67" t="str">
        <f>IF(Foglio3!G81&lt;1,IF(Foglio3!G81&gt;-1,"ROTTURA BILANCIATA",""),"")</f>
        <v/>
      </c>
    </row>
    <row r="81" spans="1:22" ht="18.75" x14ac:dyDescent="0.25">
      <c r="A81" s="20"/>
      <c r="B81" s="67" t="s">
        <v>39</v>
      </c>
      <c r="C81" s="68">
        <f>'DATI nascosti 1'!$L$8*10^-3</f>
        <v>6.7500000000000004E-2</v>
      </c>
      <c r="D81" s="68">
        <f>D80-(C81-('DATI nascosti 1'!$C$10/'DATI nascosti 1'!$C$13*C81))/100</f>
        <v>1.6252597402597282E-2</v>
      </c>
      <c r="E81" s="67" t="s">
        <v>39</v>
      </c>
      <c r="F81" s="69">
        <f>(D81*'DATI nascosti 1'!$C$13-C81*'DATI nascosti 1'!$C$10)/(D81-C81)</f>
        <v>-307.0253164556928</v>
      </c>
      <c r="G81" s="70">
        <v>0</v>
      </c>
      <c r="H81" s="70">
        <v>0</v>
      </c>
      <c r="I81" s="70">
        <v>0</v>
      </c>
      <c r="J81" s="70">
        <v>0</v>
      </c>
      <c r="K81" s="71">
        <f>IF(D81&gt;=('DATI nascosti 1'!$L$10*10^-3),'DATI nascosti 1'!$L$14*'DATI nascosti 1'!$P$12,IF(D81&gt;=(-'DATI nascosti 1'!$L$10*10^-3),'DATI nascosti 1'!$L$16*D81*'DATI nascosti 1'!$P$12,-'DATI nascosti 1'!$L$14*'DATI nascosti 1'!$P$12))</f>
        <v>614659.43222408998</v>
      </c>
      <c r="L81" s="71">
        <v>0</v>
      </c>
      <c r="M81" s="71">
        <f>IF(C81&gt;=('DATI nascosti 1'!$L$10*10^-3),'DATI nascosti 1'!$L$14*'DATI nascosti 1'!$P$11,IF(C81&gt;=(-'DATI nascosti 1'!$L$10*10^-3),'DATI nascosti 1'!$P$11*'DATI nascosti 1'!$L$16*C81,-'DATI nascosti 1'!$L$14*'DATI nascosti 1'!$P$11))</f>
        <v>614659.43222408998</v>
      </c>
      <c r="N81" s="71">
        <f t="shared" si="2"/>
        <v>1229318.86444818</v>
      </c>
      <c r="O81" s="71">
        <f>-K81*('DATI nascosti 1'!$C$13/2)+M81*('DATI nascosti 1'!$C$13/2)</f>
        <v>0</v>
      </c>
      <c r="P81" s="69">
        <f>-TABULATI!N81/10^3</f>
        <v>-1229.31886444818</v>
      </c>
      <c r="Q81" s="69">
        <f>TABULATI!O81/10^6</f>
        <v>0</v>
      </c>
      <c r="R81" s="72">
        <f>-N81/('DATI nascosti 1'!$C$6*'DATI nascosti 1'!$C$13*'DATI nascosti 1'!$H$10*'DATI nascosti 1'!$H$16)</f>
        <v>-0.29581171389629707</v>
      </c>
      <c r="S81" s="72">
        <f>O81/('DATI nascosti 1'!$H$16*'DATI nascosti 1'!$C$6*'DATI nascosti 1'!$C$13^2*'DATI nascosti 1'!$H$10)</f>
        <v>0</v>
      </c>
      <c r="T81" s="73">
        <f t="shared" si="3"/>
        <v>0</v>
      </c>
      <c r="U81" s="67" t="str">
        <f>IF(T81&gt;=0, IF(T81&lt;='DATI nascosti 1'!$C$8/6, "SI", "NO"),IF(T81&gt; -'DATI nascosti 1'!$C$8/6, "SI", "NO"))</f>
        <v>SI</v>
      </c>
      <c r="V81" s="67" t="str">
        <f>IF(Foglio3!G82&lt;1,IF(Foglio3!G82&gt;-1,"ROTTURA BILANCIATA",""),"")</f>
        <v/>
      </c>
    </row>
    <row r="82" spans="1:22" ht="18.75" x14ac:dyDescent="0.25">
      <c r="A82" s="20"/>
      <c r="B82" s="67" t="s">
        <v>39</v>
      </c>
      <c r="C82" s="68">
        <f>'DATI nascosti 1'!$L$8*10^-3</f>
        <v>6.7500000000000004E-2</v>
      </c>
      <c r="D82" s="68">
        <f>D81-(C82-('DATI nascosti 1'!$C$10/'DATI nascosti 1'!$C$13*C82))/100</f>
        <v>1.5603896103895985E-2</v>
      </c>
      <c r="E82" s="67" t="s">
        <v>39</v>
      </c>
      <c r="F82" s="69">
        <f>(D82*'DATI nascosti 1'!$C$13-C82*'DATI nascosti 1'!$C$10)/(D82-C82)</f>
        <v>-288.74999999999665</v>
      </c>
      <c r="G82" s="70">
        <v>0</v>
      </c>
      <c r="H82" s="70">
        <v>0</v>
      </c>
      <c r="I82" s="70">
        <v>0</v>
      </c>
      <c r="J82" s="70">
        <v>0</v>
      </c>
      <c r="K82" s="71">
        <f>IF(D82&gt;=('DATI nascosti 1'!$L$10*10^-3),'DATI nascosti 1'!$L$14*'DATI nascosti 1'!$P$12,IF(D82&gt;=(-'DATI nascosti 1'!$L$10*10^-3),'DATI nascosti 1'!$L$16*D82*'DATI nascosti 1'!$P$12,-'DATI nascosti 1'!$L$14*'DATI nascosti 1'!$P$12))</f>
        <v>614659.43222408998</v>
      </c>
      <c r="L82" s="71">
        <v>0</v>
      </c>
      <c r="M82" s="71">
        <f>IF(C82&gt;=('DATI nascosti 1'!$L$10*10^-3),'DATI nascosti 1'!$L$14*'DATI nascosti 1'!$P$11,IF(C82&gt;=(-'DATI nascosti 1'!$L$10*10^-3),'DATI nascosti 1'!$P$11*'DATI nascosti 1'!$L$16*C82,-'DATI nascosti 1'!$L$14*'DATI nascosti 1'!$P$11))</f>
        <v>614659.43222408998</v>
      </c>
      <c r="N82" s="71">
        <f t="shared" si="2"/>
        <v>1229318.86444818</v>
      </c>
      <c r="O82" s="71">
        <f>-K82*('DATI nascosti 1'!$C$13/2)+M82*('DATI nascosti 1'!$C$13/2)</f>
        <v>0</v>
      </c>
      <c r="P82" s="69">
        <f>-TABULATI!N82/10^3</f>
        <v>-1229.31886444818</v>
      </c>
      <c r="Q82" s="69">
        <f>TABULATI!O82/10^6</f>
        <v>0</v>
      </c>
      <c r="R82" s="72">
        <f>-N82/('DATI nascosti 1'!$C$6*'DATI nascosti 1'!$C$13*'DATI nascosti 1'!$H$10*'DATI nascosti 1'!$H$16)</f>
        <v>-0.29581171389629707</v>
      </c>
      <c r="S82" s="72">
        <f>O82/('DATI nascosti 1'!$H$16*'DATI nascosti 1'!$C$6*'DATI nascosti 1'!$C$13^2*'DATI nascosti 1'!$H$10)</f>
        <v>0</v>
      </c>
      <c r="T82" s="73">
        <f t="shared" si="3"/>
        <v>0</v>
      </c>
      <c r="U82" s="67" t="str">
        <f>IF(T82&gt;=0, IF(T82&lt;='DATI nascosti 1'!$C$8/6, "SI", "NO"),IF(T82&gt; -'DATI nascosti 1'!$C$8/6, "SI", "NO"))</f>
        <v>SI</v>
      </c>
      <c r="V82" s="67" t="str">
        <f>IF(Foglio3!G83&lt;1,IF(Foglio3!G83&gt;-1,"ROTTURA BILANCIATA",""),"")</f>
        <v/>
      </c>
    </row>
    <row r="83" spans="1:22" ht="18.75" x14ac:dyDescent="0.25">
      <c r="A83" s="20"/>
      <c r="B83" s="67" t="s">
        <v>39</v>
      </c>
      <c r="C83" s="68">
        <f>'DATI nascosti 1'!$L$8*10^-3</f>
        <v>6.7500000000000004E-2</v>
      </c>
      <c r="D83" s="68">
        <f>D82-(C83-('DATI nascosti 1'!$C$10/'DATI nascosti 1'!$C$13*C83))/100</f>
        <v>1.4955194805194687E-2</v>
      </c>
      <c r="E83" s="67" t="s">
        <v>39</v>
      </c>
      <c r="F83" s="69">
        <f>(D83*'DATI nascosti 1'!$C$13-C83*'DATI nascosti 1'!$C$10)/(D83-C83)</f>
        <v>-270.92592592592268</v>
      </c>
      <c r="G83" s="70">
        <v>0</v>
      </c>
      <c r="H83" s="70">
        <v>0</v>
      </c>
      <c r="I83" s="70">
        <v>0</v>
      </c>
      <c r="J83" s="70">
        <v>0</v>
      </c>
      <c r="K83" s="71">
        <f>IF(D83&gt;=('DATI nascosti 1'!$L$10*10^-3),'DATI nascosti 1'!$L$14*'DATI nascosti 1'!$P$12,IF(D83&gt;=(-'DATI nascosti 1'!$L$10*10^-3),'DATI nascosti 1'!$L$16*D83*'DATI nascosti 1'!$P$12,-'DATI nascosti 1'!$L$14*'DATI nascosti 1'!$P$12))</f>
        <v>614659.43222408998</v>
      </c>
      <c r="L83" s="71">
        <v>0</v>
      </c>
      <c r="M83" s="71">
        <f>IF(C83&gt;=('DATI nascosti 1'!$L$10*10^-3),'DATI nascosti 1'!$L$14*'DATI nascosti 1'!$P$11,IF(C83&gt;=(-'DATI nascosti 1'!$L$10*10^-3),'DATI nascosti 1'!$P$11*'DATI nascosti 1'!$L$16*C83,-'DATI nascosti 1'!$L$14*'DATI nascosti 1'!$P$11))</f>
        <v>614659.43222408998</v>
      </c>
      <c r="N83" s="71">
        <f t="shared" si="2"/>
        <v>1229318.86444818</v>
      </c>
      <c r="O83" s="71">
        <f>-K83*('DATI nascosti 1'!$C$13/2)+M83*('DATI nascosti 1'!$C$13/2)</f>
        <v>0</v>
      </c>
      <c r="P83" s="69">
        <f>-TABULATI!N83/10^3</f>
        <v>-1229.31886444818</v>
      </c>
      <c r="Q83" s="69">
        <f>TABULATI!O83/10^6</f>
        <v>0</v>
      </c>
      <c r="R83" s="72">
        <f>-N83/('DATI nascosti 1'!$C$6*'DATI nascosti 1'!$C$13*'DATI nascosti 1'!$H$10*'DATI nascosti 1'!$H$16)</f>
        <v>-0.29581171389629707</v>
      </c>
      <c r="S83" s="72">
        <f>O83/('DATI nascosti 1'!$H$16*'DATI nascosti 1'!$C$6*'DATI nascosti 1'!$C$13^2*'DATI nascosti 1'!$H$10)</f>
        <v>0</v>
      </c>
      <c r="T83" s="73">
        <f t="shared" si="3"/>
        <v>0</v>
      </c>
      <c r="U83" s="67" t="str">
        <f>IF(T83&gt;=0, IF(T83&lt;='DATI nascosti 1'!$C$8/6, "SI", "NO"),IF(T83&gt; -'DATI nascosti 1'!$C$8/6, "SI", "NO"))</f>
        <v>SI</v>
      </c>
      <c r="V83" s="67" t="str">
        <f>IF(Foglio3!G84&lt;1,IF(Foglio3!G84&gt;-1,"ROTTURA BILANCIATA",""),"")</f>
        <v/>
      </c>
    </row>
    <row r="84" spans="1:22" ht="18.75" x14ac:dyDescent="0.25">
      <c r="A84" s="20"/>
      <c r="B84" s="67" t="s">
        <v>39</v>
      </c>
      <c r="C84" s="68">
        <f>'DATI nascosti 1'!$L$8*10^-3</f>
        <v>6.7500000000000004E-2</v>
      </c>
      <c r="D84" s="68">
        <f>D83-(C84-('DATI nascosti 1'!$C$10/'DATI nascosti 1'!$C$13*C84))/100</f>
        <v>1.4306493506493389E-2</v>
      </c>
      <c r="E84" s="67" t="s">
        <v>39</v>
      </c>
      <c r="F84" s="69">
        <f>(D84*'DATI nascosti 1'!$C$13-C84*'DATI nascosti 1'!$C$10)/(D84-C84)</f>
        <v>-253.53658536585058</v>
      </c>
      <c r="G84" s="70">
        <v>0</v>
      </c>
      <c r="H84" s="70">
        <v>0</v>
      </c>
      <c r="I84" s="70">
        <v>0</v>
      </c>
      <c r="J84" s="70">
        <v>0</v>
      </c>
      <c r="K84" s="71">
        <f>IF(D84&gt;=('DATI nascosti 1'!$L$10*10^-3),'DATI nascosti 1'!$L$14*'DATI nascosti 1'!$P$12,IF(D84&gt;=(-'DATI nascosti 1'!$L$10*10^-3),'DATI nascosti 1'!$L$16*D84*'DATI nascosti 1'!$P$12,-'DATI nascosti 1'!$L$14*'DATI nascosti 1'!$P$12))</f>
        <v>614659.43222408998</v>
      </c>
      <c r="L84" s="71">
        <v>0</v>
      </c>
      <c r="M84" s="71">
        <f>IF(C84&gt;=('DATI nascosti 1'!$L$10*10^-3),'DATI nascosti 1'!$L$14*'DATI nascosti 1'!$P$11,IF(C84&gt;=(-'DATI nascosti 1'!$L$10*10^-3),'DATI nascosti 1'!$P$11*'DATI nascosti 1'!$L$16*C84,-'DATI nascosti 1'!$L$14*'DATI nascosti 1'!$P$11))</f>
        <v>614659.43222408998</v>
      </c>
      <c r="N84" s="71">
        <f t="shared" si="2"/>
        <v>1229318.86444818</v>
      </c>
      <c r="O84" s="71">
        <f>-K84*('DATI nascosti 1'!$C$13/2)+M84*('DATI nascosti 1'!$C$13/2)</f>
        <v>0</v>
      </c>
      <c r="P84" s="69">
        <f>-TABULATI!N84/10^3</f>
        <v>-1229.31886444818</v>
      </c>
      <c r="Q84" s="69">
        <f>TABULATI!O84/10^6</f>
        <v>0</v>
      </c>
      <c r="R84" s="72">
        <f>-N84/('DATI nascosti 1'!$C$6*'DATI nascosti 1'!$C$13*'DATI nascosti 1'!$H$10*'DATI nascosti 1'!$H$16)</f>
        <v>-0.29581171389629707</v>
      </c>
      <c r="S84" s="72">
        <f>O84/('DATI nascosti 1'!$H$16*'DATI nascosti 1'!$C$6*'DATI nascosti 1'!$C$13^2*'DATI nascosti 1'!$H$10)</f>
        <v>0</v>
      </c>
      <c r="T84" s="73">
        <f t="shared" si="3"/>
        <v>0</v>
      </c>
      <c r="U84" s="67" t="str">
        <f>IF(T84&gt;=0, IF(T84&lt;='DATI nascosti 1'!$C$8/6, "SI", "NO"),IF(T84&gt; -'DATI nascosti 1'!$C$8/6, "SI", "NO"))</f>
        <v>SI</v>
      </c>
      <c r="V84" s="67" t="str">
        <f>IF(Foglio3!G85&lt;1,IF(Foglio3!G85&gt;-1,"ROTTURA BILANCIATA",""),"")</f>
        <v/>
      </c>
    </row>
    <row r="85" spans="1:22" ht="18.75" x14ac:dyDescent="0.25">
      <c r="A85" s="20"/>
      <c r="B85" s="67" t="s">
        <v>39</v>
      </c>
      <c r="C85" s="68">
        <f>'DATI nascosti 1'!$L$8*10^-3</f>
        <v>6.7500000000000004E-2</v>
      </c>
      <c r="D85" s="68">
        <f>D84-(C85-('DATI nascosti 1'!$C$10/'DATI nascosti 1'!$C$13*C85))/100</f>
        <v>1.3657792207792091E-2</v>
      </c>
      <c r="E85" s="67" t="s">
        <v>39</v>
      </c>
      <c r="F85" s="69">
        <f>(D85*'DATI nascosti 1'!$C$13-C85*'DATI nascosti 1'!$C$10)/(D85-C85)</f>
        <v>-236.56626506023795</v>
      </c>
      <c r="G85" s="70">
        <v>0</v>
      </c>
      <c r="H85" s="70">
        <v>0</v>
      </c>
      <c r="I85" s="70">
        <v>0</v>
      </c>
      <c r="J85" s="70">
        <v>0</v>
      </c>
      <c r="K85" s="71">
        <f>IF(D85&gt;=('DATI nascosti 1'!$L$10*10^-3),'DATI nascosti 1'!$L$14*'DATI nascosti 1'!$P$12,IF(D85&gt;=(-'DATI nascosti 1'!$L$10*10^-3),'DATI nascosti 1'!$L$16*D85*'DATI nascosti 1'!$P$12,-'DATI nascosti 1'!$L$14*'DATI nascosti 1'!$P$12))</f>
        <v>614659.43222408998</v>
      </c>
      <c r="L85" s="71">
        <v>0</v>
      </c>
      <c r="M85" s="71">
        <f>IF(C85&gt;=('DATI nascosti 1'!$L$10*10^-3),'DATI nascosti 1'!$L$14*'DATI nascosti 1'!$P$11,IF(C85&gt;=(-'DATI nascosti 1'!$L$10*10^-3),'DATI nascosti 1'!$P$11*'DATI nascosti 1'!$L$16*C85,-'DATI nascosti 1'!$L$14*'DATI nascosti 1'!$P$11))</f>
        <v>614659.43222408998</v>
      </c>
      <c r="N85" s="71">
        <f t="shared" si="2"/>
        <v>1229318.86444818</v>
      </c>
      <c r="O85" s="71">
        <f>-K85*('DATI nascosti 1'!$C$13/2)+M85*('DATI nascosti 1'!$C$13/2)</f>
        <v>0</v>
      </c>
      <c r="P85" s="69">
        <f>-TABULATI!N85/10^3</f>
        <v>-1229.31886444818</v>
      </c>
      <c r="Q85" s="69">
        <f>TABULATI!O85/10^6</f>
        <v>0</v>
      </c>
      <c r="R85" s="72">
        <f>-N85/('DATI nascosti 1'!$C$6*'DATI nascosti 1'!$C$13*'DATI nascosti 1'!$H$10*'DATI nascosti 1'!$H$16)</f>
        <v>-0.29581171389629707</v>
      </c>
      <c r="S85" s="72">
        <f>O85/('DATI nascosti 1'!$H$16*'DATI nascosti 1'!$C$6*'DATI nascosti 1'!$C$13^2*'DATI nascosti 1'!$H$10)</f>
        <v>0</v>
      </c>
      <c r="T85" s="73">
        <f t="shared" si="3"/>
        <v>0</v>
      </c>
      <c r="U85" s="67" t="str">
        <f>IF(T85&gt;=0, IF(T85&lt;='DATI nascosti 1'!$C$8/6, "SI", "NO"),IF(T85&gt; -'DATI nascosti 1'!$C$8/6, "SI", "NO"))</f>
        <v>SI</v>
      </c>
      <c r="V85" s="67" t="str">
        <f>IF(Foglio3!G86&lt;1,IF(Foglio3!G86&gt;-1,"ROTTURA BILANCIATA",""),"")</f>
        <v/>
      </c>
    </row>
    <row r="86" spans="1:22" ht="18.75" x14ac:dyDescent="0.25">
      <c r="A86" s="20"/>
      <c r="B86" s="67" t="s">
        <v>39</v>
      </c>
      <c r="C86" s="68">
        <f>'DATI nascosti 1'!$L$8*10^-3</f>
        <v>6.7500000000000004E-2</v>
      </c>
      <c r="D86" s="68">
        <f>D85-(C86-('DATI nascosti 1'!$C$10/'DATI nascosti 1'!$C$13*C86))/100</f>
        <v>1.3009090909090793E-2</v>
      </c>
      <c r="E86" s="67" t="s">
        <v>39</v>
      </c>
      <c r="F86" s="69">
        <f>(D86*'DATI nascosti 1'!$C$13-C86*'DATI nascosti 1'!$C$10)/(D86-C86)</f>
        <v>-219.99999999999704</v>
      </c>
      <c r="G86" s="70">
        <v>0</v>
      </c>
      <c r="H86" s="70">
        <v>0</v>
      </c>
      <c r="I86" s="70">
        <v>0</v>
      </c>
      <c r="J86" s="70">
        <v>0</v>
      </c>
      <c r="K86" s="71">
        <f>IF(D86&gt;=('DATI nascosti 1'!$L$10*10^-3),'DATI nascosti 1'!$L$14*'DATI nascosti 1'!$P$12,IF(D86&gt;=(-'DATI nascosti 1'!$L$10*10^-3),'DATI nascosti 1'!$L$16*D86*'DATI nascosti 1'!$P$12,-'DATI nascosti 1'!$L$14*'DATI nascosti 1'!$P$12))</f>
        <v>614659.43222408998</v>
      </c>
      <c r="L86" s="71">
        <v>0</v>
      </c>
      <c r="M86" s="71">
        <f>IF(C86&gt;=('DATI nascosti 1'!$L$10*10^-3),'DATI nascosti 1'!$L$14*'DATI nascosti 1'!$P$11,IF(C86&gt;=(-'DATI nascosti 1'!$L$10*10^-3),'DATI nascosti 1'!$P$11*'DATI nascosti 1'!$L$16*C86,-'DATI nascosti 1'!$L$14*'DATI nascosti 1'!$P$11))</f>
        <v>614659.43222408998</v>
      </c>
      <c r="N86" s="71">
        <f t="shared" si="2"/>
        <v>1229318.86444818</v>
      </c>
      <c r="O86" s="71">
        <f>-K86*('DATI nascosti 1'!$C$13/2)+M86*('DATI nascosti 1'!$C$13/2)</f>
        <v>0</v>
      </c>
      <c r="P86" s="69">
        <f>-TABULATI!N86/10^3</f>
        <v>-1229.31886444818</v>
      </c>
      <c r="Q86" s="69">
        <f>TABULATI!O86/10^6</f>
        <v>0</v>
      </c>
      <c r="R86" s="72">
        <f>-N86/('DATI nascosti 1'!$C$6*'DATI nascosti 1'!$C$13*'DATI nascosti 1'!$H$10*'DATI nascosti 1'!$H$16)</f>
        <v>-0.29581171389629707</v>
      </c>
      <c r="S86" s="72">
        <f>O86/('DATI nascosti 1'!$H$16*'DATI nascosti 1'!$C$6*'DATI nascosti 1'!$C$13^2*'DATI nascosti 1'!$H$10)</f>
        <v>0</v>
      </c>
      <c r="T86" s="73">
        <f t="shared" si="3"/>
        <v>0</v>
      </c>
      <c r="U86" s="67" t="str">
        <f>IF(T86&gt;=0, IF(T86&lt;='DATI nascosti 1'!$C$8/6, "SI", "NO"),IF(T86&gt; -'DATI nascosti 1'!$C$8/6, "SI", "NO"))</f>
        <v>SI</v>
      </c>
      <c r="V86" s="67" t="str">
        <f>IF(Foglio3!G87&lt;1,IF(Foglio3!G87&gt;-1,"ROTTURA BILANCIATA",""),"")</f>
        <v/>
      </c>
    </row>
    <row r="87" spans="1:22" ht="18.75" x14ac:dyDescent="0.25">
      <c r="A87" s="20"/>
      <c r="B87" s="67" t="s">
        <v>39</v>
      </c>
      <c r="C87" s="68">
        <f>'DATI nascosti 1'!$L$8*10^-3</f>
        <v>6.7500000000000004E-2</v>
      </c>
      <c r="D87" s="68">
        <f>D86-(C87-('DATI nascosti 1'!$C$10/'DATI nascosti 1'!$C$13*C87))/100</f>
        <v>1.2360389610389495E-2</v>
      </c>
      <c r="E87" s="67" t="s">
        <v>39</v>
      </c>
      <c r="F87" s="69">
        <f>(D87*'DATI nascosti 1'!$C$13-C87*'DATI nascosti 1'!$C$10)/(D87-C87)</f>
        <v>-203.82352941176188</v>
      </c>
      <c r="G87" s="70">
        <v>0</v>
      </c>
      <c r="H87" s="70">
        <v>0</v>
      </c>
      <c r="I87" s="70">
        <v>0</v>
      </c>
      <c r="J87" s="70">
        <v>0</v>
      </c>
      <c r="K87" s="71">
        <f>IF(D87&gt;=('DATI nascosti 1'!$L$10*10^-3),'DATI nascosti 1'!$L$14*'DATI nascosti 1'!$P$12,IF(D87&gt;=(-'DATI nascosti 1'!$L$10*10^-3),'DATI nascosti 1'!$L$16*D87*'DATI nascosti 1'!$P$12,-'DATI nascosti 1'!$L$14*'DATI nascosti 1'!$P$12))</f>
        <v>614659.43222408998</v>
      </c>
      <c r="L87" s="71">
        <v>0</v>
      </c>
      <c r="M87" s="71">
        <f>IF(C87&gt;=('DATI nascosti 1'!$L$10*10^-3),'DATI nascosti 1'!$L$14*'DATI nascosti 1'!$P$11,IF(C87&gt;=(-'DATI nascosti 1'!$L$10*10^-3),'DATI nascosti 1'!$P$11*'DATI nascosti 1'!$L$16*C87,-'DATI nascosti 1'!$L$14*'DATI nascosti 1'!$P$11))</f>
        <v>614659.43222408998</v>
      </c>
      <c r="N87" s="71">
        <f t="shared" si="2"/>
        <v>1229318.86444818</v>
      </c>
      <c r="O87" s="71">
        <f>-K87*('DATI nascosti 1'!$C$13/2)+M87*('DATI nascosti 1'!$C$13/2)</f>
        <v>0</v>
      </c>
      <c r="P87" s="69">
        <f>-TABULATI!N87/10^3</f>
        <v>-1229.31886444818</v>
      </c>
      <c r="Q87" s="69">
        <f>TABULATI!O87/10^6</f>
        <v>0</v>
      </c>
      <c r="R87" s="72">
        <f>-N87/('DATI nascosti 1'!$C$6*'DATI nascosti 1'!$C$13*'DATI nascosti 1'!$H$10*'DATI nascosti 1'!$H$16)</f>
        <v>-0.29581171389629707</v>
      </c>
      <c r="S87" s="72">
        <f>O87/('DATI nascosti 1'!$H$16*'DATI nascosti 1'!$C$6*'DATI nascosti 1'!$C$13^2*'DATI nascosti 1'!$H$10)</f>
        <v>0</v>
      </c>
      <c r="T87" s="73">
        <f t="shared" si="3"/>
        <v>0</v>
      </c>
      <c r="U87" s="67" t="str">
        <f>IF(T87&gt;=0, IF(T87&lt;='DATI nascosti 1'!$C$8/6, "SI", "NO"),IF(T87&gt; -'DATI nascosti 1'!$C$8/6, "SI", "NO"))</f>
        <v>SI</v>
      </c>
      <c r="V87" s="67" t="str">
        <f>IF(Foglio3!G88&lt;1,IF(Foglio3!G88&gt;-1,"ROTTURA BILANCIATA",""),"")</f>
        <v/>
      </c>
    </row>
    <row r="88" spans="1:22" ht="18.75" x14ac:dyDescent="0.25">
      <c r="A88" s="20"/>
      <c r="B88" s="67" t="s">
        <v>39</v>
      </c>
      <c r="C88" s="68">
        <f>'DATI nascosti 1'!$L$8*10^-3</f>
        <v>6.7500000000000004E-2</v>
      </c>
      <c r="D88" s="68">
        <f>D87-(C88-('DATI nascosti 1'!$C$10/'DATI nascosti 1'!$C$13*C88))/100</f>
        <v>1.1711688311688197E-2</v>
      </c>
      <c r="E88" s="67" t="s">
        <v>39</v>
      </c>
      <c r="F88" s="69">
        <f>(D88*'DATI nascosti 1'!$C$13-C88*'DATI nascosti 1'!$C$10)/(D88-C88)</f>
        <v>-188.02325581395073</v>
      </c>
      <c r="G88" s="70">
        <v>0</v>
      </c>
      <c r="H88" s="70">
        <v>0</v>
      </c>
      <c r="I88" s="70">
        <v>0</v>
      </c>
      <c r="J88" s="70">
        <v>0</v>
      </c>
      <c r="K88" s="71">
        <f>IF(D88&gt;=('DATI nascosti 1'!$L$10*10^-3),'DATI nascosti 1'!$L$14*'DATI nascosti 1'!$P$12,IF(D88&gt;=(-'DATI nascosti 1'!$L$10*10^-3),'DATI nascosti 1'!$L$16*D88*'DATI nascosti 1'!$P$12,-'DATI nascosti 1'!$L$14*'DATI nascosti 1'!$P$12))</f>
        <v>614659.43222408998</v>
      </c>
      <c r="L88" s="71">
        <v>0</v>
      </c>
      <c r="M88" s="71">
        <f>IF(C88&gt;=('DATI nascosti 1'!$L$10*10^-3),'DATI nascosti 1'!$L$14*'DATI nascosti 1'!$P$11,IF(C88&gt;=(-'DATI nascosti 1'!$L$10*10^-3),'DATI nascosti 1'!$P$11*'DATI nascosti 1'!$L$16*C88,-'DATI nascosti 1'!$L$14*'DATI nascosti 1'!$P$11))</f>
        <v>614659.43222408998</v>
      </c>
      <c r="N88" s="71">
        <f t="shared" si="2"/>
        <v>1229318.86444818</v>
      </c>
      <c r="O88" s="71">
        <f>-K88*('DATI nascosti 1'!$C$13/2)+M88*('DATI nascosti 1'!$C$13/2)</f>
        <v>0</v>
      </c>
      <c r="P88" s="69">
        <f>-TABULATI!N88/10^3</f>
        <v>-1229.31886444818</v>
      </c>
      <c r="Q88" s="69">
        <f>TABULATI!O88/10^6</f>
        <v>0</v>
      </c>
      <c r="R88" s="72">
        <f>-N88/('DATI nascosti 1'!$C$6*'DATI nascosti 1'!$C$13*'DATI nascosti 1'!$H$10*'DATI nascosti 1'!$H$16)</f>
        <v>-0.29581171389629707</v>
      </c>
      <c r="S88" s="72">
        <f>O88/('DATI nascosti 1'!$H$16*'DATI nascosti 1'!$C$6*'DATI nascosti 1'!$C$13^2*'DATI nascosti 1'!$H$10)</f>
        <v>0</v>
      </c>
      <c r="T88" s="73">
        <f t="shared" si="3"/>
        <v>0</v>
      </c>
      <c r="U88" s="67" t="str">
        <f>IF(T88&gt;=0, IF(T88&lt;='DATI nascosti 1'!$C$8/6, "SI", "NO"),IF(T88&gt; -'DATI nascosti 1'!$C$8/6, "SI", "NO"))</f>
        <v>SI</v>
      </c>
      <c r="V88" s="67" t="str">
        <f>IF(Foglio3!G89&lt;1,IF(Foglio3!G89&gt;-1,"ROTTURA BILANCIATA",""),"")</f>
        <v/>
      </c>
    </row>
    <row r="89" spans="1:22" ht="18.75" x14ac:dyDescent="0.25">
      <c r="A89" s="20"/>
      <c r="B89" s="67" t="s">
        <v>39</v>
      </c>
      <c r="C89" s="68">
        <f>'DATI nascosti 1'!$L$8*10^-3</f>
        <v>6.7500000000000004E-2</v>
      </c>
      <c r="D89" s="68">
        <f>D88-(C89-('DATI nascosti 1'!$C$10/'DATI nascosti 1'!$C$13*C89))/100</f>
        <v>1.10629870129869E-2</v>
      </c>
      <c r="E89" s="67" t="s">
        <v>39</v>
      </c>
      <c r="F89" s="69">
        <f>(D89*'DATI nascosti 1'!$C$13-C89*'DATI nascosti 1'!$C$10)/(D89-C89)</f>
        <v>-172.58620689654907</v>
      </c>
      <c r="G89" s="70">
        <v>0</v>
      </c>
      <c r="H89" s="70">
        <v>0</v>
      </c>
      <c r="I89" s="70">
        <v>0</v>
      </c>
      <c r="J89" s="70">
        <v>0</v>
      </c>
      <c r="K89" s="71">
        <f>IF(D89&gt;=('DATI nascosti 1'!$L$10*10^-3),'DATI nascosti 1'!$L$14*'DATI nascosti 1'!$P$12,IF(D89&gt;=(-'DATI nascosti 1'!$L$10*10^-3),'DATI nascosti 1'!$L$16*D89*'DATI nascosti 1'!$P$12,-'DATI nascosti 1'!$L$14*'DATI nascosti 1'!$P$12))</f>
        <v>614659.43222408998</v>
      </c>
      <c r="L89" s="71">
        <v>0</v>
      </c>
      <c r="M89" s="71">
        <f>IF(C89&gt;=('DATI nascosti 1'!$L$10*10^-3),'DATI nascosti 1'!$L$14*'DATI nascosti 1'!$P$11,IF(C89&gt;=(-'DATI nascosti 1'!$L$10*10^-3),'DATI nascosti 1'!$P$11*'DATI nascosti 1'!$L$16*C89,-'DATI nascosti 1'!$L$14*'DATI nascosti 1'!$P$11))</f>
        <v>614659.43222408998</v>
      </c>
      <c r="N89" s="71">
        <f t="shared" si="2"/>
        <v>1229318.86444818</v>
      </c>
      <c r="O89" s="71">
        <f>-K89*('DATI nascosti 1'!$C$13/2)+M89*('DATI nascosti 1'!$C$13/2)</f>
        <v>0</v>
      </c>
      <c r="P89" s="69">
        <f>-TABULATI!N89/10^3</f>
        <v>-1229.31886444818</v>
      </c>
      <c r="Q89" s="69">
        <f>TABULATI!O89/10^6</f>
        <v>0</v>
      </c>
      <c r="R89" s="72">
        <f>-N89/('DATI nascosti 1'!$C$6*'DATI nascosti 1'!$C$13*'DATI nascosti 1'!$H$10*'DATI nascosti 1'!$H$16)</f>
        <v>-0.29581171389629707</v>
      </c>
      <c r="S89" s="72">
        <f>O89/('DATI nascosti 1'!$H$16*'DATI nascosti 1'!$C$6*'DATI nascosti 1'!$C$13^2*'DATI nascosti 1'!$H$10)</f>
        <v>0</v>
      </c>
      <c r="T89" s="73">
        <f t="shared" si="3"/>
        <v>0</v>
      </c>
      <c r="U89" s="67" t="str">
        <f>IF(T89&gt;=0, IF(T89&lt;='DATI nascosti 1'!$C$8/6, "SI", "NO"),IF(T89&gt; -'DATI nascosti 1'!$C$8/6, "SI", "NO"))</f>
        <v>SI</v>
      </c>
      <c r="V89" s="67" t="str">
        <f>IF(Foglio3!G90&lt;1,IF(Foglio3!G90&gt;-1,"ROTTURA BILANCIATA",""),"")</f>
        <v/>
      </c>
    </row>
    <row r="90" spans="1:22" ht="18.75" x14ac:dyDescent="0.25">
      <c r="A90" s="20"/>
      <c r="B90" s="67" t="s">
        <v>39</v>
      </c>
      <c r="C90" s="68">
        <f>'DATI nascosti 1'!$L$8*10^-3</f>
        <v>6.7500000000000004E-2</v>
      </c>
      <c r="D90" s="68">
        <f>D89-(C90-('DATI nascosti 1'!$C$10/'DATI nascosti 1'!$C$13*C90))/100</f>
        <v>1.0414285714285602E-2</v>
      </c>
      <c r="E90" s="67" t="s">
        <v>39</v>
      </c>
      <c r="F90" s="69">
        <f>(D90*'DATI nascosti 1'!$C$13-C90*'DATI nascosti 1'!$C$10)/(D90-C90)</f>
        <v>-157.49999999999739</v>
      </c>
      <c r="G90" s="70">
        <v>0</v>
      </c>
      <c r="H90" s="70">
        <v>0</v>
      </c>
      <c r="I90" s="70">
        <v>0</v>
      </c>
      <c r="J90" s="70">
        <v>0</v>
      </c>
      <c r="K90" s="71">
        <f>IF(D90&gt;=('DATI nascosti 1'!$L$10*10^-3),'DATI nascosti 1'!$L$14*'DATI nascosti 1'!$P$12,IF(D90&gt;=(-'DATI nascosti 1'!$L$10*10^-3),'DATI nascosti 1'!$L$16*D90*'DATI nascosti 1'!$P$12,-'DATI nascosti 1'!$L$14*'DATI nascosti 1'!$P$12))</f>
        <v>614659.43222408998</v>
      </c>
      <c r="L90" s="71">
        <v>0</v>
      </c>
      <c r="M90" s="71">
        <f>IF(C90&gt;=('DATI nascosti 1'!$L$10*10^-3),'DATI nascosti 1'!$L$14*'DATI nascosti 1'!$P$11,IF(C90&gt;=(-'DATI nascosti 1'!$L$10*10^-3),'DATI nascosti 1'!$P$11*'DATI nascosti 1'!$L$16*C90,-'DATI nascosti 1'!$L$14*'DATI nascosti 1'!$P$11))</f>
        <v>614659.43222408998</v>
      </c>
      <c r="N90" s="71">
        <f t="shared" si="2"/>
        <v>1229318.86444818</v>
      </c>
      <c r="O90" s="71">
        <f>-K90*('DATI nascosti 1'!$C$13/2)+M90*('DATI nascosti 1'!$C$13/2)</f>
        <v>0</v>
      </c>
      <c r="P90" s="69">
        <f>-TABULATI!N90/10^3</f>
        <v>-1229.31886444818</v>
      </c>
      <c r="Q90" s="69">
        <f>TABULATI!O90/10^6</f>
        <v>0</v>
      </c>
      <c r="R90" s="72">
        <f>-N90/('DATI nascosti 1'!$C$6*'DATI nascosti 1'!$C$13*'DATI nascosti 1'!$H$10*'DATI nascosti 1'!$H$16)</f>
        <v>-0.29581171389629707</v>
      </c>
      <c r="S90" s="72">
        <f>O90/('DATI nascosti 1'!$H$16*'DATI nascosti 1'!$C$6*'DATI nascosti 1'!$C$13^2*'DATI nascosti 1'!$H$10)</f>
        <v>0</v>
      </c>
      <c r="T90" s="73">
        <f t="shared" si="3"/>
        <v>0</v>
      </c>
      <c r="U90" s="67" t="str">
        <f>IF(T90&gt;=0, IF(T90&lt;='DATI nascosti 1'!$C$8/6, "SI", "NO"),IF(T90&gt; -'DATI nascosti 1'!$C$8/6, "SI", "NO"))</f>
        <v>SI</v>
      </c>
      <c r="V90" s="67" t="str">
        <f>IF(Foglio3!G91&lt;1,IF(Foglio3!G91&gt;-1,"ROTTURA BILANCIATA",""),"")</f>
        <v/>
      </c>
    </row>
    <row r="91" spans="1:22" ht="18.75" x14ac:dyDescent="0.25">
      <c r="A91" s="20"/>
      <c r="B91" s="67" t="s">
        <v>39</v>
      </c>
      <c r="C91" s="68">
        <f>'DATI nascosti 1'!$L$8*10^-3</f>
        <v>6.7500000000000004E-2</v>
      </c>
      <c r="D91" s="68">
        <f>D90-(C91-('DATI nascosti 1'!$C$10/'DATI nascosti 1'!$C$13*C91))/100</f>
        <v>9.7655844155843038E-3</v>
      </c>
      <c r="E91" s="67" t="s">
        <v>39</v>
      </c>
      <c r="F91" s="69">
        <f>(D91*'DATI nascosti 1'!$C$13-C91*'DATI nascosti 1'!$C$10)/(D91-C91)</f>
        <v>-142.75280898876153</v>
      </c>
      <c r="G91" s="70">
        <v>0</v>
      </c>
      <c r="H91" s="70">
        <v>0</v>
      </c>
      <c r="I91" s="70">
        <v>0</v>
      </c>
      <c r="J91" s="70">
        <v>0</v>
      </c>
      <c r="K91" s="71">
        <f>IF(D91&gt;=('DATI nascosti 1'!$L$10*10^-3),'DATI nascosti 1'!$L$14*'DATI nascosti 1'!$P$12,IF(D91&gt;=(-'DATI nascosti 1'!$L$10*10^-3),'DATI nascosti 1'!$L$16*D91*'DATI nascosti 1'!$P$12,-'DATI nascosti 1'!$L$14*'DATI nascosti 1'!$P$12))</f>
        <v>614659.43222408998</v>
      </c>
      <c r="L91" s="71">
        <v>0</v>
      </c>
      <c r="M91" s="71">
        <f>IF(C91&gt;=('DATI nascosti 1'!$L$10*10^-3),'DATI nascosti 1'!$L$14*'DATI nascosti 1'!$P$11,IF(C91&gt;=(-'DATI nascosti 1'!$L$10*10^-3),'DATI nascosti 1'!$P$11*'DATI nascosti 1'!$L$16*C91,-'DATI nascosti 1'!$L$14*'DATI nascosti 1'!$P$11))</f>
        <v>614659.43222408998</v>
      </c>
      <c r="N91" s="71">
        <f t="shared" si="2"/>
        <v>1229318.86444818</v>
      </c>
      <c r="O91" s="71">
        <f>-K91*('DATI nascosti 1'!$C$13/2)+M91*('DATI nascosti 1'!$C$13/2)</f>
        <v>0</v>
      </c>
      <c r="P91" s="69">
        <f>-TABULATI!N91/10^3</f>
        <v>-1229.31886444818</v>
      </c>
      <c r="Q91" s="69">
        <f>TABULATI!O91/10^6</f>
        <v>0</v>
      </c>
      <c r="R91" s="72">
        <f>-N91/('DATI nascosti 1'!$C$6*'DATI nascosti 1'!$C$13*'DATI nascosti 1'!$H$10*'DATI nascosti 1'!$H$16)</f>
        <v>-0.29581171389629707</v>
      </c>
      <c r="S91" s="72">
        <f>O91/('DATI nascosti 1'!$H$16*'DATI nascosti 1'!$C$6*'DATI nascosti 1'!$C$13^2*'DATI nascosti 1'!$H$10)</f>
        <v>0</v>
      </c>
      <c r="T91" s="73">
        <f t="shared" si="3"/>
        <v>0</v>
      </c>
      <c r="U91" s="67" t="str">
        <f>IF(T91&gt;=0, IF(T91&lt;='DATI nascosti 1'!$C$8/6, "SI", "NO"),IF(T91&gt; -'DATI nascosti 1'!$C$8/6, "SI", "NO"))</f>
        <v>SI</v>
      </c>
      <c r="V91" s="67" t="str">
        <f>IF(Foglio3!G92&lt;1,IF(Foglio3!G92&gt;-1,"ROTTURA BILANCIATA",""),"")</f>
        <v/>
      </c>
    </row>
    <row r="92" spans="1:22" ht="18.75" x14ac:dyDescent="0.25">
      <c r="A92" s="20"/>
      <c r="B92" s="67" t="s">
        <v>39</v>
      </c>
      <c r="C92" s="68">
        <f>'DATI nascosti 1'!$L$8*10^-3</f>
        <v>6.7500000000000004E-2</v>
      </c>
      <c r="D92" s="68">
        <f>D91-(C92-('DATI nascosti 1'!$C$10/'DATI nascosti 1'!$C$13*C92))/100</f>
        <v>9.116883116883006E-3</v>
      </c>
      <c r="E92" s="67" t="s">
        <v>39</v>
      </c>
      <c r="F92" s="69">
        <f>(D92*'DATI nascosti 1'!$C$13-C92*'DATI nascosti 1'!$C$10)/(D92-C92)</f>
        <v>-128.3333333333309</v>
      </c>
      <c r="G92" s="70">
        <v>0</v>
      </c>
      <c r="H92" s="70">
        <v>0</v>
      </c>
      <c r="I92" s="70">
        <v>0</v>
      </c>
      <c r="J92" s="70">
        <v>0</v>
      </c>
      <c r="K92" s="71">
        <f>IF(D92&gt;=('DATI nascosti 1'!$L$10*10^-3),'DATI nascosti 1'!$L$14*'DATI nascosti 1'!$P$12,IF(D92&gt;=(-'DATI nascosti 1'!$L$10*10^-3),'DATI nascosti 1'!$L$16*D92*'DATI nascosti 1'!$P$12,-'DATI nascosti 1'!$L$14*'DATI nascosti 1'!$P$12))</f>
        <v>614659.43222408998</v>
      </c>
      <c r="L92" s="71">
        <v>0</v>
      </c>
      <c r="M92" s="71">
        <f>IF(C92&gt;=('DATI nascosti 1'!$L$10*10^-3),'DATI nascosti 1'!$L$14*'DATI nascosti 1'!$P$11,IF(C92&gt;=(-'DATI nascosti 1'!$L$10*10^-3),'DATI nascosti 1'!$P$11*'DATI nascosti 1'!$L$16*C92,-'DATI nascosti 1'!$L$14*'DATI nascosti 1'!$P$11))</f>
        <v>614659.43222408998</v>
      </c>
      <c r="N92" s="71">
        <f t="shared" si="2"/>
        <v>1229318.86444818</v>
      </c>
      <c r="O92" s="71">
        <f>-K92*('DATI nascosti 1'!$C$13/2)+M92*('DATI nascosti 1'!$C$13/2)</f>
        <v>0</v>
      </c>
      <c r="P92" s="69">
        <f>-TABULATI!N92/10^3</f>
        <v>-1229.31886444818</v>
      </c>
      <c r="Q92" s="69">
        <f>TABULATI!O92/10^6</f>
        <v>0</v>
      </c>
      <c r="R92" s="72">
        <f>-N92/('DATI nascosti 1'!$C$6*'DATI nascosti 1'!$C$13*'DATI nascosti 1'!$H$10*'DATI nascosti 1'!$H$16)</f>
        <v>-0.29581171389629707</v>
      </c>
      <c r="S92" s="72">
        <f>O92/('DATI nascosti 1'!$H$16*'DATI nascosti 1'!$C$6*'DATI nascosti 1'!$C$13^2*'DATI nascosti 1'!$H$10)</f>
        <v>0</v>
      </c>
      <c r="T92" s="73">
        <f t="shared" si="3"/>
        <v>0</v>
      </c>
      <c r="U92" s="67" t="str">
        <f>IF(T92&gt;=0, IF(T92&lt;='DATI nascosti 1'!$C$8/6, "SI", "NO"),IF(T92&gt; -'DATI nascosti 1'!$C$8/6, "SI", "NO"))</f>
        <v>SI</v>
      </c>
      <c r="V92" s="67" t="str">
        <f>IF(Foglio3!G93&lt;1,IF(Foglio3!G93&gt;-1,"ROTTURA BILANCIATA",""),"")</f>
        <v/>
      </c>
    </row>
    <row r="93" spans="1:22" ht="18.75" x14ac:dyDescent="0.25">
      <c r="A93" s="20"/>
      <c r="B93" s="67" t="s">
        <v>39</v>
      </c>
      <c r="C93" s="68">
        <f>'DATI nascosti 1'!$L$8*10^-3</f>
        <v>6.7500000000000004E-2</v>
      </c>
      <c r="D93" s="68">
        <f>D92-(C93-('DATI nascosti 1'!$C$10/'DATI nascosti 1'!$C$13*C93))/100</f>
        <v>8.4681818181817081E-3</v>
      </c>
      <c r="E93" s="67" t="s">
        <v>39</v>
      </c>
      <c r="F93" s="69">
        <f>(D93*'DATI nascosti 1'!$C$13-C93*'DATI nascosti 1'!$C$10)/(D93-C93)</f>
        <v>-114.23076923076687</v>
      </c>
      <c r="G93" s="70">
        <v>0</v>
      </c>
      <c r="H93" s="70">
        <v>0</v>
      </c>
      <c r="I93" s="70">
        <v>0</v>
      </c>
      <c r="J93" s="70">
        <v>0</v>
      </c>
      <c r="K93" s="71">
        <f>IF(D93&gt;=('DATI nascosti 1'!$L$10*10^-3),'DATI nascosti 1'!$L$14*'DATI nascosti 1'!$P$12,IF(D93&gt;=(-'DATI nascosti 1'!$L$10*10^-3),'DATI nascosti 1'!$L$16*D93*'DATI nascosti 1'!$P$12,-'DATI nascosti 1'!$L$14*'DATI nascosti 1'!$P$12))</f>
        <v>614659.43222408998</v>
      </c>
      <c r="L93" s="71">
        <v>0</v>
      </c>
      <c r="M93" s="71">
        <f>IF(C93&gt;=('DATI nascosti 1'!$L$10*10^-3),'DATI nascosti 1'!$L$14*'DATI nascosti 1'!$P$11,IF(C93&gt;=(-'DATI nascosti 1'!$L$10*10^-3),'DATI nascosti 1'!$P$11*'DATI nascosti 1'!$L$16*C93,-'DATI nascosti 1'!$L$14*'DATI nascosti 1'!$P$11))</f>
        <v>614659.43222408998</v>
      </c>
      <c r="N93" s="71">
        <f t="shared" si="2"/>
        <v>1229318.86444818</v>
      </c>
      <c r="O93" s="71">
        <f>-K93*('DATI nascosti 1'!$C$13/2)+M93*('DATI nascosti 1'!$C$13/2)</f>
        <v>0</v>
      </c>
      <c r="P93" s="69">
        <f>-TABULATI!N93/10^3</f>
        <v>-1229.31886444818</v>
      </c>
      <c r="Q93" s="69">
        <f>TABULATI!O93/10^6</f>
        <v>0</v>
      </c>
      <c r="R93" s="72">
        <f>-N93/('DATI nascosti 1'!$C$6*'DATI nascosti 1'!$C$13*'DATI nascosti 1'!$H$10*'DATI nascosti 1'!$H$16)</f>
        <v>-0.29581171389629707</v>
      </c>
      <c r="S93" s="72">
        <f>O93/('DATI nascosti 1'!$H$16*'DATI nascosti 1'!$C$6*'DATI nascosti 1'!$C$13^2*'DATI nascosti 1'!$H$10)</f>
        <v>0</v>
      </c>
      <c r="T93" s="73">
        <f t="shared" si="3"/>
        <v>0</v>
      </c>
      <c r="U93" s="67" t="str">
        <f>IF(T93&gt;=0, IF(T93&lt;='DATI nascosti 1'!$C$8/6, "SI", "NO"),IF(T93&gt; -'DATI nascosti 1'!$C$8/6, "SI", "NO"))</f>
        <v>SI</v>
      </c>
      <c r="V93" s="67" t="str">
        <f>IF(Foglio3!G94&lt;1,IF(Foglio3!G94&gt;-1,"ROTTURA BILANCIATA",""),"")</f>
        <v/>
      </c>
    </row>
    <row r="94" spans="1:22" ht="18.75" x14ac:dyDescent="0.25">
      <c r="A94" s="20"/>
      <c r="B94" s="67" t="s">
        <v>39</v>
      </c>
      <c r="C94" s="68">
        <f>'DATI nascosti 1'!$L$8*10^-3</f>
        <v>6.7500000000000004E-2</v>
      </c>
      <c r="D94" s="68">
        <f>D93-(C94-('DATI nascosti 1'!$C$10/'DATI nascosti 1'!$C$13*C94))/100</f>
        <v>7.8194805194804103E-3</v>
      </c>
      <c r="E94" s="67" t="s">
        <v>39</v>
      </c>
      <c r="F94" s="69">
        <f>(D94*'DATI nascosti 1'!$C$13-C94*'DATI nascosti 1'!$C$10)/(D94-C94)</f>
        <v>-100.43478260869334</v>
      </c>
      <c r="G94" s="70">
        <v>0</v>
      </c>
      <c r="H94" s="70">
        <v>0</v>
      </c>
      <c r="I94" s="70">
        <v>0</v>
      </c>
      <c r="J94" s="70">
        <v>0</v>
      </c>
      <c r="K94" s="71">
        <f>IF(D94&gt;=('DATI nascosti 1'!$L$10*10^-3),'DATI nascosti 1'!$L$14*'DATI nascosti 1'!$P$12,IF(D94&gt;=(-'DATI nascosti 1'!$L$10*10^-3),'DATI nascosti 1'!$L$16*D94*'DATI nascosti 1'!$P$12,-'DATI nascosti 1'!$L$14*'DATI nascosti 1'!$P$12))</f>
        <v>614659.43222408998</v>
      </c>
      <c r="L94" s="71">
        <v>0</v>
      </c>
      <c r="M94" s="71">
        <f>IF(C94&gt;=('DATI nascosti 1'!$L$10*10^-3),'DATI nascosti 1'!$L$14*'DATI nascosti 1'!$P$11,IF(C94&gt;=(-'DATI nascosti 1'!$L$10*10^-3),'DATI nascosti 1'!$P$11*'DATI nascosti 1'!$L$16*C94,-'DATI nascosti 1'!$L$14*'DATI nascosti 1'!$P$11))</f>
        <v>614659.43222408998</v>
      </c>
      <c r="N94" s="71">
        <f t="shared" si="2"/>
        <v>1229318.86444818</v>
      </c>
      <c r="O94" s="71">
        <f>-K94*('DATI nascosti 1'!$C$13/2)+M94*('DATI nascosti 1'!$C$13/2)</f>
        <v>0</v>
      </c>
      <c r="P94" s="69">
        <f>-TABULATI!N94/10^3</f>
        <v>-1229.31886444818</v>
      </c>
      <c r="Q94" s="69">
        <f>TABULATI!O94/10^6</f>
        <v>0</v>
      </c>
      <c r="R94" s="72">
        <f>-N94/('DATI nascosti 1'!$C$6*'DATI nascosti 1'!$C$13*'DATI nascosti 1'!$H$10*'DATI nascosti 1'!$H$16)</f>
        <v>-0.29581171389629707</v>
      </c>
      <c r="S94" s="72">
        <f>O94/('DATI nascosti 1'!$H$16*'DATI nascosti 1'!$C$6*'DATI nascosti 1'!$C$13^2*'DATI nascosti 1'!$H$10)</f>
        <v>0</v>
      </c>
      <c r="T94" s="73">
        <f t="shared" si="3"/>
        <v>0</v>
      </c>
      <c r="U94" s="67" t="str">
        <f>IF(T94&gt;=0, IF(T94&lt;='DATI nascosti 1'!$C$8/6, "SI", "NO"),IF(T94&gt; -'DATI nascosti 1'!$C$8/6, "SI", "NO"))</f>
        <v>SI</v>
      </c>
      <c r="V94" s="67" t="str">
        <f>IF(Foglio3!G95&lt;1,IF(Foglio3!G95&gt;-1,"ROTTURA BILANCIATA",""),"")</f>
        <v/>
      </c>
    </row>
    <row r="95" spans="1:22" ht="18.75" x14ac:dyDescent="0.25">
      <c r="A95" s="20"/>
      <c r="B95" s="67" t="s">
        <v>39</v>
      </c>
      <c r="C95" s="68">
        <f>'DATI nascosti 1'!$L$8*10^-3</f>
        <v>6.7500000000000004E-2</v>
      </c>
      <c r="D95" s="68">
        <f>D94-(C95-('DATI nascosti 1'!$C$10/'DATI nascosti 1'!$C$13*C95))/100</f>
        <v>7.1707792207791115E-3</v>
      </c>
      <c r="E95" s="67" t="s">
        <v>39</v>
      </c>
      <c r="F95" s="69">
        <f>(D95*'DATI nascosti 1'!$C$13-C95*'DATI nascosti 1'!$C$10)/(D95-C95)</f>
        <v>-86.935483870965484</v>
      </c>
      <c r="G95" s="70">
        <v>0</v>
      </c>
      <c r="H95" s="70">
        <v>0</v>
      </c>
      <c r="I95" s="70">
        <v>0</v>
      </c>
      <c r="J95" s="70">
        <v>0</v>
      </c>
      <c r="K95" s="71">
        <f>IF(D95&gt;=('DATI nascosti 1'!$L$10*10^-3),'DATI nascosti 1'!$L$14*'DATI nascosti 1'!$P$12,IF(D95&gt;=(-'DATI nascosti 1'!$L$10*10^-3),'DATI nascosti 1'!$L$16*D95*'DATI nascosti 1'!$P$12,-'DATI nascosti 1'!$L$14*'DATI nascosti 1'!$P$12))</f>
        <v>614659.43222408998</v>
      </c>
      <c r="L95" s="71">
        <v>0</v>
      </c>
      <c r="M95" s="71">
        <f>IF(C95&gt;=('DATI nascosti 1'!$L$10*10^-3),'DATI nascosti 1'!$L$14*'DATI nascosti 1'!$P$11,IF(C95&gt;=(-'DATI nascosti 1'!$L$10*10^-3),'DATI nascosti 1'!$P$11*'DATI nascosti 1'!$L$16*C95,-'DATI nascosti 1'!$L$14*'DATI nascosti 1'!$P$11))</f>
        <v>614659.43222408998</v>
      </c>
      <c r="N95" s="71">
        <f t="shared" si="2"/>
        <v>1229318.86444818</v>
      </c>
      <c r="O95" s="71">
        <f>-K95*('DATI nascosti 1'!$C$13/2)+M95*('DATI nascosti 1'!$C$13/2)</f>
        <v>0</v>
      </c>
      <c r="P95" s="69">
        <f>-TABULATI!N95/10^3</f>
        <v>-1229.31886444818</v>
      </c>
      <c r="Q95" s="69">
        <f>TABULATI!O95/10^6</f>
        <v>0</v>
      </c>
      <c r="R95" s="72">
        <f>-N95/('DATI nascosti 1'!$C$6*'DATI nascosti 1'!$C$13*'DATI nascosti 1'!$H$10*'DATI nascosti 1'!$H$16)</f>
        <v>-0.29581171389629707</v>
      </c>
      <c r="S95" s="72">
        <f>O95/('DATI nascosti 1'!$H$16*'DATI nascosti 1'!$C$6*'DATI nascosti 1'!$C$13^2*'DATI nascosti 1'!$H$10)</f>
        <v>0</v>
      </c>
      <c r="T95" s="73">
        <f t="shared" si="3"/>
        <v>0</v>
      </c>
      <c r="U95" s="67" t="str">
        <f>IF(T95&gt;=0, IF(T95&lt;='DATI nascosti 1'!$C$8/6, "SI", "NO"),IF(T95&gt; -'DATI nascosti 1'!$C$8/6, "SI", "NO"))</f>
        <v>SI</v>
      </c>
      <c r="V95" s="67" t="str">
        <f>IF(Foglio3!G96&lt;1,IF(Foglio3!G96&gt;-1,"ROTTURA BILANCIATA",""),"")</f>
        <v/>
      </c>
    </row>
    <row r="96" spans="1:22" ht="18.75" x14ac:dyDescent="0.25">
      <c r="A96" s="20"/>
      <c r="B96" s="67" t="s">
        <v>39</v>
      </c>
      <c r="C96" s="68">
        <f>'DATI nascosti 1'!$L$8*10^-3</f>
        <v>6.7500000000000004E-2</v>
      </c>
      <c r="D96" s="68">
        <f>D95-(C96-('DATI nascosti 1'!$C$10/'DATI nascosti 1'!$C$13*C96))/100</f>
        <v>6.5220779220778128E-3</v>
      </c>
      <c r="E96" s="67" t="s">
        <v>39</v>
      </c>
      <c r="F96" s="69">
        <f>(D96*'DATI nascosti 1'!$C$13-C96*'DATI nascosti 1'!$C$10)/(D96-C96)</f>
        <v>-73.723404255316936</v>
      </c>
      <c r="G96" s="70">
        <v>0</v>
      </c>
      <c r="H96" s="70">
        <v>0</v>
      </c>
      <c r="I96" s="70">
        <v>0</v>
      </c>
      <c r="J96" s="70">
        <v>0</v>
      </c>
      <c r="K96" s="71">
        <f>IF(D96&gt;=('DATI nascosti 1'!$L$10*10^-3),'DATI nascosti 1'!$L$14*'DATI nascosti 1'!$P$12,IF(D96&gt;=(-'DATI nascosti 1'!$L$10*10^-3),'DATI nascosti 1'!$L$16*D96*'DATI nascosti 1'!$P$12,-'DATI nascosti 1'!$L$14*'DATI nascosti 1'!$P$12))</f>
        <v>614659.43222408998</v>
      </c>
      <c r="L96" s="71">
        <v>0</v>
      </c>
      <c r="M96" s="71">
        <f>IF(C96&gt;=('DATI nascosti 1'!$L$10*10^-3),'DATI nascosti 1'!$L$14*'DATI nascosti 1'!$P$11,IF(C96&gt;=(-'DATI nascosti 1'!$L$10*10^-3),'DATI nascosti 1'!$P$11*'DATI nascosti 1'!$L$16*C96,-'DATI nascosti 1'!$L$14*'DATI nascosti 1'!$P$11))</f>
        <v>614659.43222408998</v>
      </c>
      <c r="N96" s="71">
        <f t="shared" si="2"/>
        <v>1229318.86444818</v>
      </c>
      <c r="O96" s="71">
        <f>-K96*('DATI nascosti 1'!$C$13/2)+M96*('DATI nascosti 1'!$C$13/2)</f>
        <v>0</v>
      </c>
      <c r="P96" s="69">
        <f>-TABULATI!N96/10^3</f>
        <v>-1229.31886444818</v>
      </c>
      <c r="Q96" s="69">
        <f>TABULATI!O96/10^6</f>
        <v>0</v>
      </c>
      <c r="R96" s="72">
        <f>-N96/('DATI nascosti 1'!$C$6*'DATI nascosti 1'!$C$13*'DATI nascosti 1'!$H$10*'DATI nascosti 1'!$H$16)</f>
        <v>-0.29581171389629707</v>
      </c>
      <c r="S96" s="72">
        <f>O96/('DATI nascosti 1'!$H$16*'DATI nascosti 1'!$C$6*'DATI nascosti 1'!$C$13^2*'DATI nascosti 1'!$H$10)</f>
        <v>0</v>
      </c>
      <c r="T96" s="73">
        <f t="shared" si="3"/>
        <v>0</v>
      </c>
      <c r="U96" s="67" t="str">
        <f>IF(T96&gt;=0, IF(T96&lt;='DATI nascosti 1'!$C$8/6, "SI", "NO"),IF(T96&gt; -'DATI nascosti 1'!$C$8/6, "SI", "NO"))</f>
        <v>SI</v>
      </c>
      <c r="V96" s="67" t="str">
        <f>IF(Foglio3!G97&lt;1,IF(Foglio3!G97&gt;-1,"ROTTURA BILANCIATA",""),"")</f>
        <v/>
      </c>
    </row>
    <row r="97" spans="1:22" ht="18.75" x14ac:dyDescent="0.25">
      <c r="A97" s="20"/>
      <c r="B97" s="67" t="s">
        <v>39</v>
      </c>
      <c r="C97" s="68">
        <f>'DATI nascosti 1'!$L$8*10^-3</f>
        <v>6.7500000000000004E-2</v>
      </c>
      <c r="D97" s="68">
        <f>D96-(C97-('DATI nascosti 1'!$C$10/'DATI nascosti 1'!$C$13*C97))/100</f>
        <v>5.8733766233765141E-3</v>
      </c>
      <c r="E97" s="67" t="s">
        <v>39</v>
      </c>
      <c r="F97" s="69">
        <f>(D97*'DATI nascosti 1'!$C$13-C97*'DATI nascosti 1'!$C$10)/(D97-C97)</f>
        <v>-60.78947368420836</v>
      </c>
      <c r="G97" s="70">
        <v>0</v>
      </c>
      <c r="H97" s="70">
        <v>0</v>
      </c>
      <c r="I97" s="70">
        <v>0</v>
      </c>
      <c r="J97" s="70">
        <v>0</v>
      </c>
      <c r="K97" s="71">
        <f>IF(D97&gt;=('DATI nascosti 1'!$L$10*10^-3),'DATI nascosti 1'!$L$14*'DATI nascosti 1'!$P$12,IF(D97&gt;=(-'DATI nascosti 1'!$L$10*10^-3),'DATI nascosti 1'!$L$16*D97*'DATI nascosti 1'!$P$12,-'DATI nascosti 1'!$L$14*'DATI nascosti 1'!$P$12))</f>
        <v>614659.43222408998</v>
      </c>
      <c r="L97" s="71">
        <v>0</v>
      </c>
      <c r="M97" s="71">
        <f>IF(C97&gt;=('DATI nascosti 1'!$L$10*10^-3),'DATI nascosti 1'!$L$14*'DATI nascosti 1'!$P$11,IF(C97&gt;=(-'DATI nascosti 1'!$L$10*10^-3),'DATI nascosti 1'!$P$11*'DATI nascosti 1'!$L$16*C97,-'DATI nascosti 1'!$L$14*'DATI nascosti 1'!$P$11))</f>
        <v>614659.43222408998</v>
      </c>
      <c r="N97" s="71">
        <f t="shared" si="2"/>
        <v>1229318.86444818</v>
      </c>
      <c r="O97" s="71">
        <f>-K97*('DATI nascosti 1'!$C$13/2)+M97*('DATI nascosti 1'!$C$13/2)</f>
        <v>0</v>
      </c>
      <c r="P97" s="69">
        <f>-TABULATI!N97/10^3</f>
        <v>-1229.31886444818</v>
      </c>
      <c r="Q97" s="69">
        <f>TABULATI!O97/10^6</f>
        <v>0</v>
      </c>
      <c r="R97" s="72">
        <f>-N97/('DATI nascosti 1'!$C$6*'DATI nascosti 1'!$C$13*'DATI nascosti 1'!$H$10*'DATI nascosti 1'!$H$16)</f>
        <v>-0.29581171389629707</v>
      </c>
      <c r="S97" s="72">
        <f>O97/('DATI nascosti 1'!$H$16*'DATI nascosti 1'!$C$6*'DATI nascosti 1'!$C$13^2*'DATI nascosti 1'!$H$10)</f>
        <v>0</v>
      </c>
      <c r="T97" s="73">
        <f t="shared" si="3"/>
        <v>0</v>
      </c>
      <c r="U97" s="67" t="str">
        <f>IF(T97&gt;=0, IF(T97&lt;='DATI nascosti 1'!$C$8/6, "SI", "NO"),IF(T97&gt; -'DATI nascosti 1'!$C$8/6, "SI", "NO"))</f>
        <v>SI</v>
      </c>
      <c r="V97" s="67" t="str">
        <f>IF(Foglio3!G98&lt;1,IF(Foglio3!G98&gt;-1,"ROTTURA BILANCIATA",""),"")</f>
        <v/>
      </c>
    </row>
    <row r="98" spans="1:22" ht="18.75" x14ac:dyDescent="0.25">
      <c r="A98" s="20"/>
      <c r="B98" s="67" t="s">
        <v>39</v>
      </c>
      <c r="C98" s="68">
        <f>'DATI nascosti 1'!$L$8*10^-3</f>
        <v>6.7500000000000004E-2</v>
      </c>
      <c r="D98" s="68">
        <f>D97-(C98-('DATI nascosti 1'!$C$10/'DATI nascosti 1'!$C$13*C98))/100</f>
        <v>5.2246753246752153E-3</v>
      </c>
      <c r="E98" s="67" t="s">
        <v>39</v>
      </c>
      <c r="F98" s="69">
        <f>(D98*'DATI nascosti 1'!$C$13-C98*'DATI nascosti 1'!$C$10)/(D98-C98)</f>
        <v>-48.124999999997875</v>
      </c>
      <c r="G98" s="70">
        <v>0</v>
      </c>
      <c r="H98" s="70">
        <v>0</v>
      </c>
      <c r="I98" s="70">
        <v>0</v>
      </c>
      <c r="J98" s="70">
        <v>0</v>
      </c>
      <c r="K98" s="71">
        <f>IF(D98&gt;=('DATI nascosti 1'!$L$10*10^-3),'DATI nascosti 1'!$L$14*'DATI nascosti 1'!$P$12,IF(D98&gt;=(-'DATI nascosti 1'!$L$10*10^-3),'DATI nascosti 1'!$L$16*D98*'DATI nascosti 1'!$P$12,-'DATI nascosti 1'!$L$14*'DATI nascosti 1'!$P$12))</f>
        <v>614659.43222408998</v>
      </c>
      <c r="L98" s="71">
        <v>0</v>
      </c>
      <c r="M98" s="71">
        <f>IF(C98&gt;=('DATI nascosti 1'!$L$10*10^-3),'DATI nascosti 1'!$L$14*'DATI nascosti 1'!$P$11,IF(C98&gt;=(-'DATI nascosti 1'!$L$10*10^-3),'DATI nascosti 1'!$P$11*'DATI nascosti 1'!$L$16*C98,-'DATI nascosti 1'!$L$14*'DATI nascosti 1'!$P$11))</f>
        <v>614659.43222408998</v>
      </c>
      <c r="N98" s="71">
        <f t="shared" si="2"/>
        <v>1229318.86444818</v>
      </c>
      <c r="O98" s="71">
        <f>-K98*('DATI nascosti 1'!$C$13/2)+M98*('DATI nascosti 1'!$C$13/2)</f>
        <v>0</v>
      </c>
      <c r="P98" s="69">
        <f>-TABULATI!N98/10^3</f>
        <v>-1229.31886444818</v>
      </c>
      <c r="Q98" s="69">
        <f>TABULATI!O98/10^6</f>
        <v>0</v>
      </c>
      <c r="R98" s="72">
        <f>-N98/('DATI nascosti 1'!$C$6*'DATI nascosti 1'!$C$13*'DATI nascosti 1'!$H$10*'DATI nascosti 1'!$H$16)</f>
        <v>-0.29581171389629707</v>
      </c>
      <c r="S98" s="72">
        <f>O98/('DATI nascosti 1'!$H$16*'DATI nascosti 1'!$C$6*'DATI nascosti 1'!$C$13^2*'DATI nascosti 1'!$H$10)</f>
        <v>0</v>
      </c>
      <c r="T98" s="73">
        <f t="shared" si="3"/>
        <v>0</v>
      </c>
      <c r="U98" s="67" t="str">
        <f>IF(T98&gt;=0, IF(T98&lt;='DATI nascosti 1'!$C$8/6, "SI", "NO"),IF(T98&gt; -'DATI nascosti 1'!$C$8/6, "SI", "NO"))</f>
        <v>SI</v>
      </c>
      <c r="V98" s="67" t="str">
        <f>IF(Foglio3!G99&lt;1,IF(Foglio3!G99&gt;-1,"ROTTURA BILANCIATA",""),"")</f>
        <v/>
      </c>
    </row>
    <row r="99" spans="1:22" ht="18.75" x14ac:dyDescent="0.25">
      <c r="A99" s="20"/>
      <c r="B99" s="67" t="s">
        <v>39</v>
      </c>
      <c r="C99" s="68">
        <f>'DATI nascosti 1'!$L$8*10^-3</f>
        <v>6.7500000000000004E-2</v>
      </c>
      <c r="D99" s="68">
        <f>D98-(C99-('DATI nascosti 1'!$C$10/'DATI nascosti 1'!$C$13*C99))/100</f>
        <v>4.5759740259739166E-3</v>
      </c>
      <c r="E99" s="67" t="s">
        <v>39</v>
      </c>
      <c r="F99" s="69">
        <f>(D99*'DATI nascosti 1'!$C$13-C99*'DATI nascosti 1'!$C$10)/(D99-C99)</f>
        <v>-35.721649484534005</v>
      </c>
      <c r="G99" s="70">
        <v>0</v>
      </c>
      <c r="H99" s="70">
        <v>0</v>
      </c>
      <c r="I99" s="70">
        <v>0</v>
      </c>
      <c r="J99" s="70">
        <v>0</v>
      </c>
      <c r="K99" s="71">
        <f>IF(D99&gt;=('DATI nascosti 1'!$L$10*10^-3),'DATI nascosti 1'!$L$14*'DATI nascosti 1'!$P$12,IF(D99&gt;=(-'DATI nascosti 1'!$L$10*10^-3),'DATI nascosti 1'!$L$16*D99*'DATI nascosti 1'!$P$12,-'DATI nascosti 1'!$L$14*'DATI nascosti 1'!$P$12))</f>
        <v>614659.43222408998</v>
      </c>
      <c r="L99" s="71">
        <v>0</v>
      </c>
      <c r="M99" s="71">
        <f>IF(C99&gt;=('DATI nascosti 1'!$L$10*10^-3),'DATI nascosti 1'!$L$14*'DATI nascosti 1'!$P$11,IF(C99&gt;=(-'DATI nascosti 1'!$L$10*10^-3),'DATI nascosti 1'!$P$11*'DATI nascosti 1'!$L$16*C99,-'DATI nascosti 1'!$L$14*'DATI nascosti 1'!$P$11))</f>
        <v>614659.43222408998</v>
      </c>
      <c r="N99" s="71">
        <f t="shared" si="2"/>
        <v>1229318.86444818</v>
      </c>
      <c r="O99" s="71">
        <f>-K99*('DATI nascosti 1'!$C$13/2)+M99*('DATI nascosti 1'!$C$13/2)</f>
        <v>0</v>
      </c>
      <c r="P99" s="69">
        <f>-TABULATI!N99/10^3</f>
        <v>-1229.31886444818</v>
      </c>
      <c r="Q99" s="69">
        <f>TABULATI!O99/10^6</f>
        <v>0</v>
      </c>
      <c r="R99" s="72">
        <f>-N99/('DATI nascosti 1'!$C$6*'DATI nascosti 1'!$C$13*'DATI nascosti 1'!$H$10*'DATI nascosti 1'!$H$16)</f>
        <v>-0.29581171389629707</v>
      </c>
      <c r="S99" s="72">
        <f>O99/('DATI nascosti 1'!$H$16*'DATI nascosti 1'!$C$6*'DATI nascosti 1'!$C$13^2*'DATI nascosti 1'!$H$10)</f>
        <v>0</v>
      </c>
      <c r="T99" s="73">
        <f t="shared" si="3"/>
        <v>0</v>
      </c>
      <c r="U99" s="67" t="str">
        <f>IF(T99&gt;=0, IF(T99&lt;='DATI nascosti 1'!$C$8/6, "SI", "NO"),IF(T99&gt; -'DATI nascosti 1'!$C$8/6, "SI", "NO"))</f>
        <v>SI</v>
      </c>
      <c r="V99" s="67" t="str">
        <f>IF(Foglio3!G100&lt;1,IF(Foglio3!G100&gt;-1,"ROTTURA BILANCIATA",""),"")</f>
        <v/>
      </c>
    </row>
    <row r="100" spans="1:22" ht="18.75" x14ac:dyDescent="0.25">
      <c r="A100" s="20"/>
      <c r="B100" s="67" t="s">
        <v>39</v>
      </c>
      <c r="C100" s="68">
        <f>'DATI nascosti 1'!$L$8*10^-3</f>
        <v>6.7500000000000004E-2</v>
      </c>
      <c r="D100" s="68">
        <f>D99-(C100-('DATI nascosti 1'!$C$10/'DATI nascosti 1'!$C$13*C100))/100</f>
        <v>3.9272727272726179E-3</v>
      </c>
      <c r="E100" s="67" t="s">
        <v>39</v>
      </c>
      <c r="F100" s="69">
        <f>(D100*'DATI nascosti 1'!$C$13-C100*'DATI nascosti 1'!$C$10)/(D100-C100)</f>
        <v>-23.571428571426537</v>
      </c>
      <c r="G100" s="70">
        <v>0</v>
      </c>
      <c r="H100" s="70">
        <v>0</v>
      </c>
      <c r="I100" s="70">
        <v>0</v>
      </c>
      <c r="J100" s="70">
        <v>0</v>
      </c>
      <c r="K100" s="71">
        <f>IF(D100&gt;=('DATI nascosti 1'!$L$10*10^-3),'DATI nascosti 1'!$L$14*'DATI nascosti 1'!$P$12,IF(D100&gt;=(-'DATI nascosti 1'!$L$10*10^-3),'DATI nascosti 1'!$L$16*D100*'DATI nascosti 1'!$P$12,-'DATI nascosti 1'!$L$14*'DATI nascosti 1'!$P$12))</f>
        <v>614659.43222408998</v>
      </c>
      <c r="L100" s="71">
        <v>0</v>
      </c>
      <c r="M100" s="71">
        <f>IF(C100&gt;=('DATI nascosti 1'!$L$10*10^-3),'DATI nascosti 1'!$L$14*'DATI nascosti 1'!$P$11,IF(C100&gt;=(-'DATI nascosti 1'!$L$10*10^-3),'DATI nascosti 1'!$P$11*'DATI nascosti 1'!$L$16*C100,-'DATI nascosti 1'!$L$14*'DATI nascosti 1'!$P$11))</f>
        <v>614659.43222408998</v>
      </c>
      <c r="N100" s="71">
        <f t="shared" si="2"/>
        <v>1229318.86444818</v>
      </c>
      <c r="O100" s="71">
        <f>-K100*('DATI nascosti 1'!$C$13/2)+M100*('DATI nascosti 1'!$C$13/2)</f>
        <v>0</v>
      </c>
      <c r="P100" s="69">
        <f>-TABULATI!N100/10^3</f>
        <v>-1229.31886444818</v>
      </c>
      <c r="Q100" s="69">
        <f>TABULATI!O100/10^6</f>
        <v>0</v>
      </c>
      <c r="R100" s="72">
        <f>-N100/('DATI nascosti 1'!$C$6*'DATI nascosti 1'!$C$13*'DATI nascosti 1'!$H$10*'DATI nascosti 1'!$H$16)</f>
        <v>-0.29581171389629707</v>
      </c>
      <c r="S100" s="72">
        <f>O100/('DATI nascosti 1'!$H$16*'DATI nascosti 1'!$C$6*'DATI nascosti 1'!$C$13^2*'DATI nascosti 1'!$H$10)</f>
        <v>0</v>
      </c>
      <c r="T100" s="73">
        <f t="shared" si="3"/>
        <v>0</v>
      </c>
      <c r="U100" s="67" t="str">
        <f>IF(T100&gt;=0, IF(T100&lt;='DATI nascosti 1'!$C$8/6, "SI", "NO"),IF(T100&gt; -'DATI nascosti 1'!$C$8/6, "SI", "NO"))</f>
        <v>SI</v>
      </c>
      <c r="V100" s="67" t="str">
        <f>IF(Foglio3!G101&lt;1,IF(Foglio3!G101&gt;-1,"ROTTURA BILANCIATA",""),"")</f>
        <v/>
      </c>
    </row>
    <row r="101" spans="1:22" ht="18.75" x14ac:dyDescent="0.25">
      <c r="A101" s="20"/>
      <c r="B101" s="67" t="s">
        <v>39</v>
      </c>
      <c r="C101" s="68">
        <f>'DATI nascosti 1'!$L$8*10^-3</f>
        <v>6.7500000000000004E-2</v>
      </c>
      <c r="D101" s="68">
        <f>D100-(C101-('DATI nascosti 1'!$C$10/'DATI nascosti 1'!$C$13*C101))/100</f>
        <v>3.2785714285713191E-3</v>
      </c>
      <c r="E101" s="67" t="s">
        <v>39</v>
      </c>
      <c r="F101" s="69">
        <f>(D101*'DATI nascosti 1'!$C$13-C101*'DATI nascosti 1'!$C$10)/(D101-C101)</f>
        <v>-11.666666666664677</v>
      </c>
      <c r="G101" s="70">
        <v>0</v>
      </c>
      <c r="H101" s="70">
        <v>0</v>
      </c>
      <c r="I101" s="70">
        <v>0</v>
      </c>
      <c r="J101" s="70">
        <v>0</v>
      </c>
      <c r="K101" s="71">
        <f>IF(D101&gt;=('DATI nascosti 1'!$L$10*10^-3),'DATI nascosti 1'!$L$14*'DATI nascosti 1'!$P$12,IF(D101&gt;=(-'DATI nascosti 1'!$L$10*10^-3),'DATI nascosti 1'!$L$16*D101*'DATI nascosti 1'!$P$12,-'DATI nascosti 1'!$L$14*'DATI nascosti 1'!$P$12))</f>
        <v>614659.43222408998</v>
      </c>
      <c r="L101" s="71">
        <v>0</v>
      </c>
      <c r="M101" s="71">
        <f>IF(C101&gt;=('DATI nascosti 1'!$L$10*10^-3),'DATI nascosti 1'!$L$14*'DATI nascosti 1'!$P$11,IF(C101&gt;=(-'DATI nascosti 1'!$L$10*10^-3),'DATI nascosti 1'!$P$11*'DATI nascosti 1'!$L$16*C101,-'DATI nascosti 1'!$L$14*'DATI nascosti 1'!$P$11))</f>
        <v>614659.43222408998</v>
      </c>
      <c r="N101" s="71">
        <f t="shared" si="2"/>
        <v>1229318.86444818</v>
      </c>
      <c r="O101" s="71">
        <f>-K101*('DATI nascosti 1'!$C$13/2)+M101*('DATI nascosti 1'!$C$13/2)</f>
        <v>0</v>
      </c>
      <c r="P101" s="69">
        <f>-TABULATI!N101/10^3</f>
        <v>-1229.31886444818</v>
      </c>
      <c r="Q101" s="69">
        <f>TABULATI!O101/10^6</f>
        <v>0</v>
      </c>
      <c r="R101" s="72">
        <f>-N101/('DATI nascosti 1'!$C$6*'DATI nascosti 1'!$C$13*'DATI nascosti 1'!$H$10*'DATI nascosti 1'!$H$16)</f>
        <v>-0.29581171389629707</v>
      </c>
      <c r="S101" s="72">
        <f>O101/('DATI nascosti 1'!$H$16*'DATI nascosti 1'!$C$6*'DATI nascosti 1'!$C$13^2*'DATI nascosti 1'!$H$10)</f>
        <v>0</v>
      </c>
      <c r="T101" s="73">
        <f t="shared" si="3"/>
        <v>0</v>
      </c>
      <c r="U101" s="67" t="str">
        <f>IF(T101&gt;=0, IF(T101&lt;='DATI nascosti 1'!$C$8/6, "SI", "NO"),IF(T101&gt; -'DATI nascosti 1'!$C$8/6, "SI", "NO"))</f>
        <v>SI</v>
      </c>
      <c r="V101" s="67" t="str">
        <f>IF(Foglio3!G102&lt;1,IF(Foglio3!G102&gt;-1,"ROTTURA BILANCIATA",""),"")</f>
        <v/>
      </c>
    </row>
    <row r="102" spans="1:22" ht="19.5" thickBot="1" x14ac:dyDescent="0.3">
      <c r="A102" s="20"/>
      <c r="B102" s="112" t="s">
        <v>39</v>
      </c>
      <c r="C102" s="113">
        <f>'DATI nascosti 1'!$L$8*10^-3</f>
        <v>6.7500000000000004E-2</v>
      </c>
      <c r="D102" s="113">
        <f>D101-(C102-('DATI nascosti 1'!$C$10/'DATI nascosti 1'!$C$13*C102))/100</f>
        <v>2.6298701298700204E-3</v>
      </c>
      <c r="E102" s="112" t="s">
        <v>39</v>
      </c>
      <c r="F102" s="114">
        <f>(D102*'DATI nascosti 1'!$C$13-C102*'DATI nascosti 1'!$C$10)/(D102-C102)</f>
        <v>1.951058600632554E-12</v>
      </c>
      <c r="G102" s="115">
        <v>0</v>
      </c>
      <c r="H102" s="115">
        <v>0</v>
      </c>
      <c r="I102" s="115">
        <v>0</v>
      </c>
      <c r="J102" s="115">
        <v>0</v>
      </c>
      <c r="K102" s="116">
        <f>IF(D102&gt;=('DATI nascosti 1'!$L$10*10^-3),'DATI nascosti 1'!$L$14*'DATI nascosti 1'!$P$12,IF(D102&gt;=(-'DATI nascosti 1'!$L$10*10^-3),'DATI nascosti 1'!$L$16*D102*'DATI nascosti 1'!$P$12,-'DATI nascosti 1'!$L$14*'DATI nascosti 1'!$P$12))</f>
        <v>614659.43222408998</v>
      </c>
      <c r="L102" s="116">
        <v>0</v>
      </c>
      <c r="M102" s="116">
        <f>IF(C102&gt;=('DATI nascosti 1'!$L$10*10^-3),'DATI nascosti 1'!$L$14*'DATI nascosti 1'!$P$11,IF(C102&gt;=(-'DATI nascosti 1'!$L$10*10^-3),'DATI nascosti 1'!$P$11*'DATI nascosti 1'!$L$16*C102,-'DATI nascosti 1'!$L$14*'DATI nascosti 1'!$P$11))</f>
        <v>614659.43222408998</v>
      </c>
      <c r="N102" s="116">
        <f t="shared" si="2"/>
        <v>1229318.86444818</v>
      </c>
      <c r="O102" s="116">
        <f>-K102*('DATI nascosti 1'!$C$13/2)+M102*('DATI nascosti 1'!$C$13/2)</f>
        <v>0</v>
      </c>
      <c r="P102" s="285">
        <f>-TABULATI!N102/10^3</f>
        <v>-1229.31886444818</v>
      </c>
      <c r="Q102" s="285">
        <f>TABULATI!O102/10^6</f>
        <v>0</v>
      </c>
      <c r="R102" s="117">
        <f>-N102/('DATI nascosti 1'!$C$6*'DATI nascosti 1'!$C$13*'DATI nascosti 1'!$H$10*'DATI nascosti 1'!$H$16)</f>
        <v>-0.29581171389629707</v>
      </c>
      <c r="S102" s="117">
        <f>O102/('DATI nascosti 1'!$H$16*'DATI nascosti 1'!$C$6*'DATI nascosti 1'!$C$13^2*'DATI nascosti 1'!$H$10)</f>
        <v>0</v>
      </c>
      <c r="T102" s="118">
        <f t="shared" si="3"/>
        <v>0</v>
      </c>
      <c r="U102" s="112" t="str">
        <f>IF(T102&gt;=0, IF(T102&lt;='DATI nascosti 1'!$C$8/6, "SI", "NO"),IF(T102&gt; -'DATI nascosti 1'!$C$8/6, "SI", "NO"))</f>
        <v>SI</v>
      </c>
      <c r="V102" s="112" t="str">
        <f>IF(Foglio3!G103&lt;1,IF(Foglio3!G103&gt;-1,"ROTTURA BILANCIATA",""),"")</f>
        <v/>
      </c>
    </row>
    <row r="103" spans="1:22" ht="26.25" customHeight="1" x14ac:dyDescent="0.25">
      <c r="A103" s="349" t="s">
        <v>38</v>
      </c>
      <c r="B103" s="119">
        <v>0</v>
      </c>
      <c r="C103" s="119">
        <f>'DATI nascosti 1'!$L$8*10^-3</f>
        <v>6.7500000000000004E-2</v>
      </c>
      <c r="D103" s="120">
        <f>('DATI nascosti 1'!$C$10-F103)/('DATI nascosti 1'!$C$13-F103)*C103</f>
        <v>2.6298701298701301E-3</v>
      </c>
      <c r="E103" s="121" t="s">
        <v>39</v>
      </c>
      <c r="F103" s="122">
        <f>('DATI nascosti 1'!$C$13*B103)/(B103+C103)</f>
        <v>0</v>
      </c>
      <c r="G103" s="123">
        <f>(2*'DATI nascosti 1'!$H$10/(-'DATI nascosti 1'!$H$14)*((-B103*10^3)^2)/2)-('DATI nascosti 1'!$H$10/(-'DATI nascosti 1'!$H$14)^2*(-B103*10^3)^3/3)</f>
        <v>0</v>
      </c>
      <c r="H103" s="123">
        <f>(2*'DATI nascosti 1'!$H$10/(-'DATI nascosti 1'!$H$14)*((-B103*10^3)^3)/3)-('DATI nascosti 1'!$H$10/(-'DATI nascosti 1'!$H$14)^2*(-B103*10^3)^4/4)</f>
        <v>0</v>
      </c>
      <c r="I103" s="123">
        <f>G103/('DATI nascosti 1'!$H$10*(-'DATI nascosti 1'!$H$12))</f>
        <v>0</v>
      </c>
      <c r="J103" s="123">
        <v>0</v>
      </c>
      <c r="K103" s="124">
        <f>IF(D103&gt;=('DATI nascosti 1'!$L$10*10^-3),'DATI nascosti 1'!$L$14*'DATI nascosti 1'!$P$12,IF(D103&gt;=(-'DATI nascosti 1'!$L$10*10^-3),'DATI nascosti 1'!$L$16*D103*'DATI nascosti 1'!$P$12,-'DATI nascosti 1'!$L$14*'DATI nascosti 1'!$P$12))</f>
        <v>614659.43222408998</v>
      </c>
      <c r="L103" s="124">
        <f>-'DATI nascosti 1'!$H$16*'DATI nascosti 1'!$C$6*'DATI nascosti 1'!$H$10*F103*I103</f>
        <v>0</v>
      </c>
      <c r="M103" s="124">
        <f>IF(C103&gt;=('DATI nascosti 1'!$L$10*10^-3),'DATI nascosti 1'!$L$14*'DATI nascosti 1'!$P$11,IF(C103&gt;=(-'DATI nascosti 1'!$L$10*10^-3),'DATI nascosti 1'!$P$11*'DATI nascosti 1'!$L$16*C103,-'DATI nascosti 1'!$L$14*'DATI nascosti 1'!$P$11))</f>
        <v>614659.43222408998</v>
      </c>
      <c r="N103" s="124">
        <f t="shared" si="2"/>
        <v>1229318.86444818</v>
      </c>
      <c r="O103" s="124">
        <f>-L103*('DATI nascosti 1'!$C$8/2+-J103*F103)-K103*('DATI nascosti 1'!$C$13/2)+M103*('DATI nascosti 1'!$C$13/2)</f>
        <v>0</v>
      </c>
      <c r="P103" s="140">
        <f>-TABULATI!N103/10^3</f>
        <v>-1229.31886444818</v>
      </c>
      <c r="Q103" s="140">
        <f>TABULATI!O103/10^6</f>
        <v>0</v>
      </c>
      <c r="R103" s="125">
        <f>-N103/('DATI nascosti 1'!$C$6*'DATI nascosti 1'!$C$13*'DATI nascosti 1'!$H$10*'DATI nascosti 1'!$H$16)</f>
        <v>-0.29581171389629707</v>
      </c>
      <c r="S103" s="125">
        <f>O103/('DATI nascosti 1'!$H$16*'DATI nascosti 1'!$C$6*'DATI nascosti 1'!$C$13^2*'DATI nascosti 1'!$H$10)</f>
        <v>0</v>
      </c>
      <c r="T103" s="126">
        <f t="shared" si="3"/>
        <v>0</v>
      </c>
      <c r="U103" s="121" t="str">
        <f>IF(T103&gt;=0, IF(T103&lt;='DATI nascosti 1'!$C$8/6, "SI", "NO"),IF(T103&gt; -'DATI nascosti 1'!$C$8/6, "SI", "NO"))</f>
        <v>SI</v>
      </c>
      <c r="V103" s="121" t="str">
        <f>IF(Foglio3!G104&lt;1,IF(Foglio3!G104&gt;-1,"ROTTURA BILANCIATA",""),"")</f>
        <v/>
      </c>
    </row>
    <row r="104" spans="1:22" ht="18.75" x14ac:dyDescent="0.25">
      <c r="A104" s="349"/>
      <c r="B104" s="68">
        <v>-1E-4</v>
      </c>
      <c r="C104" s="68">
        <f>'DATI nascosti 1'!$L$8*10^-3</f>
        <v>6.7500000000000004E-2</v>
      </c>
      <c r="D104" s="68">
        <f>('DATI nascosti 1'!$C$10-F104)/('DATI nascosti 1'!$C$13-F104)*C104</f>
        <v>2.5337662337662236E-3</v>
      </c>
      <c r="E104" s="67" t="s">
        <v>39</v>
      </c>
      <c r="F104" s="69">
        <f>('DATI nascosti 1'!$C$13-'DATI nascosti 1'!$L$8*10^(-3)/('DATI nascosti 1'!$L$8*10^(-3)-B104)*'DATI nascosti 1'!$C$13)</f>
        <v>1.7085798816569877</v>
      </c>
      <c r="G104" s="70">
        <f>(2*'DATI nascosti 1'!$H$10/(-'DATI nascosti 1'!$H$14)*((-B104*10^3)^2)/2)-('DATI nascosti 1'!$H$10/(-'DATI nascosti 1'!$H$14)^2*(-B104*10^3)^3/3)</f>
        <v>6.9374166666666667E-2</v>
      </c>
      <c r="H104" s="70">
        <f>(2*'DATI nascosti 1'!$H$10/(-'DATI nascosti 1'!$H$14)*((-B104*10^3)^3)/3)-('DATI nascosti 1'!$H$10/(-'DATI nascosti 1'!$H$14)^2*(-B104*10^3)^4/4)</f>
        <v>4.6151458333333339E-3</v>
      </c>
      <c r="I104" s="70">
        <f>G104/('DATI nascosti 1'!$H$10*(-'DATI nascosti 1'!$H$12))</f>
        <v>1.404761904761905E-3</v>
      </c>
      <c r="J104" s="70">
        <f t="shared" ref="J104:J135" si="4">1-(H104/G104)/(-B104*10^3)</f>
        <v>0.3347457627118644</v>
      </c>
      <c r="K104" s="71">
        <f>IF(D104&gt;=('DATI nascosti 1'!$L$10*10^-3),'DATI nascosti 1'!$L$14*'DATI nascosti 1'!$P$12,IF(D104&gt;=(-'DATI nascosti 1'!$L$10*10^-3),'DATI nascosti 1'!$L$16*D104*'DATI nascosti 1'!$P$12,-'DATI nascosti 1'!$L$14*'DATI nascosti 1'!$P$12))</f>
        <v>614659.43222408998</v>
      </c>
      <c r="L104" s="71">
        <f>-'DATI nascosti 1'!$H$16*'DATI nascosti 1'!$C$6*'DATI nascosti 1'!$H$10*F104*I104</f>
        <v>-8.6358522559180848</v>
      </c>
      <c r="M104" s="71">
        <f>IF(C104&gt;=('DATI nascosti 1'!$L$10*10^-3),'DATI nascosti 1'!$L$14*'DATI nascosti 1'!$P$11,IF(C104&gt;=(-'DATI nascosti 1'!$L$10*10^-3),'DATI nascosti 1'!$P$11*'DATI nascosti 1'!$L$16*C104,-'DATI nascosti 1'!$L$14*'DATI nascosti 1'!$P$11))</f>
        <v>614659.43222408998</v>
      </c>
      <c r="N104" s="71">
        <f t="shared" si="2"/>
        <v>1229310.2285959241</v>
      </c>
      <c r="O104" s="71">
        <f>-L104*('DATI nascosti 1'!$C$8/2+-J104*F104)-K104*('DATI nascosti 1'!$C$13/2)+M104*('DATI nascosti 1'!$C$13/2)</f>
        <v>5176.5721653103828</v>
      </c>
      <c r="P104" s="69">
        <f>-TABULATI!N104/10^3</f>
        <v>-1229.3102285959242</v>
      </c>
      <c r="Q104" s="69">
        <f>TABULATI!O104/10^6</f>
        <v>5.1765721653103825E-3</v>
      </c>
      <c r="R104" s="72">
        <f>-N104/('DATI nascosti 1'!$C$6*'DATI nascosti 1'!$C$13*'DATI nascosti 1'!$H$10*'DATI nascosti 1'!$H$16)</f>
        <v>-0.29580963584614212</v>
      </c>
      <c r="S104" s="72">
        <f>O104/('DATI nascosti 1'!$H$16*'DATI nascosti 1'!$C$6*'DATI nascosti 1'!$C$13^2*'DATI nascosti 1'!$H$10)</f>
        <v>1.0784775525912017E-6</v>
      </c>
      <c r="T104" s="73">
        <f t="shared" si="3"/>
        <v>4.210956717754546E-3</v>
      </c>
      <c r="U104" s="67" t="str">
        <f>IF(T104&gt;=0, IF(T104&lt;='DATI nascosti 1'!$C$8/6, "SI", "NO"),IF(T104&gt; -'DATI nascosti 1'!$C$8/6, "SI", "NO"))</f>
        <v>SI</v>
      </c>
      <c r="V104" s="67" t="str">
        <f>IF(Foglio3!G105&lt;1,IF(Foglio3!G105&gt;-1,"ROTTURA BILANCIATA",""),"")</f>
        <v/>
      </c>
    </row>
    <row r="105" spans="1:22" ht="18.75" x14ac:dyDescent="0.25">
      <c r="A105" s="20"/>
      <c r="B105" s="68">
        <f t="shared" ref="B105:B138" si="5">B104-0.0001</f>
        <v>-2.0000000000000001E-4</v>
      </c>
      <c r="C105" s="68">
        <f>'DATI nascosti 1'!$L$8*10^-3</f>
        <v>6.7500000000000004E-2</v>
      </c>
      <c r="D105" s="68">
        <f>('DATI nascosti 1'!$C$10-F105)/('DATI nascosti 1'!$C$13-F105)*C105</f>
        <v>2.4376623376623284E-3</v>
      </c>
      <c r="E105" s="67" t="s">
        <v>39</v>
      </c>
      <c r="F105" s="69">
        <f>('DATI nascosti 1'!$C$13-'DATI nascosti 1'!$L$8*10^(-3)/('DATI nascosti 1'!$L$8*10^(-3)-B105)*'DATI nascosti 1'!$C$13)</f>
        <v>3.4121122599706268</v>
      </c>
      <c r="G105" s="70">
        <f>(2*'DATI nascosti 1'!$H$10/(-'DATI nascosti 1'!$H$14)*((-B105*10^3)^2)/2)-('DATI nascosti 1'!$H$10/(-'DATI nascosti 1'!$H$14)^2*(-B105*10^3)^3/3)</f>
        <v>0.27279333333333333</v>
      </c>
      <c r="H105" s="70">
        <f>(2*'DATI nascosti 1'!$H$10/(-'DATI nascosti 1'!$H$14)*((-B105*10^3)^3)/3)-('DATI nascosti 1'!$H$10/(-'DATI nascosti 1'!$H$14)^2*(-B105*10^3)^4/4)</f>
        <v>3.6215666666666667E-2</v>
      </c>
      <c r="I105" s="70">
        <f>G105/('DATI nascosti 1'!$H$10*(-'DATI nascosti 1'!$H$12))</f>
        <v>5.5238095238095246E-3</v>
      </c>
      <c r="J105" s="70">
        <f t="shared" si="4"/>
        <v>0.3362068965517242</v>
      </c>
      <c r="K105" s="71">
        <f>IF(D105&gt;=('DATI nascosti 1'!$L$10*10^-3),'DATI nascosti 1'!$L$14*'DATI nascosti 1'!$P$12,IF(D105&gt;=(-'DATI nascosti 1'!$L$10*10^-3),'DATI nascosti 1'!$L$16*D105*'DATI nascosti 1'!$P$12,-'DATI nascosti 1'!$L$14*'DATI nascosti 1'!$P$12))</f>
        <v>614659.43222408998</v>
      </c>
      <c r="L105" s="71">
        <f>-'DATI nascosti 1'!$H$16*'DATI nascosti 1'!$C$6*'DATI nascosti 1'!$H$10*F105*I105</f>
        <v>-67.815536189072773</v>
      </c>
      <c r="M105" s="71">
        <f>IF(C105&gt;=('DATI nascosti 1'!$L$10*10^-3),'DATI nascosti 1'!$L$14*'DATI nascosti 1'!$P$11,IF(C105&gt;=(-'DATI nascosti 1'!$L$10*10^-3),'DATI nascosti 1'!$P$11*'DATI nascosti 1'!$L$16*C105,-'DATI nascosti 1'!$L$14*'DATI nascosti 1'!$P$11))</f>
        <v>614659.43222408998</v>
      </c>
      <c r="N105" s="71">
        <f t="shared" si="2"/>
        <v>1229251.0489119908</v>
      </c>
      <c r="O105" s="71">
        <f>-L105*('DATI nascosti 1'!$C$8/2+-J105*F105)-K105*('DATI nascosti 1'!$C$13/2)+M105*('DATI nascosti 1'!$C$13/2)</f>
        <v>40611.525380015373</v>
      </c>
      <c r="P105" s="69">
        <f>-TABULATI!N105/10^3</f>
        <v>-1229.2510489119909</v>
      </c>
      <c r="Q105" s="69">
        <f>TABULATI!O105/10^6</f>
        <v>4.0611525380015376E-2</v>
      </c>
      <c r="R105" s="72">
        <f>-N105/('DATI nascosti 1'!$C$6*'DATI nascosti 1'!$C$13*'DATI nascosti 1'!$H$10*'DATI nascosti 1'!$H$16)</f>
        <v>-0.29579539540435079</v>
      </c>
      <c r="S105" s="72">
        <f>O105/('DATI nascosti 1'!$H$16*'DATI nascosti 1'!$C$6*'DATI nascosti 1'!$C$13^2*'DATI nascosti 1'!$H$10)</f>
        <v>8.4609307279324519E-6</v>
      </c>
      <c r="T105" s="73">
        <f t="shared" si="3"/>
        <v>3.3037617023764676E-2</v>
      </c>
      <c r="U105" s="67" t="str">
        <f>IF(T105&gt;=0, IF(T105&lt;='DATI nascosti 1'!$C$8/6, "SI", "NO"),IF(T105&gt; -'DATI nascosti 1'!$C$8/6, "SI", "NO"))</f>
        <v>SI</v>
      </c>
      <c r="V105" s="67" t="str">
        <f>IF(Foglio3!G106&lt;1,IF(Foglio3!G106&gt;-1,"ROTTURA BILANCIATA",""),"")</f>
        <v/>
      </c>
    </row>
    <row r="106" spans="1:22" ht="18.75" x14ac:dyDescent="0.25">
      <c r="A106" s="20"/>
      <c r="B106" s="68">
        <f t="shared" si="5"/>
        <v>-3.0000000000000003E-4</v>
      </c>
      <c r="C106" s="68">
        <f>'DATI nascosti 1'!$L$8*10^-3</f>
        <v>6.7500000000000004E-2</v>
      </c>
      <c r="D106" s="68">
        <f>('DATI nascosti 1'!$C$10-F106)/('DATI nascosti 1'!$C$13-F106)*C106</f>
        <v>2.3415584415584466E-3</v>
      </c>
      <c r="E106" s="67" t="s">
        <v>39</v>
      </c>
      <c r="F106" s="69">
        <f>('DATI nascosti 1'!$C$13-'DATI nascosti 1'!$L$8*10^(-3)/('DATI nascosti 1'!$L$8*10^(-3)-B106)*'DATI nascosti 1'!$C$13)</f>
        <v>5.1106194690264601</v>
      </c>
      <c r="G106" s="70">
        <f>(2*'DATI nascosti 1'!$H$10/(-'DATI nascosti 1'!$H$14)*((-B106*10^3)^2)/2)-('DATI nascosti 1'!$H$10/(-'DATI nascosti 1'!$H$14)^2*(-B106*10^3)^3/3)</f>
        <v>0.60320249999999997</v>
      </c>
      <c r="H106" s="70">
        <f>(2*'DATI nascosti 1'!$H$10/(-'DATI nascosti 1'!$H$14)*((-B106*10^3)^3)/3)-('DATI nascosti 1'!$H$10/(-'DATI nascosti 1'!$H$14)^2*(-B106*10^3)^4/4)</f>
        <v>0.11984681250000001</v>
      </c>
      <c r="I106" s="70">
        <f>G106/('DATI nascosti 1'!$H$10*(-'DATI nascosti 1'!$H$12))</f>
        <v>1.2214285714285716E-2</v>
      </c>
      <c r="J106" s="70">
        <f t="shared" si="4"/>
        <v>0.33771929824561397</v>
      </c>
      <c r="K106" s="71">
        <f>IF(D106&gt;=('DATI nascosti 1'!$L$10*10^-3),'DATI nascosti 1'!$L$14*'DATI nascosti 1'!$P$12,IF(D106&gt;=(-'DATI nascosti 1'!$L$10*10^-3),'DATI nascosti 1'!$L$16*D106*'DATI nascosti 1'!$P$12,-'DATI nascosti 1'!$L$14*'DATI nascosti 1'!$P$12))</f>
        <v>614659.43222408998</v>
      </c>
      <c r="L106" s="71">
        <f>-'DATI nascosti 1'!$H$16*'DATI nascosti 1'!$C$6*'DATI nascosti 1'!$H$10*F106*I106</f>
        <v>-224.59951493362439</v>
      </c>
      <c r="M106" s="71">
        <f>IF(C106&gt;=('DATI nascosti 1'!$L$10*10^-3),'DATI nascosti 1'!$L$14*'DATI nascosti 1'!$P$11,IF(C106&gt;=(-'DATI nascosti 1'!$L$10*10^-3),'DATI nascosti 1'!$P$11*'DATI nascosti 1'!$L$16*C106,-'DATI nascosti 1'!$L$14*'DATI nascosti 1'!$P$11))</f>
        <v>614659.43222408998</v>
      </c>
      <c r="N106" s="71">
        <f t="shared" si="2"/>
        <v>1229094.2649332462</v>
      </c>
      <c r="O106" s="71">
        <f>-L106*('DATI nascosti 1'!$C$8/2+-J106*F106)-K106*('DATI nascosti 1'!$C$13/2)+M106*('DATI nascosti 1'!$C$13/2)</f>
        <v>134372.06034463644</v>
      </c>
      <c r="P106" s="69">
        <f>-TABULATI!N106/10^3</f>
        <v>-1229.0942649332462</v>
      </c>
      <c r="Q106" s="69">
        <f>TABULATI!O106/10^6</f>
        <v>0.13437206034463645</v>
      </c>
      <c r="R106" s="72">
        <f>-N106/('DATI nascosti 1'!$C$6*'DATI nascosti 1'!$C$13*'DATI nascosti 1'!$H$10*'DATI nascosti 1'!$H$16)</f>
        <v>-0.29575766838428691</v>
      </c>
      <c r="S106" s="72">
        <f>O106/('DATI nascosti 1'!$H$16*'DATI nascosti 1'!$C$6*'DATI nascosti 1'!$C$13^2*'DATI nascosti 1'!$H$10)</f>
        <v>2.7994828652877798E-5</v>
      </c>
      <c r="T106" s="73">
        <f t="shared" si="3"/>
        <v>0.10932608195998243</v>
      </c>
      <c r="U106" s="67" t="str">
        <f>IF(T106&gt;=0, IF(T106&lt;='DATI nascosti 1'!$C$8/6, "SI", "NO"),IF(T106&gt; -'DATI nascosti 1'!$C$8/6, "SI", "NO"))</f>
        <v>SI</v>
      </c>
      <c r="V106" s="67" t="str">
        <f>IF(Foglio3!G107&lt;1,IF(Foglio3!G107&gt;-1,"ROTTURA BILANCIATA",""),"")</f>
        <v/>
      </c>
    </row>
    <row r="107" spans="1:22" ht="18.75" x14ac:dyDescent="0.25">
      <c r="A107" s="20"/>
      <c r="B107" s="68">
        <f t="shared" si="5"/>
        <v>-4.0000000000000002E-4</v>
      </c>
      <c r="C107" s="68">
        <f>'DATI nascosti 1'!$L$8*10^-3</f>
        <v>6.7500000000000004E-2</v>
      </c>
      <c r="D107" s="68">
        <f>('DATI nascosti 1'!$C$10-F107)/('DATI nascosti 1'!$C$13-F107)*C107</f>
        <v>2.2454545454545431E-3</v>
      </c>
      <c r="E107" s="67" t="s">
        <v>39</v>
      </c>
      <c r="F107" s="69">
        <f>('DATI nascosti 1'!$C$13-'DATI nascosti 1'!$L$8*10^(-3)/('DATI nascosti 1'!$L$8*10^(-3)-B107)*'DATI nascosti 1'!$C$13)</f>
        <v>6.8041237113402531</v>
      </c>
      <c r="G107" s="70">
        <f>(2*'DATI nascosti 1'!$H$10/(-'DATI nascosti 1'!$H$14)*((-B107*10^3)^2)/2)-('DATI nascosti 1'!$H$10/(-'DATI nascosti 1'!$H$14)^2*(-B107*10^3)^3/3)</f>
        <v>1.0535466666666666</v>
      </c>
      <c r="H107" s="70">
        <f>(2*'DATI nascosti 1'!$H$10/(-'DATI nascosti 1'!$H$14)*((-B107*10^3)^3)/3)-('DATI nascosti 1'!$H$10/(-'DATI nascosti 1'!$H$14)^2*(-B107*10^3)^4/4)</f>
        <v>0.27843733333333337</v>
      </c>
      <c r="I107" s="70">
        <f>G107/('DATI nascosti 1'!$H$10*(-'DATI nascosti 1'!$H$12))</f>
        <v>2.1333333333333336E-2</v>
      </c>
      <c r="J107" s="70">
        <f t="shared" si="4"/>
        <v>0.33928571428571419</v>
      </c>
      <c r="K107" s="71">
        <f>IF(D107&gt;=('DATI nascosti 1'!$L$10*10^-3),'DATI nascosti 1'!$L$14*'DATI nascosti 1'!$P$12,IF(D107&gt;=(-'DATI nascosti 1'!$L$10*10^-3),'DATI nascosti 1'!$L$16*D107*'DATI nascosti 1'!$P$12,-'DATI nascosti 1'!$L$14*'DATI nascosti 1'!$P$12))</f>
        <v>614659.43222408998</v>
      </c>
      <c r="L107" s="71">
        <f>-'DATI nascosti 1'!$H$16*'DATI nascosti 1'!$C$6*'DATI nascosti 1'!$H$10*F107*I107</f>
        <v>-522.27364948453965</v>
      </c>
      <c r="M107" s="71">
        <f>IF(C107&gt;=('DATI nascosti 1'!$L$10*10^-3),'DATI nascosti 1'!$L$14*'DATI nascosti 1'!$P$11,IF(C107&gt;=(-'DATI nascosti 1'!$L$10*10^-3),'DATI nascosti 1'!$P$11*'DATI nascosti 1'!$L$16*C107,-'DATI nascosti 1'!$L$14*'DATI nascosti 1'!$P$11))</f>
        <v>614659.43222408998</v>
      </c>
      <c r="N107" s="71">
        <f t="shared" si="2"/>
        <v>1228796.5907986956</v>
      </c>
      <c r="O107" s="71">
        <f>-L107*('DATI nascosti 1'!$C$8/2+-J107*F107)-K107*('DATI nascosti 1'!$C$13/2)+M107*('DATI nascosti 1'!$C$13/2)</f>
        <v>312158.49904924631</v>
      </c>
      <c r="P107" s="69">
        <f>-TABULATI!N107/10^3</f>
        <v>-1228.7965907986957</v>
      </c>
      <c r="Q107" s="69">
        <f>TABULATI!O107/10^6</f>
        <v>0.31215849904924631</v>
      </c>
      <c r="R107" s="72">
        <f>-N107/('DATI nascosti 1'!$C$6*'DATI nascosti 1'!$C$13*'DATI nascosti 1'!$H$10*'DATI nascosti 1'!$H$16)</f>
        <v>-0.29568603888402417</v>
      </c>
      <c r="S107" s="72">
        <f>O107/('DATI nascosti 1'!$H$16*'DATI nascosti 1'!$C$6*'DATI nascosti 1'!$C$13^2*'DATI nascosti 1'!$H$10)</f>
        <v>6.5034529283914373E-5</v>
      </c>
      <c r="T107" s="73">
        <f t="shared" si="3"/>
        <v>0.2540359416576416</v>
      </c>
      <c r="U107" s="67" t="str">
        <f>IF(T107&gt;=0, IF(T107&lt;='DATI nascosti 1'!$C$8/6, "SI", "NO"),IF(T107&gt; -'DATI nascosti 1'!$C$8/6, "SI", "NO"))</f>
        <v>SI</v>
      </c>
      <c r="V107" s="67" t="str">
        <f>IF(Foglio3!G108&lt;1,IF(Foglio3!G108&gt;-1,"ROTTURA BILANCIATA",""),"")</f>
        <v/>
      </c>
    </row>
    <row r="108" spans="1:22" ht="18.75" x14ac:dyDescent="0.25">
      <c r="A108" s="20"/>
      <c r="B108" s="68">
        <f t="shared" si="5"/>
        <v>-5.0000000000000001E-4</v>
      </c>
      <c r="C108" s="68">
        <f>'DATI nascosti 1'!$L$8*10^-3</f>
        <v>6.7500000000000004E-2</v>
      </c>
      <c r="D108" s="68">
        <f>('DATI nascosti 1'!$C$10-F108)/('DATI nascosti 1'!$C$13-F108)*C108</f>
        <v>2.1493506493506557E-3</v>
      </c>
      <c r="E108" s="67" t="s">
        <v>39</v>
      </c>
      <c r="F108" s="69">
        <f>('DATI nascosti 1'!$C$13-'DATI nascosti 1'!$L$8*10^(-3)/('DATI nascosti 1'!$L$8*10^(-3)-B108)*'DATI nascosti 1'!$C$13)</f>
        <v>8.4926470588234224</v>
      </c>
      <c r="G108" s="70">
        <f>(2*'DATI nascosti 1'!$H$10/(-'DATI nascosti 1'!$H$14)*((-B108*10^3)^2)/2)-('DATI nascosti 1'!$H$10/(-'DATI nascosti 1'!$H$14)^2*(-B108*10^3)^3/3)</f>
        <v>1.616770833333333</v>
      </c>
      <c r="H108" s="70">
        <f>(2*'DATI nascosti 1'!$H$10/(-'DATI nascosti 1'!$H$14)*((-B108*10^3)^3)/3)-('DATI nascosti 1'!$H$10/(-'DATI nascosti 1'!$H$14)^2*(-B108*10^3)^4/4)</f>
        <v>0.53279947916666659</v>
      </c>
      <c r="I108" s="70">
        <f>G108/('DATI nascosti 1'!$H$10*(-'DATI nascosti 1'!$H$12))</f>
        <v>3.273809523809524E-2</v>
      </c>
      <c r="J108" s="70">
        <f t="shared" si="4"/>
        <v>0.34090909090909094</v>
      </c>
      <c r="K108" s="71">
        <f>IF(D108&gt;=('DATI nascosti 1'!$L$10*10^-3),'DATI nascosti 1'!$L$14*'DATI nascosti 1'!$P$12,IF(D108&gt;=(-'DATI nascosti 1'!$L$10*10^-3),'DATI nascosti 1'!$L$16*D108*'DATI nascosti 1'!$P$12,-'DATI nascosti 1'!$L$14*'DATI nascosti 1'!$P$12))</f>
        <v>614659.43222408998</v>
      </c>
      <c r="L108" s="71">
        <f>-'DATI nascosti 1'!$H$16*'DATI nascosti 1'!$C$6*'DATI nascosti 1'!$H$10*F108*I108</f>
        <v>-1000.3769531249872</v>
      </c>
      <c r="M108" s="71">
        <f>IF(C108&gt;=('DATI nascosti 1'!$L$10*10^-3),'DATI nascosti 1'!$L$14*'DATI nascosti 1'!$P$11,IF(C108&gt;=(-'DATI nascosti 1'!$L$10*10^-3),'DATI nascosti 1'!$P$11*'DATI nascosti 1'!$L$16*C108,-'DATI nascosti 1'!$L$14*'DATI nascosti 1'!$P$11))</f>
        <v>614659.43222408998</v>
      </c>
      <c r="N108" s="71">
        <f t="shared" si="2"/>
        <v>1228318.487495055</v>
      </c>
      <c r="O108" s="71">
        <f>-L108*('DATI nascosti 1'!$C$8/2+-J108*F108)-K108*('DATI nascosti 1'!$C$13/2)+M108*('DATI nascosti 1'!$C$13/2)</f>
        <v>597329.85992431641</v>
      </c>
      <c r="P108" s="69">
        <f>-TABULATI!N108/10^3</f>
        <v>-1228.318487495055</v>
      </c>
      <c r="Q108" s="69">
        <f>TABULATI!O108/10^6</f>
        <v>0.59732985992431642</v>
      </c>
      <c r="R108" s="72">
        <f>-N108/('DATI nascosti 1'!$C$6*'DATI nascosti 1'!$C$13*'DATI nascosti 1'!$H$10*'DATI nascosti 1'!$H$16)</f>
        <v>-0.29557099260778164</v>
      </c>
      <c r="S108" s="72">
        <f>O108/('DATI nascosti 1'!$H$16*'DATI nascosti 1'!$C$6*'DATI nascosti 1'!$C$13^2*'DATI nascosti 1'!$H$10)</f>
        <v>1.2444660768719254E-4</v>
      </c>
      <c r="T108" s="73">
        <f t="shared" si="3"/>
        <v>0.48629884350472352</v>
      </c>
      <c r="U108" s="67" t="str">
        <f>IF(T108&gt;=0, IF(T108&lt;='DATI nascosti 1'!$C$8/6, "SI", "NO"),IF(T108&gt; -'DATI nascosti 1'!$C$8/6, "SI", "NO"))</f>
        <v>SI</v>
      </c>
      <c r="V108" s="67" t="str">
        <f>IF(Foglio3!G109&lt;1,IF(Foglio3!G109&gt;-1,"ROTTURA BILANCIATA",""),"")</f>
        <v/>
      </c>
    </row>
    <row r="109" spans="1:22" ht="18.75" x14ac:dyDescent="0.25">
      <c r="A109" s="20"/>
      <c r="B109" s="68">
        <f t="shared" si="5"/>
        <v>-6.0000000000000006E-4</v>
      </c>
      <c r="C109" s="68">
        <f>'DATI nascosti 1'!$L$8*10^-3</f>
        <v>6.7500000000000004E-2</v>
      </c>
      <c r="D109" s="68">
        <f>('DATI nascosti 1'!$C$10-F109)/('DATI nascosti 1'!$C$13-F109)*C109</f>
        <v>2.0532467532467474E-3</v>
      </c>
      <c r="E109" s="67" t="s">
        <v>39</v>
      </c>
      <c r="F109" s="69">
        <f>('DATI nascosti 1'!$C$13-'DATI nascosti 1'!$L$8*10^(-3)/('DATI nascosti 1'!$L$8*10^(-3)-B109)*'DATI nascosti 1'!$C$13)</f>
        <v>10.1762114537446</v>
      </c>
      <c r="G109" s="70">
        <f>(2*'DATI nascosti 1'!$H$10/(-'DATI nascosti 1'!$H$14)*((-B109*10^3)^2)/2)-('DATI nascosti 1'!$H$10/(-'DATI nascosti 1'!$H$14)^2*(-B109*10^3)^3/3)</f>
        <v>2.2858200000000002</v>
      </c>
      <c r="H109" s="70">
        <f>(2*'DATI nascosti 1'!$H$10/(-'DATI nascosti 1'!$H$14)*((-B109*10^3)^3)/3)-('DATI nascosti 1'!$H$10/(-'DATI nascosti 1'!$H$14)^2*(-B109*10^3)^4/4)</f>
        <v>0.90162900000000012</v>
      </c>
      <c r="I109" s="70">
        <f>G109/('DATI nascosti 1'!$H$10*(-'DATI nascosti 1'!$H$12))</f>
        <v>4.6285714285714298E-2</v>
      </c>
      <c r="J109" s="70">
        <f t="shared" si="4"/>
        <v>0.34259259259259267</v>
      </c>
      <c r="K109" s="71">
        <f>IF(D109&gt;=('DATI nascosti 1'!$L$10*10^-3),'DATI nascosti 1'!$L$14*'DATI nascosti 1'!$P$12,IF(D109&gt;=(-'DATI nascosti 1'!$L$10*10^-3),'DATI nascosti 1'!$L$16*D109*'DATI nascosti 1'!$P$12,-'DATI nascosti 1'!$L$14*'DATI nascosti 1'!$P$12))</f>
        <v>614659.43222408998</v>
      </c>
      <c r="L109" s="71">
        <f>-'DATI nascosti 1'!$H$16*'DATI nascosti 1'!$C$6*'DATI nascosti 1'!$H$10*F109*I109</f>
        <v>-1694.7291013216038</v>
      </c>
      <c r="M109" s="71">
        <f>IF(C109&gt;=('DATI nascosti 1'!$L$10*10^-3),'DATI nascosti 1'!$L$14*'DATI nascosti 1'!$P$11,IF(C109&gt;=(-'DATI nascosti 1'!$L$10*10^-3),'DATI nascosti 1'!$P$11*'DATI nascosti 1'!$L$16*C109,-'DATI nascosti 1'!$L$14*'DATI nascosti 1'!$P$11))</f>
        <v>614659.43222408998</v>
      </c>
      <c r="N109" s="71">
        <f t="shared" si="2"/>
        <v>1227624.1353468583</v>
      </c>
      <c r="O109" s="71">
        <f>-L109*('DATI nascosti 1'!$C$8/2+-J109*F109)-K109*('DATI nascosti 1'!$C$13/2)+M109*('DATI nascosti 1'!$C$13/2)</f>
        <v>1010929.1357688904</v>
      </c>
      <c r="P109" s="69">
        <f>-TABULATI!N109/10^3</f>
        <v>-1227.6241353468583</v>
      </c>
      <c r="Q109" s="69">
        <f>TABULATI!O109/10^6</f>
        <v>1.0109291357688903</v>
      </c>
      <c r="R109" s="72">
        <f>-N109/('DATI nascosti 1'!$C$6*'DATI nascosti 1'!$C$13*'DATI nascosti 1'!$H$10*'DATI nascosti 1'!$H$16)</f>
        <v>-0.29540391024620266</v>
      </c>
      <c r="S109" s="72">
        <f>O109/('DATI nascosti 1'!$H$16*'DATI nascosti 1'!$C$6*'DATI nascosti 1'!$C$13^2*'DATI nascosti 1'!$H$10)</f>
        <v>2.1061512239572926E-4</v>
      </c>
      <c r="T109" s="73">
        <f t="shared" si="3"/>
        <v>0.82348424624549932</v>
      </c>
      <c r="U109" s="67" t="str">
        <f>IF(T109&gt;=0, IF(T109&lt;='DATI nascosti 1'!$C$8/6, "SI", "NO"),IF(T109&gt; -'DATI nascosti 1'!$C$8/6, "SI", "NO"))</f>
        <v>SI</v>
      </c>
      <c r="V109" s="67" t="str">
        <f>IF(Foglio3!G110&lt;1,IF(Foglio3!G110&gt;-1,"ROTTURA BILANCIATA",""),"")</f>
        <v/>
      </c>
    </row>
    <row r="110" spans="1:22" ht="18.75" x14ac:dyDescent="0.25">
      <c r="A110" s="20"/>
      <c r="B110" s="68">
        <f t="shared" si="5"/>
        <v>-7.000000000000001E-4</v>
      </c>
      <c r="C110" s="68">
        <f>'DATI nascosti 1'!$L$8*10^-3</f>
        <v>6.7500000000000004E-2</v>
      </c>
      <c r="D110" s="68">
        <f>('DATI nascosti 1'!$C$10-F110)/('DATI nascosti 1'!$C$13-F110)*C110</f>
        <v>1.9571428571428496E-3</v>
      </c>
      <c r="E110" s="67" t="s">
        <v>39</v>
      </c>
      <c r="F110" s="69">
        <f>('DATI nascosti 1'!$C$13-'DATI nascosti 1'!$L$8*10^(-3)/('DATI nascosti 1'!$L$8*10^(-3)-B110)*'DATI nascosti 1'!$C$13)</f>
        <v>11.854838709677551</v>
      </c>
      <c r="G110" s="70">
        <f>(2*'DATI nascosti 1'!$H$10/(-'DATI nascosti 1'!$H$14)*((-B110*10^3)^2)/2)-('DATI nascosti 1'!$H$10/(-'DATI nascosti 1'!$H$14)^2*(-B110*10^3)^3/3)</f>
        <v>3.0536391666666667</v>
      </c>
      <c r="H110" s="70">
        <f>(2*'DATI nascosti 1'!$H$10/(-'DATI nascosti 1'!$H$14)*((-B110*10^3)^3)/3)-('DATI nascosti 1'!$H$10/(-'DATI nascosti 1'!$H$14)^2*(-B110*10^3)^4/4)</f>
        <v>1.4015051458333334</v>
      </c>
      <c r="I110" s="70">
        <f>G110/('DATI nascosti 1'!$H$10*(-'DATI nascosti 1'!$H$12))</f>
        <v>6.1833333333333344E-2</v>
      </c>
      <c r="J110" s="70">
        <f t="shared" si="4"/>
        <v>0.34433962264150941</v>
      </c>
      <c r="K110" s="71">
        <f>IF(D110&gt;=('DATI nascosti 1'!$L$10*10^-3),'DATI nascosti 1'!$L$14*'DATI nascosti 1'!$P$12,IF(D110&gt;=(-'DATI nascosti 1'!$L$10*10^-3),'DATI nascosti 1'!$L$16*D110*'DATI nascosti 1'!$P$12,-'DATI nascosti 1'!$L$14*'DATI nascosti 1'!$P$12))</f>
        <v>614659.43222408998</v>
      </c>
      <c r="L110" s="71">
        <f>-'DATI nascosti 1'!$H$16*'DATI nascosti 1'!$C$6*'DATI nascosti 1'!$H$10*F110*I110</f>
        <v>-2637.4576995968036</v>
      </c>
      <c r="M110" s="71">
        <f>IF(C110&gt;=('DATI nascosti 1'!$L$10*10^-3),'DATI nascosti 1'!$L$14*'DATI nascosti 1'!$P$11,IF(C110&gt;=(-'DATI nascosti 1'!$L$10*10^-3),'DATI nascosti 1'!$P$11*'DATI nascosti 1'!$L$16*C110,-'DATI nascosti 1'!$L$14*'DATI nascosti 1'!$P$11))</f>
        <v>614659.43222408998</v>
      </c>
      <c r="N110" s="71">
        <f t="shared" si="2"/>
        <v>1226681.4067485831</v>
      </c>
      <c r="O110" s="71">
        <f>-L110*('DATI nascosti 1'!$C$8/2+-J110*F110)-K110*('DATI nascosti 1'!$C$13/2)+M110*('DATI nascosti 1'!$C$13/2)</f>
        <v>1571708.2782431841</v>
      </c>
      <c r="P110" s="69">
        <f>-TABULATI!N110/10^3</f>
        <v>-1226.6814067485832</v>
      </c>
      <c r="Q110" s="69">
        <f>TABULATI!O110/10^6</f>
        <v>1.5717082782431842</v>
      </c>
      <c r="R110" s="72">
        <f>-N110/('DATI nascosti 1'!$C$6*'DATI nascosti 1'!$C$13*'DATI nascosti 1'!$H$10*'DATI nascosti 1'!$H$16)</f>
        <v>-0.29517706091486984</v>
      </c>
      <c r="S110" s="72">
        <f>O110/('DATI nascosti 1'!$H$16*'DATI nascosti 1'!$C$6*'DATI nascosti 1'!$C$13^2*'DATI nascosti 1'!$H$10)</f>
        <v>3.2744682063278195E-4</v>
      </c>
      <c r="T110" s="73">
        <f t="shared" si="3"/>
        <v>1.2812685262827308</v>
      </c>
      <c r="U110" s="67" t="str">
        <f>IF(T110&gt;=0, IF(T110&lt;='DATI nascosti 1'!$C$8/6, "SI", "NO"),IF(T110&gt; -'DATI nascosti 1'!$C$8/6, "SI", "NO"))</f>
        <v>SI</v>
      </c>
      <c r="V110" s="67" t="str">
        <f>IF(Foglio3!G111&lt;1,IF(Foglio3!G111&gt;-1,"ROTTURA BILANCIATA",""),"")</f>
        <v/>
      </c>
    </row>
    <row r="111" spans="1:22" ht="18.75" x14ac:dyDescent="0.25">
      <c r="A111" s="20"/>
      <c r="B111" s="68">
        <f t="shared" si="5"/>
        <v>-8.0000000000000015E-4</v>
      </c>
      <c r="C111" s="68">
        <f>'DATI nascosti 1'!$L$8*10^-3</f>
        <v>6.7500000000000004E-2</v>
      </c>
      <c r="D111" s="76">
        <f>('DATI nascosti 1'!$C$10-F111)/('DATI nascosti 1'!$C$13-F111)*C111</f>
        <v>1.8610389610389663E-3</v>
      </c>
      <c r="E111" s="77" t="s">
        <v>39</v>
      </c>
      <c r="F111" s="78">
        <f>('DATI nascosti 1'!$C$13-'DATI nascosti 1'!$L$8*10^(-3)/('DATI nascosti 1'!$L$8*10^(-3)-B111)*'DATI nascosti 1'!$C$13)</f>
        <v>13.528550512445008</v>
      </c>
      <c r="G111" s="72">
        <f>(2*'DATI nascosti 1'!$H$10/(-'DATI nascosti 1'!$H$14)*((-B111*10^3)^2)/2)-('DATI nascosti 1'!$H$10/(-'DATI nascosti 1'!$H$14)^2*(-B111*10^3)^3/3)</f>
        <v>3.9131733333333343</v>
      </c>
      <c r="H111" s="70">
        <f>(2*'DATI nascosti 1'!$H$10/(-'DATI nascosti 1'!$H$14)*((-B111*10^3)^3)/3)-('DATI nascosti 1'!$H$10/(-'DATI nascosti 1'!$H$14)^2*(-B111*10^3)^4/4)</f>
        <v>2.0468906666666671</v>
      </c>
      <c r="I111" s="70">
        <f>G111/('DATI nascosti 1'!$H$10*(-'DATI nascosti 1'!$H$12))</f>
        <v>7.9238095238095274E-2</v>
      </c>
      <c r="J111" s="70">
        <f t="shared" si="4"/>
        <v>0.34615384615384626</v>
      </c>
      <c r="K111" s="71">
        <f>IF(D111&gt;=('DATI nascosti 1'!$L$10*10^-3),'DATI nascosti 1'!$L$14*'DATI nascosti 1'!$P$12,IF(D111&gt;=(-'DATI nascosti 1'!$L$10*10^-3),'DATI nascosti 1'!$L$16*D111*'DATI nascosti 1'!$P$12,-'DATI nascosti 1'!$L$14*'DATI nascosti 1'!$P$12))</f>
        <v>611713.98456637503</v>
      </c>
      <c r="L111" s="71">
        <f>-'DATI nascosti 1'!$H$16*'DATI nascosti 1'!$C$6*'DATI nascosti 1'!$H$10*F111*I111</f>
        <v>-3857.0253118594196</v>
      </c>
      <c r="M111" s="71">
        <f>IF(C111&gt;=('DATI nascosti 1'!$L$10*10^-3),'DATI nascosti 1'!$L$14*'DATI nascosti 1'!$P$11,IF(C111&gt;=(-'DATI nascosti 1'!$L$10*10^-3),'DATI nascosti 1'!$P$11*'DATI nascosti 1'!$L$16*C111,-'DATI nascosti 1'!$L$14*'DATI nascosti 1'!$P$11))</f>
        <v>614659.43222408998</v>
      </c>
      <c r="N111" s="71">
        <f t="shared" si="2"/>
        <v>1222516.3914786056</v>
      </c>
      <c r="O111" s="71">
        <f>-L111*('DATI nascosti 1'!$C$8/2+-J111*F111)-K111*('DATI nascosti 1'!$C$13/2)+M111*('DATI nascosti 1'!$C$13/2)</f>
        <v>3997148.9149909019</v>
      </c>
      <c r="P111" s="69">
        <f>-TABULATI!N111/10^3</f>
        <v>-1222.5163914786056</v>
      </c>
      <c r="Q111" s="69">
        <f>TABULATI!O111/10^6</f>
        <v>3.9971489149909019</v>
      </c>
      <c r="R111" s="72">
        <f>-N111/('DATI nascosti 1'!$C$6*'DATI nascosti 1'!$C$13*'DATI nascosti 1'!$H$10*'DATI nascosti 1'!$H$16)</f>
        <v>-0.29417483086614338</v>
      </c>
      <c r="S111" s="72">
        <f>O111/('DATI nascosti 1'!$H$16*'DATI nascosti 1'!$C$6*'DATI nascosti 1'!$C$13^2*'DATI nascosti 1'!$H$10)</f>
        <v>8.3275867533926114E-4</v>
      </c>
      <c r="T111" s="73">
        <f t="shared" si="3"/>
        <v>3.2696076247750283</v>
      </c>
      <c r="U111" s="67" t="str">
        <f>IF(T111&gt;=0, IF(T111&lt;='DATI nascosti 1'!$C$8/6, "SI", "NO"),IF(T111&gt; -'DATI nascosti 1'!$C$8/6, "SI", "NO"))</f>
        <v>SI</v>
      </c>
      <c r="V111" s="67" t="str">
        <f>IF(Foglio3!G112&lt;1,IF(Foglio3!G112&gt;-1,"ROTTURA BILANCIATA",""),"")</f>
        <v/>
      </c>
    </row>
    <row r="112" spans="1:22" ht="18.75" x14ac:dyDescent="0.25">
      <c r="A112" s="20"/>
      <c r="B112" s="68">
        <f t="shared" si="5"/>
        <v>-9.0000000000000019E-4</v>
      </c>
      <c r="C112" s="68">
        <f>'DATI nascosti 1'!$L$8*10^-3</f>
        <v>6.7500000000000004E-2</v>
      </c>
      <c r="D112" s="68">
        <f>('DATI nascosti 1'!$C$10-F112)/('DATI nascosti 1'!$C$13-F112)*C112</f>
        <v>1.7649350649350734E-3</v>
      </c>
      <c r="E112" s="67" t="s">
        <v>39</v>
      </c>
      <c r="F112" s="69">
        <f>('DATI nascosti 1'!$C$13-'DATI nascosti 1'!$L$8*10^(-3)/('DATI nascosti 1'!$L$8*10^(-3)-B112)*'DATI nascosti 1'!$C$13)</f>
        <v>15.197368421052488</v>
      </c>
      <c r="G112" s="70">
        <f>(2*'DATI nascosti 1'!$H$10/(-'DATI nascosti 1'!$H$14)*((-B112*10^3)^2)/2)-('DATI nascosti 1'!$H$10/(-'DATI nascosti 1'!$H$14)^2*(-B112*10^3)^3/3)</f>
        <v>4.8573675000000014</v>
      </c>
      <c r="H112" s="70">
        <f>(2*'DATI nascosti 1'!$H$10/(-'DATI nascosti 1'!$H$14)*((-B112*10^3)^3)/3)-('DATI nascosti 1'!$H$10/(-'DATI nascosti 1'!$H$14)^2*(-B112*10^3)^4/4)</f>
        <v>2.8501318125000017</v>
      </c>
      <c r="I112" s="70">
        <f>G112/('DATI nascosti 1'!$H$10*(-'DATI nascosti 1'!$H$12))</f>
        <v>9.8357142857142907E-2</v>
      </c>
      <c r="J112" s="70">
        <f t="shared" si="4"/>
        <v>0.34803921568627449</v>
      </c>
      <c r="K112" s="71">
        <f>IF(D112&gt;=('DATI nascosti 1'!$L$10*10^-3),'DATI nascosti 1'!$L$14*'DATI nascosti 1'!$P$12,IF(D112&gt;=(-'DATI nascosti 1'!$L$10*10^-3),'DATI nascosti 1'!$L$16*D112*'DATI nascosti 1'!$P$12,-'DATI nascosti 1'!$L$14*'DATI nascosti 1'!$P$12))</f>
        <v>580125.12562854518</v>
      </c>
      <c r="L112" s="71">
        <f>-'DATI nascosti 1'!$H$16*'DATI nascosti 1'!$C$6*'DATI nascosti 1'!$H$10*F112*I112</f>
        <v>-5378.2562516446878</v>
      </c>
      <c r="M112" s="71">
        <f>IF(C112&gt;=('DATI nascosti 1'!$L$10*10^-3),'DATI nascosti 1'!$L$14*'DATI nascosti 1'!$P$11,IF(C112&gt;=(-'DATI nascosti 1'!$L$10*10^-3),'DATI nascosti 1'!$P$11*'DATI nascosti 1'!$L$16*C112,-'DATI nascosti 1'!$L$14*'DATI nascosti 1'!$P$11))</f>
        <v>614659.43222408998</v>
      </c>
      <c r="N112" s="71">
        <f t="shared" si="2"/>
        <v>1189406.3016009904</v>
      </c>
      <c r="O112" s="71">
        <f>-L112*('DATI nascosti 1'!$C$8/2+-J112*F112)-K112*('DATI nascosti 1'!$C$13/2)+M112*('DATI nascosti 1'!$C$13/2)</f>
        <v>23142068.705688179</v>
      </c>
      <c r="P112" s="69">
        <f>-TABULATI!N112/10^3</f>
        <v>-1189.4063016009904</v>
      </c>
      <c r="Q112" s="69">
        <f>TABULATI!O112/10^6</f>
        <v>23.142068705688178</v>
      </c>
      <c r="R112" s="72">
        <f>-N112/('DATI nascosti 1'!$C$6*'DATI nascosti 1'!$C$13*'DATI nascosti 1'!$H$10*'DATI nascosti 1'!$H$16)</f>
        <v>-0.28620753066665094</v>
      </c>
      <c r="S112" s="72">
        <f>O112/('DATI nascosti 1'!$H$16*'DATI nascosti 1'!$C$6*'DATI nascosti 1'!$C$13^2*'DATI nascosti 1'!$H$10)</f>
        <v>4.8213761583118103E-3</v>
      </c>
      <c r="T112" s="73">
        <f t="shared" si="3"/>
        <v>19.456823689716451</v>
      </c>
      <c r="U112" s="67" t="str">
        <f>IF(T112&gt;=0, IF(T112&lt;='DATI nascosti 1'!$C$8/6, "SI", "NO"),IF(T112&gt; -'DATI nascosti 1'!$C$8/6, "SI", "NO"))</f>
        <v>SI</v>
      </c>
      <c r="V112" s="67" t="str">
        <f>IF(Foglio3!G113&lt;1,IF(Foglio3!G113&gt;-1,"ROTTURA BILANCIATA",""),"")</f>
        <v/>
      </c>
    </row>
    <row r="113" spans="1:22" ht="18.75" x14ac:dyDescent="0.25">
      <c r="A113" s="20"/>
      <c r="B113" s="68">
        <f t="shared" si="5"/>
        <v>-1.0000000000000002E-3</v>
      </c>
      <c r="C113" s="68">
        <f>'DATI nascosti 1'!$L$8*10^-3</f>
        <v>6.7500000000000004E-2</v>
      </c>
      <c r="D113" s="68">
        <f>('DATI nascosti 1'!$C$10-F113)/('DATI nascosti 1'!$C$13-F113)*C113</f>
        <v>1.6688311688311756E-3</v>
      </c>
      <c r="E113" s="67" t="s">
        <v>39</v>
      </c>
      <c r="F113" s="69">
        <f>('DATI nascosti 1'!$C$13-'DATI nascosti 1'!$L$8*10^(-3)/('DATI nascosti 1'!$L$8*10^(-3)-B113)*'DATI nascosti 1'!$C$13)</f>
        <v>16.861313868613024</v>
      </c>
      <c r="G113" s="70">
        <f>(2*'DATI nascosti 1'!$H$10/(-'DATI nascosti 1'!$H$14)*((-B113*10^3)^2)/2)-('DATI nascosti 1'!$H$10/(-'DATI nascosti 1'!$H$14)^2*(-B113*10^3)^3/3)</f>
        <v>5.8791666666666682</v>
      </c>
      <c r="H113" s="70">
        <f>(2*'DATI nascosti 1'!$H$10/(-'DATI nascosti 1'!$H$14)*((-B113*10^3)^3)/3)-('DATI nascosti 1'!$H$10/(-'DATI nascosti 1'!$H$14)^2*(-B113*10^3)^4/4)</f>
        <v>3.821458333333335</v>
      </c>
      <c r="I113" s="70">
        <f>G113/('DATI nascosti 1'!$H$10*(-'DATI nascosti 1'!$H$12))</f>
        <v>0.1190476190476191</v>
      </c>
      <c r="J113" s="70">
        <f t="shared" si="4"/>
        <v>0.35</v>
      </c>
      <c r="K113" s="71">
        <f>IF(D113&gt;=('DATI nascosti 1'!$L$10*10^-3),'DATI nascosti 1'!$L$14*'DATI nascosti 1'!$P$12,IF(D113&gt;=(-'DATI nascosti 1'!$L$10*10^-3),'DATI nascosti 1'!$L$16*D113*'DATI nascosti 1'!$P$12,-'DATI nascosti 1'!$L$14*'DATI nascosti 1'!$P$12))</f>
        <v>548536.26669071382</v>
      </c>
      <c r="L113" s="71">
        <f>-'DATI nascosti 1'!$H$16*'DATI nascosti 1'!$C$6*'DATI nascosti 1'!$H$10*F113*I113</f>
        <v>-7222.3631386860843</v>
      </c>
      <c r="M113" s="71">
        <f>IF(C113&gt;=('DATI nascosti 1'!$L$10*10^-3),'DATI nascosti 1'!$L$14*'DATI nascosti 1'!$P$11,IF(C113&gt;=(-'DATI nascosti 1'!$L$10*10^-3),'DATI nascosti 1'!$P$11*'DATI nascosti 1'!$L$16*C113,-'DATI nascosti 1'!$L$14*'DATI nascosti 1'!$P$11))</f>
        <v>614659.43222408998</v>
      </c>
      <c r="N113" s="71">
        <f t="shared" si="2"/>
        <v>1155973.3357761176</v>
      </c>
      <c r="O113" s="71">
        <f>-L113*('DATI nascosti 1'!$C$8/2+-J113*F113)-K113*('DATI nascosti 1'!$C$13/2)+M113*('DATI nascosti 1'!$C$13/2)</f>
        <v>42476923.492622316</v>
      </c>
      <c r="P113" s="69">
        <f>-TABULATI!N113/10^3</f>
        <v>-1155.9733357761177</v>
      </c>
      <c r="Q113" s="69">
        <f>TABULATI!O113/10^6</f>
        <v>42.476923492622319</v>
      </c>
      <c r="R113" s="72">
        <f>-N113/('DATI nascosti 1'!$C$6*'DATI nascosti 1'!$C$13*'DATI nascosti 1'!$H$10*'DATI nascosti 1'!$H$16)</f>
        <v>-0.27816253664003499</v>
      </c>
      <c r="S113" s="72">
        <f>O113/('DATI nascosti 1'!$H$16*'DATI nascosti 1'!$C$6*'DATI nascosti 1'!$C$13^2*'DATI nascosti 1'!$H$10)</f>
        <v>8.84956435011474E-3</v>
      </c>
      <c r="T113" s="73">
        <f t="shared" si="3"/>
        <v>36.745591077240043</v>
      </c>
      <c r="U113" s="67" t="str">
        <f>IF(T113&gt;=0, IF(T113&lt;='DATI nascosti 1'!$C$8/6, "SI", "NO"),IF(T113&gt; -'DATI nascosti 1'!$C$8/6, "SI", "NO"))</f>
        <v>SI</v>
      </c>
      <c r="V113" s="67" t="str">
        <f>IF(Foglio3!G114&lt;1,IF(Foglio3!G114&gt;-1,"ROTTURA BILANCIATA",""),"")</f>
        <v/>
      </c>
    </row>
    <row r="114" spans="1:22" ht="18.75" x14ac:dyDescent="0.25">
      <c r="A114" s="20"/>
      <c r="B114" s="68">
        <f t="shared" si="5"/>
        <v>-1.1000000000000003E-3</v>
      </c>
      <c r="C114" s="68">
        <f>'DATI nascosti 1'!$L$8*10^-3</f>
        <v>6.7500000000000004E-2</v>
      </c>
      <c r="D114" s="68">
        <f>('DATI nascosti 1'!$C$10-F114)/('DATI nascosti 1'!$C$13-F114)*C114</f>
        <v>1.5727272727272599E-3</v>
      </c>
      <c r="E114" s="67" t="s">
        <v>39</v>
      </c>
      <c r="F114" s="69">
        <f>('DATI nascosti 1'!$C$13-'DATI nascosti 1'!$L$8*10^(-3)/('DATI nascosti 1'!$L$8*10^(-3)-B114)*'DATI nascosti 1'!$C$13)</f>
        <v>18.520408163265529</v>
      </c>
      <c r="G114" s="70">
        <f>(2*'DATI nascosti 1'!$H$10/(-'DATI nascosti 1'!$H$14)*((-B114*10^3)^2)/2)-('DATI nascosti 1'!$H$10/(-'DATI nascosti 1'!$H$14)^2*(-B114*10^3)^3/3)</f>
        <v>6.9715158333333358</v>
      </c>
      <c r="H114" s="70">
        <f>(2*'DATI nascosti 1'!$H$10/(-'DATI nascosti 1'!$H$14)*((-B114*10^3)^3)/3)-('DATI nascosti 1'!$H$10/(-'DATI nascosti 1'!$H$14)^2*(-B114*10^3)^4/4)</f>
        <v>4.9689834791666696</v>
      </c>
      <c r="I114" s="70">
        <f>G114/('DATI nascosti 1'!$H$10*(-'DATI nascosti 1'!$H$12))</f>
        <v>0.14116666666666675</v>
      </c>
      <c r="J114" s="70">
        <f t="shared" si="4"/>
        <v>0.35204081632653061</v>
      </c>
      <c r="K114" s="71">
        <f>IF(D114&gt;=('DATI nascosti 1'!$L$10*10^-3),'DATI nascosti 1'!$L$14*'DATI nascosti 1'!$P$12,IF(D114&gt;=(-'DATI nascosti 1'!$L$10*10^-3),'DATI nascosti 1'!$L$16*D114*'DATI nascosti 1'!$P$12,-'DATI nascosti 1'!$L$14*'DATI nascosti 1'!$P$12))</f>
        <v>516947.40775287652</v>
      </c>
      <c r="L114" s="71">
        <f>-'DATI nascosti 1'!$H$16*'DATI nascosti 1'!$C$6*'DATI nascosti 1'!$H$10*F114*I114</f>
        <v>-9406.9732232144015</v>
      </c>
      <c r="M114" s="71">
        <f>IF(C114&gt;=('DATI nascosti 1'!$L$10*10^-3),'DATI nascosti 1'!$L$14*'DATI nascosti 1'!$P$11,IF(C114&gt;=(-'DATI nascosti 1'!$L$10*10^-3),'DATI nascosti 1'!$P$11*'DATI nascosti 1'!$L$16*C114,-'DATI nascosti 1'!$L$14*'DATI nascosti 1'!$P$11))</f>
        <v>614659.43222408998</v>
      </c>
      <c r="N114" s="71">
        <f t="shared" si="2"/>
        <v>1122199.8667537521</v>
      </c>
      <c r="O114" s="71">
        <f>-L114*('DATI nascosti 1'!$C$8/2+-J114*F114)-K114*('DATI nascosti 1'!$C$13/2)+M114*('DATI nascosti 1'!$C$13/2)</f>
        <v>62011545.168740273</v>
      </c>
      <c r="P114" s="69">
        <f>-TABULATI!N114/10^3</f>
        <v>-1122.1998667537521</v>
      </c>
      <c r="Q114" s="69">
        <f>TABULATI!O114/10^6</f>
        <v>62.01154516874027</v>
      </c>
      <c r="R114" s="72">
        <f>-N114/('DATI nascosti 1'!$C$6*'DATI nascosti 1'!$C$13*'DATI nascosti 1'!$H$10*'DATI nascosti 1'!$H$16)</f>
        <v>-0.27003560713081115</v>
      </c>
      <c r="S114" s="72">
        <f>O114/('DATI nascosti 1'!$H$16*'DATI nascosti 1'!$C$6*'DATI nascosti 1'!$C$13^2*'DATI nascosti 1'!$H$10)</f>
        <v>1.2919371609295785E-2</v>
      </c>
      <c r="T114" s="73">
        <f t="shared" si="3"/>
        <v>55.258913323634943</v>
      </c>
      <c r="U114" s="67" t="str">
        <f>IF(T114&gt;=0, IF(T114&lt;='DATI nascosti 1'!$C$8/6, "SI", "NO"),IF(T114&gt; -'DATI nascosti 1'!$C$8/6, "SI", "NO"))</f>
        <v>SI</v>
      </c>
      <c r="V114" s="67" t="str">
        <f>IF(Foglio3!G115&lt;1,IF(Foglio3!G115&gt;-1,"ROTTURA BILANCIATA",""),"")</f>
        <v/>
      </c>
    </row>
    <row r="115" spans="1:22" ht="18.75" x14ac:dyDescent="0.25">
      <c r="A115" s="20"/>
      <c r="B115" s="68">
        <f t="shared" si="5"/>
        <v>-1.2000000000000003E-3</v>
      </c>
      <c r="C115" s="68">
        <f>'DATI nascosti 1'!$L$8*10^-3</f>
        <v>6.7500000000000004E-2</v>
      </c>
      <c r="D115" s="68">
        <f>('DATI nascosti 1'!$C$10-F115)/('DATI nascosti 1'!$C$13-F115)*C115</f>
        <v>1.4766233766233794E-3</v>
      </c>
      <c r="E115" s="67" t="s">
        <v>39</v>
      </c>
      <c r="F115" s="69">
        <f>('DATI nascosti 1'!$C$13-'DATI nascosti 1'!$L$8*10^(-3)/('DATI nascosti 1'!$L$8*10^(-3)-B115)*'DATI nascosti 1'!$C$13)</f>
        <v>20.174672489082923</v>
      </c>
      <c r="G115" s="70">
        <f>(2*'DATI nascosti 1'!$H$10/(-'DATI nascosti 1'!$H$14)*((-B115*10^3)^2)/2)-('DATI nascosti 1'!$H$10/(-'DATI nascosti 1'!$H$14)^2*(-B115*10^3)^3/3)</f>
        <v>8.127360000000003</v>
      </c>
      <c r="H115" s="70">
        <f>(2*'DATI nascosti 1'!$H$10/(-'DATI nascosti 1'!$H$14)*((-B115*10^3)^3)/3)-('DATI nascosti 1'!$H$10/(-'DATI nascosti 1'!$H$14)^2*(-B115*10^3)^4/4)</f>
        <v>6.2987040000000043</v>
      </c>
      <c r="I115" s="70">
        <f>G115/('DATI nascosti 1'!$H$10*(-'DATI nascosti 1'!$H$12))</f>
        <v>0.16457142857142867</v>
      </c>
      <c r="J115" s="70">
        <f t="shared" si="4"/>
        <v>0.35416666666666663</v>
      </c>
      <c r="K115" s="71">
        <f>IF(D115&gt;=('DATI nascosti 1'!$L$10*10^-3),'DATI nascosti 1'!$L$14*'DATI nascosti 1'!$P$12,IF(D115&gt;=(-'DATI nascosti 1'!$L$10*10^-3),'DATI nascosti 1'!$L$16*D115*'DATI nascosti 1'!$P$12,-'DATI nascosti 1'!$L$14*'DATI nascosti 1'!$P$12))</f>
        <v>485358.5488150508</v>
      </c>
      <c r="L115" s="71">
        <f>-'DATI nascosti 1'!$H$16*'DATI nascosti 1'!$C$6*'DATI nascosti 1'!$H$10*F115*I115</f>
        <v>-11946.154480349323</v>
      </c>
      <c r="M115" s="71">
        <f>IF(C115&gt;=('DATI nascosti 1'!$L$10*10^-3),'DATI nascosti 1'!$L$14*'DATI nascosti 1'!$P$11,IF(C115&gt;=(-'DATI nascosti 1'!$L$10*10^-3),'DATI nascosti 1'!$P$11*'DATI nascosti 1'!$L$16*C115,-'DATI nascosti 1'!$L$14*'DATI nascosti 1'!$P$11))</f>
        <v>614659.43222408998</v>
      </c>
      <c r="N115" s="71">
        <f t="shared" si="2"/>
        <v>1088071.8265587916</v>
      </c>
      <c r="O115" s="71">
        <f>-L115*('DATI nascosti 1'!$C$8/2+-J115*F115)-K115*('DATI nascosti 1'!$C$13/2)+M115*('DATI nascosti 1'!$C$13/2)</f>
        <v>81753595.23567003</v>
      </c>
      <c r="P115" s="69">
        <f>-TABULATI!N115/10^3</f>
        <v>-1088.0718265587916</v>
      </c>
      <c r="Q115" s="69">
        <f>TABULATI!O115/10^6</f>
        <v>81.753595235670034</v>
      </c>
      <c r="R115" s="72">
        <f>-N115/('DATI nascosti 1'!$C$6*'DATI nascosti 1'!$C$13*'DATI nascosti 1'!$H$10*'DATI nascosti 1'!$H$16)</f>
        <v>-0.2618233569539421</v>
      </c>
      <c r="S115" s="72">
        <f>O115/('DATI nascosti 1'!$H$16*'DATI nascosti 1'!$C$6*'DATI nascosti 1'!$C$13^2*'DATI nascosti 1'!$H$10)</f>
        <v>1.7032394119055147E-2</v>
      </c>
      <c r="T115" s="73">
        <f t="shared" si="3"/>
        <v>75.136211819976438</v>
      </c>
      <c r="U115" s="67" t="str">
        <f>IF(T115&gt;=0, IF(T115&lt;='DATI nascosti 1'!$C$8/6, "SI", "NO"),IF(T115&gt; -'DATI nascosti 1'!$C$8/6, "SI", "NO"))</f>
        <v>SI</v>
      </c>
      <c r="V115" s="67" t="str">
        <f>IF(Foglio3!G116&lt;1,IF(Foglio3!G116&gt;-1,"ROTTURA BILANCIATA",""),"")</f>
        <v/>
      </c>
    </row>
    <row r="116" spans="1:22" ht="18.75" x14ac:dyDescent="0.25">
      <c r="A116" s="20"/>
      <c r="B116" s="68">
        <f t="shared" si="5"/>
        <v>-1.3000000000000004E-3</v>
      </c>
      <c r="C116" s="68">
        <f>'DATI nascosti 1'!$L$8*10^-3</f>
        <v>6.7500000000000004E-2</v>
      </c>
      <c r="D116" s="68">
        <f>('DATI nascosti 1'!$C$10-F116)/('DATI nascosti 1'!$C$13-F116)*C116</f>
        <v>1.3805194805194872E-3</v>
      </c>
      <c r="E116" s="67" t="s">
        <v>39</v>
      </c>
      <c r="F116" s="69">
        <f>('DATI nascosti 1'!$C$13-'DATI nascosti 1'!$L$8*10^(-3)/('DATI nascosti 1'!$L$8*10^(-3)-B116)*'DATI nascosti 1'!$C$13)</f>
        <v>21.824127906976628</v>
      </c>
      <c r="G116" s="70">
        <f>(2*'DATI nascosti 1'!$H$10/(-'DATI nascosti 1'!$H$14)*((-B116*10^3)^2)/2)-('DATI nascosti 1'!$H$10/(-'DATI nascosti 1'!$H$14)^2*(-B116*10^3)^3/3)</f>
        <v>9.3396441666666679</v>
      </c>
      <c r="H116" s="70">
        <f>(2*'DATI nascosti 1'!$H$10/(-'DATI nascosti 1'!$H$14)*((-B116*10^3)^3)/3)-('DATI nascosti 1'!$H$10/(-'DATI nascosti 1'!$H$14)^2*(-B116*10^3)^4/4)</f>
        <v>7.8145001458333372</v>
      </c>
      <c r="I116" s="70">
        <f>G116/('DATI nascosti 1'!$H$10*(-'DATI nascosti 1'!$H$12))</f>
        <v>0.18911904761904769</v>
      </c>
      <c r="J116" s="70">
        <f t="shared" si="4"/>
        <v>0.35638297872340419</v>
      </c>
      <c r="K116" s="71">
        <f>IF(D116&gt;=('DATI nascosti 1'!$L$10*10^-3),'DATI nascosti 1'!$L$14*'DATI nascosti 1'!$P$12,IF(D116&gt;=(-'DATI nascosti 1'!$L$10*10^-3),'DATI nascosti 1'!$L$16*D116*'DATI nascosti 1'!$P$12,-'DATI nascosti 1'!$L$14*'DATI nascosti 1'!$P$12))</f>
        <v>453769.68987722124</v>
      </c>
      <c r="L116" s="71">
        <f>-'DATI nascosti 1'!$H$16*'DATI nascosti 1'!$C$6*'DATI nascosti 1'!$H$10*F116*I116</f>
        <v>-14850.441476925796</v>
      </c>
      <c r="M116" s="71">
        <f>IF(C116&gt;=('DATI nascosti 1'!$L$10*10^-3),'DATI nascosti 1'!$L$14*'DATI nascosti 1'!$P$11,IF(C116&gt;=(-'DATI nascosti 1'!$L$10*10^-3),'DATI nascosti 1'!$P$11*'DATI nascosti 1'!$L$16*C116,-'DATI nascosti 1'!$L$14*'DATI nascosti 1'!$P$11))</f>
        <v>614659.43222408998</v>
      </c>
      <c r="N116" s="71">
        <f t="shared" si="2"/>
        <v>1053578.6806243854</v>
      </c>
      <c r="O116" s="71">
        <f>-L116*('DATI nascosti 1'!$C$8/2+-J116*F116)-K116*('DATI nascosti 1'!$C$13/2)+M116*('DATI nascosti 1'!$C$13/2)</f>
        <v>101708588.10425982</v>
      </c>
      <c r="P116" s="69">
        <f>-TABULATI!N116/10^3</f>
        <v>-1053.5786806243855</v>
      </c>
      <c r="Q116" s="69">
        <f>TABULATI!O116/10^6</f>
        <v>101.70858810425982</v>
      </c>
      <c r="R116" s="72">
        <f>-N116/('DATI nascosti 1'!$C$6*'DATI nascosti 1'!$C$13*'DATI nascosti 1'!$H$10*'DATI nascosti 1'!$H$16)</f>
        <v>-0.25352325117047481</v>
      </c>
      <c r="S116" s="72">
        <f>O116/('DATI nascosti 1'!$H$16*'DATI nascosti 1'!$C$6*'DATI nascosti 1'!$C$13^2*'DATI nascosti 1'!$H$10)</f>
        <v>2.1189780741637125E-2</v>
      </c>
      <c r="T116" s="73">
        <f t="shared" si="3"/>
        <v>96.536300491562685</v>
      </c>
      <c r="U116" s="67" t="str">
        <f>IF(T116&gt;=0, IF(T116&lt;='DATI nascosti 1'!$C$8/6, "SI", "NO"),IF(T116&gt; -'DATI nascosti 1'!$C$8/6, "SI", "NO"))</f>
        <v>SI</v>
      </c>
      <c r="V116" s="67" t="str">
        <f>IF(Foglio3!G117&lt;1,IF(Foglio3!G117&gt;-1,"ROTTURA BILANCIATA",""),"")</f>
        <v/>
      </c>
    </row>
    <row r="117" spans="1:22" ht="18.75" x14ac:dyDescent="0.25">
      <c r="A117" s="20"/>
      <c r="B117" s="68">
        <f t="shared" si="5"/>
        <v>-1.4000000000000004E-3</v>
      </c>
      <c r="C117" s="68">
        <f>'DATI nascosti 1'!$L$8*10^-3</f>
        <v>6.7500000000000004E-2</v>
      </c>
      <c r="D117" s="68">
        <f>('DATI nascosti 1'!$C$10-F117)/('DATI nascosti 1'!$C$13-F117)*C117</f>
        <v>1.2844155844155809E-3</v>
      </c>
      <c r="E117" s="67" t="s">
        <v>39</v>
      </c>
      <c r="F117" s="69">
        <f>('DATI nascosti 1'!$C$13-'DATI nascosti 1'!$L$8*10^(-3)/('DATI nascosti 1'!$L$8*10^(-3)-B117)*'DATI nascosti 1'!$C$13)</f>
        <v>23.468795355587872</v>
      </c>
      <c r="G117" s="70">
        <f>(2*'DATI nascosti 1'!$H$10/(-'DATI nascosti 1'!$H$14)*((-B117*10^3)^2)/2)-('DATI nascosti 1'!$H$10/(-'DATI nascosti 1'!$H$14)^2*(-B117*10^3)^3/3)</f>
        <v>10.601313333333337</v>
      </c>
      <c r="H117" s="70">
        <f>(2*'DATI nascosti 1'!$H$10/(-'DATI nascosti 1'!$H$14)*((-B117*10^3)^3)/3)-('DATI nascosti 1'!$H$10/(-'DATI nascosti 1'!$H$14)^2*(-B117*10^3)^4/4)</f>
        <v>9.5181356666666712</v>
      </c>
      <c r="I117" s="70">
        <f>G117/('DATI nascosti 1'!$H$10*(-'DATI nascosti 1'!$H$12))</f>
        <v>0.21466666666666678</v>
      </c>
      <c r="J117" s="70">
        <f t="shared" si="4"/>
        <v>0.35869565217391308</v>
      </c>
      <c r="K117" s="71">
        <f>IF(D117&gt;=('DATI nascosti 1'!$L$10*10^-3),'DATI nascosti 1'!$L$14*'DATI nascosti 1'!$P$12,IF(D117&gt;=(-'DATI nascosti 1'!$L$10*10^-3),'DATI nascosti 1'!$L$16*D117*'DATI nascosti 1'!$P$12,-'DATI nascosti 1'!$L$14*'DATI nascosti 1'!$P$12))</f>
        <v>422180.83093938697</v>
      </c>
      <c r="L117" s="71">
        <f>-'DATI nascosti 1'!$H$16*'DATI nascosti 1'!$C$6*'DATI nascosti 1'!$H$10*F117*I117</f>
        <v>-18126.861013062466</v>
      </c>
      <c r="M117" s="71">
        <f>IF(C117&gt;=('DATI nascosti 1'!$L$10*10^-3),'DATI nascosti 1'!$L$14*'DATI nascosti 1'!$P$11,IF(C117&gt;=(-'DATI nascosti 1'!$L$10*10^-3),'DATI nascosti 1'!$P$11*'DATI nascosti 1'!$L$16*C117,-'DATI nascosti 1'!$L$14*'DATI nascosti 1'!$P$11))</f>
        <v>614659.43222408998</v>
      </c>
      <c r="N117" s="71">
        <f t="shared" si="2"/>
        <v>1018713.4021504144</v>
      </c>
      <c r="O117" s="71">
        <f>-L117*('DATI nascosti 1'!$C$8/2+-J117*F117)-K117*('DATI nascosti 1'!$C$13/2)+M117*('DATI nascosti 1'!$C$13/2)</f>
        <v>121879914.12669578</v>
      </c>
      <c r="P117" s="69">
        <f>-TABULATI!N117/10^3</f>
        <v>-1018.7134021504144</v>
      </c>
      <c r="Q117" s="69">
        <f>TABULATI!O117/10^6</f>
        <v>121.87991412669578</v>
      </c>
      <c r="R117" s="72">
        <f>-N117/('DATI nascosti 1'!$C$6*'DATI nascosti 1'!$C$13*'DATI nascosti 1'!$H$10*'DATI nascosti 1'!$H$16)</f>
        <v>-0.24513359891740655</v>
      </c>
      <c r="S117" s="72">
        <f>O117/('DATI nascosti 1'!$H$16*'DATI nascosti 1'!$C$6*'DATI nascosti 1'!$C$13^2*'DATI nascosti 1'!$H$10)</f>
        <v>2.5392237816799251E-2</v>
      </c>
      <c r="T117" s="73">
        <f t="shared" si="3"/>
        <v>119.64102353951367</v>
      </c>
      <c r="U117" s="67" t="str">
        <f>IF(T117&gt;=0, IF(T117&lt;='DATI nascosti 1'!$C$8/6, "SI", "NO"),IF(T117&gt; -'DATI nascosti 1'!$C$8/6, "SI", "NO"))</f>
        <v>SI</v>
      </c>
      <c r="V117" s="67" t="str">
        <f>IF(Foglio3!G118&lt;1,IF(Foglio3!G118&gt;-1,"ROTTURA BILANCIATA",""),"")</f>
        <v/>
      </c>
    </row>
    <row r="118" spans="1:22" ht="18.75" x14ac:dyDescent="0.25">
      <c r="A118" s="20"/>
      <c r="B118" s="68">
        <f t="shared" si="5"/>
        <v>-1.5000000000000005E-3</v>
      </c>
      <c r="C118" s="68">
        <f>'DATI nascosti 1'!$L$8*10^-3</f>
        <v>6.7500000000000004E-2</v>
      </c>
      <c r="D118" s="68">
        <f>('DATI nascosti 1'!$C$10-F118)/('DATI nascosti 1'!$C$13-F118)*C118</f>
        <v>1.1883116883116837E-3</v>
      </c>
      <c r="E118" s="67" t="s">
        <v>39</v>
      </c>
      <c r="F118" s="69">
        <f>('DATI nascosti 1'!$C$13-'DATI nascosti 1'!$L$8*10^(-3)/('DATI nascosti 1'!$L$8*10^(-3)-B118)*'DATI nascosti 1'!$C$13)</f>
        <v>25.108695652173992</v>
      </c>
      <c r="G118" s="70">
        <f>(2*'DATI nascosti 1'!$H$10/(-'DATI nascosti 1'!$H$14)*((-B118*10^3)^2)/2)-('DATI nascosti 1'!$H$10/(-'DATI nascosti 1'!$H$14)^2*(-B118*10^3)^3/3)</f>
        <v>11.905312500000003</v>
      </c>
      <c r="H118" s="70">
        <f>(2*'DATI nascosti 1'!$H$10/(-'DATI nascosti 1'!$H$14)*((-B118*10^3)^3)/3)-('DATI nascosti 1'!$H$10/(-'DATI nascosti 1'!$H$14)^2*(-B118*10^3)^4/4)</f>
        <v>11.409257812500009</v>
      </c>
      <c r="I118" s="70">
        <f>G118/('DATI nascosti 1'!$H$10*(-'DATI nascosti 1'!$H$12))</f>
        <v>0.24107142857142866</v>
      </c>
      <c r="J118" s="70">
        <f t="shared" si="4"/>
        <v>0.36111111111111094</v>
      </c>
      <c r="K118" s="71">
        <f>IF(D118&gt;=('DATI nascosti 1'!$L$10*10^-3),'DATI nascosti 1'!$L$14*'DATI nascosti 1'!$P$12,IF(D118&gt;=(-'DATI nascosti 1'!$L$10*10^-3),'DATI nascosti 1'!$L$16*D118*'DATI nascosti 1'!$P$12,-'DATI nascosti 1'!$L$14*'DATI nascosti 1'!$P$12))</f>
        <v>390591.97200155573</v>
      </c>
      <c r="L118" s="71">
        <f>-'DATI nascosti 1'!$H$16*'DATI nascosti 1'!$C$6*'DATI nascosti 1'!$H$10*F118*I118</f>
        <v>-21778.957540760941</v>
      </c>
      <c r="M118" s="71">
        <f>IF(C118&gt;=('DATI nascosti 1'!$L$10*10^-3),'DATI nascosti 1'!$L$14*'DATI nascosti 1'!$P$11,IF(C118&gt;=(-'DATI nascosti 1'!$L$10*10^-3),'DATI nascosti 1'!$P$11*'DATI nascosti 1'!$L$16*C118,-'DATI nascosti 1'!$L$14*'DATI nascosti 1'!$P$11))</f>
        <v>614659.43222408998</v>
      </c>
      <c r="N118" s="71">
        <f t="shared" si="2"/>
        <v>983472.44668488484</v>
      </c>
      <c r="O118" s="71">
        <f>-L118*('DATI nascosti 1'!$C$8/2+-J118*F118)-K118*('DATI nascosti 1'!$C$13/2)+M118*('DATI nascosti 1'!$C$13/2)</f>
        <v>142268862.36367387</v>
      </c>
      <c r="P118" s="69">
        <f>-TABULATI!N118/10^3</f>
        <v>-983.47244668488486</v>
      </c>
      <c r="Q118" s="69">
        <f>TABULATI!O118/10^6</f>
        <v>142.26886236367386</v>
      </c>
      <c r="R118" s="72">
        <f>-N118/('DATI nascosti 1'!$C$6*'DATI nascosti 1'!$C$13*'DATI nascosti 1'!$H$10*'DATI nascosti 1'!$H$16)</f>
        <v>-0.23665354729119087</v>
      </c>
      <c r="S118" s="72">
        <f>O118/('DATI nascosti 1'!$H$16*'DATI nascosti 1'!$C$6*'DATI nascosti 1'!$C$13^2*'DATI nascosti 1'!$H$10)</f>
        <v>2.9640033905083164E-2</v>
      </c>
      <c r="T118" s="73">
        <f t="shared" si="3"/>
        <v>144.65973382705081</v>
      </c>
      <c r="U118" s="67" t="str">
        <f>IF(T118&gt;=0, IF(T118&lt;='DATI nascosti 1'!$C$8/6, "SI", "NO"),IF(T118&gt; -'DATI nascosti 1'!$C$8/6, "SI", "NO"))</f>
        <v>SI</v>
      </c>
      <c r="V118" s="67" t="str">
        <f>IF(Foglio3!G119&lt;1,IF(Foglio3!G119&gt;-1,"ROTTURA BILANCIATA",""),"")</f>
        <v/>
      </c>
    </row>
    <row r="119" spans="1:22" ht="18.75" x14ac:dyDescent="0.25">
      <c r="A119" s="20"/>
      <c r="B119" s="68">
        <f t="shared" si="5"/>
        <v>-1.6000000000000005E-3</v>
      </c>
      <c r="C119" s="68">
        <f>'DATI nascosti 1'!$L$8*10^-3</f>
        <v>6.7500000000000004E-2</v>
      </c>
      <c r="D119" s="68">
        <f>('DATI nascosti 1'!$C$10-F119)/('DATI nascosti 1'!$C$13-F119)*C119</f>
        <v>1.0922077922077931E-3</v>
      </c>
      <c r="E119" s="67" t="s">
        <v>39</v>
      </c>
      <c r="F119" s="69">
        <f>('DATI nascosti 1'!$C$13-'DATI nascosti 1'!$L$8*10^(-3)/('DATI nascosti 1'!$L$8*10^(-3)-B119)*'DATI nascosti 1'!$C$13)</f>
        <v>26.743849493487687</v>
      </c>
      <c r="G119" s="70">
        <f>(2*'DATI nascosti 1'!$H$10/(-'DATI nascosti 1'!$H$14)*((-B119*10^3)^2)/2)-('DATI nascosti 1'!$H$10/(-'DATI nascosti 1'!$H$14)^2*(-B119*10^3)^3/3)</f>
        <v>13.244586666666674</v>
      </c>
      <c r="H119" s="70">
        <f>(2*'DATI nascosti 1'!$H$10/(-'DATI nascosti 1'!$H$14)*((-B119*10^3)^3)/3)-('DATI nascosti 1'!$H$10/(-'DATI nascosti 1'!$H$14)^2*(-B119*10^3)^4/4)</f>
        <v>13.485397333333346</v>
      </c>
      <c r="I119" s="70">
        <f>G119/('DATI nascosti 1'!$H$10*(-'DATI nascosti 1'!$H$12))</f>
        <v>0.26819047619047637</v>
      </c>
      <c r="J119" s="70">
        <f t="shared" si="4"/>
        <v>0.36363636363636365</v>
      </c>
      <c r="K119" s="71">
        <f>IF(D119&gt;=('DATI nascosti 1'!$L$10*10^-3),'DATI nascosti 1'!$L$14*'DATI nascosti 1'!$P$12,IF(D119&gt;=(-'DATI nascosti 1'!$L$10*10^-3),'DATI nascosti 1'!$L$16*D119*'DATI nascosti 1'!$P$12,-'DATI nascosti 1'!$L$14*'DATI nascosti 1'!$P$12))</f>
        <v>359003.11306372669</v>
      </c>
      <c r="L119" s="71">
        <f>-'DATI nascosti 1'!$H$16*'DATI nascosti 1'!$C$6*'DATI nascosti 1'!$H$10*F119*I119</f>
        <v>-25806.8183617945</v>
      </c>
      <c r="M119" s="71">
        <f>IF(C119&gt;=('DATI nascosti 1'!$L$10*10^-3),'DATI nascosti 1'!$L$14*'DATI nascosti 1'!$P$11,IF(C119&gt;=(-'DATI nascosti 1'!$L$10*10^-3),'DATI nascosti 1'!$P$11*'DATI nascosti 1'!$L$16*C119,-'DATI nascosti 1'!$L$14*'DATI nascosti 1'!$P$11))</f>
        <v>614659.43222408998</v>
      </c>
      <c r="N119" s="71">
        <f t="shared" si="2"/>
        <v>947855.72692602221</v>
      </c>
      <c r="O119" s="71">
        <f>-L119*('DATI nascosti 1'!$C$8/2+-J119*F119)-K119*('DATI nascosti 1'!$C$13/2)+M119*('DATI nascosti 1'!$C$13/2)</f>
        <v>162874643.08994153</v>
      </c>
      <c r="P119" s="69">
        <f>-TABULATI!N119/10^3</f>
        <v>-947.85572692602216</v>
      </c>
      <c r="Q119" s="69">
        <f>TABULATI!O119/10^6</f>
        <v>162.87464308994154</v>
      </c>
      <c r="R119" s="72">
        <f>-N119/('DATI nascosti 1'!$C$6*'DATI nascosti 1'!$C$13*'DATI nascosti 1'!$H$10*'DATI nascosti 1'!$H$16)</f>
        <v>-0.22808307528435104</v>
      </c>
      <c r="S119" s="72">
        <f>O119/('DATI nascosti 1'!$H$16*'DATI nascosti 1'!$C$6*'DATI nascosti 1'!$C$13^2*'DATI nascosti 1'!$H$10)</f>
        <v>3.393300447657787E-2</v>
      </c>
      <c r="T119" s="73">
        <f t="shared" si="3"/>
        <v>171.83484623567981</v>
      </c>
      <c r="U119" s="67" t="str">
        <f>IF(T119&gt;=0, IF(T119&lt;='DATI nascosti 1'!$C$8/6, "SI", "NO"),IF(T119&gt; -'DATI nascosti 1'!$C$8/6, "SI", "NO"))</f>
        <v>SI</v>
      </c>
      <c r="V119" s="67" t="str">
        <f>IF(Foglio3!G120&lt;1,IF(Foglio3!G120&gt;-1,"ROTTURA BILANCIATA",""),"")</f>
        <v/>
      </c>
    </row>
    <row r="120" spans="1:22" ht="18.75" x14ac:dyDescent="0.25">
      <c r="A120" s="79"/>
      <c r="B120" s="76">
        <f t="shared" si="5"/>
        <v>-1.7000000000000006E-3</v>
      </c>
      <c r="C120" s="76">
        <f>'DATI nascosti 1'!$L$8*10^-3</f>
        <v>6.7500000000000004E-2</v>
      </c>
      <c r="D120" s="76">
        <f>('DATI nascosti 1'!$C$10-F120)/('DATI nascosti 1'!$C$13-F120)*C120</f>
        <v>9.9610389610389587E-4</v>
      </c>
      <c r="E120" s="77" t="s">
        <v>39</v>
      </c>
      <c r="F120" s="78">
        <f>('DATI nascosti 1'!$C$13-'DATI nascosti 1'!$L$8*10^(-3)/('DATI nascosti 1'!$L$8*10^(-3)-B120)*'DATI nascosti 1'!$C$13)</f>
        <v>28.374277456647405</v>
      </c>
      <c r="G120" s="72">
        <f>(2*'DATI nascosti 1'!$H$10/(-'DATI nascosti 1'!$H$14)*((-B120*10^3)^2)/2)-('DATI nascosti 1'!$H$10/(-'DATI nascosti 1'!$H$14)^2*(-B120*10^3)^3/3)</f>
        <v>14.612080833333337</v>
      </c>
      <c r="H120" s="72">
        <f>(2*'DATI nascosti 1'!$H$10/(-'DATI nascosti 1'!$H$14)*((-B120*10^3)^3)/3)-('DATI nascosti 1'!$H$10/(-'DATI nascosti 1'!$H$14)^2*(-B120*10^3)^4/4)</f>
        <v>15.741968479166676</v>
      </c>
      <c r="I120" s="72">
        <f>G120/('DATI nascosti 1'!$H$10*(-'DATI nascosti 1'!$H$12))</f>
        <v>0.29588095238095252</v>
      </c>
      <c r="J120" s="72">
        <f t="shared" si="4"/>
        <v>0.36627906976744184</v>
      </c>
      <c r="K120" s="71">
        <f>IF(D120&gt;=('DATI nascosti 1'!$L$10*10^-3),'DATI nascosti 1'!$L$14*'DATI nascosti 1'!$P$12,IF(D120&gt;=(-'DATI nascosti 1'!$L$10*10^-3),'DATI nascosti 1'!$L$16*D120*'DATI nascosti 1'!$P$12,-'DATI nascosti 1'!$L$14*'DATI nascosti 1'!$P$12))</f>
        <v>327414.2541258955</v>
      </c>
      <c r="L120" s="80">
        <f>-'DATI nascosti 1'!$H$16*'DATI nascosti 1'!$C$6*'DATI nascosti 1'!$H$10*F120*I120</f>
        <v>-30207.098607117066</v>
      </c>
      <c r="M120" s="71">
        <f>IF(C120&gt;=('DATI nascosti 1'!$L$10*10^-3),'DATI nascosti 1'!$L$14*'DATI nascosti 1'!$P$11,IF(C120&gt;=(-'DATI nascosti 1'!$L$10*10^-3),'DATI nascosti 1'!$P$11*'DATI nascosti 1'!$L$16*C120,-'DATI nascosti 1'!$L$14*'DATI nascosti 1'!$P$11))</f>
        <v>614659.43222408998</v>
      </c>
      <c r="N120" s="80">
        <f t="shared" si="2"/>
        <v>911866.58774286835</v>
      </c>
      <c r="O120" s="80">
        <f>-L120*('DATI nascosti 1'!$C$8/2+-J120*F120)-K120*('DATI nascosti 1'!$C$13/2)+M120*('DATI nascosti 1'!$C$13/2)</f>
        <v>183694410.04148084</v>
      </c>
      <c r="P120" s="69">
        <f>-TABULATI!N120/10^3</f>
        <v>-911.86658774286832</v>
      </c>
      <c r="Q120" s="69">
        <f>TABULATI!O120/10^6</f>
        <v>183.69441004148084</v>
      </c>
      <c r="R120" s="72">
        <f>-N120/('DATI nascosti 1'!$C$6*'DATI nascosti 1'!$C$13*'DATI nascosti 1'!$H$10*'DATI nascosti 1'!$H$16)</f>
        <v>-0.21942298777467148</v>
      </c>
      <c r="S120" s="72">
        <f>O120/('DATI nascosti 1'!$H$16*'DATI nascosti 1'!$C$6*'DATI nascosti 1'!$C$13^2*'DATI nascosti 1'!$H$10)</f>
        <v>3.8270556545857093E-2</v>
      </c>
      <c r="T120" s="73">
        <f t="shared" si="3"/>
        <v>201.44877826500613</v>
      </c>
      <c r="U120" s="67" t="str">
        <f>IF(T120&gt;=0, IF(T120&lt;='DATI nascosti 1'!$C$8/6, "SI", "NO"),IF(T120&gt; -'DATI nascosti 1'!$C$8/6, "SI", "NO"))</f>
        <v>NO</v>
      </c>
      <c r="V120" s="67" t="str">
        <f>IF(Foglio3!G121&lt;1,IF(Foglio3!G121&gt;-1,"ROTTURA BILANCIATA",""),"")</f>
        <v/>
      </c>
    </row>
    <row r="121" spans="1:22" ht="18.75" x14ac:dyDescent="0.25">
      <c r="A121" s="79"/>
      <c r="B121" s="76">
        <f t="shared" si="5"/>
        <v>-1.8000000000000006E-3</v>
      </c>
      <c r="C121" s="76">
        <f>'DATI nascosti 1'!$L$8*10^-3</f>
        <v>6.7500000000000004E-2</v>
      </c>
      <c r="D121" s="76">
        <f>('DATI nascosti 1'!$C$10-F121)/('DATI nascosti 1'!$C$13-F121)*C121</f>
        <v>9.0000000000001342E-4</v>
      </c>
      <c r="E121" s="77" t="s">
        <v>39</v>
      </c>
      <c r="F121" s="78">
        <f>('DATI nascosti 1'!$C$13-'DATI nascosti 1'!$L$8*10^(-3)/('DATI nascosti 1'!$L$8*10^(-3)-B121)*'DATI nascosti 1'!$C$13)</f>
        <v>29.999999999999773</v>
      </c>
      <c r="G121" s="72">
        <f>(2*'DATI nascosti 1'!$H$10/(-'DATI nascosti 1'!$H$14)*((-B121*10^3)^2)/2)-('DATI nascosti 1'!$H$10/(-'DATI nascosti 1'!$H$14)^2*(-B121*10^3)^3/3)</f>
        <v>16.000740000000008</v>
      </c>
      <c r="H121" s="72">
        <f>(2*'DATI nascosti 1'!$H$10/(-'DATI nascosti 1'!$H$14)*((-B121*10^3)^3)/3)-('DATI nascosti 1'!$H$10/(-'DATI nascosti 1'!$H$14)^2*(-B121*10^3)^4/4)</f>
        <v>18.172269000000014</v>
      </c>
      <c r="I121" s="72">
        <f>G121/('DATI nascosti 1'!$H$10*(-'DATI nascosti 1'!$H$12))</f>
        <v>0.32400000000000023</v>
      </c>
      <c r="J121" s="72">
        <f t="shared" si="4"/>
        <v>0.36904761904761907</v>
      </c>
      <c r="K121" s="71">
        <f>IF(D121&gt;=('DATI nascosti 1'!$L$10*10^-3),'DATI nascosti 1'!$L$14*'DATI nascosti 1'!$P$12,IF(D121&gt;=(-'DATI nascosti 1'!$L$10*10^-3),'DATI nascosti 1'!$L$16*D121*'DATI nascosti 1'!$P$12,-'DATI nascosti 1'!$L$14*'DATI nascosti 1'!$P$12))</f>
        <v>295825.39518806909</v>
      </c>
      <c r="L121" s="80">
        <f>-'DATI nascosti 1'!$H$16*'DATI nascosti 1'!$C$6*'DATI nascosti 1'!$H$10*F121*I121</f>
        <v>-34973.045999999755</v>
      </c>
      <c r="M121" s="71">
        <f>IF(C121&gt;=('DATI nascosti 1'!$L$10*10^-3),'DATI nascosti 1'!$L$14*'DATI nascosti 1'!$P$11,IF(C121&gt;=(-'DATI nascosti 1'!$L$10*10^-3),'DATI nascosti 1'!$P$11*'DATI nascosti 1'!$L$16*C121,-'DATI nascosti 1'!$L$14*'DATI nascosti 1'!$P$11))</f>
        <v>614659.43222408998</v>
      </c>
      <c r="N121" s="80">
        <f t="shared" si="2"/>
        <v>875511.78141215933</v>
      </c>
      <c r="O121" s="80">
        <f>-L121*('DATI nascosti 1'!$C$8/2+-J121*F121)-K121*('DATI nascosti 1'!$C$13/2)+M121*('DATI nascosti 1'!$C$13/2)</f>
        <v>204723282.40758765</v>
      </c>
      <c r="P121" s="69">
        <f>-TABULATI!N121/10^3</f>
        <v>-875.51178141215928</v>
      </c>
      <c r="Q121" s="69">
        <f>TABULATI!O121/10^6</f>
        <v>204.72328240758765</v>
      </c>
      <c r="R121" s="72">
        <f>-N121/('DATI nascosti 1'!$C$6*'DATI nascosti 1'!$C$13*'DATI nascosti 1'!$H$10*'DATI nascosti 1'!$H$16)</f>
        <v>-0.2106749095664335</v>
      </c>
      <c r="S121" s="72">
        <f>O121/('DATI nascosti 1'!$H$16*'DATI nascosti 1'!$C$6*'DATI nascosti 1'!$C$13^2*'DATI nascosti 1'!$H$10)</f>
        <v>4.2651673253768729E-2</v>
      </c>
      <c r="T121" s="73">
        <f t="shared" si="3"/>
        <v>233.83269849022321</v>
      </c>
      <c r="U121" s="67" t="str">
        <f>IF(T121&gt;=0, IF(T121&lt;='DATI nascosti 1'!$C$8/6, "SI", "NO"),IF(T121&gt; -'DATI nascosti 1'!$C$8/6, "SI", "NO"))</f>
        <v>NO</v>
      </c>
      <c r="V121" s="67" t="str">
        <f>IF(Foglio3!G122&lt;1,IF(Foglio3!G122&gt;-1,"ROTTURA BILANCIATA",""),"")</f>
        <v/>
      </c>
    </row>
    <row r="122" spans="1:22" ht="18.75" x14ac:dyDescent="0.25">
      <c r="A122" s="79"/>
      <c r="B122" s="76">
        <f t="shared" si="5"/>
        <v>-1.9000000000000006E-3</v>
      </c>
      <c r="C122" s="76">
        <f>'DATI nascosti 1'!$L$8*10^-3</f>
        <v>6.7500000000000004E-2</v>
      </c>
      <c r="D122" s="76">
        <f>('DATI nascosti 1'!$C$10-F122)/('DATI nascosti 1'!$C$13-F122)*C122</f>
        <v>8.0389610389609964E-4</v>
      </c>
      <c r="E122" s="77" t="s">
        <v>39</v>
      </c>
      <c r="F122" s="78">
        <f>('DATI nascosti 1'!$C$13-'DATI nascosti 1'!$L$8*10^(-3)/('DATI nascosti 1'!$L$8*10^(-3)-B122)*'DATI nascosti 1'!$C$13)</f>
        <v>31.621037463977018</v>
      </c>
      <c r="G122" s="72">
        <f>(2*'DATI nascosti 1'!$H$10/(-'DATI nascosti 1'!$H$14)*((-B122*10^3)^2)/2)-('DATI nascosti 1'!$H$10/(-'DATI nascosti 1'!$H$14)^2*(-B122*10^3)^3/3)</f>
        <v>17.403509166666673</v>
      </c>
      <c r="H122" s="72">
        <f>(2*'DATI nascosti 1'!$H$10/(-'DATI nascosti 1'!$H$14)*((-B122*10^3)^3)/3)-('DATI nascosti 1'!$H$10/(-'DATI nascosti 1'!$H$14)^2*(-B122*10^3)^4/4)</f>
        <v>20.767480145833346</v>
      </c>
      <c r="I122" s="72">
        <f>G122/('DATI nascosti 1'!$H$10*(-'DATI nascosti 1'!$H$12))</f>
        <v>0.35240476190476211</v>
      </c>
      <c r="J122" s="72">
        <f t="shared" si="4"/>
        <v>0.37195121951219512</v>
      </c>
      <c r="K122" s="71">
        <f>IF(D122&gt;=('DATI nascosti 1'!$L$10*10^-3),'DATI nascosti 1'!$L$14*'DATI nascosti 1'!$P$12,IF(D122&gt;=(-'DATI nascosti 1'!$L$10*10^-3),'DATI nascosti 1'!$L$16*D122*'DATI nascosti 1'!$P$12,-'DATI nascosti 1'!$L$14*'DATI nascosti 1'!$P$12))</f>
        <v>264236.53625023243</v>
      </c>
      <c r="L122" s="80">
        <f>-'DATI nascosti 1'!$H$16*'DATI nascosti 1'!$C$6*'DATI nascosti 1'!$H$10*F122*I122</f>
        <v>-40094.525405079359</v>
      </c>
      <c r="M122" s="71">
        <f>IF(C122&gt;=('DATI nascosti 1'!$L$10*10^-3),'DATI nascosti 1'!$L$14*'DATI nascosti 1'!$P$11,IF(C122&gt;=(-'DATI nascosti 1'!$L$10*10^-3),'DATI nascosti 1'!$P$11*'DATI nascosti 1'!$L$16*C122,-'DATI nascosti 1'!$L$14*'DATI nascosti 1'!$P$11))</f>
        <v>614659.43222408998</v>
      </c>
      <c r="N122" s="80">
        <f t="shared" si="2"/>
        <v>838801.44306924311</v>
      </c>
      <c r="O122" s="80">
        <f>-L122*('DATI nascosti 1'!$C$8/2+-J122*F122)-K122*('DATI nascosti 1'!$C$13/2)+M122*('DATI nascosti 1'!$C$13/2)</f>
        <v>225954366.5710845</v>
      </c>
      <c r="P122" s="69">
        <f>-TABULATI!N122/10^3</f>
        <v>-838.80144306924308</v>
      </c>
      <c r="Q122" s="69">
        <f>TABULATI!O122/10^6</f>
        <v>225.95436657108451</v>
      </c>
      <c r="R122" s="72">
        <f>-N122/('DATI nascosti 1'!$C$6*'DATI nascosti 1'!$C$13*'DATI nascosti 1'!$H$10*'DATI nascosti 1'!$H$16)</f>
        <v>-0.20184127948315517</v>
      </c>
      <c r="S122" s="72">
        <f>O122/('DATI nascosti 1'!$H$16*'DATI nascosti 1'!$C$6*'DATI nascosti 1'!$C$13^2*'DATI nascosti 1'!$H$10)</f>
        <v>4.707491839675091E-2</v>
      </c>
      <c r="T122" s="73">
        <f t="shared" si="3"/>
        <v>269.37765598530564</v>
      </c>
      <c r="U122" s="67" t="str">
        <f>IF(T122&gt;=0, IF(T122&lt;='DATI nascosti 1'!$C$8/6, "SI", "NO"),IF(T122&gt; -'DATI nascosti 1'!$C$8/6, "SI", "NO"))</f>
        <v>NO</v>
      </c>
      <c r="V122" s="67" t="str">
        <f>IF(Foglio3!G123&lt;1,IF(Foglio3!G123&gt;-1,"ROTTURA BILANCIATA",""),"")</f>
        <v/>
      </c>
    </row>
    <row r="123" spans="1:22" ht="18.75" x14ac:dyDescent="0.25">
      <c r="A123" s="79"/>
      <c r="B123" s="76">
        <f t="shared" si="5"/>
        <v>-2.0000000000000005E-3</v>
      </c>
      <c r="C123" s="76">
        <f>'DATI nascosti 1'!$L$8*10^-3</f>
        <v>6.7500000000000004E-2</v>
      </c>
      <c r="D123" s="76">
        <f>('DATI nascosti 1'!$C$10-F123)/('DATI nascosti 1'!$C$13-F123)*C123</f>
        <v>7.0779220779220006E-4</v>
      </c>
      <c r="E123" s="77" t="s">
        <v>39</v>
      </c>
      <c r="F123" s="78">
        <f>('DATI nascosti 1'!$C$13-'DATI nascosti 1'!$L$8*10^(-3)/('DATI nascosti 1'!$L$8*10^(-3)-B123)*'DATI nascosti 1'!$C$13)</f>
        <v>33.237410071942577</v>
      </c>
      <c r="G123" s="72">
        <f>(2*'DATI nascosti 1'!$H$10/(-'DATI nascosti 1'!$H$14)*((-B123*10^3)^2)/2)-('DATI nascosti 1'!$H$10/(-'DATI nascosti 1'!$H$14)^2*(-B123*10^3)^3/3)</f>
        <v>18.81333333333334</v>
      </c>
      <c r="H123" s="72">
        <f>(2*'DATI nascosti 1'!$H$10/(-'DATI nascosti 1'!$H$14)*((-B123*10^3)^3)/3)-('DATI nascosti 1'!$H$10/(-'DATI nascosti 1'!$H$14)^2*(-B123*10^3)^4/4)</f>
        <v>23.516666666666676</v>
      </c>
      <c r="I123" s="72">
        <f>G123/('DATI nascosti 1'!$H$10*(-'DATI nascosti 1'!$H$12))</f>
        <v>0.38095238095238115</v>
      </c>
      <c r="J123" s="72">
        <f t="shared" si="4"/>
        <v>0.37500000000000011</v>
      </c>
      <c r="K123" s="71">
        <f>IF(D123&gt;=('DATI nascosti 1'!$L$10*10^-3),'DATI nascosti 1'!$L$14*'DATI nascosti 1'!$P$12,IF(D123&gt;=(-'DATI nascosti 1'!$L$10*10^-3),'DATI nascosti 1'!$L$16*D123*'DATI nascosti 1'!$P$12,-'DATI nascosti 1'!$L$14*'DATI nascosti 1'!$P$12))</f>
        <v>232647.6773124004</v>
      </c>
      <c r="L123" s="80">
        <f>-'DATI nascosti 1'!$H$16*'DATI nascosti 1'!$C$6*'DATI nascosti 1'!$H$10*F123*I123</f>
        <v>-45558.043165467818</v>
      </c>
      <c r="M123" s="71">
        <f>IF(C123&gt;=('DATI nascosti 1'!$L$10*10^-3),'DATI nascosti 1'!$L$14*'DATI nascosti 1'!$P$11,IF(C123&gt;=(-'DATI nascosti 1'!$L$10*10^-3),'DATI nascosti 1'!$P$11*'DATI nascosti 1'!$L$16*C123,-'DATI nascosti 1'!$L$14*'DATI nascosti 1'!$P$11))</f>
        <v>614659.43222408998</v>
      </c>
      <c r="N123" s="80">
        <f t="shared" si="2"/>
        <v>801749.06637102249</v>
      </c>
      <c r="O123" s="80">
        <f>-L123*('DATI nascosti 1'!$C$8/2+-J123*F123)-K123*('DATI nascosti 1'!$C$13/2)+M123*('DATI nascosti 1'!$C$13/2)</f>
        <v>247378777.5997442</v>
      </c>
      <c r="P123" s="69">
        <f>-TABULATI!N123/10^3</f>
        <v>-801.74906637102254</v>
      </c>
      <c r="Q123" s="69">
        <f>TABULATI!O123/10^6</f>
        <v>247.37877759974421</v>
      </c>
      <c r="R123" s="72">
        <f>-N123/('DATI nascosti 1'!$C$6*'DATI nascosti 1'!$C$13*'DATI nascosti 1'!$H$10*'DATI nascosti 1'!$H$16)</f>
        <v>-0.19292534451135121</v>
      </c>
      <c r="S123" s="72">
        <f>O123/('DATI nascosti 1'!$H$16*'DATI nascosti 1'!$C$6*'DATI nascosti 1'!$C$13^2*'DATI nascosti 1'!$H$10)</f>
        <v>5.1538440904315815E-2</v>
      </c>
      <c r="T123" s="73">
        <f t="shared" si="3"/>
        <v>308.5488814093182</v>
      </c>
      <c r="U123" s="67" t="str">
        <f>IF(T123&gt;=0, IF(T123&lt;='DATI nascosti 1'!$C$8/6, "SI", "NO"),IF(T123&gt; -'DATI nascosti 1'!$C$8/6, "SI", "NO"))</f>
        <v>NO</v>
      </c>
      <c r="V123" s="67" t="str">
        <f>IF(Foglio3!G124&lt;1,IF(Foglio3!G124&gt;-1,"ROTTURA BILANCIATA",""),"")</f>
        <v/>
      </c>
    </row>
    <row r="124" spans="1:22" ht="18.75" x14ac:dyDescent="0.25">
      <c r="A124" s="79"/>
      <c r="B124" s="76">
        <f t="shared" si="5"/>
        <v>-2.1000000000000003E-3</v>
      </c>
      <c r="C124" s="76">
        <f>'DATI nascosti 1'!$L$8*10^-3</f>
        <v>6.7500000000000004E-2</v>
      </c>
      <c r="D124" s="76">
        <f>('DATI nascosti 1'!$C$10-F124)/('DATI nascosti 1'!$C$13-F124)*C124</f>
        <v>6.11688311688302E-4</v>
      </c>
      <c r="E124" s="77" t="s">
        <v>39</v>
      </c>
      <c r="F124" s="78">
        <f>('DATI nascosti 1'!$C$13-'DATI nascosti 1'!$L$8*10^(-3)/('DATI nascosti 1'!$L$8*10^(-3)-B124)*'DATI nascosti 1'!$C$13)</f>
        <v>34.849137931034647</v>
      </c>
      <c r="G124" s="72">
        <f>$G$123+'DATI nascosti 1'!$H$10*((-B124)-(-$B$123))*10^3</f>
        <v>20.224333333333337</v>
      </c>
      <c r="H124" s="72">
        <f>$H$123+'DATI nascosti 1'!$H$10/2*((-B124*10^3)^2-(-$B$123*10^3)^2)</f>
        <v>26.409216666666666</v>
      </c>
      <c r="I124" s="72">
        <f>G124/('DATI nascosti 1'!$H$10*(-'DATI nascosti 1'!$H$12))</f>
        <v>0.40952380952380968</v>
      </c>
      <c r="J124" s="72">
        <f t="shared" si="4"/>
        <v>0.37818383167220393</v>
      </c>
      <c r="K124" s="71">
        <f>IF(D124&gt;=('DATI nascosti 1'!$L$10*10^-3),'DATI nascosti 1'!$L$14*'DATI nascosti 1'!$P$12,IF(D124&gt;=(-'DATI nascosti 1'!$L$10*10^-3),'DATI nascosti 1'!$L$16*D124*'DATI nascosti 1'!$P$12,-'DATI nascosti 1'!$L$14*'DATI nascosti 1'!$P$12))</f>
        <v>201058.81837456892</v>
      </c>
      <c r="L124" s="80">
        <f>-'DATI nascosti 1'!$H$16*'DATI nascosti 1'!$C$6*'DATI nascosti 1'!$H$10*F124*I124</f>
        <v>-51349.756681034734</v>
      </c>
      <c r="M124" s="71">
        <f>IF(C124&gt;=('DATI nascosti 1'!$L$10*10^-3),'DATI nascosti 1'!$L$14*'DATI nascosti 1'!$P$11,IF(C124&gt;=(-'DATI nascosti 1'!$L$10*10^-3),'DATI nascosti 1'!$P$11*'DATI nascosti 1'!$L$16*C124,-'DATI nascosti 1'!$L$14*'DATI nascosti 1'!$P$11))</f>
        <v>614659.43222408998</v>
      </c>
      <c r="N124" s="80">
        <f t="shared" si="2"/>
        <v>764368.49391762423</v>
      </c>
      <c r="O124" s="80">
        <f>-L124*('DATI nascosti 1'!$C$8/2+-J124*F124)-K124*('DATI nascosti 1'!$C$13/2)+M124*('DATI nascosti 1'!$C$13/2)</f>
        <v>268987450.524158</v>
      </c>
      <c r="P124" s="69">
        <f>-TABULATI!N124/10^3</f>
        <v>-764.36849391762428</v>
      </c>
      <c r="Q124" s="69">
        <f>TABULATI!O124/10^6</f>
        <v>268.98745052415802</v>
      </c>
      <c r="R124" s="72">
        <f>-N124/('DATI nascosti 1'!$C$6*'DATI nascosti 1'!$C$13*'DATI nascosti 1'!$H$10*'DATI nascosti 1'!$H$16)</f>
        <v>-0.18393043560394742</v>
      </c>
      <c r="S124" s="72">
        <f>O124/('DATI nascosti 1'!$H$16*'DATI nascosti 1'!$C$6*'DATI nascosti 1'!$C$13^2*'DATI nascosti 1'!$H$10)</f>
        <v>5.6040352197359332E-2</v>
      </c>
      <c r="T124" s="73">
        <f t="shared" si="3"/>
        <v>351.90808185396861</v>
      </c>
      <c r="U124" s="67" t="str">
        <f>IF(T124&gt;=0, IF(T124&lt;='DATI nascosti 1'!$C$8/6, "SI", "NO"),IF(T124&gt; -'DATI nascosti 1'!$C$8/6, "SI", "NO"))</f>
        <v>NO</v>
      </c>
      <c r="V124" s="67" t="str">
        <f>IF(Foglio3!G125&lt;1,IF(Foglio3!G125&gt;-1,"ROTTURA BILANCIATA",""),"")</f>
        <v/>
      </c>
    </row>
    <row r="125" spans="1:22" ht="18.75" x14ac:dyDescent="0.25">
      <c r="A125" s="79"/>
      <c r="B125" s="76">
        <f t="shared" si="5"/>
        <v>-2.2000000000000001E-3</v>
      </c>
      <c r="C125" s="76">
        <f>'DATI nascosti 1'!$L$8*10^-3</f>
        <v>6.7500000000000004E-2</v>
      </c>
      <c r="D125" s="76">
        <f>('DATI nascosti 1'!$C$10-F125)/('DATI nascosti 1'!$C$13-F125)*C125</f>
        <v>5.1558441558441327E-4</v>
      </c>
      <c r="E125" s="77" t="s">
        <v>39</v>
      </c>
      <c r="F125" s="78">
        <f>('DATI nascosti 1'!$C$13-'DATI nascosti 1'!$L$8*10^(-3)/('DATI nascosti 1'!$L$8*10^(-3)-B125)*'DATI nascosti 1'!$C$13)</f>
        <v>36.456241032998605</v>
      </c>
      <c r="G125" s="72">
        <f>$G$123+'DATI nascosti 1'!$H$10*((-B125)-(-$B$123))*10^3</f>
        <v>21.635333333333335</v>
      </c>
      <c r="H125" s="72">
        <f>$H$123+'DATI nascosti 1'!$H$10/2*((-B125*10^3)^2-(-$B$123*10^3)^2)</f>
        <v>29.442866666666667</v>
      </c>
      <c r="I125" s="72">
        <f>G125/('DATI nascosti 1'!$H$10*(-'DATI nascosti 1'!$H$12))</f>
        <v>0.4380952380952382</v>
      </c>
      <c r="J125" s="72">
        <f t="shared" si="4"/>
        <v>0.3814229249011859</v>
      </c>
      <c r="K125" s="71">
        <f>IF(D125&gt;=('DATI nascosti 1'!$L$10*10^-3),'DATI nascosti 1'!$L$14*'DATI nascosti 1'!$P$12,IF(D125&gt;=(-'DATI nascosti 1'!$L$10*10^-3),'DATI nascosti 1'!$L$16*D125*'DATI nascosti 1'!$P$12,-'DATI nascosti 1'!$L$14*'DATI nascosti 1'!$P$12))</f>
        <v>169469.95943674046</v>
      </c>
      <c r="L125" s="80">
        <f>-'DATI nascosti 1'!$H$16*'DATI nascosti 1'!$C$6*'DATI nascosti 1'!$H$10*F125*I125</f>
        <v>-57465.556097561042</v>
      </c>
      <c r="M125" s="71">
        <f>IF(C125&gt;=('DATI nascosti 1'!$L$10*10^-3),'DATI nascosti 1'!$L$14*'DATI nascosti 1'!$P$11,IF(C125&gt;=(-'DATI nascosti 1'!$L$10*10^-3),'DATI nascosti 1'!$P$11*'DATI nascosti 1'!$L$16*C125,-'DATI nascosti 1'!$L$14*'DATI nascosti 1'!$P$11))</f>
        <v>614659.43222408998</v>
      </c>
      <c r="N125" s="80">
        <f t="shared" si="2"/>
        <v>726663.83556326944</v>
      </c>
      <c r="O125" s="80">
        <f>-L125*('DATI nascosti 1'!$C$8/2+-J125*F125)-K125*('DATI nascosti 1'!$C$13/2)+M125*('DATI nascosti 1'!$C$13/2)</f>
        <v>290777181.49424225</v>
      </c>
      <c r="P125" s="69">
        <f>-TABULATI!N125/10^3</f>
        <v>-726.66383556326946</v>
      </c>
      <c r="Q125" s="69">
        <f>TABULATI!O125/10^6</f>
        <v>290.77718149424226</v>
      </c>
      <c r="R125" s="72">
        <f>-N125/('DATI nascosti 1'!$C$6*'DATI nascosti 1'!$C$13*'DATI nascosti 1'!$H$10*'DATI nascosti 1'!$H$16)</f>
        <v>-0.17485754171755724</v>
      </c>
      <c r="S125" s="72">
        <f>O125/('DATI nascosti 1'!$H$16*'DATI nascosti 1'!$C$6*'DATI nascosti 1'!$C$13^2*'DATI nascosti 1'!$H$10)</f>
        <v>6.0579984791629973E-2</v>
      </c>
      <c r="T125" s="73">
        <f t="shared" si="3"/>
        <v>400.15364362924146</v>
      </c>
      <c r="U125" s="67" t="str">
        <f>IF(T125&gt;=0, IF(T125&lt;='DATI nascosti 1'!$C$8/6, "SI", "NO"),IF(T125&gt; -'DATI nascosti 1'!$C$8/6, "SI", "NO"))</f>
        <v>NO</v>
      </c>
      <c r="V125" s="67" t="str">
        <f>IF(Foglio3!G126&lt;1,IF(Foglio3!G126&gt;-1,"ROTTURA BILANCIATA",""),"")</f>
        <v/>
      </c>
    </row>
    <row r="126" spans="1:22" ht="18.75" x14ac:dyDescent="0.25">
      <c r="A126" s="20"/>
      <c r="B126" s="68">
        <f t="shared" si="5"/>
        <v>-2.3E-3</v>
      </c>
      <c r="C126" s="68">
        <f>'DATI nascosti 1'!$L$8*10^-3</f>
        <v>6.7500000000000004E-2</v>
      </c>
      <c r="D126" s="68">
        <f>('DATI nascosti 1'!$C$10-F126)/('DATI nascosti 1'!$C$13-F126)*C126</f>
        <v>4.1948051948052778E-4</v>
      </c>
      <c r="E126" s="67" t="s">
        <v>39</v>
      </c>
      <c r="F126" s="69">
        <f>('DATI nascosti 1'!$C$13-'DATI nascosti 1'!$L$8*10^(-3)/('DATI nascosti 1'!$L$8*10^(-3)-B126)*'DATI nascosti 1'!$C$13)</f>
        <v>38.058739255014189</v>
      </c>
      <c r="G126" s="70">
        <f>$G$123+'DATI nascosti 1'!$H$10*((-B126)-(-$B$123))*10^3</f>
        <v>23.04633333333333</v>
      </c>
      <c r="H126" s="70">
        <f>$H$123+'DATI nascosti 1'!$H$10/2*((-B126*10^3)^2-(-$B$123*10^3)^2)</f>
        <v>32.617616666666656</v>
      </c>
      <c r="I126" s="70">
        <f>G126/('DATI nascosti 1'!$H$10*(-'DATI nascosti 1'!$H$12))</f>
        <v>0.46666666666666667</v>
      </c>
      <c r="J126" s="70">
        <f t="shared" si="4"/>
        <v>0.38464951197870456</v>
      </c>
      <c r="K126" s="71">
        <f>IF(D126&gt;=('DATI nascosti 1'!$L$10*10^-3),'DATI nascosti 1'!$L$14*'DATI nascosti 1'!$P$12,IF(D126&gt;=(-'DATI nascosti 1'!$L$10*10^-3),'DATI nascosti 1'!$L$16*D126*'DATI nascosti 1'!$P$12,-'DATI nascosti 1'!$L$14*'DATI nascosti 1'!$P$12))</f>
        <v>137881.10049891312</v>
      </c>
      <c r="L126" s="71">
        <f>-'DATI nascosti 1'!$H$16*'DATI nascosti 1'!$C$6*'DATI nascosti 1'!$H$10*F126*I126</f>
        <v>-63904.048495701762</v>
      </c>
      <c r="M126" s="71">
        <f>IF(C126&gt;=('DATI nascosti 1'!$L$10*10^-3),'DATI nascosti 1'!$L$14*'DATI nascosti 1'!$P$11,IF(C126&gt;=(-'DATI nascosti 1'!$L$10*10^-3),'DATI nascosti 1'!$P$11*'DATI nascosti 1'!$L$16*C126,-'DATI nascosti 1'!$L$14*'DATI nascosti 1'!$P$11))</f>
        <v>614659.43222408998</v>
      </c>
      <c r="N126" s="71">
        <f t="shared" si="2"/>
        <v>688636.48422730132</v>
      </c>
      <c r="O126" s="71">
        <f>-L126*('DATI nascosti 1'!$C$8/2+-J126*F126)-K126*('DATI nascosti 1'!$C$13/2)+M126*('DATI nascosti 1'!$C$13/2)</f>
        <v>312746406.6984331</v>
      </c>
      <c r="P126" s="69">
        <f>-TABULATI!N126/10^3</f>
        <v>-688.63648422730137</v>
      </c>
      <c r="Q126" s="69">
        <f>TABULATI!O126/10^6</f>
        <v>312.74640669843308</v>
      </c>
      <c r="R126" s="72">
        <f>-N126/('DATI nascosti 1'!$C$6*'DATI nascosti 1'!$C$13*'DATI nascosti 1'!$H$10*'DATI nascosti 1'!$H$16)</f>
        <v>-0.16570699803117298</v>
      </c>
      <c r="S126" s="72">
        <f>O126/('DATI nascosti 1'!$H$16*'DATI nascosti 1'!$C$6*'DATI nascosti 1'!$C$13^2*'DATI nascosti 1'!$H$10)</f>
        <v>6.5157012885494109E-2</v>
      </c>
      <c r="T126" s="73">
        <f t="shared" si="3"/>
        <v>454.15311831663496</v>
      </c>
      <c r="U126" s="67" t="str">
        <f>IF(T126&gt;=0, IF(T126&lt;='DATI nascosti 1'!$C$8/6, "SI", "NO"),IF(T126&gt; -'DATI nascosti 1'!$C$8/6, "SI", "NO"))</f>
        <v>NO</v>
      </c>
      <c r="V126" s="67" t="str">
        <f>IF(Foglio3!G127&lt;1,IF(Foglio3!G127&gt;-1,"ROTTURA BILANCIATA",""),"")</f>
        <v/>
      </c>
    </row>
    <row r="127" spans="1:22" ht="18.75" x14ac:dyDescent="0.25">
      <c r="A127" s="20"/>
      <c r="B127" s="68">
        <f t="shared" si="5"/>
        <v>-2.3999999999999998E-3</v>
      </c>
      <c r="C127" s="68">
        <f>'DATI nascosti 1'!$L$8*10^-3</f>
        <v>6.7500000000000004E-2</v>
      </c>
      <c r="D127" s="68">
        <f>('DATI nascosti 1'!$C$10-F127)/('DATI nascosti 1'!$C$13-F127)*C127</f>
        <v>3.2337662337662745E-4</v>
      </c>
      <c r="E127" s="67" t="s">
        <v>39</v>
      </c>
      <c r="F127" s="69">
        <f>('DATI nascosti 1'!$C$13-'DATI nascosti 1'!$L$8*10^(-3)/('DATI nascosti 1'!$L$8*10^(-3)-B127)*'DATI nascosti 1'!$C$13)</f>
        <v>39.656652360514954</v>
      </c>
      <c r="G127" s="70">
        <f>$G$123+'DATI nascosti 1'!$H$10*((-B127)-(-$B$123))*10^3</f>
        <v>24.457333333333331</v>
      </c>
      <c r="H127" s="70">
        <f>$H$123+'DATI nascosti 1'!$H$10/2*((-B127*10^3)^2-(-$B$123*10^3)^2)</f>
        <v>35.933466666666661</v>
      </c>
      <c r="I127" s="70">
        <f>G127/('DATI nascosti 1'!$H$10*(-'DATI nascosti 1'!$H$12))</f>
        <v>0.49523809523809526</v>
      </c>
      <c r="J127" s="70">
        <f t="shared" si="4"/>
        <v>0.38782051282051289</v>
      </c>
      <c r="K127" s="71">
        <f>IF(D127&gt;=('DATI nascosti 1'!$L$10*10^-3),'DATI nascosti 1'!$L$14*'DATI nascosti 1'!$P$12,IF(D127&gt;=(-'DATI nascosti 1'!$L$10*10^-3),'DATI nascosti 1'!$L$16*D127*'DATI nascosti 1'!$P$12,-'DATI nascosti 1'!$L$14*'DATI nascosti 1'!$P$12))</f>
        <v>106292.24156108087</v>
      </c>
      <c r="L127" s="71">
        <f>-'DATI nascosti 1'!$H$16*'DATI nascosti 1'!$C$6*'DATI nascosti 1'!$H$10*F127*I127</f>
        <v>-70663.848927038489</v>
      </c>
      <c r="M127" s="71">
        <f>IF(C127&gt;=('DATI nascosti 1'!$L$10*10^-3),'DATI nascosti 1'!$L$14*'DATI nascosti 1'!$P$11,IF(C127&gt;=(-'DATI nascosti 1'!$L$10*10^-3),'DATI nascosti 1'!$P$11*'DATI nascosti 1'!$L$16*C127,-'DATI nascosti 1'!$L$14*'DATI nascosti 1'!$P$11))</f>
        <v>614659.43222408998</v>
      </c>
      <c r="N127" s="71">
        <f t="shared" si="2"/>
        <v>650287.8248581324</v>
      </c>
      <c r="O127" s="71">
        <f>-L127*('DATI nascosti 1'!$C$8/2+-J127*F127)-K127*('DATI nascosti 1'!$C$13/2)+M127*('DATI nascosti 1'!$C$13/2)</f>
        <v>334893575.76329666</v>
      </c>
      <c r="P127" s="69">
        <f>-TABULATI!N127/10^3</f>
        <v>-650.28782485813235</v>
      </c>
      <c r="Q127" s="69">
        <f>TABULATI!O127/10^6</f>
        <v>334.89357576329667</v>
      </c>
      <c r="R127" s="72">
        <f>-N127/('DATI nascosti 1'!$C$6*'DATI nascosti 1'!$C$13*'DATI nascosti 1'!$H$10*'DATI nascosti 1'!$H$16)</f>
        <v>-0.15647913780573725</v>
      </c>
      <c r="S127" s="72">
        <f>O127/('DATI nascosti 1'!$H$16*'DATI nascosti 1'!$C$6*'DATI nascosti 1'!$C$13^2*'DATI nascosti 1'!$H$10)</f>
        <v>6.977111347699344E-2</v>
      </c>
      <c r="T127" s="73">
        <f t="shared" si="3"/>
        <v>514.99284310967607</v>
      </c>
      <c r="U127" s="67" t="str">
        <f>IF(T127&gt;=0, IF(T127&lt;='DATI nascosti 1'!$C$8/6, "SI", "NO"),IF(T127&gt; -'DATI nascosti 1'!$C$8/6, "SI", "NO"))</f>
        <v>NO</v>
      </c>
      <c r="V127" s="67" t="str">
        <f>IF(Foglio3!G128&lt;1,IF(Foglio3!G128&gt;-1,"ROTTURA BILANCIATA",""),"")</f>
        <v/>
      </c>
    </row>
    <row r="128" spans="1:22" ht="18.75" x14ac:dyDescent="0.25">
      <c r="A128" s="20"/>
      <c r="B128" s="68">
        <f t="shared" si="5"/>
        <v>-2.4999999999999996E-3</v>
      </c>
      <c r="C128" s="68">
        <f>'DATI nascosti 1'!$L$8*10^-3</f>
        <v>6.7500000000000004E-2</v>
      </c>
      <c r="D128" s="68">
        <f>('DATI nascosti 1'!$C$10-F128)/('DATI nascosti 1'!$C$13-F128)*C128</f>
        <v>2.2727272727272727E-4</v>
      </c>
      <c r="E128" s="67" t="s">
        <v>39</v>
      </c>
      <c r="F128" s="69">
        <f>('DATI nascosti 1'!$C$13-'DATI nascosti 1'!$L$8*10^(-3)/('DATI nascosti 1'!$L$8*10^(-3)-B128)*'DATI nascosti 1'!$C$13)</f>
        <v>41.25</v>
      </c>
      <c r="G128" s="70">
        <f>$G$123+'DATI nascosti 1'!$H$10*((-B128)-(-$B$123))*10^3</f>
        <v>25.868333333333325</v>
      </c>
      <c r="H128" s="70">
        <f>$H$123+'DATI nascosti 1'!$H$10/2*((-B128*10^3)^2-(-$B$123*10^3)^2)</f>
        <v>39.390416666666653</v>
      </c>
      <c r="I128" s="70">
        <f>G128/('DATI nascosti 1'!$H$10*(-'DATI nascosti 1'!$H$12))</f>
        <v>0.52380952380952372</v>
      </c>
      <c r="J128" s="70">
        <f t="shared" si="4"/>
        <v>0.39090909090909076</v>
      </c>
      <c r="K128" s="71">
        <f>IF(D128&gt;=('DATI nascosti 1'!$L$10*10^-3),'DATI nascosti 1'!$L$14*'DATI nascosti 1'!$P$12,IF(D128&gt;=(-'DATI nascosti 1'!$L$10*10^-3),'DATI nascosti 1'!$L$16*D128*'DATI nascosti 1'!$P$12,-'DATI nascosti 1'!$L$14*'DATI nascosti 1'!$P$12))</f>
        <v>74703.382623248661</v>
      </c>
      <c r="L128" s="71">
        <f>-'DATI nascosti 1'!$H$16*'DATI nascosti 1'!$C$6*'DATI nascosti 1'!$H$10*F128*I128</f>
        <v>-77743.580357142826</v>
      </c>
      <c r="M128" s="71">
        <f>IF(C128&gt;=('DATI nascosti 1'!$L$10*10^-3),'DATI nascosti 1'!$L$14*'DATI nascosti 1'!$P$11,IF(C128&gt;=(-'DATI nascosti 1'!$L$10*10^-3),'DATI nascosti 1'!$P$11*'DATI nascosti 1'!$L$16*C128,-'DATI nascosti 1'!$L$14*'DATI nascosti 1'!$P$11))</f>
        <v>614659.43222408998</v>
      </c>
      <c r="N128" s="71">
        <f t="shared" si="2"/>
        <v>611619.23449019575</v>
      </c>
      <c r="O128" s="71">
        <f>-L128*('DATI nascosti 1'!$C$8/2+-J128*F128)-K128*('DATI nascosti 1'!$C$13/2)+M128*('DATI nascosti 1'!$C$13/2)</f>
        <v>357217151.6255126</v>
      </c>
      <c r="P128" s="69">
        <f>-TABULATI!N128/10^3</f>
        <v>-611.61923449019571</v>
      </c>
      <c r="Q128" s="69">
        <f>TABULATI!O128/10^6</f>
        <v>357.2171516255126</v>
      </c>
      <c r="R128" s="72">
        <f>-N128/('DATI nascosti 1'!$C$6*'DATI nascosti 1'!$C$13*'DATI nascosti 1'!$H$10*'DATI nascosti 1'!$H$16)</f>
        <v>-0.14717429239784727</v>
      </c>
      <c r="S128" s="72">
        <f>O128/('DATI nascosti 1'!$H$16*'DATI nascosti 1'!$C$6*'DATI nascosti 1'!$C$13^2*'DATI nascosti 1'!$H$10)</f>
        <v>7.442196633717435E-2</v>
      </c>
      <c r="T128" s="73">
        <f t="shared" si="3"/>
        <v>584.05153317858708</v>
      </c>
      <c r="U128" s="67" t="str">
        <f>IF(T128&gt;=0, IF(T128&lt;='DATI nascosti 1'!$C$8/6, "SI", "NO"),IF(T128&gt; -'DATI nascosti 1'!$C$8/6, "SI", "NO"))</f>
        <v>NO</v>
      </c>
      <c r="V128" s="67" t="str">
        <f>IF(Foglio3!G129&lt;1,IF(Foglio3!G129&gt;-1,"ROTTURA BILANCIATA",""),"")</f>
        <v/>
      </c>
    </row>
    <row r="129" spans="1:22" ht="18.75" x14ac:dyDescent="0.25">
      <c r="A129" s="20"/>
      <c r="B129" s="68">
        <f t="shared" si="5"/>
        <v>-2.5999999999999994E-3</v>
      </c>
      <c r="C129" s="68">
        <f>'DATI nascosti 1'!$L$8*10^-3</f>
        <v>6.7500000000000004E-2</v>
      </c>
      <c r="D129" s="68">
        <f>('DATI nascosti 1'!$C$10-F129)/('DATI nascosti 1'!$C$13-F129)*C129</f>
        <v>1.3116883116883087E-4</v>
      </c>
      <c r="E129" s="67" t="s">
        <v>39</v>
      </c>
      <c r="F129" s="69">
        <f>('DATI nascosti 1'!$C$13-'DATI nascosti 1'!$L$8*10^(-3)/('DATI nascosti 1'!$L$8*10^(-3)-B129)*'DATI nascosti 1'!$C$13)</f>
        <v>42.838801711840233</v>
      </c>
      <c r="G129" s="70">
        <f>$G$123+'DATI nascosti 1'!$H$10*((-B129)-(-$B$123))*10^3</f>
        <v>27.279333333333323</v>
      </c>
      <c r="H129" s="70">
        <f>$H$123+'DATI nascosti 1'!$H$10/2*((-B129*10^3)^2-(-$B$123*10^3)^2)</f>
        <v>42.988466666666646</v>
      </c>
      <c r="I129" s="70">
        <f>G129/('DATI nascosti 1'!$H$10*(-'DATI nascosti 1'!$H$12))</f>
        <v>0.55238095238095231</v>
      </c>
      <c r="J129" s="70">
        <f t="shared" si="4"/>
        <v>0.3938992042440318</v>
      </c>
      <c r="K129" s="71">
        <f>IF(D129&gt;=('DATI nascosti 1'!$L$10*10^-3),'DATI nascosti 1'!$L$14*'DATI nascosti 1'!$P$12,IF(D129&gt;=(-'DATI nascosti 1'!$L$10*10^-3),'DATI nascosti 1'!$L$16*D129*'DATI nascosti 1'!$P$12,-'DATI nascosti 1'!$L$14*'DATI nascosti 1'!$P$12))</f>
        <v>43114.523685417698</v>
      </c>
      <c r="L129" s="71">
        <f>-'DATI nascosti 1'!$H$16*'DATI nascosti 1'!$C$6*'DATI nascosti 1'!$H$10*F129*I129</f>
        <v>-85141.873609129791</v>
      </c>
      <c r="M129" s="71">
        <f>IF(C129&gt;=('DATI nascosti 1'!$L$10*10^-3),'DATI nascosti 1'!$L$14*'DATI nascosti 1'!$P$11,IF(C129&gt;=(-'DATI nascosti 1'!$L$10*10^-3),'DATI nascosti 1'!$P$11*'DATI nascosti 1'!$L$16*C129,-'DATI nascosti 1'!$L$14*'DATI nascosti 1'!$P$11))</f>
        <v>614659.43222408998</v>
      </c>
      <c r="N129" s="71">
        <f t="shared" si="2"/>
        <v>572632.08230037789</v>
      </c>
      <c r="O129" s="71">
        <f>-L129*('DATI nascosti 1'!$C$8/2+-J129*F129)-K129*('DATI nascosti 1'!$C$13/2)+M129*('DATI nascosti 1'!$C$13/2)</f>
        <v>379715610.40524536</v>
      </c>
      <c r="P129" s="69">
        <f>-TABULATI!N129/10^3</f>
        <v>-572.63208230037787</v>
      </c>
      <c r="Q129" s="69">
        <f>TABULATI!O129/10^6</f>
        <v>379.71561040524534</v>
      </c>
      <c r="R129" s="72">
        <f>-N129/('DATI nascosti 1'!$C$6*'DATI nascosti 1'!$C$13*'DATI nascosti 1'!$H$10*'DATI nascosti 1'!$H$16)</f>
        <v>-0.13779279127333416</v>
      </c>
      <c r="S129" s="72">
        <f>O129/('DATI nascosti 1'!$H$16*'DATI nascosti 1'!$C$6*'DATI nascosti 1'!$C$13^2*'DATI nascosti 1'!$H$10)</f>
        <v>7.9109253983706246E-2</v>
      </c>
      <c r="T129" s="73">
        <f t="shared" si="3"/>
        <v>663.10572205429287</v>
      </c>
      <c r="U129" s="67" t="str">
        <f>IF(T129&gt;=0, IF(T129&lt;='DATI nascosti 1'!$C$8/6, "SI", "NO"),IF(T129&gt; -'DATI nascosti 1'!$C$8/6, "SI", "NO"))</f>
        <v>NO</v>
      </c>
      <c r="V129" s="67" t="str">
        <f>IF(Foglio3!G130&lt;1,IF(Foglio3!G130&gt;-1,"ROTTURA BILANCIATA",""),"")</f>
        <v/>
      </c>
    </row>
    <row r="130" spans="1:22" ht="18.75" x14ac:dyDescent="0.25">
      <c r="A130" s="20"/>
      <c r="B130" s="68">
        <f t="shared" si="5"/>
        <v>-2.6999999999999993E-3</v>
      </c>
      <c r="C130" s="68">
        <f>'DATI nascosti 1'!$L$8*10^-3</f>
        <v>6.7500000000000004E-2</v>
      </c>
      <c r="D130" s="68">
        <f>('DATI nascosti 1'!$C$10-F130)/('DATI nascosti 1'!$C$13-F130)*C130</f>
        <v>3.5064935064949944E-5</v>
      </c>
      <c r="E130" s="67" t="s">
        <v>39</v>
      </c>
      <c r="F130" s="69">
        <f>('DATI nascosti 1'!$C$13-'DATI nascosti 1'!$L$8*10^(-3)/('DATI nascosti 1'!$L$8*10^(-3)-B130)*'DATI nascosti 1'!$C$13)</f>
        <v>44.423076923076678</v>
      </c>
      <c r="G130" s="70">
        <f>$G$123+'DATI nascosti 1'!$H$10*((-B130)-(-$B$123))*10^3</f>
        <v>28.690333333333321</v>
      </c>
      <c r="H130" s="70">
        <f>$H$123+'DATI nascosti 1'!$H$10/2*((-B130*10^3)^2-(-$B$123*10^3)^2)</f>
        <v>46.727616666666634</v>
      </c>
      <c r="I130" s="70">
        <f>G130/('DATI nascosti 1'!$H$10*(-'DATI nascosti 1'!$H$12))</f>
        <v>0.58095238095238078</v>
      </c>
      <c r="J130" s="70">
        <f t="shared" si="4"/>
        <v>0.39678202792956896</v>
      </c>
      <c r="K130" s="71">
        <f>IF(D130&gt;=('DATI nascosti 1'!$L$10*10^-3),'DATI nascosti 1'!$L$14*'DATI nascosti 1'!$P$12,IF(D130&gt;=(-'DATI nascosti 1'!$L$10*10^-3),'DATI nascosti 1'!$L$16*D130*'DATI nascosti 1'!$P$12,-'DATI nascosti 1'!$L$14*'DATI nascosti 1'!$P$12))</f>
        <v>11525.664747591827</v>
      </c>
      <c r="L130" s="71">
        <f>-'DATI nascosti 1'!$H$16*'DATI nascosti 1'!$C$6*'DATI nascosti 1'!$H$10*F130*I130</f>
        <v>-92857.367307691748</v>
      </c>
      <c r="M130" s="71">
        <f>IF(C130&gt;=('DATI nascosti 1'!$L$10*10^-3),'DATI nascosti 1'!$L$14*'DATI nascosti 1'!$P$11,IF(C130&gt;=(-'DATI nascosti 1'!$L$10*10^-3),'DATI nascosti 1'!$P$11*'DATI nascosti 1'!$L$16*C130,-'DATI nascosti 1'!$L$14*'DATI nascosti 1'!$P$11))</f>
        <v>614659.43222408998</v>
      </c>
      <c r="N130" s="71">
        <f t="shared" ref="N130:N193" si="6">K130+L130+M130</f>
        <v>533327.72966399009</v>
      </c>
      <c r="O130" s="71">
        <f>-L130*('DATI nascosti 1'!$C$8/2+-J130*F130)-K130*('DATI nascosti 1'!$C$13/2)+M130*('DATI nascosti 1'!$C$13/2)</f>
        <v>402387441.28085536</v>
      </c>
      <c r="P130" s="69">
        <f>-TABULATI!N130/10^3</f>
        <v>-533.32772966399011</v>
      </c>
      <c r="Q130" s="69">
        <f>TABULATI!O130/10^6</f>
        <v>402.38744128085534</v>
      </c>
      <c r="R130" s="72">
        <f>-N130/('DATI nascosti 1'!$C$6*'DATI nascosti 1'!$C$13*'DATI nascosti 1'!$H$10*'DATI nascosti 1'!$H$16)</f>
        <v>-0.12833496202073147</v>
      </c>
      <c r="S130" s="72">
        <f>O130/('DATI nascosti 1'!$H$16*'DATI nascosti 1'!$C$6*'DATI nascosti 1'!$C$13^2*'DATI nascosti 1'!$H$10)</f>
        <v>8.3832661654779136E-2</v>
      </c>
      <c r="T130" s="73">
        <f t="shared" ref="T130:T193" si="7">O130/N130</f>
        <v>754.484379678457</v>
      </c>
      <c r="U130" s="67" t="str">
        <f>IF(T130&gt;=0, IF(T130&lt;='DATI nascosti 1'!$C$8/6, "SI", "NO"),IF(T130&gt; -'DATI nascosti 1'!$C$8/6, "SI", "NO"))</f>
        <v>NO</v>
      </c>
      <c r="V130" s="67" t="str">
        <f>IF(Foglio3!G131&lt;1,IF(Foglio3!G131&gt;-1,"ROTTURA BILANCIATA",""),"")</f>
        <v/>
      </c>
    </row>
    <row r="131" spans="1:22" ht="18.75" x14ac:dyDescent="0.25">
      <c r="A131" s="20"/>
      <c r="B131" s="68">
        <f t="shared" si="5"/>
        <v>-2.7999999999999991E-3</v>
      </c>
      <c r="C131" s="68">
        <f>'DATI nascosti 1'!$L$8*10^-3</f>
        <v>6.7500000000000004E-2</v>
      </c>
      <c r="D131" s="68">
        <f>('DATI nascosti 1'!$C$10-F131)/('DATI nascosti 1'!$C$13-F131)*C131</f>
        <v>-6.1038961038958518E-5</v>
      </c>
      <c r="E131" s="67" t="s">
        <v>39</v>
      </c>
      <c r="F131" s="69">
        <f>('DATI nascosti 1'!$C$13-'DATI nascosti 1'!$L$8*10^(-3)/('DATI nascosti 1'!$L$8*10^(-3)-B131)*'DATI nascosti 1'!$C$13)</f>
        <v>46.00284495021333</v>
      </c>
      <c r="G131" s="70">
        <f>$G$123+'DATI nascosti 1'!$H$10*((-B131)-(-$B$123))*10^3</f>
        <v>30.101333333333319</v>
      </c>
      <c r="H131" s="70">
        <f>$H$123+'DATI nascosti 1'!$H$10/2*((-B131*10^3)^2-(-$B$123*10^3)^2)</f>
        <v>50.607866666666609</v>
      </c>
      <c r="I131" s="70">
        <f>G131/('DATI nascosti 1'!$H$10*(-'DATI nascosti 1'!$H$12))</f>
        <v>0.60952380952380936</v>
      </c>
      <c r="J131" s="70">
        <f t="shared" si="4"/>
        <v>0.39955357142857151</v>
      </c>
      <c r="K131" s="71">
        <f>IF(D131&gt;=('DATI nascosti 1'!$L$10*10^-3),'DATI nascosti 1'!$L$14*'DATI nascosti 1'!$P$12,IF(D131&gt;=(-'DATI nascosti 1'!$L$10*10^-3),'DATI nascosti 1'!$L$16*D131*'DATI nascosti 1'!$P$12,-'DATI nascosti 1'!$L$14*'DATI nascosti 1'!$P$12))</f>
        <v>-20063.194190243095</v>
      </c>
      <c r="L131" s="71">
        <f>-'DATI nascosti 1'!$H$16*'DATI nascosti 1'!$C$6*'DATI nascosti 1'!$H$10*F131*I131</f>
        <v>-100888.70782361295</v>
      </c>
      <c r="M131" s="71">
        <f>IF(C131&gt;=('DATI nascosti 1'!$L$10*10^-3),'DATI nascosti 1'!$L$14*'DATI nascosti 1'!$P$11,IF(C131&gt;=(-'DATI nascosti 1'!$L$10*10^-3),'DATI nascosti 1'!$P$11*'DATI nascosti 1'!$L$16*C131,-'DATI nascosti 1'!$L$14*'DATI nascosti 1'!$P$11))</f>
        <v>614659.43222408998</v>
      </c>
      <c r="N131" s="71">
        <f t="shared" si="6"/>
        <v>493707.53021023393</v>
      </c>
      <c r="O131" s="71">
        <f>-L131*('DATI nascosti 1'!$C$8/2+-J131*F131)-K131*('DATI nascosti 1'!$C$13/2)+M131*('DATI nascosti 1'!$C$13/2)</f>
        <v>425231146.36496425</v>
      </c>
      <c r="P131" s="69">
        <f>-TABULATI!N131/10^3</f>
        <v>-493.70753021023393</v>
      </c>
      <c r="Q131" s="69">
        <f>TABULATI!O131/10^6</f>
        <v>425.23114636496427</v>
      </c>
      <c r="R131" s="72">
        <f>-N131/('DATI nascosti 1'!$C$6*'DATI nascosti 1'!$C$13*'DATI nascosti 1'!$H$10*'DATI nascosti 1'!$H$16)</f>
        <v>-0.11880113036462188</v>
      </c>
      <c r="S131" s="72">
        <f>O131/('DATI nascosti 1'!$H$16*'DATI nascosti 1'!$C$6*'DATI nascosti 1'!$C$13^2*'DATI nascosti 1'!$H$10)</f>
        <v>8.8591877283283327E-2</v>
      </c>
      <c r="T131" s="73">
        <f t="shared" si="7"/>
        <v>861.30172287201981</v>
      </c>
      <c r="U131" s="67" t="str">
        <f>IF(T131&gt;=0, IF(T131&lt;='DATI nascosti 1'!$C$8/6, "SI", "NO"),IF(T131&gt; -'DATI nascosti 1'!$C$8/6, "SI", "NO"))</f>
        <v>NO</v>
      </c>
      <c r="V131" s="67" t="str">
        <f>IF(Foglio3!G132&lt;1,IF(Foglio3!G132&gt;-1,"ROTTURA BILANCIATA",""),"")</f>
        <v/>
      </c>
    </row>
    <row r="132" spans="1:22" ht="18.75" x14ac:dyDescent="0.25">
      <c r="A132" s="20"/>
      <c r="B132" s="68">
        <f t="shared" si="5"/>
        <v>-2.8999999999999989E-3</v>
      </c>
      <c r="C132" s="68">
        <f>'DATI nascosti 1'!$L$8*10^-3</f>
        <v>6.7500000000000004E-2</v>
      </c>
      <c r="D132" s="68">
        <f>('DATI nascosti 1'!$C$10-F132)/('DATI nascosti 1'!$C$13-F132)*C132</f>
        <v>-1.5714285714285713E-4</v>
      </c>
      <c r="E132" s="67" t="s">
        <v>39</v>
      </c>
      <c r="F132" s="69">
        <f>('DATI nascosti 1'!$C$13-'DATI nascosti 1'!$L$8*10^(-3)/('DATI nascosti 1'!$L$8*10^(-3)-B132)*'DATI nascosti 1'!$C$13)</f>
        <v>47.578125</v>
      </c>
      <c r="G132" s="70">
        <f>$G$123+'DATI nascosti 1'!$H$10*((-B132)-(-$B$123))*10^3</f>
        <v>31.512333333333316</v>
      </c>
      <c r="H132" s="70">
        <f>$H$123+'DATI nascosti 1'!$H$10/2*((-B132*10^3)^2-(-$B$123*10^3)^2)</f>
        <v>54.629216666666622</v>
      </c>
      <c r="I132" s="70">
        <f>G132/('DATI nascosti 1'!$H$10*(-'DATI nascosti 1'!$H$12))</f>
        <v>0.63809523809523783</v>
      </c>
      <c r="J132" s="70">
        <f t="shared" si="4"/>
        <v>0.4022130725681935</v>
      </c>
      <c r="K132" s="71">
        <f>IF(D132&gt;=('DATI nascosti 1'!$L$10*10^-3),'DATI nascosti 1'!$L$14*'DATI nascosti 1'!$P$12,IF(D132&gt;=(-'DATI nascosti 1'!$L$10*10^-3),'DATI nascosti 1'!$L$16*D132*'DATI nascosti 1'!$P$12,-'DATI nascosti 1'!$L$14*'DATI nascosti 1'!$P$12))</f>
        <v>-51652.053128074782</v>
      </c>
      <c r="L132" s="71">
        <f>-'DATI nascosti 1'!$H$16*'DATI nascosti 1'!$C$6*'DATI nascosti 1'!$H$10*F132*I132</f>
        <v>-109234.54921874993</v>
      </c>
      <c r="M132" s="71">
        <f>IF(C132&gt;=('DATI nascosti 1'!$L$10*10^-3),'DATI nascosti 1'!$L$14*'DATI nascosti 1'!$P$11,IF(C132&gt;=(-'DATI nascosti 1'!$L$10*10^-3),'DATI nascosti 1'!$P$11*'DATI nascosti 1'!$L$16*C132,-'DATI nascosti 1'!$L$14*'DATI nascosti 1'!$P$11))</f>
        <v>614659.43222408998</v>
      </c>
      <c r="N132" s="71">
        <f t="shared" si="6"/>
        <v>453772.82987726526</v>
      </c>
      <c r="O132" s="71">
        <f>-L132*('DATI nascosti 1'!$C$8/2+-J132*F132)-K132*('DATI nascosti 1'!$C$13/2)+M132*('DATI nascosti 1'!$C$13/2)</f>
        <v>448245240.58179915</v>
      </c>
      <c r="P132" s="69">
        <f>-TABULATI!N132/10^3</f>
        <v>-453.77282987726528</v>
      </c>
      <c r="Q132" s="69">
        <f>TABULATI!O132/10^6</f>
        <v>448.24524058179912</v>
      </c>
      <c r="R132" s="72">
        <f>-N132/('DATI nascosti 1'!$C$6*'DATI nascosti 1'!$C$13*'DATI nascosti 1'!$H$10*'DATI nascosti 1'!$H$16)</f>
        <v>-0.10919162017888727</v>
      </c>
      <c r="S132" s="72">
        <f>O132/('DATI nascosti 1'!$H$16*'DATI nascosti 1'!$C$6*'DATI nascosti 1'!$C$13^2*'DATI nascosti 1'!$H$10)</f>
        <v>9.3386591471255484E-2</v>
      </c>
      <c r="T132" s="73">
        <f t="shared" si="7"/>
        <v>987.81859791613965</v>
      </c>
      <c r="U132" s="67" t="str">
        <f>IF(T132&gt;=0, IF(T132&lt;='DATI nascosti 1'!$C$8/6, "SI", "NO"),IF(T132&gt; -'DATI nascosti 1'!$C$8/6, "SI", "NO"))</f>
        <v>NO</v>
      </c>
      <c r="V132" s="67" t="str">
        <f>IF(Foglio3!G133&lt;1,IF(Foglio3!G133&gt;-1,"ROTTURA BILANCIATA",""),"")</f>
        <v/>
      </c>
    </row>
    <row r="133" spans="1:22" ht="18.75" x14ac:dyDescent="0.25">
      <c r="A133" s="20"/>
      <c r="B133" s="68">
        <f t="shared" si="5"/>
        <v>-2.9999999999999988E-3</v>
      </c>
      <c r="C133" s="68">
        <f>'DATI nascosti 1'!$L$8*10^-3</f>
        <v>6.7500000000000004E-2</v>
      </c>
      <c r="D133" s="68">
        <f>('DATI nascosti 1'!$C$10-F133)/('DATI nascosti 1'!$C$13-F133)*C133</f>
        <v>-2.5324675324676097E-4</v>
      </c>
      <c r="E133" s="67" t="s">
        <v>39</v>
      </c>
      <c r="F133" s="69">
        <f>('DATI nascosti 1'!$C$13-'DATI nascosti 1'!$L$8*10^(-3)/('DATI nascosti 1'!$L$8*10^(-3)-B133)*'DATI nascosti 1'!$C$13)</f>
        <v>49.148936170212892</v>
      </c>
      <c r="G133" s="70">
        <f>$G$123+'DATI nascosti 1'!$H$10*((-B133)-(-$B$123))*10^3</f>
        <v>32.923333333333311</v>
      </c>
      <c r="H133" s="70">
        <f>$H$123+'DATI nascosti 1'!$H$10/2*((-B133*10^3)^2-(-$B$123*10^3)^2)</f>
        <v>58.791666666666615</v>
      </c>
      <c r="I133" s="70">
        <f>G133/('DATI nascosti 1'!$H$10*(-'DATI nascosti 1'!$H$12))</f>
        <v>0.6666666666666663</v>
      </c>
      <c r="J133" s="70">
        <f t="shared" si="4"/>
        <v>0.40476190476190466</v>
      </c>
      <c r="K133" s="71">
        <f>IF(D133&gt;=('DATI nascosti 1'!$L$10*10^-3),'DATI nascosti 1'!$L$14*'DATI nascosti 1'!$P$12,IF(D133&gt;=(-'DATI nascosti 1'!$L$10*10^-3),'DATI nascosti 1'!$L$16*D133*'DATI nascosti 1'!$P$12,-'DATI nascosti 1'!$L$14*'DATI nascosti 1'!$P$12))</f>
        <v>-83240.912065908182</v>
      </c>
      <c r="L133" s="71">
        <f>-'DATI nascosti 1'!$H$16*'DATI nascosti 1'!$C$6*'DATI nascosti 1'!$H$10*F133*I133</f>
        <v>-117893.55319148957</v>
      </c>
      <c r="M133" s="71">
        <f>IF(C133&gt;=('DATI nascosti 1'!$L$10*10^-3),'DATI nascosti 1'!$L$14*'DATI nascosti 1'!$P$11,IF(C133&gt;=(-'DATI nascosti 1'!$L$10*10^-3),'DATI nascosti 1'!$P$11*'DATI nascosti 1'!$L$16*C133,-'DATI nascosti 1'!$L$14*'DATI nascosti 1'!$P$11))</f>
        <v>614659.43222408998</v>
      </c>
      <c r="N133" s="71">
        <f t="shared" si="6"/>
        <v>413524.96696669224</v>
      </c>
      <c r="O133" s="71">
        <f>-L133*('DATI nascosti 1'!$C$8/2+-J133*F133)-K133*('DATI nascosti 1'!$C$13/2)+M133*('DATI nascosti 1'!$C$13/2)</f>
        <v>471428251.54589868</v>
      </c>
      <c r="P133" s="69">
        <f>-TABULATI!N133/10^3</f>
        <v>-413.52496696669226</v>
      </c>
      <c r="Q133" s="69">
        <f>TABULATI!O133/10^6</f>
        <v>471.42825154589866</v>
      </c>
      <c r="R133" s="72">
        <f>-N133/('DATI nascosti 1'!$C$6*'DATI nascosti 1'!$C$13*'DATI nascosti 1'!$H$10*'DATI nascosti 1'!$H$16)</f>
        <v>-9.9506753499822589E-2</v>
      </c>
      <c r="S133" s="72">
        <f>O133/('DATI nascosti 1'!$H$16*'DATI nascosti 1'!$C$6*'DATI nascosti 1'!$C$13^2*'DATI nascosti 1'!$H$10)</f>
        <v>9.8216497464608504E-2</v>
      </c>
      <c r="T133" s="73">
        <f t="shared" si="7"/>
        <v>1140.0236725824352</v>
      </c>
      <c r="U133" s="67" t="str">
        <f>IF(T133&gt;=0, IF(T133&lt;='DATI nascosti 1'!$C$8/6, "SI", "NO"),IF(T133&gt; -'DATI nascosti 1'!$C$8/6, "SI", "NO"))</f>
        <v>NO</v>
      </c>
      <c r="V133" s="67" t="str">
        <f>IF(Foglio3!G134&lt;1,IF(Foglio3!G134&gt;-1,"ROTTURA BILANCIATA",""),"")</f>
        <v/>
      </c>
    </row>
    <row r="134" spans="1:22" ht="18.75" x14ac:dyDescent="0.25">
      <c r="A134" s="20"/>
      <c r="B134" s="68">
        <f t="shared" si="5"/>
        <v>-3.0999999999999986E-3</v>
      </c>
      <c r="C134" s="68">
        <f>'DATI nascosti 1'!$L$8*10^-3</f>
        <v>6.7500000000000004E-2</v>
      </c>
      <c r="D134" s="68">
        <f>('DATI nascosti 1'!$C$10-F134)/('DATI nascosti 1'!$C$13-F134)*C134</f>
        <v>-3.493506493506362E-4</v>
      </c>
      <c r="E134" s="67" t="s">
        <v>39</v>
      </c>
      <c r="F134" s="69">
        <f>('DATI nascosti 1'!$C$13-'DATI nascosti 1'!$L$8*10^(-3)/('DATI nascosti 1'!$L$8*10^(-3)-B134)*'DATI nascosti 1'!$C$13)</f>
        <v>50.715297450424714</v>
      </c>
      <c r="G134" s="70">
        <f>$G$123+'DATI nascosti 1'!$H$10*((-B134)-(-$B$123))*10^3</f>
        <v>34.334333333333312</v>
      </c>
      <c r="H134" s="70">
        <f>$H$123+'DATI nascosti 1'!$H$10/2*((-B134*10^3)^2-(-$B$123*10^3)^2)</f>
        <v>63.095216666666602</v>
      </c>
      <c r="I134" s="70">
        <f>G134/('DATI nascosti 1'!$H$10*(-'DATI nascosti 1'!$H$12))</f>
        <v>0.69523809523809499</v>
      </c>
      <c r="J134" s="70">
        <f t="shared" si="4"/>
        <v>0.40720282810428632</v>
      </c>
      <c r="K134" s="71">
        <f>IF(D134&gt;=('DATI nascosti 1'!$L$10*10^-3),'DATI nascosti 1'!$L$14*'DATI nascosti 1'!$P$12,IF(D134&gt;=(-'DATI nascosti 1'!$L$10*10^-3),'DATI nascosti 1'!$L$16*D134*'DATI nascosti 1'!$P$12,-'DATI nascosti 1'!$L$14*'DATI nascosti 1'!$P$12))</f>
        <v>-114829.7710037322</v>
      </c>
      <c r="L134" s="71">
        <f>-'DATI nascosti 1'!$H$16*'DATI nascosti 1'!$C$6*'DATI nascosti 1'!$H$10*F134*I134</f>
        <v>-126864.38902266229</v>
      </c>
      <c r="M134" s="71">
        <f>IF(C134&gt;=('DATI nascosti 1'!$L$10*10^-3),'DATI nascosti 1'!$L$14*'DATI nascosti 1'!$P$11,IF(C134&gt;=(-'DATI nascosti 1'!$L$10*10^-3),'DATI nascosti 1'!$P$11*'DATI nascosti 1'!$L$16*C134,-'DATI nascosti 1'!$L$14*'DATI nascosti 1'!$P$11))</f>
        <v>614659.43222408998</v>
      </c>
      <c r="N134" s="71">
        <f t="shared" si="6"/>
        <v>372965.27219769551</v>
      </c>
      <c r="O134" s="71">
        <f>-L134*('DATI nascosti 1'!$C$8/2+-J134*F134)-K134*('DATI nascosti 1'!$C$13/2)+M134*('DATI nascosti 1'!$C$13/2)</f>
        <v>494778719.44205868</v>
      </c>
      <c r="P134" s="69">
        <f>-TABULATI!N134/10^3</f>
        <v>-372.96527219769553</v>
      </c>
      <c r="Q134" s="69">
        <f>TABULATI!O134/10^6</f>
        <v>494.77871944205867</v>
      </c>
      <c r="R134" s="72">
        <f>-N134/('DATI nascosti 1'!$C$6*'DATI nascosti 1'!$C$13*'DATI nascosti 1'!$H$10*'DATI nascosti 1'!$H$16)</f>
        <v>-8.9746850539158832E-2</v>
      </c>
      <c r="S134" s="72">
        <f>O134/('DATI nascosti 1'!$H$16*'DATI nascosti 1'!$C$6*'DATI nascosti 1'!$C$13^2*'DATI nascosti 1'!$H$10)</f>
        <v>0.10308129112811965</v>
      </c>
      <c r="T134" s="73">
        <f t="shared" si="7"/>
        <v>1326.6080150749108</v>
      </c>
      <c r="U134" s="67" t="str">
        <f>IF(T134&gt;=0, IF(T134&lt;='DATI nascosti 1'!$C$8/6, "SI", "NO"),IF(T134&gt; -'DATI nascosti 1'!$C$8/6, "SI", "NO"))</f>
        <v>NO</v>
      </c>
      <c r="V134" s="67" t="str">
        <f>IF(Foglio3!G135&lt;1,IF(Foglio3!G135&gt;-1,"ROTTURA BILANCIATA",""),"")</f>
        <v/>
      </c>
    </row>
    <row r="135" spans="1:22" ht="18.75" x14ac:dyDescent="0.25">
      <c r="A135" s="20"/>
      <c r="B135" s="68">
        <f t="shared" si="5"/>
        <v>-3.1999999999999984E-3</v>
      </c>
      <c r="C135" s="68">
        <f>'DATI nascosti 1'!$L$8*10^-3</f>
        <v>6.7500000000000004E-2</v>
      </c>
      <c r="D135" s="68">
        <f>('DATI nascosti 1'!$C$10-F135)/('DATI nascosti 1'!$C$13-F135)*C135</f>
        <v>-4.4545454545453258E-4</v>
      </c>
      <c r="E135" s="67" t="s">
        <v>39</v>
      </c>
      <c r="F135" s="69">
        <f>('DATI nascosti 1'!$C$13-'DATI nascosti 1'!$L$8*10^(-3)/('DATI nascosti 1'!$L$8*10^(-3)-B135)*'DATI nascosti 1'!$C$13)</f>
        <v>52.277227722772068</v>
      </c>
      <c r="G135" s="70">
        <f>$G$123+'DATI nascosti 1'!$H$10*((-B135)-(-$B$123))*10^3</f>
        <v>35.745333333333306</v>
      </c>
      <c r="H135" s="70">
        <f>$H$123+'DATI nascosti 1'!$H$10/2*((-B135*10^3)^2-(-$B$123*10^3)^2)</f>
        <v>67.539866666666583</v>
      </c>
      <c r="I135" s="70">
        <f>G135/('DATI nascosti 1'!$H$10*(-'DATI nascosti 1'!$H$12))</f>
        <v>0.72380952380952335</v>
      </c>
      <c r="J135" s="70">
        <f t="shared" si="4"/>
        <v>0.40953947368421051</v>
      </c>
      <c r="K135" s="71">
        <f>IF(D135&gt;=('DATI nascosti 1'!$L$10*10^-3),'DATI nascosti 1'!$L$14*'DATI nascosti 1'!$P$12,IF(D135&gt;=(-'DATI nascosti 1'!$L$10*10^-3),'DATI nascosti 1'!$L$16*D135*'DATI nascosti 1'!$P$12,-'DATI nascosti 1'!$L$14*'DATI nascosti 1'!$P$12))</f>
        <v>-146418.62994156312</v>
      </c>
      <c r="L135" s="71">
        <f>-'DATI nascosti 1'!$H$16*'DATI nascosti 1'!$C$6*'DATI nascosti 1'!$H$10*F135*I135</f>
        <v>-136145.73352192296</v>
      </c>
      <c r="M135" s="71">
        <f>IF(C135&gt;=('DATI nascosti 1'!$L$10*10^-3),'DATI nascosti 1'!$L$14*'DATI nascosti 1'!$P$11,IF(C135&gt;=(-'DATI nascosti 1'!$L$10*10^-3),'DATI nascosti 1'!$P$11*'DATI nascosti 1'!$L$16*C135,-'DATI nascosti 1'!$L$14*'DATI nascosti 1'!$P$11))</f>
        <v>614659.43222408998</v>
      </c>
      <c r="N135" s="71">
        <f t="shared" si="6"/>
        <v>332095.0687606039</v>
      </c>
      <c r="O135" s="71">
        <f>-L135*('DATI nascosti 1'!$C$8/2+-J135*F135)-K135*('DATI nascosti 1'!$C$13/2)+M135*('DATI nascosti 1'!$C$13/2)</f>
        <v>518295196.90660208</v>
      </c>
      <c r="P135" s="69">
        <f>-TABULATI!N135/10^3</f>
        <v>-332.09506876060391</v>
      </c>
      <c r="Q135" s="69">
        <f>TABULATI!O135/10^6</f>
        <v>518.29519690660209</v>
      </c>
      <c r="R135" s="72">
        <f>-N135/('DATI nascosti 1'!$C$6*'DATI nascosti 1'!$C$13*'DATI nascosti 1'!$H$10*'DATI nascosti 1'!$H$16)</f>
        <v>-7.9912229696955009E-2</v>
      </c>
      <c r="S135" s="72">
        <f>O135/('DATI nascosti 1'!$H$16*'DATI nascosti 1'!$C$6*'DATI nascosti 1'!$C$13^2*'DATI nascosti 1'!$H$10)</f>
        <v>0.10798067092069445</v>
      </c>
      <c r="T135" s="73">
        <f t="shared" si="7"/>
        <v>1560.6832068928538</v>
      </c>
      <c r="U135" s="67" t="str">
        <f>IF(T135&gt;=0, IF(T135&lt;='DATI nascosti 1'!$C$8/6, "SI", "NO"),IF(T135&gt; -'DATI nascosti 1'!$C$8/6, "SI", "NO"))</f>
        <v>NO</v>
      </c>
      <c r="V135" s="67" t="str">
        <f>IF(Foglio3!G136&lt;1,IF(Foglio3!G136&gt;-1,"ROTTURA BILANCIATA",""),"")</f>
        <v/>
      </c>
    </row>
    <row r="136" spans="1:22" ht="18.75" x14ac:dyDescent="0.25">
      <c r="A136" s="20"/>
      <c r="B136" s="68">
        <f t="shared" si="5"/>
        <v>-3.2999999999999982E-3</v>
      </c>
      <c r="C136" s="68">
        <f>'DATI nascosti 1'!$L$8*10^-3</f>
        <v>6.7500000000000004E-2</v>
      </c>
      <c r="D136" s="68">
        <f>('DATI nascosti 1'!$C$10-F136)/('DATI nascosti 1'!$C$13-F136)*C136</f>
        <v>-5.415584415584449E-4</v>
      </c>
      <c r="E136" s="67" t="s">
        <v>39</v>
      </c>
      <c r="F136" s="69">
        <f>('DATI nascosti 1'!$C$13-'DATI nascosti 1'!$L$8*10^(-3)/('DATI nascosti 1'!$L$8*10^(-3)-B136)*'DATI nascosti 1'!$C$13)</f>
        <v>53.834745762711918</v>
      </c>
      <c r="G136" s="70">
        <f>$G$123+'DATI nascosti 1'!$H$10*((-B136)-(-$B$123))*10^3</f>
        <v>37.156333333333308</v>
      </c>
      <c r="H136" s="70">
        <f>$H$123+'DATI nascosti 1'!$H$10/2*((-B136*10^3)^2-(-$B$123*10^3)^2)</f>
        <v>72.125616666666559</v>
      </c>
      <c r="I136" s="70">
        <f>G136/('DATI nascosti 1'!$H$10*(-'DATI nascosti 1'!$H$12))</f>
        <v>0.75238095238095204</v>
      </c>
      <c r="J136" s="70">
        <f t="shared" ref="J136:J167" si="8">1-(H136/G136)/(-B136*10^3)</f>
        <v>0.41177598772535495</v>
      </c>
      <c r="K136" s="71">
        <f>IF(D136&gt;=('DATI nascosti 1'!$L$10*10^-3),'DATI nascosti 1'!$L$14*'DATI nascosti 1'!$P$12,IF(D136&gt;=(-'DATI nascosti 1'!$L$10*10^-3),'DATI nascosti 1'!$L$16*D136*'DATI nascosti 1'!$P$12,-'DATI nascosti 1'!$L$14*'DATI nascosti 1'!$P$12))</f>
        <v>-178007.48887939935</v>
      </c>
      <c r="L136" s="71">
        <f>-'DATI nascosti 1'!$H$16*'DATI nascosti 1'!$C$6*'DATI nascosti 1'!$H$10*F136*I136</f>
        <v>-145736.2709745763</v>
      </c>
      <c r="M136" s="71">
        <f>IF(C136&gt;=('DATI nascosti 1'!$L$10*10^-3),'DATI nascosti 1'!$L$14*'DATI nascosti 1'!$P$11,IF(C136&gt;=(-'DATI nascosti 1'!$L$10*10^-3),'DATI nascosti 1'!$P$11*'DATI nascosti 1'!$L$16*C136,-'DATI nascosti 1'!$L$14*'DATI nascosti 1'!$P$11))</f>
        <v>614659.43222408998</v>
      </c>
      <c r="N136" s="71">
        <f t="shared" si="6"/>
        <v>290915.67237011436</v>
      </c>
      <c r="O136" s="71">
        <f>-L136*('DATI nascosti 1'!$C$8/2+-J136*F136)-K136*('DATI nascosti 1'!$C$13/2)+M136*('DATI nascosti 1'!$C$13/2)</f>
        <v>541976248.9098506</v>
      </c>
      <c r="P136" s="69">
        <f>-TABULATI!N136/10^3</f>
        <v>-290.91567237011435</v>
      </c>
      <c r="Q136" s="69">
        <f>TABULATI!O136/10^6</f>
        <v>541.9762489098506</v>
      </c>
      <c r="R136" s="72">
        <f>-N136/('DATI nascosti 1'!$C$6*'DATI nascosti 1'!$C$13*'DATI nascosti 1'!$H$10*'DATI nascosti 1'!$H$16)</f>
        <v>-7.0003207574404494E-2</v>
      </c>
      <c r="S136" s="72">
        <f>O136/('DATI nascosti 1'!$H$16*'DATI nascosti 1'!$C$6*'DATI nascosti 1'!$C$13^2*'DATI nascosti 1'!$H$10)</f>
        <v>0.11291433787088119</v>
      </c>
      <c r="T136" s="73">
        <f t="shared" si="7"/>
        <v>1863.0012075125574</v>
      </c>
      <c r="U136" s="67" t="str">
        <f>IF(T136&gt;=0, IF(T136&lt;='DATI nascosti 1'!$C$8/6, "SI", "NO"),IF(T136&gt; -'DATI nascosti 1'!$C$8/6, "SI", "NO"))</f>
        <v>NO</v>
      </c>
      <c r="V136" s="67" t="str">
        <f>IF(Foglio3!G137&lt;1,IF(Foglio3!G137&gt;-1,"ROTTURA BILANCIATA",""),"")</f>
        <v/>
      </c>
    </row>
    <row r="137" spans="1:22" ht="18.75" x14ac:dyDescent="0.25">
      <c r="A137" s="20"/>
      <c r="B137" s="68">
        <f t="shared" si="5"/>
        <v>-3.3999999999999981E-3</v>
      </c>
      <c r="C137" s="68">
        <f>'DATI nascosti 1'!$L$8*10^-3</f>
        <v>6.7500000000000004E-2</v>
      </c>
      <c r="D137" s="68">
        <f>('DATI nascosti 1'!$C$10-F137)/('DATI nascosti 1'!$C$13-F137)*C137</f>
        <v>-6.3766233766234393E-4</v>
      </c>
      <c r="E137" s="67" t="s">
        <v>39</v>
      </c>
      <c r="F137" s="69">
        <f>('DATI nascosti 1'!$C$13-'DATI nascosti 1'!$L$8*10^(-3)/('DATI nascosti 1'!$L$8*10^(-3)-B137)*'DATI nascosti 1'!$C$13)</f>
        <v>55.387870239774429</v>
      </c>
      <c r="G137" s="70">
        <f>$G$123+'DATI nascosti 1'!$H$10*((-B137)-(-$B$123))*10^3</f>
        <v>38.567333333333302</v>
      </c>
      <c r="H137" s="70">
        <f>$H$123+'DATI nascosti 1'!$H$10/2*((-B137*10^3)^2-(-$B$123*10^3)^2)</f>
        <v>76.852466666666572</v>
      </c>
      <c r="I137" s="70">
        <f>G137/('DATI nascosti 1'!$H$10*(-'DATI nascosti 1'!$H$12))</f>
        <v>0.78095238095238051</v>
      </c>
      <c r="J137" s="70">
        <f t="shared" si="8"/>
        <v>0.41391678622668571</v>
      </c>
      <c r="K137" s="71">
        <f>IF(D137&gt;=('DATI nascosti 1'!$L$10*10^-3),'DATI nascosti 1'!$L$14*'DATI nascosti 1'!$P$12,IF(D137&gt;=(-'DATI nascosti 1'!$L$10*10^-3),'DATI nascosti 1'!$L$16*D137*'DATI nascosti 1'!$P$12,-'DATI nascosti 1'!$L$14*'DATI nascosti 1'!$P$12))</f>
        <v>-209596.34781723114</v>
      </c>
      <c r="L137" s="71">
        <f>-'DATI nascosti 1'!$H$16*'DATI nascosti 1'!$C$6*'DATI nascosti 1'!$H$10*F137*I137</f>
        <v>-155634.69308885772</v>
      </c>
      <c r="M137" s="71">
        <f>IF(C137&gt;=('DATI nascosti 1'!$L$10*10^-3),'DATI nascosti 1'!$L$14*'DATI nascosti 1'!$P$11,IF(C137&gt;=(-'DATI nascosti 1'!$L$10*10^-3),'DATI nascosti 1'!$P$11*'DATI nascosti 1'!$L$16*C137,-'DATI nascosti 1'!$L$14*'DATI nascosti 1'!$P$11))</f>
        <v>614659.43222408998</v>
      </c>
      <c r="N137" s="71">
        <f t="shared" si="6"/>
        <v>249428.39131800109</v>
      </c>
      <c r="O137" s="71">
        <f>-L137*('DATI nascosti 1'!$C$8/2+-J137*F137)-K137*('DATI nascosti 1'!$C$13/2)+M137*('DATI nascosti 1'!$C$13/2)</f>
        <v>565820452.63987589</v>
      </c>
      <c r="P137" s="69">
        <f>-TABULATI!N137/10^3</f>
        <v>-249.42839131800108</v>
      </c>
      <c r="Q137" s="69">
        <f>TABULATI!O137/10^6</f>
        <v>565.82045263987584</v>
      </c>
      <c r="R137" s="72">
        <f>-N137/('DATI nascosti 1'!$C$6*'DATI nascosti 1'!$C$13*'DATI nascosti 1'!$H$10*'DATI nascosti 1'!$H$16)</f>
        <v>-6.0020098986518403E-2</v>
      </c>
      <c r="S137" s="72">
        <f>O137/('DATI nascosti 1'!$H$16*'DATI nascosti 1'!$C$6*'DATI nascosti 1'!$C$13^2*'DATI nascosti 1'!$H$10)</f>
        <v>0.11788199555265173</v>
      </c>
      <c r="T137" s="73">
        <f t="shared" si="7"/>
        <v>2268.4685157532867</v>
      </c>
      <c r="U137" s="67" t="str">
        <f>IF(T137&gt;=0, IF(T137&lt;='DATI nascosti 1'!$C$8/6, "SI", "NO"),IF(T137&gt; -'DATI nascosti 1'!$C$8/6, "SI", "NO"))</f>
        <v>NO</v>
      </c>
      <c r="V137" s="67" t="str">
        <f>IF(Foglio3!G138&lt;1,IF(Foglio3!G138&gt;-1,"ROTTURA BILANCIATA",""),"")</f>
        <v/>
      </c>
    </row>
    <row r="138" spans="1:22" ht="19.5" thickBot="1" x14ac:dyDescent="0.3">
      <c r="A138" s="20"/>
      <c r="B138" s="113">
        <f t="shared" si="5"/>
        <v>-3.4999999999999979E-3</v>
      </c>
      <c r="C138" s="113">
        <f>'DATI nascosti 1'!$L$8*10^-3</f>
        <v>6.7500000000000004E-2</v>
      </c>
      <c r="D138" s="113">
        <f>('DATI nascosti 1'!$C$10-F138)/('DATI nascosti 1'!$C$13-F138)*C138</f>
        <v>-7.3376623376623538E-4</v>
      </c>
      <c r="E138" s="112" t="s">
        <v>39</v>
      </c>
      <c r="F138" s="114">
        <f>('DATI nascosti 1'!$C$13-'DATI nascosti 1'!$L$8*10^(-3)/('DATI nascosti 1'!$L$8*10^(-3)-B138)*'DATI nascosti 1'!$C$13)</f>
        <v>56.936619718309885</v>
      </c>
      <c r="G138" s="115">
        <f>$G$123+'DATI nascosti 1'!$H$10*((-B138)-(-$B$123))*10^3</f>
        <v>39.978333333333296</v>
      </c>
      <c r="H138" s="115">
        <f>$H$123+'DATI nascosti 1'!$H$10/2*((-B138*10^3)^2-(-$B$123*10^3)^2)</f>
        <v>81.720416666666537</v>
      </c>
      <c r="I138" s="115">
        <f>G138/('DATI nascosti 1'!$H$10*(-'DATI nascosti 1'!$H$12))</f>
        <v>0.80952380952380887</v>
      </c>
      <c r="J138" s="115">
        <f t="shared" si="8"/>
        <v>0.41596638655462193</v>
      </c>
      <c r="K138" s="116">
        <f>IF(D138&gt;=('DATI nascosti 1'!$L$10*10^-3),'DATI nascosti 1'!$L$14*'DATI nascosti 1'!$P$12,IF(D138&gt;=(-'DATI nascosti 1'!$L$10*10^-3),'DATI nascosti 1'!$L$16*D138*'DATI nascosti 1'!$P$12,-'DATI nascosti 1'!$L$14*'DATI nascosti 1'!$P$12))</f>
        <v>-241185.2067550605</v>
      </c>
      <c r="L138" s="116">
        <f>-'DATI nascosti 1'!$H$16*'DATI nascosti 1'!$C$6*'DATI nascosti 1'!$H$10*F138*I138</f>
        <v>-165839.69894366188</v>
      </c>
      <c r="M138" s="116">
        <f>IF(C138&gt;=('DATI nascosti 1'!$L$10*10^-3),'DATI nascosti 1'!$L$14*'DATI nascosti 1'!$P$11,IF(C138&gt;=(-'DATI nascosti 1'!$L$10*10^-3),'DATI nascosti 1'!$P$11*'DATI nascosti 1'!$L$16*C138,-'DATI nascosti 1'!$L$14*'DATI nascosti 1'!$P$11))</f>
        <v>614659.43222408998</v>
      </c>
      <c r="N138" s="116">
        <f t="shared" si="6"/>
        <v>207634.52652536763</v>
      </c>
      <c r="O138" s="286">
        <f>-L138*('DATI nascosti 1'!$C$8/2+-J138*F138)-K138*('DATI nascosti 1'!$C$13/2)+M138*('DATI nascosti 1'!$C$13/2)</f>
        <v>589826397.38748646</v>
      </c>
      <c r="P138" s="285">
        <f>-TABULATI!N138/10^3</f>
        <v>-207.63452652536765</v>
      </c>
      <c r="Q138" s="285">
        <f>TABULATI!O138/10^6</f>
        <v>589.82639738748651</v>
      </c>
      <c r="R138" s="287">
        <f>-N138/('DATI nascosti 1'!$C$6*'DATI nascosti 1'!$C$13*'DATI nascosti 1'!$H$10*'DATI nascosti 1'!$H$16)</f>
        <v>-4.9963216974699118E-2</v>
      </c>
      <c r="S138" s="117">
        <f>O138/('DATI nascosti 1'!$H$16*'DATI nascosti 1'!$C$6*'DATI nascosti 1'!$C$13^2*'DATI nascosti 1'!$H$10)</f>
        <v>0.12288335006143994</v>
      </c>
      <c r="T138" s="118">
        <f t="shared" si="7"/>
        <v>2840.6951736681654</v>
      </c>
      <c r="U138" s="112" t="str">
        <f>IF(T138&gt;=0, IF(T138&lt;='DATI nascosti 1'!$C$8/6, "SI", "NO"),IF(T138&gt; -'DATI nascosti 1'!$C$8/6, "SI", "NO"))</f>
        <v>NO</v>
      </c>
      <c r="V138" s="112" t="str">
        <f>IF(Foglio3!G139&lt;1,IF(Foglio3!G139&gt;-1,"ROTTURA BILANCIATA",""),"")</f>
        <v/>
      </c>
    </row>
    <row r="139" spans="1:22" ht="26.25" customHeight="1" x14ac:dyDescent="0.25">
      <c r="A139" s="348" t="s">
        <v>79</v>
      </c>
      <c r="B139" s="121">
        <f>'DATI nascosti 1'!$H$12*10^-3</f>
        <v>-3.5000000000000001E-3</v>
      </c>
      <c r="C139" s="119">
        <f>'DATI nascosti 1'!$L$8*10^-3</f>
        <v>6.7500000000000004E-2</v>
      </c>
      <c r="D139" s="119">
        <f>('DATI nascosti 1'!$H$12*(F139-'DATI nascosti 1'!$C$10))/(F139*10^3)</f>
        <v>-7.3376623376623365E-4</v>
      </c>
      <c r="E139" s="121" t="s">
        <v>39</v>
      </c>
      <c r="F139" s="122">
        <f>(-'DATI nascosti 1'!$H$12*10^-3/(-'DATI nascosti 1'!$H$12*10^-3+C139))*'DATI nascosti 1'!$C$13</f>
        <v>56.936619718309856</v>
      </c>
      <c r="G139" s="123">
        <f t="shared" ref="G139:G170" si="9">$G$138</f>
        <v>39.978333333333296</v>
      </c>
      <c r="H139" s="123">
        <f t="shared" ref="H139:H170" si="10">$H$138</f>
        <v>81.720416666666537</v>
      </c>
      <c r="I139" s="123">
        <f>G139/('DATI nascosti 1'!$H$10*(-'DATI nascosti 1'!$H$12))</f>
        <v>0.80952380952380887</v>
      </c>
      <c r="J139" s="123">
        <f t="shared" si="8"/>
        <v>0.41596638655462226</v>
      </c>
      <c r="K139" s="124">
        <f>IF(D139&gt;=('DATI nascosti 1'!$L$10*10^-3),'DATI nascosti 1'!$L$14*'DATI nascosti 1'!$P$12,IF(D139&gt;=(-'DATI nascosti 1'!$L$10*10^-3),'DATI nascosti 1'!$L$16*D139*'DATI nascosti 1'!$P$12,-'DATI nascosti 1'!$L$14*'DATI nascosti 1'!$P$12))</f>
        <v>-241185.20675505992</v>
      </c>
      <c r="L139" s="124">
        <f>-'DATI nascosti 1'!$H$16*'DATI nascosti 1'!$C$6*I139*'DATI nascosti 1'!$H$10*F139</f>
        <v>-165839.69894366182</v>
      </c>
      <c r="M139" s="124">
        <f>IF(C139&gt;=('DATI nascosti 1'!$L$10*10^-3),'DATI nascosti 1'!$L$14*'DATI nascosti 1'!$P$11,IF(C139&gt;=(-'DATI nascosti 1'!$L$10*10^-3),'DATI nascosti 1'!$P$11*'DATI nascosti 1'!$L$16*C139,-'DATI nascosti 1'!$L$14*'DATI nascosti 1'!$P$11))</f>
        <v>614659.43222408998</v>
      </c>
      <c r="N139" s="124">
        <f t="shared" si="6"/>
        <v>207634.52652536822</v>
      </c>
      <c r="O139" s="141">
        <f>-L139*('DATI nascosti 1'!$C$8/2-(J139*F139))-K139*('DATI nascosti 1'!$C$13/2)+M139*('DATI nascosti 1'!$C$13/2)</f>
        <v>589826397.3874861</v>
      </c>
      <c r="P139" s="140">
        <f>-TABULATI!N139/10^3</f>
        <v>-207.63452652536822</v>
      </c>
      <c r="Q139" s="140">
        <f>TABULATI!O139/10^6</f>
        <v>589.82639738748605</v>
      </c>
      <c r="R139" s="142">
        <f>-N139/('DATI nascosti 1'!$C$6*'DATI nascosti 1'!$C$13*'DATI nascosti 1'!$H$10*'DATI nascosti 1'!$H$16)</f>
        <v>-4.9963216974699264E-2</v>
      </c>
      <c r="S139" s="125">
        <f>O139/('DATI nascosti 1'!$H$16*'DATI nascosti 1'!$C$6*'DATI nascosti 1'!$C$13^2*'DATI nascosti 1'!$H$10)</f>
        <v>0.12288335006143987</v>
      </c>
      <c r="T139" s="126">
        <f t="shared" si="7"/>
        <v>2840.6951736681553</v>
      </c>
      <c r="U139" s="121" t="str">
        <f>IF(T139&gt;=0, IF(T139&lt;='DATI nascosti 1'!$C$8/6, "SI", "NO"),IF(T139&gt; -'DATI nascosti 1'!$C$8/6, "SI", "NO"))</f>
        <v>NO</v>
      </c>
      <c r="V139" s="121" t="str">
        <f>IF(Foglio3!G140&lt;1,IF(Foglio3!G140&gt;-1,"ROTTURA BILANCIATA",""),"")</f>
        <v/>
      </c>
    </row>
    <row r="140" spans="1:22" ht="18.75" x14ac:dyDescent="0.25">
      <c r="A140" s="348"/>
      <c r="B140" s="67">
        <f>'DATI nascosti 1'!$H$12*10^-3</f>
        <v>-3.5000000000000001E-3</v>
      </c>
      <c r="C140" s="68">
        <f>C139-('DATI nascosti 1'!$L$8*10^-3/100)</f>
        <v>6.6825000000000009E-2</v>
      </c>
      <c r="D140" s="68">
        <f>('DATI nascosti 1'!$H$12*(F140-'DATI nascosti 1'!$C$10))/(F140*1000)</f>
        <v>-7.6006493506493474E-4</v>
      </c>
      <c r="E140" s="67" t="s">
        <v>39</v>
      </c>
      <c r="F140" s="69">
        <f>(-'DATI nascosti 1'!$H$12*10^-3/(-'DATI nascosti 1'!$H$12*10^-3+C140))*'DATI nascosti 1'!$C$13</f>
        <v>57.483114113046561</v>
      </c>
      <c r="G140" s="70">
        <f t="shared" si="9"/>
        <v>39.978333333333296</v>
      </c>
      <c r="H140" s="70">
        <f t="shared" si="10"/>
        <v>81.720416666666537</v>
      </c>
      <c r="I140" s="70">
        <f>G140/('DATI nascosti 1'!$H$10*(-'DATI nascosti 1'!$H$12))</f>
        <v>0.80952380952380887</v>
      </c>
      <c r="J140" s="70">
        <f t="shared" si="8"/>
        <v>0.41596638655462226</v>
      </c>
      <c r="K140" s="71">
        <f>IF(D140&gt;=('DATI nascosti 1'!$L$10*10^-3),'DATI nascosti 1'!$L$14*'DATI nascosti 1'!$P$12,IF(D140&gt;=(-'DATI nascosti 1'!$L$10*10^-3),'DATI nascosti 1'!$L$16*D140*'DATI nascosti 1'!$P$12,-'DATI nascosti 1'!$L$14*'DATI nascosti 1'!$P$12))</f>
        <v>-249829.45531575006</v>
      </c>
      <c r="L140" s="71">
        <f>-'DATI nascosti 1'!$H$16*'DATI nascosti 1'!$C$6*I140*'DATI nascosti 1'!$H$10*F140</f>
        <v>-167431.47707074281</v>
      </c>
      <c r="M140" s="71">
        <f>IF(C140&gt;=('DATI nascosti 1'!$L$10*10^-3),'DATI nascosti 1'!$L$14*'DATI nascosti 1'!$P$11,IF(C140&gt;=(-'DATI nascosti 1'!$L$10*10^-3),'DATI nascosti 1'!$P$11*'DATI nascosti 1'!$L$16*C140,-'DATI nascosti 1'!$L$14*'DATI nascosti 1'!$P$11))</f>
        <v>614659.43222408998</v>
      </c>
      <c r="N140" s="71">
        <f t="shared" si="6"/>
        <v>197398.49983759713</v>
      </c>
      <c r="O140" s="71">
        <f>-L140*('DATI nascosti 1'!$C$8/2-(J140*F140))-K140*('DATI nascosti 1'!$C$13/2)+M140*('DATI nascosti 1'!$C$13/2)</f>
        <v>595697757.50445628</v>
      </c>
      <c r="P140" s="69">
        <f>-TABULATI!N140/10^3</f>
        <v>-197.39849983759714</v>
      </c>
      <c r="Q140" s="69">
        <f>TABULATI!O140/10^6</f>
        <v>595.69775750445626</v>
      </c>
      <c r="R140" s="72">
        <f>-N140/('DATI nascosti 1'!$C$6*'DATI nascosti 1'!$C$13*'DATI nascosti 1'!$H$10*'DATI nascosti 1'!$H$16)</f>
        <v>-4.7500115914782648E-2</v>
      </c>
      <c r="S140" s="72">
        <f>O140/('DATI nascosti 1'!$H$16*'DATI nascosti 1'!$C$6*'DATI nascosti 1'!$C$13^2*'DATI nascosti 1'!$H$10)</f>
        <v>0.1241065784618406</v>
      </c>
      <c r="T140" s="73">
        <f t="shared" si="7"/>
        <v>3017.7420699475742</v>
      </c>
      <c r="U140" s="67" t="str">
        <f>IF(T140&gt;=0, IF(T140&lt;='DATI nascosti 1'!$C$8/6, "SI", "NO"),IF(T140&gt; -'DATI nascosti 1'!$C$8/6, "SI", "NO"))</f>
        <v>NO</v>
      </c>
      <c r="V140" s="67" t="str">
        <f>IF(Foglio3!G141&lt;1,IF(Foglio3!G141&gt;-1,"ROTTURA BILANCIATA",""),"")</f>
        <v/>
      </c>
    </row>
    <row r="141" spans="1:22" ht="18.75" x14ac:dyDescent="0.25">
      <c r="A141" s="20"/>
      <c r="B141" s="67">
        <f>'DATI nascosti 1'!$H$12*10^-3</f>
        <v>-3.5000000000000001E-3</v>
      </c>
      <c r="C141" s="68">
        <f>C140-('DATI nascosti 1'!$L$8*10^-3/100)</f>
        <v>6.6150000000000014E-2</v>
      </c>
      <c r="D141" s="68">
        <f>('DATI nascosti 1'!$H$12*(F141-'DATI nascosti 1'!$C$10))/(F141*1000)</f>
        <v>-7.8636363636363561E-4</v>
      </c>
      <c r="E141" s="67" t="s">
        <v>39</v>
      </c>
      <c r="F141" s="69">
        <f>(-'DATI nascosti 1'!$H$12*10^-3/(-'DATI nascosti 1'!$H$12*10^-3+C141))*'DATI nascosti 1'!$C$13</f>
        <v>58.040201005025111</v>
      </c>
      <c r="G141" s="70">
        <f t="shared" si="9"/>
        <v>39.978333333333296</v>
      </c>
      <c r="H141" s="70">
        <f t="shared" si="10"/>
        <v>81.720416666666537</v>
      </c>
      <c r="I141" s="70">
        <f>G141/('DATI nascosti 1'!$H$10*(-'DATI nascosti 1'!$H$12))</f>
        <v>0.80952380952380887</v>
      </c>
      <c r="J141" s="70">
        <f t="shared" si="8"/>
        <v>0.41596638655462226</v>
      </c>
      <c r="K141" s="71">
        <f>IF(D141&gt;=('DATI nascosti 1'!$L$10*10^-3),'DATI nascosti 1'!$L$14*'DATI nascosti 1'!$P$12,IF(D141&gt;=(-'DATI nascosti 1'!$L$10*10^-3),'DATI nascosti 1'!$L$16*D141*'DATI nascosti 1'!$P$12,-'DATI nascosti 1'!$L$14*'DATI nascosti 1'!$P$12))</f>
        <v>-258473.70387644012</v>
      </c>
      <c r="L141" s="71">
        <f>-'DATI nascosti 1'!$H$16*'DATI nascosti 1'!$C$6*I141*'DATI nascosti 1'!$H$10*F141</f>
        <v>-169054.10804020081</v>
      </c>
      <c r="M141" s="71">
        <f>IF(C141&gt;=('DATI nascosti 1'!$L$10*10^-3),'DATI nascosti 1'!$L$14*'DATI nascosti 1'!$P$11,IF(C141&gt;=(-'DATI nascosti 1'!$L$10*10^-3),'DATI nascosti 1'!$P$11*'DATI nascosti 1'!$L$16*C141,-'DATI nascosti 1'!$L$14*'DATI nascosti 1'!$P$11))</f>
        <v>614659.43222408998</v>
      </c>
      <c r="N141" s="71">
        <f t="shared" si="6"/>
        <v>187131.62030744902</v>
      </c>
      <c r="O141" s="71">
        <f>-L141*('DATI nascosti 1'!$C$8/2-(J141*F141))-K141*('DATI nascosti 1'!$C$13/2)+M141*('DATI nascosti 1'!$C$13/2)</f>
        <v>601585416.01996458</v>
      </c>
      <c r="P141" s="69">
        <f>-TABULATI!N141/10^3</f>
        <v>-187.13162030744903</v>
      </c>
      <c r="Q141" s="69">
        <f>TABULATI!O141/10^6</f>
        <v>601.58541601996455</v>
      </c>
      <c r="R141" s="72">
        <f>-N141/('DATI nascosti 1'!$C$6*'DATI nascosti 1'!$C$13*'DATI nascosti 1'!$H$10*'DATI nascosti 1'!$H$16)</f>
        <v>-4.5029590717446472E-2</v>
      </c>
      <c r="S141" s="72">
        <f>O141/('DATI nascosti 1'!$H$16*'DATI nascosti 1'!$C$6*'DATI nascosti 1'!$C$13^2*'DATI nascosti 1'!$H$10)</f>
        <v>0.12533320244070625</v>
      </c>
      <c r="T141" s="73">
        <f t="shared" si="7"/>
        <v>3214.7715871405708</v>
      </c>
      <c r="U141" s="67" t="str">
        <f>IF(T141&gt;=0, IF(T141&lt;='DATI nascosti 1'!$C$8/6, "SI", "NO"),IF(T141&gt; -'DATI nascosti 1'!$C$8/6, "SI", "NO"))</f>
        <v>NO</v>
      </c>
      <c r="V141" s="67" t="str">
        <f>IF(Foglio3!G142&lt;1,IF(Foglio3!G142&gt;-1,"ROTTURA BILANCIATA",""),"")</f>
        <v/>
      </c>
    </row>
    <row r="142" spans="1:22" ht="18.75" x14ac:dyDescent="0.25">
      <c r="A142" s="20"/>
      <c r="B142" s="67">
        <f>'DATI nascosti 1'!$H$12*10^-3</f>
        <v>-3.5000000000000001E-3</v>
      </c>
      <c r="C142" s="68">
        <f>C141-('DATI nascosti 1'!$L$8*10^-3/100)</f>
        <v>6.5475000000000019E-2</v>
      </c>
      <c r="D142" s="68">
        <f>('DATI nascosti 1'!$H$12*(F142-'DATI nascosti 1'!$C$10))/(F142*1000)</f>
        <v>-8.1266233766233702E-4</v>
      </c>
      <c r="E142" s="67" t="s">
        <v>39</v>
      </c>
      <c r="F142" s="69">
        <f>(-'DATI nascosti 1'!$H$12*10^-3/(-'DATI nascosti 1'!$H$12*10^-3+C142))*'DATI nascosti 1'!$C$13</f>
        <v>58.608191373686104</v>
      </c>
      <c r="G142" s="70">
        <f t="shared" si="9"/>
        <v>39.978333333333296</v>
      </c>
      <c r="H142" s="70">
        <f t="shared" si="10"/>
        <v>81.720416666666537</v>
      </c>
      <c r="I142" s="70">
        <f>G142/('DATI nascosti 1'!$H$10*(-'DATI nascosti 1'!$H$12))</f>
        <v>0.80952380952380887</v>
      </c>
      <c r="J142" s="70">
        <f t="shared" si="8"/>
        <v>0.41596638655462226</v>
      </c>
      <c r="K142" s="71">
        <f>IF(D142&gt;=('DATI nascosti 1'!$L$10*10^-3),'DATI nascosti 1'!$L$14*'DATI nascosti 1'!$P$12,IF(D142&gt;=(-'DATI nascosti 1'!$L$10*10^-3),'DATI nascosti 1'!$L$16*D142*'DATI nascosti 1'!$P$12,-'DATI nascosti 1'!$L$14*'DATI nascosti 1'!$P$12))</f>
        <v>-267117.95243713039</v>
      </c>
      <c r="L142" s="71">
        <f>-'DATI nascosti 1'!$H$16*'DATI nascosti 1'!$C$6*I142*'DATI nascosti 1'!$H$10*F142</f>
        <v>-170708.49764407374</v>
      </c>
      <c r="M142" s="71">
        <f>IF(C142&gt;=('DATI nascosti 1'!$L$10*10^-3),'DATI nascosti 1'!$L$14*'DATI nascosti 1'!$P$11,IF(C142&gt;=(-'DATI nascosti 1'!$L$10*10^-3),'DATI nascosti 1'!$P$11*'DATI nascosti 1'!$L$16*C142,-'DATI nascosti 1'!$L$14*'DATI nascosti 1'!$P$11))</f>
        <v>614659.43222408998</v>
      </c>
      <c r="N142" s="71">
        <f t="shared" si="6"/>
        <v>176832.98214288586</v>
      </c>
      <c r="O142" s="71">
        <f>-L142*('DATI nascosti 1'!$C$8/2-(J142*F142))-K142*('DATI nascosti 1'!$C$13/2)+M142*('DATI nascosti 1'!$C$13/2)</f>
        <v>607489829.34760666</v>
      </c>
      <c r="P142" s="69">
        <f>-TABULATI!N142/10^3</f>
        <v>-176.83298214288587</v>
      </c>
      <c r="Q142" s="69">
        <f>TABULATI!O142/10^6</f>
        <v>607.4898293476067</v>
      </c>
      <c r="R142" s="72">
        <f>-N142/('DATI nascosti 1'!$C$6*'DATI nascosti 1'!$C$13*'DATI nascosti 1'!$H$10*'DATI nascosti 1'!$H$16)</f>
        <v>-4.2551423421425399E-2</v>
      </c>
      <c r="S142" s="72">
        <f>O142/('DATI nascosti 1'!$H$16*'DATI nascosti 1'!$C$6*'DATI nascosti 1'!$C$13^2*'DATI nascosti 1'!$H$10)</f>
        <v>0.12656331708640839</v>
      </c>
      <c r="T142" s="73">
        <f t="shared" si="7"/>
        <v>3435.3875729853289</v>
      </c>
      <c r="U142" s="67" t="str">
        <f>IF(T142&gt;=0, IF(T142&lt;='DATI nascosti 1'!$C$8/6, "SI", "NO"),IF(T142&gt; -'DATI nascosti 1'!$C$8/6, "SI", "NO"))</f>
        <v>NO</v>
      </c>
      <c r="V142" s="67" t="str">
        <f>IF(Foglio3!G143&lt;1,IF(Foglio3!G143&gt;-1,"ROTTURA BILANCIATA",""),"")</f>
        <v/>
      </c>
    </row>
    <row r="143" spans="1:22" ht="18.75" x14ac:dyDescent="0.25">
      <c r="A143" s="20"/>
      <c r="B143" s="67">
        <f>'DATI nascosti 1'!$H$12*10^-3</f>
        <v>-3.5000000000000001E-3</v>
      </c>
      <c r="C143" s="68">
        <f>C142-('DATI nascosti 1'!$L$8*10^-3/100)</f>
        <v>6.4800000000000024E-2</v>
      </c>
      <c r="D143" s="68">
        <f>('DATI nascosti 1'!$H$12*(F143-'DATI nascosti 1'!$C$10))/(F143*1000)</f>
        <v>-8.3896103896103789E-4</v>
      </c>
      <c r="E143" s="67" t="s">
        <v>39</v>
      </c>
      <c r="F143" s="69">
        <f>(-'DATI nascosti 1'!$H$12*10^-3/(-'DATI nascosti 1'!$H$12*10^-3+C143))*'DATI nascosti 1'!$C$13</f>
        <v>59.187408491947266</v>
      </c>
      <c r="G143" s="70">
        <f t="shared" si="9"/>
        <v>39.978333333333296</v>
      </c>
      <c r="H143" s="70">
        <f t="shared" si="10"/>
        <v>81.720416666666537</v>
      </c>
      <c r="I143" s="70">
        <f>G143/('DATI nascosti 1'!$H$10*(-'DATI nascosti 1'!$H$12))</f>
        <v>0.80952380952380887</v>
      </c>
      <c r="J143" s="70">
        <f t="shared" si="8"/>
        <v>0.41596638655462226</v>
      </c>
      <c r="K143" s="71">
        <f>IF(D143&gt;=('DATI nascosti 1'!$L$10*10^-3),'DATI nascosti 1'!$L$14*'DATI nascosti 1'!$P$12,IF(D143&gt;=(-'DATI nascosti 1'!$L$10*10^-3),'DATI nascosti 1'!$L$16*D143*'DATI nascosti 1'!$P$12,-'DATI nascosti 1'!$L$14*'DATI nascosti 1'!$P$12))</f>
        <v>-275762.20099782042</v>
      </c>
      <c r="L143" s="71">
        <f>-'DATI nascosti 1'!$H$16*'DATI nascosti 1'!$C$6*I143*'DATI nascosti 1'!$H$10*F143</f>
        <v>-172395.58748169817</v>
      </c>
      <c r="M143" s="71">
        <f>IF(C143&gt;=('DATI nascosti 1'!$L$10*10^-3),'DATI nascosti 1'!$L$14*'DATI nascosti 1'!$P$11,IF(C143&gt;=(-'DATI nascosti 1'!$L$10*10^-3),'DATI nascosti 1'!$P$11*'DATI nascosti 1'!$L$16*C143,-'DATI nascosti 1'!$L$14*'DATI nascosti 1'!$P$11))</f>
        <v>614659.43222408998</v>
      </c>
      <c r="N143" s="71">
        <f t="shared" si="6"/>
        <v>166501.64374457137</v>
      </c>
      <c r="O143" s="71">
        <f>-L143*('DATI nascosti 1'!$C$8/2-(J143*F143))-K143*('DATI nascosti 1'!$C$13/2)+M143*('DATI nascosti 1'!$C$13/2)</f>
        <v>613411471.06210756</v>
      </c>
      <c r="P143" s="69">
        <f>-TABULATI!N143/10^3</f>
        <v>-166.50164374457137</v>
      </c>
      <c r="Q143" s="69">
        <f>TABULATI!O143/10^6</f>
        <v>613.41147106210758</v>
      </c>
      <c r="R143" s="72">
        <f>-N143/('DATI nascosti 1'!$C$6*'DATI nascosti 1'!$C$13*'DATI nascosti 1'!$H$10*'DATI nascosti 1'!$H$16)</f>
        <v>-4.0065387449123059E-2</v>
      </c>
      <c r="S143" s="72">
        <f>O143/('DATI nascosti 1'!$H$16*'DATI nascosti 1'!$C$6*'DATI nascosti 1'!$C$13^2*'DATI nascosti 1'!$H$10)</f>
        <v>0.12779702106263682</v>
      </c>
      <c r="T143" s="73">
        <f t="shared" si="7"/>
        <v>3684.1166085010937</v>
      </c>
      <c r="U143" s="67" t="str">
        <f>IF(T143&gt;=0, IF(T143&lt;='DATI nascosti 1'!$C$8/6, "SI", "NO"),IF(T143&gt; -'DATI nascosti 1'!$C$8/6, "SI", "NO"))</f>
        <v>NO</v>
      </c>
      <c r="V143" s="67" t="str">
        <f>IF(Foglio3!G144&lt;1,IF(Foglio3!G144&gt;-1,"ROTTURA BILANCIATA",""),"")</f>
        <v/>
      </c>
    </row>
    <row r="144" spans="1:22" ht="18.75" x14ac:dyDescent="0.25">
      <c r="A144" s="20"/>
      <c r="B144" s="67">
        <f>'DATI nascosti 1'!$H$12*10^-3</f>
        <v>-3.5000000000000001E-3</v>
      </c>
      <c r="C144" s="68">
        <f>C143-('DATI nascosti 1'!$L$8*10^-3/100)</f>
        <v>6.4125000000000029E-2</v>
      </c>
      <c r="D144" s="68">
        <f>('DATI nascosti 1'!$H$12*(F144-'DATI nascosti 1'!$C$10))/(F144*1000)</f>
        <v>-8.6525974025973909E-4</v>
      </c>
      <c r="E144" s="67" t="s">
        <v>39</v>
      </c>
      <c r="F144" s="69">
        <f>(-'DATI nascosti 1'!$H$12*10^-3/(-'DATI nascosti 1'!$H$12*10^-3+C144))*'DATI nascosti 1'!$C$13</f>
        <v>59.778188539741194</v>
      </c>
      <c r="G144" s="70">
        <f t="shared" si="9"/>
        <v>39.978333333333296</v>
      </c>
      <c r="H144" s="70">
        <f t="shared" si="10"/>
        <v>81.720416666666537</v>
      </c>
      <c r="I144" s="70">
        <f>G144/('DATI nascosti 1'!$H$10*(-'DATI nascosti 1'!$H$12))</f>
        <v>0.80952380952380887</v>
      </c>
      <c r="J144" s="70">
        <f t="shared" si="8"/>
        <v>0.41596638655462226</v>
      </c>
      <c r="K144" s="71">
        <f>IF(D144&gt;=('DATI nascosti 1'!$L$10*10^-3),'DATI nascosti 1'!$L$14*'DATI nascosti 1'!$P$12,IF(D144&gt;=(-'DATI nascosti 1'!$L$10*10^-3),'DATI nascosti 1'!$L$16*D144*'DATI nascosti 1'!$P$12,-'DATI nascosti 1'!$L$14*'DATI nascosti 1'!$P$12))</f>
        <v>-284406.44955851056</v>
      </c>
      <c r="L144" s="71">
        <f>-'DATI nascosti 1'!$H$16*'DATI nascosti 1'!$C$6*I144*'DATI nascosti 1'!$H$10*F144</f>
        <v>-174116.35674676503</v>
      </c>
      <c r="M144" s="71">
        <f>IF(C144&gt;=('DATI nascosti 1'!$L$10*10^-3),'DATI nascosti 1'!$L$14*'DATI nascosti 1'!$P$11,IF(C144&gt;=(-'DATI nascosti 1'!$L$10*10^-3),'DATI nascosti 1'!$P$11*'DATI nascosti 1'!$L$16*C144,-'DATI nascosti 1'!$L$14*'DATI nascosti 1'!$P$11))</f>
        <v>614659.43222408998</v>
      </c>
      <c r="N144" s="71">
        <f t="shared" si="6"/>
        <v>156136.62591881439</v>
      </c>
      <c r="O144" s="71">
        <f>-L144*('DATI nascosti 1'!$C$8/2-(J144*F144))-K144*('DATI nascosti 1'!$C$13/2)+M144*('DATI nascosti 1'!$C$13/2)</f>
        <v>619350832.71135688</v>
      </c>
      <c r="P144" s="69">
        <f>-TABULATI!N144/10^3</f>
        <v>-156.13662591881439</v>
      </c>
      <c r="Q144" s="69">
        <f>TABULATI!O144/10^6</f>
        <v>619.35083271135693</v>
      </c>
      <c r="R144" s="72">
        <f>-N144/('DATI nascosti 1'!$C$6*'DATI nascosti 1'!$C$13*'DATI nascosti 1'!$H$10*'DATI nascosti 1'!$H$16)</f>
        <v>-3.7571247176591605E-2</v>
      </c>
      <c r="S144" s="72">
        <f>O144/('DATI nascosti 1'!$H$16*'DATI nascosti 1'!$C$6*'DATI nascosti 1'!$C$13^2*'DATI nascosti 1'!$H$10)</f>
        <v>0.12903441677757754</v>
      </c>
      <c r="T144" s="73">
        <f t="shared" si="7"/>
        <v>3966.7235606423169</v>
      </c>
      <c r="U144" s="67" t="str">
        <f>IF(T144&gt;=0, IF(T144&lt;='DATI nascosti 1'!$C$8/6, "SI", "NO"),IF(T144&gt; -'DATI nascosti 1'!$C$8/6, "SI", "NO"))</f>
        <v>NO</v>
      </c>
      <c r="V144" s="67" t="str">
        <f>IF(Foglio3!G145&lt;1,IF(Foglio3!G145&gt;-1,"ROTTURA BILANCIATA",""),"")</f>
        <v/>
      </c>
    </row>
    <row r="145" spans="1:22" ht="18.75" x14ac:dyDescent="0.25">
      <c r="A145" s="20"/>
      <c r="B145" s="67">
        <f>'DATI nascosti 1'!$H$12*10^-3</f>
        <v>-3.5000000000000001E-3</v>
      </c>
      <c r="C145" s="68">
        <f>C144-('DATI nascosti 1'!$L$8*10^-3/100)</f>
        <v>6.3450000000000034E-2</v>
      </c>
      <c r="D145" s="68">
        <f>('DATI nascosti 1'!$H$12*(F145-'DATI nascosti 1'!$C$10))/(F145*1000)</f>
        <v>-8.9155844155844007E-4</v>
      </c>
      <c r="E145" s="67" t="s">
        <v>39</v>
      </c>
      <c r="F145" s="69">
        <f>(-'DATI nascosti 1'!$H$12*10^-3/(-'DATI nascosti 1'!$H$12*10^-3+C145))*'DATI nascosti 1'!$C$13</f>
        <v>60.380881254667628</v>
      </c>
      <c r="G145" s="70">
        <f t="shared" si="9"/>
        <v>39.978333333333296</v>
      </c>
      <c r="H145" s="70">
        <f t="shared" si="10"/>
        <v>81.720416666666537</v>
      </c>
      <c r="I145" s="70">
        <f>G145/('DATI nascosti 1'!$H$10*(-'DATI nascosti 1'!$H$12))</f>
        <v>0.80952380952380887</v>
      </c>
      <c r="J145" s="70">
        <f t="shared" si="8"/>
        <v>0.41596638655462226</v>
      </c>
      <c r="K145" s="71">
        <f>IF(D145&gt;=('DATI nascosti 1'!$L$10*10^-3),'DATI nascosti 1'!$L$14*'DATI nascosti 1'!$P$12,IF(D145&gt;=(-'DATI nascosti 1'!$L$10*10^-3),'DATI nascosti 1'!$L$16*D145*'DATI nascosti 1'!$P$12,-'DATI nascosti 1'!$L$14*'DATI nascosti 1'!$P$12))</f>
        <v>-293050.69811920071</v>
      </c>
      <c r="L145" s="71">
        <f>-'DATI nascosti 1'!$H$16*'DATI nascosti 1'!$C$6*I145*'DATI nascosti 1'!$H$10*F145</f>
        <v>-175871.82412247921</v>
      </c>
      <c r="M145" s="71">
        <f>IF(C145&gt;=('DATI nascosti 1'!$L$10*10^-3),'DATI nascosti 1'!$L$14*'DATI nascosti 1'!$P$11,IF(C145&gt;=(-'DATI nascosti 1'!$L$10*10^-3),'DATI nascosti 1'!$P$11*'DATI nascosti 1'!$L$16*C145,-'DATI nascosti 1'!$L$14*'DATI nascosti 1'!$P$11))</f>
        <v>614659.43222408998</v>
      </c>
      <c r="N145" s="71">
        <f t="shared" si="6"/>
        <v>145736.90998241003</v>
      </c>
      <c r="O145" s="71">
        <f>-L145*('DATI nascosti 1'!$C$8/2-(J145*F145))-K145*('DATI nascosti 1'!$C$13/2)+M145*('DATI nascosti 1'!$C$13/2)</f>
        <v>625308424.6748482</v>
      </c>
      <c r="P145" s="69">
        <f>-TABULATI!N145/10^3</f>
        <v>-145.73690998241003</v>
      </c>
      <c r="Q145" s="69">
        <f>TABULATI!O145/10^6</f>
        <v>625.3084246748482</v>
      </c>
      <c r="R145" s="72">
        <f>-N145/('DATI nascosti 1'!$C$6*'DATI nascosti 1'!$C$13*'DATI nascosti 1'!$H$10*'DATI nascosti 1'!$H$16)</f>
        <v>-3.5068757477498498E-2</v>
      </c>
      <c r="S145" s="72">
        <f>O145/('DATI nascosti 1'!$H$16*'DATI nascosti 1'!$C$6*'DATI nascosti 1'!$C$13^2*'DATI nascosti 1'!$H$10)</f>
        <v>0.13027561056275833</v>
      </c>
      <c r="T145" s="73">
        <f t="shared" si="7"/>
        <v>4290.6661377019791</v>
      </c>
      <c r="U145" s="67" t="str">
        <f>IF(T145&gt;=0, IF(T145&lt;='DATI nascosti 1'!$C$8/6, "SI", "NO"),IF(T145&gt; -'DATI nascosti 1'!$C$8/6, "SI", "NO"))</f>
        <v>NO</v>
      </c>
      <c r="V145" s="67" t="str">
        <f>IF(Foglio3!G146&lt;1,IF(Foglio3!G146&gt;-1,"ROTTURA BILANCIATA",""),"")</f>
        <v/>
      </c>
    </row>
    <row r="146" spans="1:22" ht="18.75" x14ac:dyDescent="0.25">
      <c r="A146" s="20"/>
      <c r="B146" s="67">
        <f>'DATI nascosti 1'!$H$12*10^-3</f>
        <v>-3.5000000000000001E-3</v>
      </c>
      <c r="C146" s="68">
        <f>C145-('DATI nascosti 1'!$L$8*10^-3/100)</f>
        <v>6.2775000000000039E-2</v>
      </c>
      <c r="D146" s="68">
        <f>('DATI nascosti 1'!$H$12*(F146-'DATI nascosti 1'!$C$10))/(F146*1000)</f>
        <v>-9.1785714285714149E-4</v>
      </c>
      <c r="E146" s="67" t="s">
        <v>39</v>
      </c>
      <c r="F146" s="69">
        <f>(-'DATI nascosti 1'!$H$12*10^-3/(-'DATI nascosti 1'!$H$12*10^-3+C146))*'DATI nascosti 1'!$C$13</f>
        <v>60.995850622406607</v>
      </c>
      <c r="G146" s="70">
        <f t="shared" si="9"/>
        <v>39.978333333333296</v>
      </c>
      <c r="H146" s="70">
        <f t="shared" si="10"/>
        <v>81.720416666666537</v>
      </c>
      <c r="I146" s="70">
        <f>G146/('DATI nascosti 1'!$H$10*(-'DATI nascosti 1'!$H$12))</f>
        <v>0.80952380952380887</v>
      </c>
      <c r="J146" s="70">
        <f t="shared" si="8"/>
        <v>0.41596638655462226</v>
      </c>
      <c r="K146" s="71">
        <f>IF(D146&gt;=('DATI nascosti 1'!$L$10*10^-3),'DATI nascosti 1'!$L$14*'DATI nascosti 1'!$P$12,IF(D146&gt;=(-'DATI nascosti 1'!$L$10*10^-3),'DATI nascosti 1'!$L$16*D146*'DATI nascosti 1'!$P$12,-'DATI nascosti 1'!$L$14*'DATI nascosti 1'!$P$12))</f>
        <v>-301694.94667989091</v>
      </c>
      <c r="L146" s="71">
        <f>-'DATI nascosti 1'!$H$16*'DATI nascosti 1'!$C$6*I146*'DATI nascosti 1'!$H$10*F146</f>
        <v>-177663.04979253086</v>
      </c>
      <c r="M146" s="71">
        <f>IF(C146&gt;=('DATI nascosti 1'!$L$10*10^-3),'DATI nascosti 1'!$L$14*'DATI nascosti 1'!$P$11,IF(C146&gt;=(-'DATI nascosti 1'!$L$10*10^-3),'DATI nascosti 1'!$P$11*'DATI nascosti 1'!$L$16*C146,-'DATI nascosti 1'!$L$14*'DATI nascosti 1'!$P$11))</f>
        <v>614659.43222408998</v>
      </c>
      <c r="N146" s="71">
        <f t="shared" si="6"/>
        <v>135301.43575166818</v>
      </c>
      <c r="O146" s="71">
        <f>-L146*('DATI nascosti 1'!$C$8/2-(J146*F146))-K146*('DATI nascosti 1'!$C$13/2)+M146*('DATI nascosti 1'!$C$13/2)</f>
        <v>631284777.07164156</v>
      </c>
      <c r="P146" s="69">
        <f>-TABULATI!N146/10^3</f>
        <v>-135.30143575166818</v>
      </c>
      <c r="Q146" s="69">
        <f>TABULATI!O146/10^6</f>
        <v>631.28477707164154</v>
      </c>
      <c r="R146" s="72">
        <f>-N146/('DATI nascosti 1'!$C$6*'DATI nascosti 1'!$C$13*'DATI nascosti 1'!$H$10*'DATI nascosti 1'!$H$16)</f>
        <v>-3.2557663239225286E-2</v>
      </c>
      <c r="S146" s="72">
        <f>O146/('DATI nascosti 1'!$H$16*'DATI nascosti 1'!$C$6*'DATI nascosti 1'!$C$13^2*'DATI nascosti 1'!$H$10)</f>
        <v>0.13152071286221209</v>
      </c>
      <c r="T146" s="73">
        <f t="shared" si="7"/>
        <v>4665.7655446487624</v>
      </c>
      <c r="U146" s="67" t="str">
        <f>IF(T146&gt;=0, IF(T146&lt;='DATI nascosti 1'!$C$8/6, "SI", "NO"),IF(T146&gt; -'DATI nascosti 1'!$C$8/6, "SI", "NO"))</f>
        <v>NO</v>
      </c>
      <c r="V146" s="67" t="str">
        <f>IF(Foglio3!G147&lt;1,IF(Foglio3!G147&gt;-1,"ROTTURA BILANCIATA",""),"")</f>
        <v/>
      </c>
    </row>
    <row r="147" spans="1:22" ht="18.75" x14ac:dyDescent="0.25">
      <c r="A147" s="20"/>
      <c r="B147" s="67">
        <f>'DATI nascosti 1'!$H$12*10^-3</f>
        <v>-3.5000000000000001E-3</v>
      </c>
      <c r="C147" s="68">
        <f>C146-('DATI nascosti 1'!$L$8*10^-3/100)</f>
        <v>6.2100000000000037E-2</v>
      </c>
      <c r="D147" s="68">
        <f>('DATI nascosti 1'!$H$12*(F147-'DATI nascosti 1'!$C$10))/(F147*1000)</f>
        <v>-9.4415584415584268E-4</v>
      </c>
      <c r="E147" s="67" t="s">
        <v>39</v>
      </c>
      <c r="F147" s="69">
        <f>(-'DATI nascosti 1'!$H$12*10^-3/(-'DATI nascosti 1'!$H$12*10^-3+C147))*'DATI nascosti 1'!$C$13</f>
        <v>61.623475609756063</v>
      </c>
      <c r="G147" s="70">
        <f t="shared" si="9"/>
        <v>39.978333333333296</v>
      </c>
      <c r="H147" s="70">
        <f t="shared" si="10"/>
        <v>81.720416666666537</v>
      </c>
      <c r="I147" s="70">
        <f>G147/('DATI nascosti 1'!$H$10*(-'DATI nascosti 1'!$H$12))</f>
        <v>0.80952380952380887</v>
      </c>
      <c r="J147" s="70">
        <f t="shared" si="8"/>
        <v>0.41596638655462226</v>
      </c>
      <c r="K147" s="71">
        <f>IF(D147&gt;=('DATI nascosti 1'!$L$10*10^-3),'DATI nascosti 1'!$L$14*'DATI nascosti 1'!$P$12,IF(D147&gt;=(-'DATI nascosti 1'!$L$10*10^-3),'DATI nascosti 1'!$L$16*D147*'DATI nascosti 1'!$P$12,-'DATI nascosti 1'!$L$14*'DATI nascosti 1'!$P$12))</f>
        <v>-310339.19524058106</v>
      </c>
      <c r="L147" s="71">
        <f>-'DATI nascosti 1'!$H$16*'DATI nascosti 1'!$C$6*I147*'DATI nascosti 1'!$H$10*F147</f>
        <v>-179491.13757621925</v>
      </c>
      <c r="M147" s="71">
        <f>IF(C147&gt;=('DATI nascosti 1'!$L$10*10^-3),'DATI nascosti 1'!$L$14*'DATI nascosti 1'!$P$11,IF(C147&gt;=(-'DATI nascosti 1'!$L$10*10^-3),'DATI nascosti 1'!$P$11*'DATI nascosti 1'!$L$16*C147,-'DATI nascosti 1'!$L$14*'DATI nascosti 1'!$P$11))</f>
        <v>614659.43222408998</v>
      </c>
      <c r="N147" s="71">
        <f t="shared" si="6"/>
        <v>124829.09940728964</v>
      </c>
      <c r="O147" s="71">
        <f>-L147*('DATI nascosti 1'!$C$8/2-(J147*F147))-K147*('DATI nascosti 1'!$C$13/2)+M147*('DATI nascosti 1'!$C$13/2)</f>
        <v>637280440.72119689</v>
      </c>
      <c r="P147" s="69">
        <f>-TABULATI!N147/10^3</f>
        <v>-124.82909940728965</v>
      </c>
      <c r="Q147" s="69">
        <f>TABULATI!O147/10^6</f>
        <v>637.2804407211969</v>
      </c>
      <c r="R147" s="72">
        <f>-N147/('DATI nascosti 1'!$C$6*'DATI nascosti 1'!$C$13*'DATI nascosti 1'!$H$10*'DATI nascosti 1'!$H$16)</f>
        <v>-3.0037698849091521E-2</v>
      </c>
      <c r="S147" s="72">
        <f>O147/('DATI nascosti 1'!$H$16*'DATI nascosti 1'!$C$6*'DATI nascosti 1'!$C$13^2*'DATI nascosti 1'!$H$10)</f>
        <v>0.13276983843265505</v>
      </c>
      <c r="T147" s="73">
        <f t="shared" si="7"/>
        <v>5105.2234114250259</v>
      </c>
      <c r="U147" s="67" t="str">
        <f>IF(T147&gt;=0, IF(T147&lt;='DATI nascosti 1'!$C$8/6, "SI", "NO"),IF(T147&gt; -'DATI nascosti 1'!$C$8/6, "SI", "NO"))</f>
        <v>NO</v>
      </c>
      <c r="V147" s="67" t="str">
        <f>IF(Foglio3!G148&lt;1,IF(Foglio3!G148&gt;-1,"ROTTURA BILANCIATA",""),"")</f>
        <v/>
      </c>
    </row>
    <row r="148" spans="1:22" ht="18.75" x14ac:dyDescent="0.25">
      <c r="A148" s="20"/>
      <c r="B148" s="67">
        <f>'DATI nascosti 1'!$H$12*10^-3</f>
        <v>-3.5000000000000001E-3</v>
      </c>
      <c r="C148" s="68">
        <f>C147-('DATI nascosti 1'!$L$8*10^-3/100)</f>
        <v>6.1425000000000035E-2</v>
      </c>
      <c r="D148" s="68">
        <f>('DATI nascosti 1'!$H$12*(F148-'DATI nascosti 1'!$C$10))/(F148*1000)</f>
        <v>-9.7045454545454388E-4</v>
      </c>
      <c r="E148" s="67" t="s">
        <v>39</v>
      </c>
      <c r="F148" s="69">
        <f>(-'DATI nascosti 1'!$H$12*10^-3/(-'DATI nascosti 1'!$H$12*10^-3+C148))*'DATI nascosti 1'!$C$13</f>
        <v>62.264150943396189</v>
      </c>
      <c r="G148" s="70">
        <f t="shared" si="9"/>
        <v>39.978333333333296</v>
      </c>
      <c r="H148" s="70">
        <f t="shared" si="10"/>
        <v>81.720416666666537</v>
      </c>
      <c r="I148" s="70">
        <f>G148/('DATI nascosti 1'!$H$10*(-'DATI nascosti 1'!$H$12))</f>
        <v>0.80952380952380887</v>
      </c>
      <c r="J148" s="70">
        <f t="shared" si="8"/>
        <v>0.41596638655462226</v>
      </c>
      <c r="K148" s="71">
        <f>IF(D148&gt;=('DATI nascosti 1'!$L$10*10^-3),'DATI nascosti 1'!$L$14*'DATI nascosti 1'!$P$12,IF(D148&gt;=(-'DATI nascosti 1'!$L$10*10^-3),'DATI nascosti 1'!$L$16*D148*'DATI nascosti 1'!$P$12,-'DATI nascosti 1'!$L$14*'DATI nascosti 1'!$P$12))</f>
        <v>-318983.44380127126</v>
      </c>
      <c r="L148" s="71">
        <f>-'DATI nascosti 1'!$H$16*'DATI nascosti 1'!$C$6*I148*'DATI nascosti 1'!$H$10*F148</f>
        <v>-181357.23719676523</v>
      </c>
      <c r="M148" s="71">
        <f>IF(C148&gt;=('DATI nascosti 1'!$L$10*10^-3),'DATI nascosti 1'!$L$14*'DATI nascosti 1'!$P$11,IF(C148&gt;=(-'DATI nascosti 1'!$L$10*10^-3),'DATI nascosti 1'!$P$11*'DATI nascosti 1'!$L$16*C148,-'DATI nascosti 1'!$L$14*'DATI nascosti 1'!$P$11))</f>
        <v>614659.43222408998</v>
      </c>
      <c r="N148" s="71">
        <f t="shared" si="6"/>
        <v>114318.75122605346</v>
      </c>
      <c r="O148" s="71">
        <f>-L148*('DATI nascosti 1'!$C$8/2-(J148*F148))-K148*('DATI nascosti 1'!$C$13/2)+M148*('DATI nascosti 1'!$C$13/2)</f>
        <v>643295988.16069603</v>
      </c>
      <c r="P148" s="69">
        <f>-TABULATI!N148/10^3</f>
        <v>-114.31875122605345</v>
      </c>
      <c r="Q148" s="69">
        <f>TABULATI!O148/10^6</f>
        <v>643.29598816069608</v>
      </c>
      <c r="R148" s="72">
        <f>-N148/('DATI nascosti 1'!$C$6*'DATI nascosti 1'!$C$13*'DATI nascosti 1'!$H$10*'DATI nascosti 1'!$H$16)</f>
        <v>-2.7508587648529311E-2</v>
      </c>
      <c r="S148" s="72">
        <f>O148/('DATI nascosti 1'!$H$16*'DATI nascosti 1'!$C$6*'DATI nascosti 1'!$C$13^2*'DATI nascosti 1'!$H$10)</f>
        <v>0.13402310655543379</v>
      </c>
      <c r="T148" s="73">
        <f t="shared" si="7"/>
        <v>5627.2132197162045</v>
      </c>
      <c r="U148" s="67" t="str">
        <f>IF(T148&gt;=0, IF(T148&lt;='DATI nascosti 1'!$C$8/6, "SI", "NO"),IF(T148&gt; -'DATI nascosti 1'!$C$8/6, "SI", "NO"))</f>
        <v>NO</v>
      </c>
      <c r="V148" s="67" t="str">
        <f>IF(Foglio3!G149&lt;1,IF(Foglio3!G149&gt;-1,"ROTTURA BILANCIATA",""),"")</f>
        <v/>
      </c>
    </row>
    <row r="149" spans="1:22" ht="18.75" x14ac:dyDescent="0.25">
      <c r="A149" s="20"/>
      <c r="B149" s="67">
        <f>'DATI nascosti 1'!$H$12*10^-3</f>
        <v>-3.5000000000000001E-3</v>
      </c>
      <c r="C149" s="68">
        <f>C148-('DATI nascosti 1'!$L$8*10^-3/100)</f>
        <v>6.0750000000000033E-2</v>
      </c>
      <c r="D149" s="68">
        <f>('DATI nascosti 1'!$H$12*(F149-'DATI nascosti 1'!$C$10))/(F149*1000)</f>
        <v>-9.967532467532454E-4</v>
      </c>
      <c r="E149" s="67" t="s">
        <v>39</v>
      </c>
      <c r="F149" s="69">
        <f>(-'DATI nascosti 1'!$H$12*10^-3/(-'DATI nascosti 1'!$H$12*10^-3+C149))*'DATI nascosti 1'!$C$13</f>
        <v>62.918287937743159</v>
      </c>
      <c r="G149" s="70">
        <f t="shared" si="9"/>
        <v>39.978333333333296</v>
      </c>
      <c r="H149" s="70">
        <f t="shared" si="10"/>
        <v>81.720416666666537</v>
      </c>
      <c r="I149" s="70">
        <f>G149/('DATI nascosti 1'!$H$10*(-'DATI nascosti 1'!$H$12))</f>
        <v>0.80952380952380887</v>
      </c>
      <c r="J149" s="70">
        <f t="shared" si="8"/>
        <v>0.41596638655462226</v>
      </c>
      <c r="K149" s="71">
        <f>IF(D149&gt;=('DATI nascosti 1'!$L$10*10^-3),'DATI nascosti 1'!$L$14*'DATI nascosti 1'!$P$12,IF(D149&gt;=(-'DATI nascosti 1'!$L$10*10^-3),'DATI nascosti 1'!$L$16*D149*'DATI nascosti 1'!$P$12,-'DATI nascosti 1'!$L$14*'DATI nascosti 1'!$P$12))</f>
        <v>-327627.69236196153</v>
      </c>
      <c r="L149" s="71">
        <f>-'DATI nascosti 1'!$H$16*'DATI nascosti 1'!$C$6*I149*'DATI nascosti 1'!$H$10*F149</f>
        <v>-183262.54669260676</v>
      </c>
      <c r="M149" s="71">
        <f>IF(C149&gt;=('DATI nascosti 1'!$L$10*10^-3),'DATI nascosti 1'!$L$14*'DATI nascosti 1'!$P$11,IF(C149&gt;=(-'DATI nascosti 1'!$L$10*10^-3),'DATI nascosti 1'!$P$11*'DATI nascosti 1'!$L$16*C149,-'DATI nascosti 1'!$L$14*'DATI nascosti 1'!$P$11))</f>
        <v>614659.43222408998</v>
      </c>
      <c r="N149" s="71">
        <f t="shared" si="6"/>
        <v>103769.19316952169</v>
      </c>
      <c r="O149" s="71">
        <f>-L149*('DATI nascosti 1'!$C$8/2-(J149*F149))-K149*('DATI nascosti 1'!$C$13/2)+M149*('DATI nascosti 1'!$C$13/2)</f>
        <v>649332014.72274852</v>
      </c>
      <c r="P149" s="69">
        <f>-TABULATI!N149/10^3</f>
        <v>-103.76919316952169</v>
      </c>
      <c r="Q149" s="69">
        <f>TABULATI!O149/10^6</f>
        <v>649.33201472274857</v>
      </c>
      <c r="R149" s="72">
        <f>-N149/('DATI nascosti 1'!$C$6*'DATI nascosti 1'!$C$13*'DATI nascosti 1'!$H$10*'DATI nascosti 1'!$H$16)</f>
        <v>-2.4970041352852013E-2</v>
      </c>
      <c r="S149" s="72">
        <f>O149/('DATI nascosti 1'!$H$16*'DATI nascosti 1'!$C$6*'DATI nascosti 1'!$C$13^2*'DATI nascosti 1'!$H$10)</f>
        <v>0.13528064126105255</v>
      </c>
      <c r="T149" s="73">
        <f t="shared" si="7"/>
        <v>6257.4642327802685</v>
      </c>
      <c r="U149" s="67" t="str">
        <f>IF(T149&gt;=0, IF(T149&lt;='DATI nascosti 1'!$C$8/6, "SI", "NO"),IF(T149&gt; -'DATI nascosti 1'!$C$8/6, "SI", "NO"))</f>
        <v>NO</v>
      </c>
      <c r="V149" s="67" t="str">
        <f>IF(Foglio3!G150&lt;1,IF(Foglio3!G150&gt;-1,"ROTTURA BILANCIATA",""),"")</f>
        <v/>
      </c>
    </row>
    <row r="150" spans="1:22" ht="18.75" x14ac:dyDescent="0.25">
      <c r="A150" s="20"/>
      <c r="B150" s="67">
        <f>'DATI nascosti 1'!$H$12*10^-3</f>
        <v>-3.5000000000000001E-3</v>
      </c>
      <c r="C150" s="68">
        <f>C149-('DATI nascosti 1'!$L$8*10^-3/100)</f>
        <v>6.0075000000000031E-2</v>
      </c>
      <c r="D150" s="68">
        <f>('DATI nascosti 1'!$H$12*(F150-'DATI nascosti 1'!$C$10))/(F150*1000)</f>
        <v>-1.0230519480519469E-3</v>
      </c>
      <c r="E150" s="67" t="s">
        <v>39</v>
      </c>
      <c r="F150" s="69">
        <f>(-'DATI nascosti 1'!$H$12*10^-3/(-'DATI nascosti 1'!$H$12*10^-3+C150))*'DATI nascosti 1'!$C$13</f>
        <v>63.586315375540671</v>
      </c>
      <c r="G150" s="70">
        <f t="shared" si="9"/>
        <v>39.978333333333296</v>
      </c>
      <c r="H150" s="70">
        <f t="shared" si="10"/>
        <v>81.720416666666537</v>
      </c>
      <c r="I150" s="70">
        <f>G150/('DATI nascosti 1'!$H$10*(-'DATI nascosti 1'!$H$12))</f>
        <v>0.80952380952380887</v>
      </c>
      <c r="J150" s="70">
        <f t="shared" si="8"/>
        <v>0.41596638655462226</v>
      </c>
      <c r="K150" s="71">
        <f>IF(D150&gt;=('DATI nascosti 1'!$L$10*10^-3),'DATI nascosti 1'!$L$14*'DATI nascosti 1'!$P$12,IF(D150&gt;=(-'DATI nascosti 1'!$L$10*10^-3),'DATI nascosti 1'!$L$16*D150*'DATI nascosti 1'!$P$12,-'DATI nascosti 1'!$L$14*'DATI nascosti 1'!$P$12))</f>
        <v>-336271.94092265179</v>
      </c>
      <c r="L150" s="71">
        <f>-'DATI nascosti 1'!$H$16*'DATI nascosti 1'!$C$6*I150*'DATI nascosti 1'!$H$10*F150</f>
        <v>-185208.31498230412</v>
      </c>
      <c r="M150" s="71">
        <f>IF(C150&gt;=('DATI nascosti 1'!$L$10*10^-3),'DATI nascosti 1'!$L$14*'DATI nascosti 1'!$P$11,IF(C150&gt;=(-'DATI nascosti 1'!$L$10*10^-3),'DATI nascosti 1'!$P$11*'DATI nascosti 1'!$L$16*C150,-'DATI nascosti 1'!$L$14*'DATI nascosti 1'!$P$11))</f>
        <v>614659.43222408998</v>
      </c>
      <c r="N150" s="71">
        <f t="shared" si="6"/>
        <v>93179.176319134072</v>
      </c>
      <c r="O150" s="71">
        <f>-L150*('DATI nascosti 1'!$C$8/2-(J150*F150))-K150*('DATI nascosti 1'!$C$13/2)+M150*('DATI nascosti 1'!$C$13/2)</f>
        <v>655389139.67768848</v>
      </c>
      <c r="P150" s="69">
        <f>-TABULATI!N150/10^3</f>
        <v>-93.179176319134072</v>
      </c>
      <c r="Q150" s="69">
        <f>TABULATI!O150/10^6</f>
        <v>655.38913967768849</v>
      </c>
      <c r="R150" s="72">
        <f>-N150/('DATI nascosti 1'!$C$6*'DATI nascosti 1'!$C$13*'DATI nascosti 1'!$H$10*'DATI nascosti 1'!$H$16)</f>
        <v>-2.2421759434059513E-2</v>
      </c>
      <c r="S150" s="72">
        <f>O150/('DATI nascosti 1'!$H$16*'DATI nascosti 1'!$C$6*'DATI nascosti 1'!$C$13^2*'DATI nascosti 1'!$H$10)</f>
        <v>0.13654257156715716</v>
      </c>
      <c r="T150" s="73">
        <f t="shared" si="7"/>
        <v>7033.6438415490293</v>
      </c>
      <c r="U150" s="67" t="str">
        <f>IF(T150&gt;=0, IF(T150&lt;='DATI nascosti 1'!$C$8/6, "SI", "NO"),IF(T150&gt; -'DATI nascosti 1'!$C$8/6, "SI", "NO"))</f>
        <v>NO</v>
      </c>
      <c r="V150" s="67" t="str">
        <f>IF(Foglio3!G151&lt;1,IF(Foglio3!G151&gt;-1,"ROTTURA BILANCIATA",""),"")</f>
        <v/>
      </c>
    </row>
    <row r="151" spans="1:22" ht="18.75" x14ac:dyDescent="0.25">
      <c r="A151" s="20"/>
      <c r="B151" s="67">
        <f>'DATI nascosti 1'!$H$12*10^-3</f>
        <v>-3.5000000000000001E-3</v>
      </c>
      <c r="C151" s="68">
        <f>C150-('DATI nascosti 1'!$L$8*10^-3/100)</f>
        <v>5.9400000000000029E-2</v>
      </c>
      <c r="D151" s="68">
        <f>('DATI nascosti 1'!$H$12*(F151-'DATI nascosti 1'!$C$10))/(F151*1000)</f>
        <v>-1.0493506493506482E-3</v>
      </c>
      <c r="E151" s="67" t="s">
        <v>39</v>
      </c>
      <c r="F151" s="69">
        <f>(-'DATI nascosti 1'!$H$12*10^-3/(-'DATI nascosti 1'!$H$12*10^-3+C151))*'DATI nascosti 1'!$C$13</f>
        <v>64.268680445151006</v>
      </c>
      <c r="G151" s="70">
        <f t="shared" si="9"/>
        <v>39.978333333333296</v>
      </c>
      <c r="H151" s="70">
        <f t="shared" si="10"/>
        <v>81.720416666666537</v>
      </c>
      <c r="I151" s="70">
        <f>G151/('DATI nascosti 1'!$H$10*(-'DATI nascosti 1'!$H$12))</f>
        <v>0.80952380952380887</v>
      </c>
      <c r="J151" s="70">
        <f t="shared" si="8"/>
        <v>0.41596638655462226</v>
      </c>
      <c r="K151" s="71">
        <f>IF(D151&gt;=('DATI nascosti 1'!$L$10*10^-3),'DATI nascosti 1'!$L$14*'DATI nascosti 1'!$P$12,IF(D151&gt;=(-'DATI nascosti 1'!$L$10*10^-3),'DATI nascosti 1'!$L$16*D151*'DATI nascosti 1'!$P$12,-'DATI nascosti 1'!$L$14*'DATI nascosti 1'!$P$12))</f>
        <v>-344916.18948334199</v>
      </c>
      <c r="L151" s="71">
        <f>-'DATI nascosti 1'!$H$16*'DATI nascosti 1'!$C$6*I151*'DATI nascosti 1'!$H$10*F151</f>
        <v>-187195.84459459435</v>
      </c>
      <c r="M151" s="71">
        <f>IF(C151&gt;=('DATI nascosti 1'!$L$10*10^-3),'DATI nascosti 1'!$L$14*'DATI nascosti 1'!$P$11,IF(C151&gt;=(-'DATI nascosti 1'!$L$10*10^-3),'DATI nascosti 1'!$P$11*'DATI nascosti 1'!$L$16*C151,-'DATI nascosti 1'!$L$14*'DATI nascosti 1'!$P$11))</f>
        <v>614659.43222408998</v>
      </c>
      <c r="N151" s="71">
        <f t="shared" si="6"/>
        <v>82547.39814615366</v>
      </c>
      <c r="O151" s="71">
        <f>-L151*('DATI nascosti 1'!$C$8/2-(J151*F151))-K151*('DATI nascosti 1'!$C$13/2)+M151*('DATI nascosti 1'!$C$13/2)</f>
        <v>661468007.44500828</v>
      </c>
      <c r="P151" s="69">
        <f>-TABULATI!N151/10^3</f>
        <v>-82.547398146153654</v>
      </c>
      <c r="Q151" s="69">
        <f>TABULATI!O151/10^6</f>
        <v>661.46800744500831</v>
      </c>
      <c r="R151" s="72">
        <f>-N151/('DATI nascosti 1'!$C$6*'DATI nascosti 1'!$C$13*'DATI nascosti 1'!$H$10*'DATI nascosti 1'!$H$16)</f>
        <v>-1.9863428463903682E-2</v>
      </c>
      <c r="S151" s="72">
        <f>O151/('DATI nascosti 1'!$H$16*'DATI nascosti 1'!$C$6*'DATI nascosti 1'!$C$13^2*'DATI nascosti 1'!$H$10)</f>
        <v>0.13780903173092299</v>
      </c>
      <c r="T151" s="73">
        <f t="shared" si="7"/>
        <v>8013.190267655089</v>
      </c>
      <c r="U151" s="67" t="str">
        <f>IF(T151&gt;=0, IF(T151&lt;='DATI nascosti 1'!$C$8/6, "SI", "NO"),IF(T151&gt; -'DATI nascosti 1'!$C$8/6, "SI", "NO"))</f>
        <v>NO</v>
      </c>
      <c r="V151" s="67" t="str">
        <f>IF(Foglio3!G152&lt;1,IF(Foglio3!G152&gt;-1,"ROTTURA BILANCIATA",""),"")</f>
        <v/>
      </c>
    </row>
    <row r="152" spans="1:22" ht="18.75" x14ac:dyDescent="0.25">
      <c r="A152" s="20"/>
      <c r="B152" s="67">
        <f>'DATI nascosti 1'!$H$12*10^-3</f>
        <v>-3.5000000000000001E-3</v>
      </c>
      <c r="C152" s="68">
        <f>C151-('DATI nascosti 1'!$L$8*10^-3/100)</f>
        <v>5.8725000000000027E-2</v>
      </c>
      <c r="D152" s="68">
        <f>('DATI nascosti 1'!$H$12*(F152-'DATI nascosti 1'!$C$10))/(F152*1000)</f>
        <v>-1.0756493506493498E-3</v>
      </c>
      <c r="E152" s="67" t="s">
        <v>39</v>
      </c>
      <c r="F152" s="69">
        <f>(-'DATI nascosti 1'!$H$12*10^-3/(-'DATI nascosti 1'!$H$12*10^-3+C152))*'DATI nascosti 1'!$C$13</f>
        <v>64.96584973885092</v>
      </c>
      <c r="G152" s="70">
        <f t="shared" si="9"/>
        <v>39.978333333333296</v>
      </c>
      <c r="H152" s="70">
        <f t="shared" si="10"/>
        <v>81.720416666666537</v>
      </c>
      <c r="I152" s="70">
        <f>G152/('DATI nascosti 1'!$H$10*(-'DATI nascosti 1'!$H$12))</f>
        <v>0.80952380952380887</v>
      </c>
      <c r="J152" s="70">
        <f t="shared" si="8"/>
        <v>0.41596638655462226</v>
      </c>
      <c r="K152" s="71">
        <f>IF(D152&gt;=('DATI nascosti 1'!$L$10*10^-3),'DATI nascosti 1'!$L$14*'DATI nascosti 1'!$P$12,IF(D152&gt;=(-'DATI nascosti 1'!$L$10*10^-3),'DATI nascosti 1'!$L$16*D152*'DATI nascosti 1'!$P$12,-'DATI nascosti 1'!$L$14*'DATI nascosti 1'!$P$12))</f>
        <v>-353560.43804403231</v>
      </c>
      <c r="L152" s="71">
        <f>-'DATI nascosti 1'!$H$16*'DATI nascosti 1'!$C$6*I152*'DATI nascosti 1'!$H$10*F152</f>
        <v>-189226.49457613475</v>
      </c>
      <c r="M152" s="71">
        <f>IF(C152&gt;=('DATI nascosti 1'!$L$10*10^-3),'DATI nascosti 1'!$L$14*'DATI nascosti 1'!$P$11,IF(C152&gt;=(-'DATI nascosti 1'!$L$10*10^-3),'DATI nascosti 1'!$P$11*'DATI nascosti 1'!$L$16*C152,-'DATI nascosti 1'!$L$14*'DATI nascosti 1'!$P$11))</f>
        <v>614659.43222408998</v>
      </c>
      <c r="N152" s="71">
        <f t="shared" si="6"/>
        <v>71872.499603922945</v>
      </c>
      <c r="O152" s="71">
        <f>-L152*('DATI nascosti 1'!$C$8/2-(J152*F152))-K152*('DATI nascosti 1'!$C$13/2)+M152*('DATI nascosti 1'!$C$13/2)</f>
        <v>667569288.87883651</v>
      </c>
      <c r="P152" s="69">
        <f>-TABULATI!N152/10^3</f>
        <v>-71.872499603922947</v>
      </c>
      <c r="Q152" s="69">
        <f>TABULATI!O152/10^6</f>
        <v>667.56928887883646</v>
      </c>
      <c r="R152" s="72">
        <f>-N152/('DATI nascosti 1'!$C$6*'DATI nascosti 1'!$C$13*'DATI nascosti 1'!$H$10*'DATI nascosti 1'!$H$16)</f>
        <v>-1.729472141419627E-2</v>
      </c>
      <c r="S152" s="72">
        <f>O152/('DATI nascosti 1'!$H$16*'DATI nascosti 1'!$C$6*'DATI nascosti 1'!$C$13^2*'DATI nascosti 1'!$H$10)</f>
        <v>0.13908016151686903</v>
      </c>
      <c r="T152" s="73">
        <f t="shared" si="7"/>
        <v>9288.2436614518301</v>
      </c>
      <c r="U152" s="67" t="str">
        <f>IF(T152&gt;=0, IF(T152&lt;='DATI nascosti 1'!$C$8/6, "SI", "NO"),IF(T152&gt; -'DATI nascosti 1'!$C$8/6, "SI", "NO"))</f>
        <v>NO</v>
      </c>
      <c r="V152" s="67" t="str">
        <f>IF(Foglio3!G153&lt;1,IF(Foglio3!G153&gt;-1,"ROTTURA BILANCIATA",""),"")</f>
        <v/>
      </c>
    </row>
    <row r="153" spans="1:22" ht="18.75" x14ac:dyDescent="0.25">
      <c r="A153" s="20"/>
      <c r="B153" s="67">
        <f>'DATI nascosti 1'!$H$12*10^-3</f>
        <v>-3.5000000000000001E-3</v>
      </c>
      <c r="C153" s="68">
        <f>C152-('DATI nascosti 1'!$L$8*10^-3/100)</f>
        <v>5.8050000000000025E-2</v>
      </c>
      <c r="D153" s="68">
        <f>('DATI nascosti 1'!$H$12*(F153-'DATI nascosti 1'!$C$10))/(F153*1000)</f>
        <v>-1.1019480519480511E-3</v>
      </c>
      <c r="E153" s="67" t="s">
        <v>39</v>
      </c>
      <c r="F153" s="69">
        <f>(-'DATI nascosti 1'!$H$12*10^-3/(-'DATI nascosti 1'!$H$12*10^-3+C153))*'DATI nascosti 1'!$C$13</f>
        <v>65.678310316815569</v>
      </c>
      <c r="G153" s="70">
        <f t="shared" si="9"/>
        <v>39.978333333333296</v>
      </c>
      <c r="H153" s="70">
        <f t="shared" si="10"/>
        <v>81.720416666666537</v>
      </c>
      <c r="I153" s="70">
        <f>G153/('DATI nascosti 1'!$H$10*(-'DATI nascosti 1'!$H$12))</f>
        <v>0.80952380952380887</v>
      </c>
      <c r="J153" s="70">
        <f t="shared" si="8"/>
        <v>0.41596638655462226</v>
      </c>
      <c r="K153" s="71">
        <f>IF(D153&gt;=('DATI nascosti 1'!$L$10*10^-3),'DATI nascosti 1'!$L$14*'DATI nascosti 1'!$P$12,IF(D153&gt;=(-'DATI nascosti 1'!$L$10*10^-3),'DATI nascosti 1'!$L$16*D153*'DATI nascosti 1'!$P$12,-'DATI nascosti 1'!$L$14*'DATI nascosti 1'!$P$12))</f>
        <v>-362204.68660472252</v>
      </c>
      <c r="L153" s="71">
        <f>-'DATI nascosti 1'!$H$16*'DATI nascosti 1'!$C$6*I153*'DATI nascosti 1'!$H$10*F153</f>
        <v>-191301.68359057652</v>
      </c>
      <c r="M153" s="71">
        <f>IF(C153&gt;=('DATI nascosti 1'!$L$10*10^-3),'DATI nascosti 1'!$L$14*'DATI nascosti 1'!$P$11,IF(C153&gt;=(-'DATI nascosti 1'!$L$10*10^-3),'DATI nascosti 1'!$P$11*'DATI nascosti 1'!$L$16*C153,-'DATI nascosti 1'!$L$14*'DATI nascosti 1'!$P$11))</f>
        <v>614659.43222408998</v>
      </c>
      <c r="N153" s="71">
        <f t="shared" si="6"/>
        <v>61153.062028790941</v>
      </c>
      <c r="O153" s="71">
        <f>-L153*('DATI nascosti 1'!$C$8/2-(J153*F153))-K153*('DATI nascosti 1'!$C$13/2)+M153*('DATI nascosti 1'!$C$13/2)</f>
        <v>673693682.63277447</v>
      </c>
      <c r="P153" s="69">
        <f>-TABULATI!N153/10^3</f>
        <v>-61.153062028790941</v>
      </c>
      <c r="Q153" s="69">
        <f>TABULATI!O153/10^6</f>
        <v>673.69368263277443</v>
      </c>
      <c r="R153" s="72">
        <f>-N153/('DATI nascosti 1'!$C$6*'DATI nascosti 1'!$C$13*'DATI nascosti 1'!$H$10*'DATI nascosti 1'!$H$16)</f>
        <v>-1.4715296911077183E-2</v>
      </c>
      <c r="S153" s="72">
        <f>O153/('DATI nascosti 1'!$H$16*'DATI nascosti 1'!$C$6*'DATI nascosti 1'!$C$13^2*'DATI nascosti 1'!$H$10)</f>
        <v>0.14035610648120544</v>
      </c>
      <c r="T153" s="73">
        <f t="shared" si="7"/>
        <v>11016.515940209152</v>
      </c>
      <c r="U153" s="67" t="str">
        <f>IF(T153&gt;=0, IF(T153&lt;='DATI nascosti 1'!$C$8/6, "SI", "NO"),IF(T153&gt; -'DATI nascosti 1'!$C$8/6, "SI", "NO"))</f>
        <v>NO</v>
      </c>
      <c r="V153" s="67" t="str">
        <f>IF(Foglio3!G154&lt;1,IF(Foglio3!G154&gt;-1,"ROTTURA BILANCIATA",""),"")</f>
        <v/>
      </c>
    </row>
    <row r="154" spans="1:22" ht="18.75" x14ac:dyDescent="0.25">
      <c r="A154" s="20"/>
      <c r="B154" s="67">
        <f>'DATI nascosti 1'!$H$12*10^-3</f>
        <v>-3.5000000000000001E-3</v>
      </c>
      <c r="C154" s="68">
        <f>C153-('DATI nascosti 1'!$L$8*10^-3/100)</f>
        <v>5.7375000000000023E-2</v>
      </c>
      <c r="D154" s="68">
        <f>('DATI nascosti 1'!$H$12*(F154-'DATI nascosti 1'!$C$10))/(F154*1000)</f>
        <v>-1.1282467532467524E-3</v>
      </c>
      <c r="E154" s="67" t="s">
        <v>39</v>
      </c>
      <c r="F154" s="69">
        <f>(-'DATI nascosti 1'!$H$12*10^-3/(-'DATI nascosti 1'!$H$12*10^-3+C154))*'DATI nascosti 1'!$C$13</f>
        <v>66.406570841889092</v>
      </c>
      <c r="G154" s="70">
        <f t="shared" si="9"/>
        <v>39.978333333333296</v>
      </c>
      <c r="H154" s="70">
        <f t="shared" si="10"/>
        <v>81.720416666666537</v>
      </c>
      <c r="I154" s="70">
        <f>G154/('DATI nascosti 1'!$H$10*(-'DATI nascosti 1'!$H$12))</f>
        <v>0.80952380952380887</v>
      </c>
      <c r="J154" s="70">
        <f t="shared" si="8"/>
        <v>0.41596638655462226</v>
      </c>
      <c r="K154" s="71">
        <f>IF(D154&gt;=('DATI nascosti 1'!$L$10*10^-3),'DATI nascosti 1'!$L$14*'DATI nascosti 1'!$P$12,IF(D154&gt;=(-'DATI nascosti 1'!$L$10*10^-3),'DATI nascosti 1'!$L$16*D154*'DATI nascosti 1'!$P$12,-'DATI nascosti 1'!$L$14*'DATI nascosti 1'!$P$12))</f>
        <v>-370848.93516541267</v>
      </c>
      <c r="L154" s="71">
        <f>-'DATI nascosti 1'!$H$16*'DATI nascosti 1'!$C$6*I154*'DATI nascosti 1'!$H$10*F154</f>
        <v>-193422.89322381906</v>
      </c>
      <c r="M154" s="71">
        <f>IF(C154&gt;=('DATI nascosti 1'!$L$10*10^-3),'DATI nascosti 1'!$L$14*'DATI nascosti 1'!$P$11,IF(C154&gt;=(-'DATI nascosti 1'!$L$10*10^-3),'DATI nascosti 1'!$P$11*'DATI nascosti 1'!$L$16*C154,-'DATI nascosti 1'!$L$14*'DATI nascosti 1'!$P$11))</f>
        <v>614659.43222408998</v>
      </c>
      <c r="N154" s="71">
        <f t="shared" si="6"/>
        <v>50387.603834858281</v>
      </c>
      <c r="O154" s="71">
        <f>-L154*('DATI nascosti 1'!$C$8/2-(J154*F154))-K154*('DATI nascosti 1'!$C$13/2)+M154*('DATI nascosti 1'!$C$13/2)</f>
        <v>679841916.60983944</v>
      </c>
      <c r="P154" s="69">
        <f>-TABULATI!N154/10^3</f>
        <v>-50.387603834858282</v>
      </c>
      <c r="Q154" s="69">
        <f>TABULATI!O154/10^6</f>
        <v>679.84191660983947</v>
      </c>
      <c r="R154" s="72">
        <f>-N154/('DATI nascosti 1'!$C$6*'DATI nascosti 1'!$C$13*'DATI nascosti 1'!$H$10*'DATI nascosti 1'!$H$16)</f>
        <v>-1.212479843966908E-2</v>
      </c>
      <c r="S154" s="72">
        <f>O154/('DATI nascosti 1'!$H$16*'DATI nascosti 1'!$C$6*'DATI nascosti 1'!$C$13^2*'DATI nascosti 1'!$H$10)</f>
        <v>0.14163701827391209</v>
      </c>
      <c r="T154" s="73">
        <f t="shared" si="7"/>
        <v>13492.245410954092</v>
      </c>
      <c r="U154" s="67" t="str">
        <f>IF(T154&gt;=0, IF(T154&lt;='DATI nascosti 1'!$C$8/6, "SI", "NO"),IF(T154&gt; -'DATI nascosti 1'!$C$8/6, "SI", "NO"))</f>
        <v>NO</v>
      </c>
      <c r="V154" s="67" t="str">
        <f>IF(Foglio3!G155&lt;1,IF(Foglio3!G155&gt;-1,"ROTTURA BILANCIATA",""),"")</f>
        <v/>
      </c>
    </row>
    <row r="155" spans="1:22" ht="18.75" x14ac:dyDescent="0.25">
      <c r="A155" s="20"/>
      <c r="B155" s="67">
        <f>'DATI nascosti 1'!$H$12*10^-3</f>
        <v>-3.5000000000000001E-3</v>
      </c>
      <c r="C155" s="68">
        <f>C154-('DATI nascosti 1'!$L$8*10^-3/100)</f>
        <v>5.6700000000000021E-2</v>
      </c>
      <c r="D155" s="68">
        <f>('DATI nascosti 1'!$H$12*(F155-'DATI nascosti 1'!$C$10))/(F155*1000)</f>
        <v>-1.1545454545454541E-3</v>
      </c>
      <c r="E155" s="67" t="s">
        <v>39</v>
      </c>
      <c r="F155" s="69">
        <f>(-'DATI nascosti 1'!$H$12*10^-3/(-'DATI nascosti 1'!$H$12*10^-3+C155))*'DATI nascosti 1'!$C$13</f>
        <v>67.151162790697654</v>
      </c>
      <c r="G155" s="70">
        <f t="shared" si="9"/>
        <v>39.978333333333296</v>
      </c>
      <c r="H155" s="70">
        <f t="shared" si="10"/>
        <v>81.720416666666537</v>
      </c>
      <c r="I155" s="70">
        <f>G155/('DATI nascosti 1'!$H$10*(-'DATI nascosti 1'!$H$12))</f>
        <v>0.80952380952380887</v>
      </c>
      <c r="J155" s="70">
        <f t="shared" si="8"/>
        <v>0.41596638655462226</v>
      </c>
      <c r="K155" s="71">
        <f>IF(D155&gt;=('DATI nascosti 1'!$L$10*10^-3),'DATI nascosti 1'!$L$14*'DATI nascosti 1'!$P$12,IF(D155&gt;=(-'DATI nascosti 1'!$L$10*10^-3),'DATI nascosti 1'!$L$16*D155*'DATI nascosti 1'!$P$12,-'DATI nascosti 1'!$L$14*'DATI nascosti 1'!$P$12))</f>
        <v>-379493.18372610305</v>
      </c>
      <c r="L155" s="71">
        <f>-'DATI nascosti 1'!$H$16*'DATI nascosti 1'!$C$6*I155*'DATI nascosti 1'!$H$10*F155</f>
        <v>-195591.67151162768</v>
      </c>
      <c r="M155" s="71">
        <f>IF(C155&gt;=('DATI nascosti 1'!$L$10*10^-3),'DATI nascosti 1'!$L$14*'DATI nascosti 1'!$P$11,IF(C155&gt;=(-'DATI nascosti 1'!$L$10*10^-3),'DATI nascosti 1'!$P$11*'DATI nascosti 1'!$L$16*C155,-'DATI nascosti 1'!$L$14*'DATI nascosti 1'!$P$11))</f>
        <v>614659.43222408998</v>
      </c>
      <c r="N155" s="71">
        <f t="shared" si="6"/>
        <v>39574.5769863592</v>
      </c>
      <c r="O155" s="71">
        <f>-L155*('DATI nascosti 1'!$C$8/2-(J155*F155))-K155*('DATI nascosti 1'!$C$13/2)+M155*('DATI nascosti 1'!$C$13/2)</f>
        <v>686014749.50374246</v>
      </c>
      <c r="P155" s="69">
        <f>-TABULATI!N155/10^3</f>
        <v>-39.574576986359197</v>
      </c>
      <c r="Q155" s="69">
        <f>TABULATI!O155/10^6</f>
        <v>686.01474950374245</v>
      </c>
      <c r="R155" s="72">
        <f>-N155/('DATI nascosti 1'!$C$6*'DATI nascosti 1'!$C$13*'DATI nascosti 1'!$H$10*'DATI nascosti 1'!$H$16)</f>
        <v>-9.5228534952245866E-3</v>
      </c>
      <c r="S155" s="72">
        <f>O155/('DATI nascosti 1'!$H$16*'DATI nascosti 1'!$C$6*'DATI nascosti 1'!$C$13^2*'DATI nascosti 1'!$H$10)</f>
        <v>0.14292305495984553</v>
      </c>
      <c r="T155" s="73">
        <f t="shared" si="7"/>
        <v>17334.733602843109</v>
      </c>
      <c r="U155" s="67" t="str">
        <f>IF(T155&gt;=0, IF(T155&lt;='DATI nascosti 1'!$C$8/6, "SI", "NO"),IF(T155&gt; -'DATI nascosti 1'!$C$8/6, "SI", "NO"))</f>
        <v>NO</v>
      </c>
      <c r="V155" s="67" t="str">
        <f>IF(Foglio3!G156&lt;1,IF(Foglio3!G156&gt;-1,"ROTTURA BILANCIATA",""),"")</f>
        <v/>
      </c>
    </row>
    <row r="156" spans="1:22" ht="18.75" x14ac:dyDescent="0.25">
      <c r="A156" s="20"/>
      <c r="B156" s="67">
        <f>'DATI nascosti 1'!$H$12*10^-3</f>
        <v>-3.5000000000000001E-3</v>
      </c>
      <c r="C156" s="68">
        <f>C155-('DATI nascosti 1'!$L$8*10^-3/100)</f>
        <v>5.6025000000000019E-2</v>
      </c>
      <c r="D156" s="68">
        <f>('DATI nascosti 1'!$H$12*(F156-'DATI nascosti 1'!$C$10))/(F156*1000)</f>
        <v>-1.180844155844155E-3</v>
      </c>
      <c r="E156" s="67" t="s">
        <v>39</v>
      </c>
      <c r="F156" s="69">
        <f>(-'DATI nascosti 1'!$H$12*10^-3/(-'DATI nascosti 1'!$H$12*10^-3+C156))*'DATI nascosti 1'!$C$13</f>
        <v>67.912641747165026</v>
      </c>
      <c r="G156" s="70">
        <f t="shared" si="9"/>
        <v>39.978333333333296</v>
      </c>
      <c r="H156" s="70">
        <f t="shared" si="10"/>
        <v>81.720416666666537</v>
      </c>
      <c r="I156" s="70">
        <f>G156/('DATI nascosti 1'!$H$10*(-'DATI nascosti 1'!$H$12))</f>
        <v>0.80952380952380887</v>
      </c>
      <c r="J156" s="70">
        <f t="shared" si="8"/>
        <v>0.41596638655462226</v>
      </c>
      <c r="K156" s="71">
        <f>IF(D156&gt;=('DATI nascosti 1'!$L$10*10^-3),'DATI nascosti 1'!$L$14*'DATI nascosti 1'!$P$12,IF(D156&gt;=(-'DATI nascosti 1'!$L$10*10^-3),'DATI nascosti 1'!$L$16*D156*'DATI nascosti 1'!$P$12,-'DATI nascosti 1'!$L$14*'DATI nascosti 1'!$P$12))</f>
        <v>-388137.43228679308</v>
      </c>
      <c r="L156" s="71">
        <f>-'DATI nascosti 1'!$H$16*'DATI nascosti 1'!$C$6*I156*'DATI nascosti 1'!$H$10*F156</f>
        <v>-197809.6367072656</v>
      </c>
      <c r="M156" s="71">
        <f>IF(C156&gt;=('DATI nascosti 1'!$L$10*10^-3),'DATI nascosti 1'!$L$14*'DATI nascosti 1'!$P$11,IF(C156&gt;=(-'DATI nascosti 1'!$L$10*10^-3),'DATI nascosti 1'!$P$11*'DATI nascosti 1'!$L$16*C156,-'DATI nascosti 1'!$L$14*'DATI nascosti 1'!$P$11))</f>
        <v>614659.43222408998</v>
      </c>
      <c r="N156" s="71">
        <f t="shared" si="6"/>
        <v>28712.363230031333</v>
      </c>
      <c r="O156" s="71">
        <f>-L156*('DATI nascosti 1'!$C$8/2-(J156*F156))-K156*('DATI nascosti 1'!$C$13/2)+M156*('DATI nascosti 1'!$C$13/2)</f>
        <v>692212972.43825185</v>
      </c>
      <c r="P156" s="69">
        <f>-TABULATI!N156/10^3</f>
        <v>-28.712363230031333</v>
      </c>
      <c r="Q156" s="69">
        <f>TABULATI!O156/10^6</f>
        <v>692.21297243825188</v>
      </c>
      <c r="R156" s="72">
        <f>-N156/('DATI nascosti 1'!$C$6*'DATI nascosti 1'!$C$13*'DATI nascosti 1'!$H$10*'DATI nascosti 1'!$H$16)</f>
        <v>-6.9090726765192473E-3</v>
      </c>
      <c r="S156" s="72">
        <f>O156/('DATI nascosti 1'!$H$16*'DATI nascosti 1'!$C$6*'DATI nascosti 1'!$C$13^2*'DATI nascosti 1'!$H$10)</f>
        <v>0.14421438136028095</v>
      </c>
      <c r="T156" s="73">
        <f t="shared" si="7"/>
        <v>24108.533557218321</v>
      </c>
      <c r="U156" s="67" t="str">
        <f>IF(T156&gt;=0, IF(T156&lt;='DATI nascosti 1'!$C$8/6, "SI", "NO"),IF(T156&gt; -'DATI nascosti 1'!$C$8/6, "SI", "NO"))</f>
        <v>NO</v>
      </c>
      <c r="V156" s="67" t="str">
        <f>IF(Foglio3!G157&lt;1,IF(Foglio3!G157&gt;-1,"ROTTURA BILANCIATA",""),"")</f>
        <v/>
      </c>
    </row>
    <row r="157" spans="1:22" ht="18.75" x14ac:dyDescent="0.25">
      <c r="A157" s="20"/>
      <c r="B157" s="67">
        <f>'DATI nascosti 1'!$H$12*10^-3</f>
        <v>-3.5000000000000001E-3</v>
      </c>
      <c r="C157" s="68">
        <f>C156-('DATI nascosti 1'!$L$8*10^-3/100)</f>
        <v>5.5350000000000017E-2</v>
      </c>
      <c r="D157" s="68">
        <f>('DATI nascosti 1'!$H$12*(F157-'DATI nascosti 1'!$C$10))/(F157*1000)</f>
        <v>-1.2071428571428563E-3</v>
      </c>
      <c r="E157" s="67" t="s">
        <v>39</v>
      </c>
      <c r="F157" s="69">
        <f>(-'DATI nascosti 1'!$H$12*10^-3/(-'DATI nascosti 1'!$H$12*10^-3+C157))*'DATI nascosti 1'!$C$13</f>
        <v>68.691588785046704</v>
      </c>
      <c r="G157" s="70">
        <f t="shared" si="9"/>
        <v>39.978333333333296</v>
      </c>
      <c r="H157" s="70">
        <f t="shared" si="10"/>
        <v>81.720416666666537</v>
      </c>
      <c r="I157" s="70">
        <f>G157/('DATI nascosti 1'!$H$10*(-'DATI nascosti 1'!$H$12))</f>
        <v>0.80952380952380887</v>
      </c>
      <c r="J157" s="70">
        <f t="shared" si="8"/>
        <v>0.41596638655462226</v>
      </c>
      <c r="K157" s="71">
        <f>IF(D157&gt;=('DATI nascosti 1'!$L$10*10^-3),'DATI nascosti 1'!$L$14*'DATI nascosti 1'!$P$12,IF(D157&gt;=(-'DATI nascosti 1'!$L$10*10^-3),'DATI nascosti 1'!$L$16*D157*'DATI nascosti 1'!$P$12,-'DATI nascosti 1'!$L$14*'DATI nascosti 1'!$P$12))</f>
        <v>-396781.68084748328</v>
      </c>
      <c r="L157" s="71">
        <f>-'DATI nascosti 1'!$H$16*'DATI nascosti 1'!$C$6*I157*'DATI nascosti 1'!$H$10*F157</f>
        <v>-200078.48130841096</v>
      </c>
      <c r="M157" s="71">
        <f>IF(C157&gt;=('DATI nascosti 1'!$L$10*10^-3),'DATI nascosti 1'!$L$14*'DATI nascosti 1'!$P$11,IF(C157&gt;=(-'DATI nascosti 1'!$L$10*10^-3),'DATI nascosti 1'!$P$11*'DATI nascosti 1'!$L$16*C157,-'DATI nascosti 1'!$L$14*'DATI nascosti 1'!$P$11))</f>
        <v>614659.43222408998</v>
      </c>
      <c r="N157" s="71">
        <f t="shared" si="6"/>
        <v>17799.270068195765</v>
      </c>
      <c r="O157" s="71">
        <f>-L157*('DATI nascosti 1'!$C$8/2-(J157*F157))-K157*('DATI nascosti 1'!$C$13/2)+M157*('DATI nascosti 1'!$C$13/2)</f>
        <v>698437410.71196985</v>
      </c>
      <c r="P157" s="69">
        <f>-TABULATI!N157/10^3</f>
        <v>-17.799270068195764</v>
      </c>
      <c r="Q157" s="69">
        <f>TABULATI!O157/10^6</f>
        <v>698.43741071196985</v>
      </c>
      <c r="R157" s="72">
        <f>-N157/('DATI nascosti 1'!$C$6*'DATI nascosti 1'!$C$13*'DATI nascosti 1'!$H$10*'DATI nascosti 1'!$H$16)</f>
        <v>-4.2830487168514422E-3</v>
      </c>
      <c r="S157" s="72">
        <f>O157/('DATI nascosti 1'!$H$16*'DATI nascosti 1'!$C$6*'DATI nascosti 1'!$C$13^2*'DATI nascosti 1'!$H$10)</f>
        <v>0.14551116941641573</v>
      </c>
      <c r="T157" s="73">
        <f t="shared" si="7"/>
        <v>39239.665898432395</v>
      </c>
      <c r="U157" s="67" t="str">
        <f>IF(T157&gt;=0, IF(T157&lt;='DATI nascosti 1'!$C$8/6, "SI", "NO"),IF(T157&gt; -'DATI nascosti 1'!$C$8/6, "SI", "NO"))</f>
        <v>NO</v>
      </c>
      <c r="V157" s="67" t="str">
        <f>IF(Foglio3!G158&lt;1,IF(Foglio3!G158&gt;-1,"ROTTURA BILANCIATA",""),"")</f>
        <v/>
      </c>
    </row>
    <row r="158" spans="1:22" ht="18.75" x14ac:dyDescent="0.25">
      <c r="A158" s="20"/>
      <c r="B158" s="67">
        <f>'DATI nascosti 1'!$H$12*10^-3</f>
        <v>-3.5000000000000001E-3</v>
      </c>
      <c r="C158" s="68">
        <f>C157-('DATI nascosti 1'!$L$8*10^-3/100)</f>
        <v>5.4675000000000015E-2</v>
      </c>
      <c r="D158" s="68">
        <f>('DATI nascosti 1'!$H$12*(F158-'DATI nascosti 1'!$C$10))/(F158*1000)</f>
        <v>-1.2334415584415578E-3</v>
      </c>
      <c r="E158" s="67" t="s">
        <v>39</v>
      </c>
      <c r="F158" s="69">
        <f>(-'DATI nascosti 1'!$H$12*10^-3/(-'DATI nascosti 1'!$H$12*10^-3+C158))*'DATI nascosti 1'!$C$13</f>
        <v>69.488611946712481</v>
      </c>
      <c r="G158" s="70">
        <f t="shared" si="9"/>
        <v>39.978333333333296</v>
      </c>
      <c r="H158" s="70">
        <f t="shared" si="10"/>
        <v>81.720416666666537</v>
      </c>
      <c r="I158" s="70">
        <f>G158/('DATI nascosti 1'!$H$10*(-'DATI nascosti 1'!$H$12))</f>
        <v>0.80952380952380887</v>
      </c>
      <c r="J158" s="70">
        <f t="shared" si="8"/>
        <v>0.41596638655462226</v>
      </c>
      <c r="K158" s="71">
        <f>IF(D158&gt;=('DATI nascosti 1'!$L$10*10^-3),'DATI nascosti 1'!$L$14*'DATI nascosti 1'!$P$12,IF(D158&gt;=(-'DATI nascosti 1'!$L$10*10^-3),'DATI nascosti 1'!$L$16*D158*'DATI nascosti 1'!$P$12,-'DATI nascosti 1'!$L$14*'DATI nascosti 1'!$P$12))</f>
        <v>-405425.9294081736</v>
      </c>
      <c r="L158" s="71">
        <f>-'DATI nascosti 1'!$H$16*'DATI nascosti 1'!$C$6*I158*'DATI nascosti 1'!$H$10*F158</f>
        <v>-202399.97636441747</v>
      </c>
      <c r="M158" s="71">
        <f>IF(C158&gt;=('DATI nascosti 1'!$L$10*10^-3),'DATI nascosti 1'!$L$14*'DATI nascosti 1'!$P$11,IF(C158&gt;=(-'DATI nascosti 1'!$L$10*10^-3),'DATI nascosti 1'!$P$11*'DATI nascosti 1'!$L$16*C158,-'DATI nascosti 1'!$L$14*'DATI nascosti 1'!$P$11))</f>
        <v>614659.43222408998</v>
      </c>
      <c r="N158" s="71">
        <f t="shared" si="6"/>
        <v>6833.5264514989685</v>
      </c>
      <c r="O158" s="71">
        <f>-L158*('DATI nascosti 1'!$C$8/2-(J158*F158))-K158*('DATI nascosti 1'!$C$13/2)+M158*('DATI nascosti 1'!$C$13/2)</f>
        <v>704688925.65646982</v>
      </c>
      <c r="P158" s="69">
        <f>-TABULATI!N158/10^3</f>
        <v>-6.8335264514989689</v>
      </c>
      <c r="Q158" s="69">
        <f>TABULATI!O158/10^6</f>
        <v>704.68892565646979</v>
      </c>
      <c r="R158" s="72">
        <f>-N158/('DATI nascosti 1'!$C$6*'DATI nascosti 1'!$C$13*'DATI nascosti 1'!$H$10*'DATI nascosti 1'!$H$16)</f>
        <v>-1.6443554475843655E-3</v>
      </c>
      <c r="S158" s="72">
        <f>O158/('DATI nascosti 1'!$H$16*'DATI nascosti 1'!$C$6*'DATI nascosti 1'!$C$13^2*'DATI nascosti 1'!$H$10)</f>
        <v>0.14681359857649051</v>
      </c>
      <c r="T158" s="73">
        <f t="shared" si="7"/>
        <v>103122.29427338981</v>
      </c>
      <c r="U158" s="67" t="str">
        <f>IF(T158&gt;=0, IF(T158&lt;='DATI nascosti 1'!$C$8/6, "SI", "NO"),IF(T158&gt; -'DATI nascosti 1'!$C$8/6, "SI", "NO"))</f>
        <v>NO</v>
      </c>
      <c r="V158" s="67" t="str">
        <f>IF(Foglio3!G159&lt;1,IF(Foglio3!G159&gt;-1,"ROTTURA BILANCIATA",""),"")</f>
        <v/>
      </c>
    </row>
    <row r="159" spans="1:22" ht="18.75" x14ac:dyDescent="0.25">
      <c r="A159" s="20"/>
      <c r="B159" s="67">
        <f>'DATI nascosti 1'!$H$12*10^-3</f>
        <v>-3.5000000000000001E-3</v>
      </c>
      <c r="C159" s="68">
        <f>C158-('DATI nascosti 1'!$L$8*10^-3/100)</f>
        <v>5.4000000000000013E-2</v>
      </c>
      <c r="D159" s="68">
        <f>('DATI nascosti 1'!$H$12*(F159-'DATI nascosti 1'!$C$10))/(F159*1000)</f>
        <v>-1.2597402597402591E-3</v>
      </c>
      <c r="E159" s="67" t="s">
        <v>39</v>
      </c>
      <c r="F159" s="69">
        <f>(-'DATI nascosti 1'!$H$12*10^-3/(-'DATI nascosti 1'!$H$12*10^-3+C159))*'DATI nascosti 1'!$C$13</f>
        <v>70.304347826086939</v>
      </c>
      <c r="G159" s="70">
        <f t="shared" si="9"/>
        <v>39.978333333333296</v>
      </c>
      <c r="H159" s="70">
        <f t="shared" si="10"/>
        <v>81.720416666666537</v>
      </c>
      <c r="I159" s="70">
        <f>G159/('DATI nascosti 1'!$H$10*(-'DATI nascosti 1'!$H$12))</f>
        <v>0.80952380952380887</v>
      </c>
      <c r="J159" s="70">
        <f t="shared" si="8"/>
        <v>0.41596638655462226</v>
      </c>
      <c r="K159" s="71">
        <f>IF(D159&gt;=('DATI nascosti 1'!$L$10*10^-3),'DATI nascosti 1'!$L$14*'DATI nascosti 1'!$P$12,IF(D159&gt;=(-'DATI nascosti 1'!$L$10*10^-3),'DATI nascosti 1'!$L$16*D159*'DATI nascosti 1'!$P$12,-'DATI nascosti 1'!$L$14*'DATI nascosti 1'!$P$12))</f>
        <v>-414070.17796886381</v>
      </c>
      <c r="L159" s="71">
        <f>-'DATI nascosti 1'!$H$16*'DATI nascosti 1'!$C$6*I159*'DATI nascosti 1'!$H$10*F159</f>
        <v>-204775.9760869563</v>
      </c>
      <c r="M159" s="71">
        <f>IF(C159&gt;=('DATI nascosti 1'!$L$10*10^-3),'DATI nascosti 1'!$L$14*'DATI nascosti 1'!$P$11,IF(C159&gt;=(-'DATI nascosti 1'!$L$10*10^-3),'DATI nascosti 1'!$P$11*'DATI nascosti 1'!$L$16*C159,-'DATI nascosti 1'!$L$14*'DATI nascosti 1'!$P$11))</f>
        <v>614659.43222408998</v>
      </c>
      <c r="N159" s="71">
        <f t="shared" si="6"/>
        <v>-4186.7218317301013</v>
      </c>
      <c r="O159" s="71">
        <f>-L159*('DATI nascosti 1'!$C$8/2-(J159*F159))-K159*('DATI nascosti 1'!$C$13/2)+M159*('DATI nascosti 1'!$C$13/2)</f>
        <v>710968416.61644006</v>
      </c>
      <c r="P159" s="69">
        <f>-TABULATI!N159/10^3</f>
        <v>4.1867218317301012</v>
      </c>
      <c r="Q159" s="69">
        <f>TABULATI!O159/10^6</f>
        <v>710.96841661644009</v>
      </c>
      <c r="R159" s="72">
        <f>-N159/('DATI nascosti 1'!$C$6*'DATI nascosti 1'!$C$13*'DATI nascosti 1'!$H$10*'DATI nascosti 1'!$H$16)</f>
        <v>1.0074533113156596E-3</v>
      </c>
      <c r="S159" s="72">
        <f>O159/('DATI nascosti 1'!$H$16*'DATI nascosti 1'!$C$6*'DATI nascosti 1'!$C$13^2*'DATI nascosti 1'!$H$10)</f>
        <v>0.14812185620832846</v>
      </c>
      <c r="T159" s="73">
        <f t="shared" si="7"/>
        <v>-169815.05941669949</v>
      </c>
      <c r="U159" s="67" t="str">
        <f>IF(T159&gt;=0, IF(T159&lt;='DATI nascosti 1'!$C$8/6, "SI", "NO"),IF(T159&gt; -'DATI nascosti 1'!$C$8/6, "SI", "NO"))</f>
        <v>NO</v>
      </c>
      <c r="V159" s="67" t="str">
        <f>IF(Foglio3!G160&lt;1,IF(Foglio3!G160&gt;-1,"ROTTURA BILANCIATA",""),"")</f>
        <v/>
      </c>
    </row>
    <row r="160" spans="1:22" ht="18.75" x14ac:dyDescent="0.25">
      <c r="A160" s="20"/>
      <c r="B160" s="67">
        <f>'DATI nascosti 1'!$H$12*10^-3</f>
        <v>-3.5000000000000001E-3</v>
      </c>
      <c r="C160" s="68">
        <f>C159-('DATI nascosti 1'!$L$8*10^-3/100)</f>
        <v>5.3325000000000011E-2</v>
      </c>
      <c r="D160" s="68">
        <f>('DATI nascosti 1'!$H$12*(F160-'DATI nascosti 1'!$C$10))/(F160*1000)</f>
        <v>-1.2860389610389604E-3</v>
      </c>
      <c r="E160" s="67" t="s">
        <v>39</v>
      </c>
      <c r="F160" s="69">
        <f>(-'DATI nascosti 1'!$H$12*10^-3/(-'DATI nascosti 1'!$H$12*10^-3+C160))*'DATI nascosti 1'!$C$13</f>
        <v>71.139463264408249</v>
      </c>
      <c r="G160" s="70">
        <f t="shared" si="9"/>
        <v>39.978333333333296</v>
      </c>
      <c r="H160" s="70">
        <f t="shared" si="10"/>
        <v>81.720416666666537</v>
      </c>
      <c r="I160" s="70">
        <f>G160/('DATI nascosti 1'!$H$10*(-'DATI nascosti 1'!$H$12))</f>
        <v>0.80952380952380887</v>
      </c>
      <c r="J160" s="70">
        <f t="shared" si="8"/>
        <v>0.41596638655462226</v>
      </c>
      <c r="K160" s="71">
        <f>IF(D160&gt;=('DATI nascosti 1'!$L$10*10^-3),'DATI nascosti 1'!$L$14*'DATI nascosti 1'!$P$12,IF(D160&gt;=(-'DATI nascosti 1'!$L$10*10^-3),'DATI nascosti 1'!$L$16*D160*'DATI nascosti 1'!$P$12,-'DATI nascosti 1'!$L$14*'DATI nascosti 1'!$P$12))</f>
        <v>-422714.42652955401</v>
      </c>
      <c r="L160" s="71">
        <f>-'DATI nascosti 1'!$H$16*'DATI nascosti 1'!$C$6*I160*'DATI nascosti 1'!$H$10*F160</f>
        <v>-207208.42278926505</v>
      </c>
      <c r="M160" s="71">
        <f>IF(C160&gt;=('DATI nascosti 1'!$L$10*10^-3),'DATI nascosti 1'!$L$14*'DATI nascosti 1'!$P$11,IF(C160&gt;=(-'DATI nascosti 1'!$L$10*10^-3),'DATI nascosti 1'!$P$11*'DATI nascosti 1'!$L$16*C160,-'DATI nascosti 1'!$L$14*'DATI nascosti 1'!$P$11))</f>
        <v>614659.43222408998</v>
      </c>
      <c r="N160" s="71">
        <f t="shared" si="6"/>
        <v>-15263.417094729142</v>
      </c>
      <c r="O160" s="71">
        <f>-L160*('DATI nascosti 1'!$C$8/2-(J160*F160))-K160*('DATI nascosti 1'!$C$13/2)+M160*('DATI nascosti 1'!$C$13/2)</f>
        <v>717276823.06123304</v>
      </c>
      <c r="P160" s="69">
        <f>-TABULATI!N160/10^3</f>
        <v>15.263417094729142</v>
      </c>
      <c r="Q160" s="69">
        <f>TABULATI!O160/10^6</f>
        <v>717.27682306123302</v>
      </c>
      <c r="R160" s="72">
        <f>-N160/('DATI nascosti 1'!$C$6*'DATI nascosti 1'!$C$13*'DATI nascosti 1'!$H$10*'DATI nascosti 1'!$H$16)</f>
        <v>3.6728449398135739E-3</v>
      </c>
      <c r="S160" s="72">
        <f>O160/('DATI nascosti 1'!$H$16*'DATI nascosti 1'!$C$6*'DATI nascosti 1'!$C$13^2*'DATI nascosti 1'!$H$10)</f>
        <v>0.14943613803925182</v>
      </c>
      <c r="T160" s="73">
        <f t="shared" si="7"/>
        <v>-46993.20071053601</v>
      </c>
      <c r="U160" s="67" t="str">
        <f>IF(T160&gt;=0, IF(T160&lt;='DATI nascosti 1'!$C$8/6, "SI", "NO"),IF(T160&gt; -'DATI nascosti 1'!$C$8/6, "SI", "NO"))</f>
        <v>NO</v>
      </c>
      <c r="V160" s="67" t="str">
        <f>IF(Foglio3!G161&lt;1,IF(Foglio3!G161&gt;-1,"ROTTURA BILANCIATA",""),"")</f>
        <v/>
      </c>
    </row>
    <row r="161" spans="1:22" ht="18.75" x14ac:dyDescent="0.25">
      <c r="A161" s="20"/>
      <c r="B161" s="67">
        <f>'DATI nascosti 1'!$H$12*10^-3</f>
        <v>-3.5000000000000001E-3</v>
      </c>
      <c r="C161" s="68">
        <f>C160-('DATI nascosti 1'!$L$8*10^-3/100)</f>
        <v>5.2650000000000009E-2</v>
      </c>
      <c r="D161" s="68">
        <f>('DATI nascosti 1'!$H$12*(F161-'DATI nascosti 1'!$C$10))/(F161*1000)</f>
        <v>-1.3123376623376622E-3</v>
      </c>
      <c r="E161" s="67" t="s">
        <v>39</v>
      </c>
      <c r="F161" s="69">
        <f>(-'DATI nascosti 1'!$H$12*10^-3/(-'DATI nascosti 1'!$H$12*10^-3+C161))*'DATI nascosti 1'!$C$13</f>
        <v>71.994657168299184</v>
      </c>
      <c r="G161" s="70">
        <f t="shared" si="9"/>
        <v>39.978333333333296</v>
      </c>
      <c r="H161" s="70">
        <f t="shared" si="10"/>
        <v>81.720416666666537</v>
      </c>
      <c r="I161" s="70">
        <f>G161/('DATI nascosti 1'!$H$10*(-'DATI nascosti 1'!$H$12))</f>
        <v>0.80952380952380887</v>
      </c>
      <c r="J161" s="70">
        <f t="shared" si="8"/>
        <v>0.41596638655462226</v>
      </c>
      <c r="K161" s="71">
        <f>IF(D161&gt;=('DATI nascosti 1'!$L$10*10^-3),'DATI nascosti 1'!$L$14*'DATI nascosti 1'!$P$12,IF(D161&gt;=(-'DATI nascosti 1'!$L$10*10^-3),'DATI nascosti 1'!$L$16*D161*'DATI nascosti 1'!$P$12,-'DATI nascosti 1'!$L$14*'DATI nascosti 1'!$P$12))</f>
        <v>-431358.67509024427</v>
      </c>
      <c r="L161" s="71">
        <f>-'DATI nascosti 1'!$H$16*'DATI nascosti 1'!$C$6*I161*'DATI nascosti 1'!$H$10*F161</f>
        <v>-209699.35218165605</v>
      </c>
      <c r="M161" s="71">
        <f>IF(C161&gt;=('DATI nascosti 1'!$L$10*10^-3),'DATI nascosti 1'!$L$14*'DATI nascosti 1'!$P$11,IF(C161&gt;=(-'DATI nascosti 1'!$L$10*10^-3),'DATI nascosti 1'!$P$11*'DATI nascosti 1'!$L$16*C161,-'DATI nascosti 1'!$L$14*'DATI nascosti 1'!$P$11))</f>
        <v>614659.43222408998</v>
      </c>
      <c r="N161" s="71">
        <f t="shared" si="6"/>
        <v>-26398.595047810348</v>
      </c>
      <c r="O161" s="71">
        <f>-L161*('DATI nascosti 1'!$C$8/2-(J161*F161))-K161*('DATI nascosti 1'!$C$13/2)+M161*('DATI nascosti 1'!$C$13/2)</f>
        <v>723615126.83804464</v>
      </c>
      <c r="P161" s="69">
        <f>-TABULATI!N161/10^3</f>
        <v>26.398595047810346</v>
      </c>
      <c r="Q161" s="69">
        <f>TABULATI!O161/10^6</f>
        <v>723.6151268380446</v>
      </c>
      <c r="R161" s="72">
        <f>-N161/('DATI nascosti 1'!$C$6*'DATI nascosti 1'!$C$13*'DATI nascosti 1'!$H$10*'DATI nascosti 1'!$H$16)</f>
        <v>6.3523092920667176E-3</v>
      </c>
      <c r="S161" s="72">
        <f>O161/('DATI nascosti 1'!$H$16*'DATI nascosti 1'!$C$6*'DATI nascosti 1'!$C$13^2*'DATI nascosti 1'!$H$10)</f>
        <v>0.15075664862550489</v>
      </c>
      <c r="T161" s="73">
        <f t="shared" si="7"/>
        <v>-27411.122657380416</v>
      </c>
      <c r="U161" s="67" t="str">
        <f>IF(T161&gt;=0, IF(T161&lt;='DATI nascosti 1'!$C$8/6, "SI", "NO"),IF(T161&gt; -'DATI nascosti 1'!$C$8/6, "SI", "NO"))</f>
        <v>NO</v>
      </c>
      <c r="V161" s="67" t="str">
        <f>IF(Foglio3!G162&lt;1,IF(Foglio3!G162&gt;-1,"ROTTURA BILANCIATA",""),"")</f>
        <v/>
      </c>
    </row>
    <row r="162" spans="1:22" ht="18.75" x14ac:dyDescent="0.25">
      <c r="A162" s="20"/>
      <c r="B162" s="67">
        <f>'DATI nascosti 1'!$H$12*10^-3</f>
        <v>-3.5000000000000001E-3</v>
      </c>
      <c r="C162" s="68">
        <f>C161-('DATI nascosti 1'!$L$8*10^-3/100)</f>
        <v>5.1975000000000007E-2</v>
      </c>
      <c r="D162" s="68">
        <f>('DATI nascosti 1'!$H$12*(F162-'DATI nascosti 1'!$C$10))/(F162*1000)</f>
        <v>-1.3386363636363635E-3</v>
      </c>
      <c r="E162" s="67" t="s">
        <v>39</v>
      </c>
      <c r="F162" s="69">
        <f>(-'DATI nascosti 1'!$H$12*10^-3/(-'DATI nascosti 1'!$H$12*10^-3+C162))*'DATI nascosti 1'!$C$13</f>
        <v>72.870662460567814</v>
      </c>
      <c r="G162" s="70">
        <f t="shared" si="9"/>
        <v>39.978333333333296</v>
      </c>
      <c r="H162" s="70">
        <f t="shared" si="10"/>
        <v>81.720416666666537</v>
      </c>
      <c r="I162" s="70">
        <f>G162/('DATI nascosti 1'!$H$10*(-'DATI nascosti 1'!$H$12))</f>
        <v>0.80952380952380887</v>
      </c>
      <c r="J162" s="70">
        <f t="shared" si="8"/>
        <v>0.41596638655462226</v>
      </c>
      <c r="K162" s="71">
        <f>IF(D162&gt;=('DATI nascosti 1'!$L$10*10^-3),'DATI nascosti 1'!$L$14*'DATI nascosti 1'!$P$12,IF(D162&gt;=(-'DATI nascosti 1'!$L$10*10^-3),'DATI nascosti 1'!$L$16*D162*'DATI nascosti 1'!$P$12,-'DATI nascosti 1'!$L$14*'DATI nascosti 1'!$P$12))</f>
        <v>-440002.92365093448</v>
      </c>
      <c r="L162" s="71">
        <f>-'DATI nascosti 1'!$H$16*'DATI nascosti 1'!$C$6*I162*'DATI nascosti 1'!$H$10*F162</f>
        <v>-212250.89905362754</v>
      </c>
      <c r="M162" s="71">
        <f>IF(C162&gt;=('DATI nascosti 1'!$L$10*10^-3),'DATI nascosti 1'!$L$14*'DATI nascosti 1'!$P$11,IF(C162&gt;=(-'DATI nascosti 1'!$L$10*10^-3),'DATI nascosti 1'!$P$11*'DATI nascosti 1'!$L$16*C162,-'DATI nascosti 1'!$L$14*'DATI nascosti 1'!$P$11))</f>
        <v>614659.43222408998</v>
      </c>
      <c r="N162" s="71">
        <f t="shared" si="6"/>
        <v>-37594.390480472008</v>
      </c>
      <c r="O162" s="71">
        <f>-L162*('DATI nascosti 1'!$C$8/2-(J162*F162))-K162*('DATI nascosti 1'!$C$13/2)+M162*('DATI nascosti 1'!$C$13/2)</f>
        <v>729984354.57787287</v>
      </c>
      <c r="P162" s="69">
        <f>-TABULATI!N162/10^3</f>
        <v>37.594390480472008</v>
      </c>
      <c r="Q162" s="69">
        <f>TABULATI!O162/10^6</f>
        <v>729.98435457787286</v>
      </c>
      <c r="R162" s="72">
        <f>-N162/('DATI nascosti 1'!$C$6*'DATI nascosti 1'!$C$13*'DATI nascosti 1'!$H$10*'DATI nascosti 1'!$H$16)</f>
        <v>9.0463600637146514E-3</v>
      </c>
      <c r="S162" s="72">
        <f>O162/('DATI nascosti 1'!$H$16*'DATI nascosti 1'!$C$6*'DATI nascosti 1'!$C$13^2*'DATI nascosti 1'!$H$10)</f>
        <v>0.15208360185350728</v>
      </c>
      <c r="T162" s="73">
        <f t="shared" si="7"/>
        <v>-19417.37438081501</v>
      </c>
      <c r="U162" s="67" t="str">
        <f>IF(T162&gt;=0, IF(T162&lt;='DATI nascosti 1'!$C$8/6, "SI", "NO"),IF(T162&gt; -'DATI nascosti 1'!$C$8/6, "SI", "NO"))</f>
        <v>NO</v>
      </c>
      <c r="V162" s="67" t="str">
        <f>IF(Foglio3!G163&lt;1,IF(Foglio3!G163&gt;-1,"ROTTURA BILANCIATA",""),"")</f>
        <v/>
      </c>
    </row>
    <row r="163" spans="1:22" ht="18.75" x14ac:dyDescent="0.25">
      <c r="A163" s="20"/>
      <c r="B163" s="67">
        <f>'DATI nascosti 1'!$H$12*10^-3</f>
        <v>-3.5000000000000001E-3</v>
      </c>
      <c r="C163" s="68">
        <f>C162-('DATI nascosti 1'!$L$8*10^-3/100)</f>
        <v>5.1300000000000005E-2</v>
      </c>
      <c r="D163" s="68">
        <f>('DATI nascosti 1'!$H$12*(F163-'DATI nascosti 1'!$C$10))/(F163*1000)</f>
        <v>-1.3649350649350648E-3</v>
      </c>
      <c r="E163" s="67" t="s">
        <v>39</v>
      </c>
      <c r="F163" s="69">
        <f>(-'DATI nascosti 1'!$H$12*10^-3/(-'DATI nascosti 1'!$H$12*10^-3+C163))*'DATI nascosti 1'!$C$13</f>
        <v>73.768248175182478</v>
      </c>
      <c r="G163" s="70">
        <f t="shared" si="9"/>
        <v>39.978333333333296</v>
      </c>
      <c r="H163" s="70">
        <f t="shared" si="10"/>
        <v>81.720416666666537</v>
      </c>
      <c r="I163" s="70">
        <f>G163/('DATI nascosti 1'!$H$10*(-'DATI nascosti 1'!$H$12))</f>
        <v>0.80952380952380887</v>
      </c>
      <c r="J163" s="70">
        <f t="shared" si="8"/>
        <v>0.41596638655462226</v>
      </c>
      <c r="K163" s="71">
        <f>IF(D163&gt;=('DATI nascosti 1'!$L$10*10^-3),'DATI nascosti 1'!$L$14*'DATI nascosti 1'!$P$12,IF(D163&gt;=(-'DATI nascosti 1'!$L$10*10^-3),'DATI nascosti 1'!$L$16*D163*'DATI nascosti 1'!$P$12,-'DATI nascosti 1'!$L$14*'DATI nascosti 1'!$P$12))</f>
        <v>-448647.1722116248</v>
      </c>
      <c r="L163" s="71">
        <f>-'DATI nascosti 1'!$H$16*'DATI nascosti 1'!$C$6*I163*'DATI nascosti 1'!$H$10*F163</f>
        <v>-214865.30337591222</v>
      </c>
      <c r="M163" s="71">
        <f>IF(C163&gt;=('DATI nascosti 1'!$L$10*10^-3),'DATI nascosti 1'!$L$14*'DATI nascosti 1'!$P$11,IF(C163&gt;=(-'DATI nascosti 1'!$L$10*10^-3),'DATI nascosti 1'!$P$11*'DATI nascosti 1'!$L$16*C163,-'DATI nascosti 1'!$L$14*'DATI nascosti 1'!$P$11))</f>
        <v>614659.43222408998</v>
      </c>
      <c r="N163" s="71">
        <f t="shared" si="6"/>
        <v>-48853.043363447068</v>
      </c>
      <c r="O163" s="71">
        <f>-L163*('DATI nascosti 1'!$C$8/2-(J163*F163))-K163*('DATI nascosti 1'!$C$13/2)+M163*('DATI nascosti 1'!$C$13/2)</f>
        <v>736385580.26640224</v>
      </c>
      <c r="P163" s="69">
        <f>-TABULATI!N163/10^3</f>
        <v>48.853043363447071</v>
      </c>
      <c r="Q163" s="69">
        <f>TABULATI!O163/10^6</f>
        <v>736.38558026640226</v>
      </c>
      <c r="R163" s="72">
        <f>-N163/('DATI nascosti 1'!$C$6*'DATI nascosti 1'!$C$13*'DATI nascosti 1'!$H$10*'DATI nascosti 1'!$H$16)</f>
        <v>1.1755536260218653E-2</v>
      </c>
      <c r="S163" s="72">
        <f>O163/('DATI nascosti 1'!$H$16*'DATI nascosti 1'!$C$6*'DATI nascosti 1'!$C$13^2*'DATI nascosti 1'!$H$10)</f>
        <v>0.1534172214754671</v>
      </c>
      <c r="T163" s="73">
        <f t="shared" si="7"/>
        <v>-15073.484261522635</v>
      </c>
      <c r="U163" s="67" t="str">
        <f>IF(T163&gt;=0, IF(T163&lt;='DATI nascosti 1'!$C$8/6, "SI", "NO"),IF(T163&gt; -'DATI nascosti 1'!$C$8/6, "SI", "NO"))</f>
        <v>NO</v>
      </c>
      <c r="V163" s="67" t="str">
        <f>IF(Foglio3!G164&lt;1,IF(Foglio3!G164&gt;-1,"ROTTURA BILANCIATA",""),"")</f>
        <v/>
      </c>
    </row>
    <row r="164" spans="1:22" ht="18.75" x14ac:dyDescent="0.25">
      <c r="A164" s="20"/>
      <c r="B164" s="67">
        <f>'DATI nascosti 1'!$H$12*10^-3</f>
        <v>-3.5000000000000001E-3</v>
      </c>
      <c r="C164" s="68">
        <f>C163-('DATI nascosti 1'!$L$8*10^-3/100)</f>
        <v>5.0625000000000003E-2</v>
      </c>
      <c r="D164" s="68">
        <f>('DATI nascosti 1'!$H$12*(F164-'DATI nascosti 1'!$C$10))/(F164*1000)</f>
        <v>-1.3912337662337656E-3</v>
      </c>
      <c r="E164" s="67" t="s">
        <v>39</v>
      </c>
      <c r="F164" s="69">
        <f>(-'DATI nascosti 1'!$H$12*10^-3/(-'DATI nascosti 1'!$H$12*10^-3+C164))*'DATI nascosti 1'!$C$13</f>
        <v>74.68822170900691</v>
      </c>
      <c r="G164" s="70">
        <f t="shared" si="9"/>
        <v>39.978333333333296</v>
      </c>
      <c r="H164" s="70">
        <f t="shared" si="10"/>
        <v>81.720416666666537</v>
      </c>
      <c r="I164" s="70">
        <f>G164/('DATI nascosti 1'!$H$10*(-'DATI nascosti 1'!$H$12))</f>
        <v>0.80952380952380887</v>
      </c>
      <c r="J164" s="70">
        <f t="shared" si="8"/>
        <v>0.41596638655462226</v>
      </c>
      <c r="K164" s="71">
        <f>IF(D164&gt;=('DATI nascosti 1'!$L$10*10^-3),'DATI nascosti 1'!$L$14*'DATI nascosti 1'!$P$12,IF(D164&gt;=(-'DATI nascosti 1'!$L$10*10^-3),'DATI nascosti 1'!$L$16*D164*'DATI nascosti 1'!$P$12,-'DATI nascosti 1'!$L$14*'DATI nascosti 1'!$P$12))</f>
        <v>-457291.42077231483</v>
      </c>
      <c r="L164" s="71">
        <f>-'DATI nascosti 1'!$H$16*'DATI nascosti 1'!$C$6*I164*'DATI nascosti 1'!$H$10*F164</f>
        <v>-217544.91685912217</v>
      </c>
      <c r="M164" s="71">
        <f>IF(C164&gt;=('DATI nascosti 1'!$L$10*10^-3),'DATI nascosti 1'!$L$14*'DATI nascosti 1'!$P$11,IF(C164&gt;=(-'DATI nascosti 1'!$L$10*10^-3),'DATI nascosti 1'!$P$11*'DATI nascosti 1'!$L$16*C164,-'DATI nascosti 1'!$L$14*'DATI nascosti 1'!$P$11))</f>
        <v>614659.43222408998</v>
      </c>
      <c r="N164" s="71">
        <f t="shared" si="6"/>
        <v>-60176.905407347018</v>
      </c>
      <c r="O164" s="71">
        <f>-L164*('DATI nascosti 1'!$C$8/2-(J164*F164))-K164*('DATI nascosti 1'!$C$13/2)+M164*('DATI nascosti 1'!$C$13/2)</f>
        <v>742819927.99307299</v>
      </c>
      <c r="P164" s="69">
        <f>-TABULATI!N164/10^3</f>
        <v>60.176905407347014</v>
      </c>
      <c r="Q164" s="69">
        <f>TABULATI!O164/10^6</f>
        <v>742.81992799307295</v>
      </c>
      <c r="R164" s="72">
        <f>-N164/('DATI nascosti 1'!$C$6*'DATI nascosti 1'!$C$13*'DATI nascosti 1'!$H$10*'DATI nascosti 1'!$H$16)</f>
        <v>1.4480403775072015E-2</v>
      </c>
      <c r="S164" s="72">
        <f>O164/('DATI nascosti 1'!$H$16*'DATI nascosti 1'!$C$6*'DATI nascosti 1'!$C$13^2*'DATI nascosti 1'!$H$10)</f>
        <v>0.15475774168211714</v>
      </c>
      <c r="T164" s="73">
        <f t="shared" si="7"/>
        <v>-12343.936979889662</v>
      </c>
      <c r="U164" s="67" t="str">
        <f>IF(T164&gt;=0, IF(T164&lt;='DATI nascosti 1'!$C$8/6, "SI", "NO"),IF(T164&gt; -'DATI nascosti 1'!$C$8/6, "SI", "NO"))</f>
        <v>NO</v>
      </c>
      <c r="V164" s="67" t="str">
        <f>IF(Foglio3!G165&lt;1,IF(Foglio3!G165&gt;-1,"ROTTURA BILANCIATA",""),"")</f>
        <v/>
      </c>
    </row>
    <row r="165" spans="1:22" ht="18.75" x14ac:dyDescent="0.25">
      <c r="A165" s="20"/>
      <c r="B165" s="67">
        <f>'DATI nascosti 1'!$H$12*10^-3</f>
        <v>-3.5000000000000001E-3</v>
      </c>
      <c r="C165" s="68">
        <f>C164-('DATI nascosti 1'!$L$8*10^-3/100)</f>
        <v>4.9950000000000001E-2</v>
      </c>
      <c r="D165" s="68">
        <f>('DATI nascosti 1'!$H$12*(F165-'DATI nascosti 1'!$C$10))/(F165*1000)</f>
        <v>-1.4175324675324672E-3</v>
      </c>
      <c r="E165" s="67" t="s">
        <v>39</v>
      </c>
      <c r="F165" s="69">
        <f>(-'DATI nascosti 1'!$H$12*10^-3/(-'DATI nascosti 1'!$H$12*10^-3+C165))*'DATI nascosti 1'!$C$13</f>
        <v>75.631431244153404</v>
      </c>
      <c r="G165" s="70">
        <f t="shared" si="9"/>
        <v>39.978333333333296</v>
      </c>
      <c r="H165" s="70">
        <f t="shared" si="10"/>
        <v>81.720416666666537</v>
      </c>
      <c r="I165" s="70">
        <f>G165/('DATI nascosti 1'!$H$10*(-'DATI nascosti 1'!$H$12))</f>
        <v>0.80952380952380887</v>
      </c>
      <c r="J165" s="70">
        <f t="shared" si="8"/>
        <v>0.41596638655462226</v>
      </c>
      <c r="K165" s="71">
        <f>IF(D165&gt;=('DATI nascosti 1'!$L$10*10^-3),'DATI nascosti 1'!$L$14*'DATI nascosti 1'!$P$12,IF(D165&gt;=(-'DATI nascosti 1'!$L$10*10^-3),'DATI nascosti 1'!$L$16*D165*'DATI nascosti 1'!$P$12,-'DATI nascosti 1'!$L$14*'DATI nascosti 1'!$P$12))</f>
        <v>-465935.66933300509</v>
      </c>
      <c r="L165" s="71">
        <f>-'DATI nascosti 1'!$H$16*'DATI nascosti 1'!$C$6*I165*'DATI nascosti 1'!$H$10*F165</f>
        <v>-220292.21000935431</v>
      </c>
      <c r="M165" s="71">
        <f>IF(C165&gt;=('DATI nascosti 1'!$L$10*10^-3),'DATI nascosti 1'!$L$14*'DATI nascosti 1'!$P$11,IF(C165&gt;=(-'DATI nascosti 1'!$L$10*10^-3),'DATI nascosti 1'!$P$11*'DATI nascosti 1'!$L$16*C165,-'DATI nascosti 1'!$L$14*'DATI nascosti 1'!$P$11))</f>
        <v>614659.43222408998</v>
      </c>
      <c r="N165" s="71">
        <f t="shared" si="6"/>
        <v>-71568.447118269396</v>
      </c>
      <c r="O165" s="71">
        <f>-L165*('DATI nascosti 1'!$C$8/2-(J165*F165))-K165*('DATI nascosti 1'!$C$13/2)+M165*('DATI nascosti 1'!$C$13/2)</f>
        <v>749288574.89282</v>
      </c>
      <c r="P165" s="69">
        <f>-TABULATI!N165/10^3</f>
        <v>71.56844711826939</v>
      </c>
      <c r="Q165" s="69">
        <f>TABULATI!O165/10^6</f>
        <v>749.28857489281995</v>
      </c>
      <c r="R165" s="72">
        <f>-N165/('DATI nascosti 1'!$C$6*'DATI nascosti 1'!$C$13*'DATI nascosti 1'!$H$10*'DATI nascosti 1'!$H$16)</f>
        <v>1.7221557087594985E-2</v>
      </c>
      <c r="S165" s="72">
        <f>O165/('DATI nascosti 1'!$H$16*'DATI nascosti 1'!$C$6*'DATI nascosti 1'!$C$13^2*'DATI nascosti 1'!$H$10)</f>
        <v>0.15610540771559114</v>
      </c>
      <c r="T165" s="73">
        <f t="shared" si="7"/>
        <v>-10469.537974669118</v>
      </c>
      <c r="U165" s="67" t="str">
        <f>IF(T165&gt;=0, IF(T165&lt;='DATI nascosti 1'!$C$8/6, "SI", "NO"),IF(T165&gt; -'DATI nascosti 1'!$C$8/6, "SI", "NO"))</f>
        <v>NO</v>
      </c>
      <c r="V165" s="67" t="str">
        <f>IF(Foglio3!G166&lt;1,IF(Foglio3!G166&gt;-1,"ROTTURA BILANCIATA",""),"")</f>
        <v/>
      </c>
    </row>
    <row r="166" spans="1:22" ht="18.75" x14ac:dyDescent="0.25">
      <c r="A166" s="20"/>
      <c r="B166" s="67">
        <f>'DATI nascosti 1'!$H$12*10^-3</f>
        <v>-3.5000000000000001E-3</v>
      </c>
      <c r="C166" s="68">
        <f>C165-('DATI nascosti 1'!$L$8*10^-3/100)</f>
        <v>4.9274999999999999E-2</v>
      </c>
      <c r="D166" s="68">
        <f>('DATI nascosti 1'!$H$12*(F166-'DATI nascosti 1'!$C$10))/(F166*1000)</f>
        <v>-1.4438311688311689E-3</v>
      </c>
      <c r="E166" s="67" t="s">
        <v>39</v>
      </c>
      <c r="F166" s="69">
        <f>(-'DATI nascosti 1'!$H$12*10^-3/(-'DATI nascosti 1'!$H$12*10^-3+C166))*'DATI nascosti 1'!$C$13</f>
        <v>76.598768356229272</v>
      </c>
      <c r="G166" s="70">
        <f t="shared" si="9"/>
        <v>39.978333333333296</v>
      </c>
      <c r="H166" s="70">
        <f t="shared" si="10"/>
        <v>81.720416666666537</v>
      </c>
      <c r="I166" s="70">
        <f>G166/('DATI nascosti 1'!$H$10*(-'DATI nascosti 1'!$H$12))</f>
        <v>0.80952380952380887</v>
      </c>
      <c r="J166" s="70">
        <f t="shared" si="8"/>
        <v>0.41596638655462226</v>
      </c>
      <c r="K166" s="71">
        <f>IF(D166&gt;=('DATI nascosti 1'!$L$10*10^-3),'DATI nascosti 1'!$L$14*'DATI nascosti 1'!$P$12,IF(D166&gt;=(-'DATI nascosti 1'!$L$10*10^-3),'DATI nascosti 1'!$L$16*D166*'DATI nascosti 1'!$P$12,-'DATI nascosti 1'!$L$14*'DATI nascosti 1'!$P$12))</f>
        <v>-474579.91789369547</v>
      </c>
      <c r="L166" s="71">
        <f>-'DATI nascosti 1'!$H$16*'DATI nascosti 1'!$C$6*I166*'DATI nascosti 1'!$H$10*F166</f>
        <v>-223109.77972524849</v>
      </c>
      <c r="M166" s="71">
        <f>IF(C166&gt;=('DATI nascosti 1'!$L$10*10^-3),'DATI nascosti 1'!$L$14*'DATI nascosti 1'!$P$11,IF(C166&gt;=(-'DATI nascosti 1'!$L$10*10^-3),'DATI nascosti 1'!$P$11*'DATI nascosti 1'!$L$16*C166,-'DATI nascosti 1'!$L$14*'DATI nascosti 1'!$P$11))</f>
        <v>614659.43222408998</v>
      </c>
      <c r="N166" s="71">
        <f t="shared" si="6"/>
        <v>-83030.26539485401</v>
      </c>
      <c r="O166" s="71">
        <f>-L166*('DATI nascosti 1'!$C$8/2-(J166*F166))-K166*('DATI nascosti 1'!$C$13/2)+M166*('DATI nascosti 1'!$C$13/2)</f>
        <v>755792754.29630804</v>
      </c>
      <c r="P166" s="69">
        <f>-TABULATI!N166/10^3</f>
        <v>83.030265394854013</v>
      </c>
      <c r="Q166" s="69">
        <f>TABULATI!O166/10^6</f>
        <v>755.79275429630809</v>
      </c>
      <c r="R166" s="72">
        <f>-N166/('DATI nascosti 1'!$C$6*'DATI nascosti 1'!$C$13*'DATI nascosti 1'!$H$10*'DATI nascosti 1'!$H$16)</f>
        <v>1.9979621091018824E-2</v>
      </c>
      <c r="S166" s="72">
        <f>O166/('DATI nascosti 1'!$H$16*'DATI nascosti 1'!$C$6*'DATI nascosti 1'!$C$13^2*'DATI nascosti 1'!$H$10)</f>
        <v>0.15746047652573827</v>
      </c>
      <c r="T166" s="73">
        <f t="shared" si="7"/>
        <v>-9102.61759012937</v>
      </c>
      <c r="U166" s="67" t="str">
        <f>IF(T166&gt;=0, IF(T166&lt;='DATI nascosti 1'!$C$8/6, "SI", "NO"),IF(T166&gt; -'DATI nascosti 1'!$C$8/6, "SI", "NO"))</f>
        <v>NO</v>
      </c>
      <c r="V166" s="67" t="str">
        <f>IF(Foglio3!G167&lt;1,IF(Foglio3!G167&gt;-1,"ROTTURA BILANCIATA",""),"")</f>
        <v/>
      </c>
    </row>
    <row r="167" spans="1:22" ht="18.75" x14ac:dyDescent="0.25">
      <c r="A167" s="20"/>
      <c r="B167" s="67">
        <f>'DATI nascosti 1'!$H$12*10^-3</f>
        <v>-3.5000000000000001E-3</v>
      </c>
      <c r="C167" s="68">
        <f>C166-('DATI nascosti 1'!$L$8*10^-3/100)</f>
        <v>4.8599999999999997E-2</v>
      </c>
      <c r="D167" s="68">
        <f>('DATI nascosti 1'!$H$12*(F167-'DATI nascosti 1'!$C$10))/(F167*1000)</f>
        <v>-1.4701298701298702E-3</v>
      </c>
      <c r="E167" s="67" t="s">
        <v>39</v>
      </c>
      <c r="F167" s="69">
        <f>(-'DATI nascosti 1'!$H$12*10^-3/(-'DATI nascosti 1'!$H$12*10^-3+C167))*'DATI nascosti 1'!$C$13</f>
        <v>77.591170825335894</v>
      </c>
      <c r="G167" s="70">
        <f t="shared" si="9"/>
        <v>39.978333333333296</v>
      </c>
      <c r="H167" s="70">
        <f t="shared" si="10"/>
        <v>81.720416666666537</v>
      </c>
      <c r="I167" s="70">
        <f>G167/('DATI nascosti 1'!$H$10*(-'DATI nascosti 1'!$H$12))</f>
        <v>0.80952380952380887</v>
      </c>
      <c r="J167" s="70">
        <f t="shared" si="8"/>
        <v>0.41596638655462226</v>
      </c>
      <c r="K167" s="71">
        <f>IF(D167&gt;=('DATI nascosti 1'!$L$10*10^-3),'DATI nascosti 1'!$L$14*'DATI nascosti 1'!$P$12,IF(D167&gt;=(-'DATI nascosti 1'!$L$10*10^-3),'DATI nascosti 1'!$L$16*D167*'DATI nascosti 1'!$P$12,-'DATI nascosti 1'!$L$14*'DATI nascosti 1'!$P$12))</f>
        <v>-483224.16645438568</v>
      </c>
      <c r="L167" s="71">
        <f>-'DATI nascosti 1'!$H$16*'DATI nascosti 1'!$C$6*I167*'DATI nascosti 1'!$H$10*F167</f>
        <v>-226000.35748560441</v>
      </c>
      <c r="M167" s="71">
        <f>IF(C167&gt;=('DATI nascosti 1'!$L$10*10^-3),'DATI nascosti 1'!$L$14*'DATI nascosti 1'!$P$11,IF(C167&gt;=(-'DATI nascosti 1'!$L$10*10^-3),'DATI nascosti 1'!$P$11*'DATI nascosti 1'!$L$16*C167,-'DATI nascosti 1'!$L$14*'DATI nascosti 1'!$P$11))</f>
        <v>614659.43222408998</v>
      </c>
      <c r="N167" s="71">
        <f t="shared" si="6"/>
        <v>-94565.091715900111</v>
      </c>
      <c r="O167" s="71">
        <f>-L167*('DATI nascosti 1'!$C$8/2-(J167*F167))-K167*('DATI nascosti 1'!$C$13/2)+M167*('DATI nascosti 1'!$C$13/2)</f>
        <v>762333759.10599327</v>
      </c>
      <c r="P167" s="69">
        <f>-TABULATI!N167/10^3</f>
        <v>94.56509171590011</v>
      </c>
      <c r="Q167" s="69">
        <f>TABULATI!O167/10^6</f>
        <v>762.33375910599329</v>
      </c>
      <c r="R167" s="72">
        <f>-N167/('DATI nascosti 1'!$C$6*'DATI nascosti 1'!$C$13*'DATI nascosti 1'!$H$10*'DATI nascosti 1'!$H$16)</f>
        <v>2.2755253062676898E-2</v>
      </c>
      <c r="S167" s="72">
        <f>O167/('DATI nascosti 1'!$H$16*'DATI nascosti 1'!$C$6*'DATI nascosti 1'!$C$13^2*'DATI nascosti 1'!$H$10)</f>
        <v>0.15882321747348543</v>
      </c>
      <c r="T167" s="73">
        <f t="shared" si="7"/>
        <v>-8061.4711546651524</v>
      </c>
      <c r="U167" s="67" t="str">
        <f>IF(T167&gt;=0, IF(T167&lt;='DATI nascosti 1'!$C$8/6, "SI", "NO"),IF(T167&gt; -'DATI nascosti 1'!$C$8/6, "SI", "NO"))</f>
        <v>NO</v>
      </c>
      <c r="V167" s="67" t="str">
        <f>IF(Foglio3!G168&lt;1,IF(Foglio3!G168&gt;-1,"ROTTURA BILANCIATA",""),"")</f>
        <v/>
      </c>
    </row>
    <row r="168" spans="1:22" ht="18.75" x14ac:dyDescent="0.25">
      <c r="A168" s="20"/>
      <c r="B168" s="67">
        <f>'DATI nascosti 1'!$H$12*10^-3</f>
        <v>-3.5000000000000001E-3</v>
      </c>
      <c r="C168" s="68">
        <f>C167-('DATI nascosti 1'!$L$8*10^-3/100)</f>
        <v>4.7924999999999995E-2</v>
      </c>
      <c r="D168" s="68">
        <f>('DATI nascosti 1'!$H$12*(F168-'DATI nascosti 1'!$C$10))/(F168*1000)</f>
        <v>-1.4964285714285713E-3</v>
      </c>
      <c r="E168" s="67" t="s">
        <v>39</v>
      </c>
      <c r="F168" s="69">
        <f>(-'DATI nascosti 1'!$H$12*10^-3/(-'DATI nascosti 1'!$H$12*10^-3+C168))*'DATI nascosti 1'!$C$13</f>
        <v>78.609625668449198</v>
      </c>
      <c r="G168" s="70">
        <f t="shared" si="9"/>
        <v>39.978333333333296</v>
      </c>
      <c r="H168" s="70">
        <f t="shared" si="10"/>
        <v>81.720416666666537</v>
      </c>
      <c r="I168" s="70">
        <f>G168/('DATI nascosti 1'!$H$10*(-'DATI nascosti 1'!$H$12))</f>
        <v>0.80952380952380887</v>
      </c>
      <c r="J168" s="70">
        <f t="shared" ref="J168:J199" si="11">1-(H168/G168)/(-B168*10^3)</f>
        <v>0.41596638655462226</v>
      </c>
      <c r="K168" s="71">
        <f>IF(D168&gt;=('DATI nascosti 1'!$L$10*10^-3),'DATI nascosti 1'!$L$14*'DATI nascosti 1'!$P$12,IF(D168&gt;=(-'DATI nascosti 1'!$L$10*10^-3),'DATI nascosti 1'!$L$16*D168*'DATI nascosti 1'!$P$12,-'DATI nascosti 1'!$L$14*'DATI nascosti 1'!$P$12))</f>
        <v>-491868.41501507576</v>
      </c>
      <c r="L168" s="71">
        <f>-'DATI nascosti 1'!$H$16*'DATI nascosti 1'!$C$6*I168*'DATI nascosti 1'!$H$10*F168</f>
        <v>-228966.81818181797</v>
      </c>
      <c r="M168" s="71">
        <f>IF(C168&gt;=('DATI nascosti 1'!$L$10*10^-3),'DATI nascosti 1'!$L$14*'DATI nascosti 1'!$P$11,IF(C168&gt;=(-'DATI nascosti 1'!$L$10*10^-3),'DATI nascosti 1'!$P$11*'DATI nascosti 1'!$L$16*C168,-'DATI nascosti 1'!$L$14*'DATI nascosti 1'!$P$11))</f>
        <v>614659.43222408998</v>
      </c>
      <c r="N168" s="71">
        <f t="shared" si="6"/>
        <v>-106175.80097280373</v>
      </c>
      <c r="O168" s="71">
        <f>-L168*('DATI nascosti 1'!$C$8/2-(J168*F168))-K168*('DATI nascosti 1'!$C$13/2)+M168*('DATI nascosti 1'!$C$13/2)</f>
        <v>768912945.4169817</v>
      </c>
      <c r="P168" s="69">
        <f>-TABULATI!N168/10^3</f>
        <v>106.17580097280373</v>
      </c>
      <c r="Q168" s="69">
        <f>TABULATI!O168/10^6</f>
        <v>768.91294541698164</v>
      </c>
      <c r="R168" s="72">
        <f>-N168/('DATI nascosti 1'!$C$6*'DATI nascosti 1'!$C$13*'DATI nascosti 1'!$H$10*'DATI nascosti 1'!$H$16)</f>
        <v>2.5549144789359209E-2</v>
      </c>
      <c r="S168" s="72">
        <f>O168/('DATI nascosti 1'!$H$16*'DATI nascosti 1'!$C$6*'DATI nascosti 1'!$C$13^2*'DATI nascosti 1'!$H$10)</f>
        <v>0.16019391308520031</v>
      </c>
      <c r="T168" s="73">
        <f t="shared" si="7"/>
        <v>-7241.8850469885692</v>
      </c>
      <c r="U168" s="67" t="str">
        <f>IF(T168&gt;=0, IF(T168&lt;='DATI nascosti 1'!$C$8/6, "SI", "NO"),IF(T168&gt; -'DATI nascosti 1'!$C$8/6, "SI", "NO"))</f>
        <v>NO</v>
      </c>
      <c r="V168" s="67" t="str">
        <f>IF(Foglio3!G169&lt;1,IF(Foglio3!G169&gt;-1,"ROTTURA BILANCIATA",""),"")</f>
        <v/>
      </c>
    </row>
    <row r="169" spans="1:22" ht="18.75" x14ac:dyDescent="0.25">
      <c r="A169" s="20"/>
      <c r="B169" s="67">
        <f>'DATI nascosti 1'!$H$12*10^-3</f>
        <v>-3.5000000000000001E-3</v>
      </c>
      <c r="C169" s="68">
        <f>C168-('DATI nascosti 1'!$L$8*10^-3/100)</f>
        <v>4.7249999999999993E-2</v>
      </c>
      <c r="D169" s="68">
        <f>('DATI nascosti 1'!$H$12*(F169-'DATI nascosti 1'!$C$10))/(F169*1000)</f>
        <v>-1.522727272727273E-3</v>
      </c>
      <c r="E169" s="67" t="s">
        <v>39</v>
      </c>
      <c r="F169" s="69">
        <f>(-'DATI nascosti 1'!$H$12*10^-3/(-'DATI nascosti 1'!$H$12*10^-3+C169))*'DATI nascosti 1'!$C$13</f>
        <v>79.655172413793125</v>
      </c>
      <c r="G169" s="70">
        <f t="shared" si="9"/>
        <v>39.978333333333296</v>
      </c>
      <c r="H169" s="70">
        <f t="shared" si="10"/>
        <v>81.720416666666537</v>
      </c>
      <c r="I169" s="70">
        <f>G169/('DATI nascosti 1'!$H$10*(-'DATI nascosti 1'!$H$12))</f>
        <v>0.80952380952380887</v>
      </c>
      <c r="J169" s="70">
        <f t="shared" si="11"/>
        <v>0.41596638655462226</v>
      </c>
      <c r="K169" s="71">
        <f>IF(D169&gt;=('DATI nascosti 1'!$L$10*10^-3),'DATI nascosti 1'!$L$14*'DATI nascosti 1'!$P$12,IF(D169&gt;=(-'DATI nascosti 1'!$L$10*10^-3),'DATI nascosti 1'!$L$16*D169*'DATI nascosti 1'!$P$12,-'DATI nascosti 1'!$L$14*'DATI nascosti 1'!$P$12))</f>
        <v>-500512.66357576614</v>
      </c>
      <c r="L169" s="71">
        <f>-'DATI nascosti 1'!$H$16*'DATI nascosti 1'!$C$6*I169*'DATI nascosti 1'!$H$10*F169</f>
        <v>-232012.18965517226</v>
      </c>
      <c r="M169" s="71">
        <f>IF(C169&gt;=('DATI nascosti 1'!$L$10*10^-3),'DATI nascosti 1'!$L$14*'DATI nascosti 1'!$P$11,IF(C169&gt;=(-'DATI nascosti 1'!$L$10*10^-3),'DATI nascosti 1'!$P$11*'DATI nascosti 1'!$L$16*C169,-'DATI nascosti 1'!$L$14*'DATI nascosti 1'!$P$11))</f>
        <v>614659.43222408998</v>
      </c>
      <c r="N169" s="71">
        <f t="shared" si="6"/>
        <v>-117865.42100684845</v>
      </c>
      <c r="O169" s="71">
        <f>-L169*('DATI nascosti 1'!$C$8/2-(J169*F169))-K169*('DATI nascosti 1'!$C$13/2)+M169*('DATI nascosti 1'!$C$13/2)</f>
        <v>775531736.40348935</v>
      </c>
      <c r="P169" s="69">
        <f>-TABULATI!N169/10^3</f>
        <v>117.86542100684845</v>
      </c>
      <c r="Q169" s="69">
        <f>TABULATI!O169/10^6</f>
        <v>775.53173640348939</v>
      </c>
      <c r="R169" s="72">
        <f>-N169/('DATI nascosti 1'!$C$6*'DATI nascosti 1'!$C$13*'DATI nascosti 1'!$H$10*'DATI nascosti 1'!$H$16)</f>
        <v>2.8362024862276226E-2</v>
      </c>
      <c r="S169" s="72">
        <f>O169/('DATI nascosti 1'!$H$16*'DATI nascosti 1'!$C$6*'DATI nascosti 1'!$C$13^2*'DATI nascosti 1'!$H$10)</f>
        <v>0.1615728598623894</v>
      </c>
      <c r="T169" s="73">
        <f t="shared" si="7"/>
        <v>-6579.8071205160995</v>
      </c>
      <c r="U169" s="67" t="str">
        <f>IF(T169&gt;=0, IF(T169&lt;='DATI nascosti 1'!$C$8/6, "SI", "NO"),IF(T169&gt; -'DATI nascosti 1'!$C$8/6, "SI", "NO"))</f>
        <v>NO</v>
      </c>
      <c r="V169" s="67" t="str">
        <f>IF(Foglio3!G170&lt;1,IF(Foglio3!G170&gt;-1,"ROTTURA BILANCIATA",""),"")</f>
        <v/>
      </c>
    </row>
    <row r="170" spans="1:22" ht="18.75" x14ac:dyDescent="0.25">
      <c r="A170" s="20"/>
      <c r="B170" s="67">
        <f>'DATI nascosti 1'!$H$12*10^-3</f>
        <v>-3.5000000000000001E-3</v>
      </c>
      <c r="C170" s="68">
        <f>C169-('DATI nascosti 1'!$L$8*10^-3/100)</f>
        <v>4.6574999999999991E-2</v>
      </c>
      <c r="D170" s="68">
        <f>('DATI nascosti 1'!$H$12*(F170-'DATI nascosti 1'!$C$10))/(F170*1000)</f>
        <v>-1.5490259740259743E-3</v>
      </c>
      <c r="E170" s="67" t="s">
        <v>39</v>
      </c>
      <c r="F170" s="69">
        <f>(-'DATI nascosti 1'!$H$12*10^-3/(-'DATI nascosti 1'!$H$12*10^-3+C170))*'DATI nascosti 1'!$C$13</f>
        <v>80.728906640039952</v>
      </c>
      <c r="G170" s="70">
        <f t="shared" si="9"/>
        <v>39.978333333333296</v>
      </c>
      <c r="H170" s="70">
        <f t="shared" si="10"/>
        <v>81.720416666666537</v>
      </c>
      <c r="I170" s="70">
        <f>G170/('DATI nascosti 1'!$H$10*(-'DATI nascosti 1'!$H$12))</f>
        <v>0.80952380952380887</v>
      </c>
      <c r="J170" s="70">
        <f t="shared" si="11"/>
        <v>0.41596638655462226</v>
      </c>
      <c r="K170" s="71">
        <f>IF(D170&gt;=('DATI nascosti 1'!$L$10*10^-3),'DATI nascosti 1'!$L$14*'DATI nascosti 1'!$P$12,IF(D170&gt;=(-'DATI nascosti 1'!$L$10*10^-3),'DATI nascosti 1'!$L$16*D170*'DATI nascosti 1'!$P$12,-'DATI nascosti 1'!$L$14*'DATI nascosti 1'!$P$12))</f>
        <v>-509156.91213645635</v>
      </c>
      <c r="L170" s="71">
        <f>-'DATI nascosti 1'!$H$16*'DATI nascosti 1'!$C$6*I170*'DATI nascosti 1'!$H$10*F170</f>
        <v>-235139.6630054916</v>
      </c>
      <c r="M170" s="71">
        <f>IF(C170&gt;=('DATI nascosti 1'!$L$10*10^-3),'DATI nascosti 1'!$L$14*'DATI nascosti 1'!$P$11,IF(C170&gt;=(-'DATI nascosti 1'!$L$10*10^-3),'DATI nascosti 1'!$P$11*'DATI nascosti 1'!$L$16*C170,-'DATI nascosti 1'!$L$14*'DATI nascosti 1'!$P$11))</f>
        <v>614659.43222408998</v>
      </c>
      <c r="N170" s="71">
        <f t="shared" si="6"/>
        <v>-129637.14291785797</v>
      </c>
      <c r="O170" s="71">
        <f>-L170*('DATI nascosti 1'!$C$8/2-(J170*F170))-K170*('DATI nascosti 1'!$C$13/2)+M170*('DATI nascosti 1'!$C$13/2)</f>
        <v>782191626.49372923</v>
      </c>
      <c r="P170" s="69">
        <f>-TABULATI!N170/10^3</f>
        <v>129.63714291785797</v>
      </c>
      <c r="Q170" s="69">
        <f>TABULATI!O170/10^6</f>
        <v>782.19162649372925</v>
      </c>
      <c r="R170" s="72">
        <f>-N170/('DATI nascosti 1'!$C$6*'DATI nascosti 1'!$C$13*'DATI nascosti 1'!$H$10*'DATI nascosti 1'!$H$16)</f>
        <v>3.1194661157635951E-2</v>
      </c>
      <c r="S170" s="72">
        <f>O170/('DATI nascosti 1'!$H$16*'DATI nascosti 1'!$C$6*'DATI nascosti 1'!$C$13^2*'DATI nascosti 1'!$H$10)</f>
        <v>0.16296036915148623</v>
      </c>
      <c r="T170" s="73">
        <f t="shared" si="7"/>
        <v>-6033.6999789431457</v>
      </c>
      <c r="U170" s="67" t="str">
        <f>IF(T170&gt;=0, IF(T170&lt;='DATI nascosti 1'!$C$8/6, "SI", "NO"),IF(T170&gt; -'DATI nascosti 1'!$C$8/6, "SI", "NO"))</f>
        <v>NO</v>
      </c>
      <c r="V170" s="67" t="str">
        <f>IF(Foglio3!G171&lt;1,IF(Foglio3!G171&gt;-1,"ROTTURA BILANCIATA",""),"")</f>
        <v/>
      </c>
    </row>
    <row r="171" spans="1:22" ht="18.75" x14ac:dyDescent="0.25">
      <c r="A171" s="20"/>
      <c r="B171" s="67">
        <f>'DATI nascosti 1'!$H$12*10^-3</f>
        <v>-3.5000000000000001E-3</v>
      </c>
      <c r="C171" s="68">
        <f>C170-('DATI nascosti 1'!$L$8*10^-3/100)</f>
        <v>4.5899999999999989E-2</v>
      </c>
      <c r="D171" s="68">
        <f>('DATI nascosti 1'!$H$12*(F171-'DATI nascosti 1'!$C$10))/(F171*1000)</f>
        <v>-1.5753246753246759E-3</v>
      </c>
      <c r="E171" s="67" t="s">
        <v>39</v>
      </c>
      <c r="F171" s="69">
        <f>(-'DATI nascosti 1'!$H$12*10^-3/(-'DATI nascosti 1'!$H$12*10^-3+C171))*'DATI nascosti 1'!$C$13</f>
        <v>81.831983805668031</v>
      </c>
      <c r="G171" s="70">
        <f t="shared" ref="G171:G202" si="12">$G$138</f>
        <v>39.978333333333296</v>
      </c>
      <c r="H171" s="70">
        <f t="shared" ref="H171:H202" si="13">$H$138</f>
        <v>81.720416666666537</v>
      </c>
      <c r="I171" s="70">
        <f>G171/('DATI nascosti 1'!$H$10*(-'DATI nascosti 1'!$H$12))</f>
        <v>0.80952380952380887</v>
      </c>
      <c r="J171" s="70">
        <f t="shared" si="11"/>
        <v>0.41596638655462226</v>
      </c>
      <c r="K171" s="71">
        <f>IF(D171&gt;=('DATI nascosti 1'!$L$10*10^-3),'DATI nascosti 1'!$L$14*'DATI nascosti 1'!$P$12,IF(D171&gt;=(-'DATI nascosti 1'!$L$10*10^-3),'DATI nascosti 1'!$L$16*D171*'DATI nascosti 1'!$P$12,-'DATI nascosti 1'!$L$14*'DATI nascosti 1'!$P$12))</f>
        <v>-517801.16069714661</v>
      </c>
      <c r="L171" s="71">
        <f>-'DATI nascosti 1'!$H$16*'DATI nascosti 1'!$C$6*I171*'DATI nascosti 1'!$H$10*F171</f>
        <v>-238352.60374493912</v>
      </c>
      <c r="M171" s="71">
        <f>IF(C171&gt;=('DATI nascosti 1'!$L$10*10^-3),'DATI nascosti 1'!$L$14*'DATI nascosti 1'!$P$11,IF(C171&gt;=(-'DATI nascosti 1'!$L$10*10^-3),'DATI nascosti 1'!$P$11*'DATI nascosti 1'!$L$16*C171,-'DATI nascosti 1'!$L$14*'DATI nascosti 1'!$P$11))</f>
        <v>614659.43222408998</v>
      </c>
      <c r="N171" s="71">
        <f t="shared" si="6"/>
        <v>-141494.33221799578</v>
      </c>
      <c r="O171" s="71">
        <f>-L171*('DATI nascosti 1'!$C$8/2-(J171*F171))-K171*('DATI nascosti 1'!$C$13/2)+M171*('DATI nascosti 1'!$C$13/2)</f>
        <v>788894185.85830629</v>
      </c>
      <c r="P171" s="69">
        <f>-TABULATI!N171/10^3</f>
        <v>141.49433221799578</v>
      </c>
      <c r="Q171" s="69">
        <f>TABULATI!O171/10^6</f>
        <v>788.89418585830629</v>
      </c>
      <c r="R171" s="72">
        <f>-N171/('DATI nascosti 1'!$C$6*'DATI nascosti 1'!$C$13*'DATI nascosti 1'!$H$10*'DATI nascosti 1'!$H$16)</f>
        <v>3.4047863520589236E-2</v>
      </c>
      <c r="S171" s="72">
        <f>O171/('DATI nascosti 1'!$H$16*'DATI nascosti 1'!$C$6*'DATI nascosti 1'!$C$13^2*'DATI nascosti 1'!$H$10)</f>
        <v>0.16435676807895544</v>
      </c>
      <c r="T171" s="73">
        <f t="shared" si="7"/>
        <v>-5575.4472528474307</v>
      </c>
      <c r="U171" s="67" t="str">
        <f>IF(T171&gt;=0, IF(T171&lt;='DATI nascosti 1'!$C$8/6, "SI", "NO"),IF(T171&gt; -'DATI nascosti 1'!$C$8/6, "SI", "NO"))</f>
        <v>NO</v>
      </c>
      <c r="V171" s="67" t="str">
        <f>IF(Foglio3!G172&lt;1,IF(Foglio3!G172&gt;-1,"ROTTURA BILANCIATA",""),"")</f>
        <v/>
      </c>
    </row>
    <row r="172" spans="1:22" ht="18.75" x14ac:dyDescent="0.25">
      <c r="A172" s="20"/>
      <c r="B172" s="67">
        <f>'DATI nascosti 1'!$H$12*10^-3</f>
        <v>-3.5000000000000001E-3</v>
      </c>
      <c r="C172" s="68">
        <f>C171-('DATI nascosti 1'!$L$8*10^-3/100)</f>
        <v>4.5224999999999987E-2</v>
      </c>
      <c r="D172" s="68">
        <f>('DATI nascosti 1'!$H$12*(F172-'DATI nascosti 1'!$C$10))/(F172*1000)</f>
        <v>-1.6016233766233772E-3</v>
      </c>
      <c r="E172" s="67" t="s">
        <v>39</v>
      </c>
      <c r="F172" s="69">
        <f>(-'DATI nascosti 1'!$H$12*10^-3/(-'DATI nascosti 1'!$H$12*10^-3+C172))*'DATI nascosti 1'!$C$13</f>
        <v>82.965623396613665</v>
      </c>
      <c r="G172" s="70">
        <f t="shared" si="12"/>
        <v>39.978333333333296</v>
      </c>
      <c r="H172" s="70">
        <f t="shared" si="13"/>
        <v>81.720416666666537</v>
      </c>
      <c r="I172" s="70">
        <f>G172/('DATI nascosti 1'!$H$10*(-'DATI nascosti 1'!$H$12))</f>
        <v>0.80952380952380887</v>
      </c>
      <c r="J172" s="70">
        <f t="shared" si="11"/>
        <v>0.41596638655462226</v>
      </c>
      <c r="K172" s="71">
        <f>IF(D172&gt;=('DATI nascosti 1'!$L$10*10^-3),'DATI nascosti 1'!$L$14*'DATI nascosti 1'!$P$12,IF(D172&gt;=(-'DATI nascosti 1'!$L$10*10^-3),'DATI nascosti 1'!$L$16*D172*'DATI nascosti 1'!$P$12,-'DATI nascosti 1'!$L$14*'DATI nascosti 1'!$P$12))</f>
        <v>-526445.40925783687</v>
      </c>
      <c r="L172" s="71">
        <f>-'DATI nascosti 1'!$H$16*'DATI nascosti 1'!$C$6*I172*'DATI nascosti 1'!$H$10*F172</f>
        <v>-241654.5638789121</v>
      </c>
      <c r="M172" s="71">
        <f>IF(C172&gt;=('DATI nascosti 1'!$L$10*10^-3),'DATI nascosti 1'!$L$14*'DATI nascosti 1'!$P$11,IF(C172&gt;=(-'DATI nascosti 1'!$L$10*10^-3),'DATI nascosti 1'!$P$11*'DATI nascosti 1'!$L$16*C172,-'DATI nascosti 1'!$L$14*'DATI nascosti 1'!$P$11))</f>
        <v>614659.43222408998</v>
      </c>
      <c r="N172" s="71">
        <f t="shared" si="6"/>
        <v>-153440.54091265902</v>
      </c>
      <c r="O172" s="71">
        <f>-L172*('DATI nascosti 1'!$C$8/2-(J172*F172))-K172*('DATI nascosti 1'!$C$13/2)+M172*('DATI nascosti 1'!$C$13/2)</f>
        <v>795641065.23968852</v>
      </c>
      <c r="P172" s="69">
        <f>-TABULATI!N172/10^3</f>
        <v>153.44054091265903</v>
      </c>
      <c r="Q172" s="69">
        <f>TABULATI!O172/10^6</f>
        <v>795.64106523968849</v>
      </c>
      <c r="R172" s="72">
        <f>-N172/('DATI nascosti 1'!$C$6*'DATI nascosti 1'!$C$13*'DATI nascosti 1'!$H$10*'DATI nascosti 1'!$H$16)</f>
        <v>3.6922486672262306E-2</v>
      </c>
      <c r="S172" s="72">
        <f>O172/('DATI nascosti 1'!$H$16*'DATI nascosti 1'!$C$6*'DATI nascosti 1'!$C$13^2*'DATI nascosti 1'!$H$10)</f>
        <v>0.16576240055745578</v>
      </c>
      <c r="T172" s="73">
        <f t="shared" si="7"/>
        <v>-5185.3379850412612</v>
      </c>
      <c r="U172" s="67" t="str">
        <f>IF(T172&gt;=0, IF(T172&lt;='DATI nascosti 1'!$C$8/6, "SI", "NO"),IF(T172&gt; -'DATI nascosti 1'!$C$8/6, "SI", "NO"))</f>
        <v>NO</v>
      </c>
      <c r="V172" s="67" t="str">
        <f>IF(Foglio3!G173&lt;1,IF(Foglio3!G173&gt;-1,"ROTTURA BILANCIATA",""),"")</f>
        <v/>
      </c>
    </row>
    <row r="173" spans="1:22" ht="18.75" x14ac:dyDescent="0.25">
      <c r="A173" s="20"/>
      <c r="B173" s="67">
        <f>'DATI nascosti 1'!$H$12*10^-3</f>
        <v>-3.5000000000000001E-3</v>
      </c>
      <c r="C173" s="68">
        <f>C172-('DATI nascosti 1'!$L$8*10^-3/100)</f>
        <v>4.4549999999999985E-2</v>
      </c>
      <c r="D173" s="68">
        <f>('DATI nascosti 1'!$H$12*(F173-'DATI nascosti 1'!$C$10))/(F173*1000)</f>
        <v>-1.6279220779220783E-3</v>
      </c>
      <c r="E173" s="67" t="s">
        <v>39</v>
      </c>
      <c r="F173" s="69">
        <f>(-'DATI nascosti 1'!$H$12*10^-3/(-'DATI nascosti 1'!$H$12*10^-3+C173))*'DATI nascosti 1'!$C$13</f>
        <v>84.131113423517192</v>
      </c>
      <c r="G173" s="70">
        <f t="shared" si="12"/>
        <v>39.978333333333296</v>
      </c>
      <c r="H173" s="70">
        <f t="shared" si="13"/>
        <v>81.720416666666537</v>
      </c>
      <c r="I173" s="70">
        <f>G173/('DATI nascosti 1'!$H$10*(-'DATI nascosti 1'!$H$12))</f>
        <v>0.80952380952380887</v>
      </c>
      <c r="J173" s="70">
        <f t="shared" si="11"/>
        <v>0.41596638655462226</v>
      </c>
      <c r="K173" s="71">
        <f>IF(D173&gt;=('DATI nascosti 1'!$L$10*10^-3),'DATI nascosti 1'!$L$14*'DATI nascosti 1'!$P$12,IF(D173&gt;=(-'DATI nascosti 1'!$L$10*10^-3),'DATI nascosti 1'!$L$16*D173*'DATI nascosti 1'!$P$12,-'DATI nascosti 1'!$L$14*'DATI nascosti 1'!$P$12))</f>
        <v>-535089.65781852696</v>
      </c>
      <c r="L173" s="71">
        <f>-'DATI nascosti 1'!$H$16*'DATI nascosti 1'!$C$6*I173*'DATI nascosti 1'!$H$10*F173</f>
        <v>-245049.29500520276</v>
      </c>
      <c r="M173" s="71">
        <f>IF(C173&gt;=('DATI nascosti 1'!$L$10*10^-3),'DATI nascosti 1'!$L$14*'DATI nascosti 1'!$P$11,IF(C173&gt;=(-'DATI nascosti 1'!$L$10*10^-3),'DATI nascosti 1'!$P$11*'DATI nascosti 1'!$L$16*C173,-'DATI nascosti 1'!$L$14*'DATI nascosti 1'!$P$11))</f>
        <v>614659.43222408998</v>
      </c>
      <c r="N173" s="71">
        <f t="shared" si="6"/>
        <v>-165479.52059963974</v>
      </c>
      <c r="O173" s="71">
        <f>-L173*('DATI nascosti 1'!$C$8/2-(J173*F173))-K173*('DATI nascosti 1'!$C$13/2)+M173*('DATI nascosti 1'!$C$13/2)</f>
        <v>802434001.15310633</v>
      </c>
      <c r="P173" s="69">
        <f>-TABULATI!N173/10^3</f>
        <v>165.47952059963976</v>
      </c>
      <c r="Q173" s="69">
        <f>TABULATI!O173/10^6</f>
        <v>802.43400115310635</v>
      </c>
      <c r="R173" s="72">
        <f>-N173/('DATI nascosti 1'!$C$6*'DATI nascosti 1'!$C$13*'DATI nascosti 1'!$H$10*'DATI nascosti 1'!$H$16)</f>
        <v>3.9819433361815516E-2</v>
      </c>
      <c r="S173" s="72">
        <f>O173/('DATI nascosti 1'!$H$16*'DATI nascosti 1'!$C$6*'DATI nascosti 1'!$C$13^2*'DATI nascosti 1'!$H$10)</f>
        <v>0.16717762836938613</v>
      </c>
      <c r="T173" s="73">
        <f t="shared" si="7"/>
        <v>-4849.1438592846234</v>
      </c>
      <c r="U173" s="67" t="str">
        <f>IF(T173&gt;=0, IF(T173&lt;='DATI nascosti 1'!$C$8/6, "SI", "NO"),IF(T173&gt; -'DATI nascosti 1'!$C$8/6, "SI", "NO"))</f>
        <v>NO</v>
      </c>
      <c r="V173" s="67" t="str">
        <f>IF(Foglio3!G174&lt;1,IF(Foglio3!G174&gt;-1,"ROTTURA BILANCIATA",""),"")</f>
        <v/>
      </c>
    </row>
    <row r="174" spans="1:22" ht="18.75" x14ac:dyDescent="0.25">
      <c r="A174" s="20"/>
      <c r="B174" s="67">
        <f>'DATI nascosti 1'!$H$12*10^-3</f>
        <v>-3.5000000000000001E-3</v>
      </c>
      <c r="C174" s="68">
        <f>C173-('DATI nascosti 1'!$L$8*10^-3/100)</f>
        <v>4.3874999999999983E-2</v>
      </c>
      <c r="D174" s="68">
        <f>('DATI nascosti 1'!$H$12*(F174-'DATI nascosti 1'!$C$10))/(F174*1000)</f>
        <v>-1.65422077922078E-3</v>
      </c>
      <c r="E174" s="67" t="s">
        <v>39</v>
      </c>
      <c r="F174" s="69">
        <f>(-'DATI nascosti 1'!$H$12*10^-3/(-'DATI nascosti 1'!$H$12*10^-3+C174))*'DATI nascosti 1'!$C$13</f>
        <v>85.329815303430109</v>
      </c>
      <c r="G174" s="70">
        <f t="shared" si="12"/>
        <v>39.978333333333296</v>
      </c>
      <c r="H174" s="70">
        <f t="shared" si="13"/>
        <v>81.720416666666537</v>
      </c>
      <c r="I174" s="70">
        <f>G174/('DATI nascosti 1'!$H$10*(-'DATI nascosti 1'!$H$12))</f>
        <v>0.80952380952380887</v>
      </c>
      <c r="J174" s="70">
        <f t="shared" si="11"/>
        <v>0.41596638655462226</v>
      </c>
      <c r="K174" s="71">
        <f>IF(D174&gt;=('DATI nascosti 1'!$L$10*10^-3),'DATI nascosti 1'!$L$14*'DATI nascosti 1'!$P$12,IF(D174&gt;=(-'DATI nascosti 1'!$L$10*10^-3),'DATI nascosti 1'!$L$16*D174*'DATI nascosti 1'!$P$12,-'DATI nascosti 1'!$L$14*'DATI nascosti 1'!$P$12))</f>
        <v>-543733.90637921728</v>
      </c>
      <c r="L174" s="71">
        <f>-'DATI nascosti 1'!$H$16*'DATI nascosti 1'!$C$6*I174*'DATI nascosti 1'!$H$10*F174</f>
        <v>-248540.7625329814</v>
      </c>
      <c r="M174" s="71">
        <f>IF(C174&gt;=('DATI nascosti 1'!$L$10*10^-3),'DATI nascosti 1'!$L$14*'DATI nascosti 1'!$P$11,IF(C174&gt;=(-'DATI nascosti 1'!$L$10*10^-3),'DATI nascosti 1'!$P$11*'DATI nascosti 1'!$L$16*C174,-'DATI nascosti 1'!$L$14*'DATI nascosti 1'!$P$11))</f>
        <v>614659.43222408998</v>
      </c>
      <c r="N174" s="71">
        <f t="shared" si="6"/>
        <v>-177615.23668810865</v>
      </c>
      <c r="O174" s="71">
        <f>-L174*('DATI nascosti 1'!$C$8/2-(J174*F174))-K174*('DATI nascosti 1'!$C$13/2)+M174*('DATI nascosti 1'!$C$13/2)</f>
        <v>809274821.49232066</v>
      </c>
      <c r="P174" s="69">
        <f>-TABULATI!N174/10^3</f>
        <v>177.61523668810864</v>
      </c>
      <c r="Q174" s="69">
        <f>TABULATI!O174/10^6</f>
        <v>809.27482149232071</v>
      </c>
      <c r="R174" s="72">
        <f>-N174/('DATI nascosti 1'!$C$6*'DATI nascosti 1'!$C$13*'DATI nascosti 1'!$H$10*'DATI nascosti 1'!$H$16)</f>
        <v>4.2739657787965762E-2</v>
      </c>
      <c r="S174" s="72">
        <f>O174/('DATI nascosti 1'!$H$16*'DATI nascosti 1'!$C$6*'DATI nascosti 1'!$C$13^2*'DATI nascosti 1'!$H$10)</f>
        <v>0.16860283233478079</v>
      </c>
      <c r="T174" s="73">
        <f t="shared" si="7"/>
        <v>-4556.336700512933</v>
      </c>
      <c r="U174" s="67" t="str">
        <f>IF(T174&gt;=0, IF(T174&lt;='DATI nascosti 1'!$C$8/6, "SI", "NO"),IF(T174&gt; -'DATI nascosti 1'!$C$8/6, "SI", "NO"))</f>
        <v>NO</v>
      </c>
      <c r="V174" s="67" t="str">
        <f>IF(Foglio3!G175&lt;1,IF(Foglio3!G175&gt;-1,"ROTTURA BILANCIATA",""),"")</f>
        <v/>
      </c>
    </row>
    <row r="175" spans="1:22" ht="18.75" x14ac:dyDescent="0.25">
      <c r="A175" s="20"/>
      <c r="B175" s="67">
        <f>'DATI nascosti 1'!$H$12*10^-3</f>
        <v>-3.5000000000000001E-3</v>
      </c>
      <c r="C175" s="68">
        <f>C174-('DATI nascosti 1'!$L$8*10^-3/100)</f>
        <v>4.3199999999999981E-2</v>
      </c>
      <c r="D175" s="68">
        <f>('DATI nascosti 1'!$H$12*(F175-'DATI nascosti 1'!$C$10))/(F175*1000)</f>
        <v>-1.6805194805194809E-3</v>
      </c>
      <c r="E175" s="67" t="s">
        <v>39</v>
      </c>
      <c r="F175" s="69">
        <f>(-'DATI nascosti 1'!$H$12*10^-3/(-'DATI nascosti 1'!$H$12*10^-3+C175))*'DATI nascosti 1'!$C$13</f>
        <v>86.563169164882254</v>
      </c>
      <c r="G175" s="70">
        <f t="shared" si="12"/>
        <v>39.978333333333296</v>
      </c>
      <c r="H175" s="70">
        <f t="shared" si="13"/>
        <v>81.720416666666537</v>
      </c>
      <c r="I175" s="70">
        <f>G175/('DATI nascosti 1'!$H$10*(-'DATI nascosti 1'!$H$12))</f>
        <v>0.80952380952380887</v>
      </c>
      <c r="J175" s="70">
        <f t="shared" si="11"/>
        <v>0.41596638655462226</v>
      </c>
      <c r="K175" s="71">
        <f>IF(D175&gt;=('DATI nascosti 1'!$L$10*10^-3),'DATI nascosti 1'!$L$14*'DATI nascosti 1'!$P$12,IF(D175&gt;=(-'DATI nascosti 1'!$L$10*10^-3),'DATI nascosti 1'!$L$16*D175*'DATI nascosti 1'!$P$12,-'DATI nascosti 1'!$L$14*'DATI nascosti 1'!$P$12))</f>
        <v>-552378.15493990737</v>
      </c>
      <c r="L175" s="71">
        <f>-'DATI nascosti 1'!$H$16*'DATI nascosti 1'!$C$6*I175*'DATI nascosti 1'!$H$10*F175</f>
        <v>-252133.16113490349</v>
      </c>
      <c r="M175" s="71">
        <f>IF(C175&gt;=('DATI nascosti 1'!$L$10*10^-3),'DATI nascosti 1'!$L$14*'DATI nascosti 1'!$P$11,IF(C175&gt;=(-'DATI nascosti 1'!$L$10*10^-3),'DATI nascosti 1'!$P$11*'DATI nascosti 1'!$L$16*C175,-'DATI nascosti 1'!$L$14*'DATI nascosti 1'!$P$11))</f>
        <v>614659.43222408998</v>
      </c>
      <c r="N175" s="71">
        <f t="shared" si="6"/>
        <v>-189851.88385072094</v>
      </c>
      <c r="O175" s="71">
        <f>-L175*('DATI nascosti 1'!$C$8/2-(J175*F175))-K175*('DATI nascosti 1'!$C$13/2)+M175*('DATI nascosti 1'!$C$13/2)</f>
        <v>816165451.57714081</v>
      </c>
      <c r="P175" s="69">
        <f>-TABULATI!N175/10^3</f>
        <v>189.85188385072095</v>
      </c>
      <c r="Q175" s="69">
        <f>TABULATI!O175/10^6</f>
        <v>816.16545157714086</v>
      </c>
      <c r="R175" s="72">
        <f>-N175/('DATI nascosti 1'!$C$6*'DATI nascosti 1'!$C$13*'DATI nascosti 1'!$H$10*'DATI nascosti 1'!$H$16)</f>
        <v>4.5684169317235623E-2</v>
      </c>
      <c r="S175" s="72">
        <f>O175/('DATI nascosti 1'!$H$16*'DATI nascosti 1'!$C$6*'DATI nascosti 1'!$C$13^2*'DATI nascosti 1'!$H$10)</f>
        <v>0.17003841357123836</v>
      </c>
      <c r="T175" s="73">
        <f t="shared" si="7"/>
        <v>-4298.9589306308144</v>
      </c>
      <c r="U175" s="67" t="str">
        <f>IF(T175&gt;=0, IF(T175&lt;='DATI nascosti 1'!$C$8/6, "SI", "NO"),IF(T175&gt; -'DATI nascosti 1'!$C$8/6, "SI", "NO"))</f>
        <v>NO</v>
      </c>
      <c r="V175" s="67" t="str">
        <f>IF(Foglio3!G176&lt;1,IF(Foglio3!G176&gt;-1,"ROTTURA BILANCIATA",""),"")</f>
        <v/>
      </c>
    </row>
    <row r="176" spans="1:22" ht="18.75" x14ac:dyDescent="0.25">
      <c r="A176" s="20"/>
      <c r="B176" s="67">
        <f>'DATI nascosti 1'!$H$12*10^-3</f>
        <v>-3.5000000000000001E-3</v>
      </c>
      <c r="C176" s="68">
        <f>C175-('DATI nascosti 1'!$L$8*10^-3/100)</f>
        <v>4.2524999999999979E-2</v>
      </c>
      <c r="D176" s="68">
        <f>('DATI nascosti 1'!$H$12*(F176-'DATI nascosti 1'!$C$10))/(F176*1000)</f>
        <v>-1.7068181818181822E-3</v>
      </c>
      <c r="E176" s="67" t="s">
        <v>39</v>
      </c>
      <c r="F176" s="69">
        <f>(-'DATI nascosti 1'!$H$12*10^-3/(-'DATI nascosti 1'!$H$12*10^-3+C176))*'DATI nascosti 1'!$C$13</f>
        <v>87.832699619771887</v>
      </c>
      <c r="G176" s="70">
        <f t="shared" si="12"/>
        <v>39.978333333333296</v>
      </c>
      <c r="H176" s="70">
        <f t="shared" si="13"/>
        <v>81.720416666666537</v>
      </c>
      <c r="I176" s="70">
        <f>G176/('DATI nascosti 1'!$H$10*(-'DATI nascosti 1'!$H$12))</f>
        <v>0.80952380952380887</v>
      </c>
      <c r="J176" s="70">
        <f t="shared" si="11"/>
        <v>0.41596638655462226</v>
      </c>
      <c r="K176" s="71">
        <f>IF(D176&gt;=('DATI nascosti 1'!$L$10*10^-3),'DATI nascosti 1'!$L$14*'DATI nascosti 1'!$P$12,IF(D176&gt;=(-'DATI nascosti 1'!$L$10*10^-3),'DATI nascosti 1'!$L$16*D176*'DATI nascosti 1'!$P$12,-'DATI nascosti 1'!$L$14*'DATI nascosti 1'!$P$12))</f>
        <v>-561022.40350059757</v>
      </c>
      <c r="L176" s="71">
        <f>-'DATI nascosti 1'!$H$16*'DATI nascosti 1'!$C$6*I176*'DATI nascosti 1'!$H$10*F176</f>
        <v>-255830.9315589352</v>
      </c>
      <c r="M176" s="71">
        <f>IF(C176&gt;=('DATI nascosti 1'!$L$10*10^-3),'DATI nascosti 1'!$L$14*'DATI nascosti 1'!$P$11,IF(C176&gt;=(-'DATI nascosti 1'!$L$10*10^-3),'DATI nascosti 1'!$P$11*'DATI nascosti 1'!$L$16*C176,-'DATI nascosti 1'!$L$14*'DATI nascosti 1'!$P$11))</f>
        <v>614659.43222408998</v>
      </c>
      <c r="N176" s="71">
        <f t="shared" si="6"/>
        <v>-202193.9028354428</v>
      </c>
      <c r="O176" s="71">
        <f>-L176*('DATI nascosti 1'!$C$8/2-(J176*F176))-K176*('DATI nascosti 1'!$C$13/2)+M176*('DATI nascosti 1'!$C$13/2)</f>
        <v>823107920.68342209</v>
      </c>
      <c r="P176" s="69">
        <f>-TABULATI!N176/10^3</f>
        <v>202.1939028354428</v>
      </c>
      <c r="Q176" s="69">
        <f>TABULATI!O176/10^6</f>
        <v>823.10792068342209</v>
      </c>
      <c r="R176" s="72">
        <f>-N176/('DATI nascosti 1'!$C$6*'DATI nascosti 1'!$C$13*'DATI nascosti 1'!$H$10*'DATI nascosti 1'!$H$16)</f>
        <v>4.865403652939302E-2</v>
      </c>
      <c r="S176" s="72">
        <f>O176/('DATI nascosti 1'!$H$16*'DATI nascosti 1'!$C$6*'DATI nascosti 1'!$C$13^2*'DATI nascosti 1'!$H$10)</f>
        <v>0.17148479485436943</v>
      </c>
      <c r="T176" s="73">
        <f t="shared" si="7"/>
        <v>-4070.8839838425561</v>
      </c>
      <c r="U176" s="67" t="str">
        <f>IF(T176&gt;=0, IF(T176&lt;='DATI nascosti 1'!$C$8/6, "SI", "NO"),IF(T176&gt; -'DATI nascosti 1'!$C$8/6, "SI", "NO"))</f>
        <v>NO</v>
      </c>
      <c r="V176" s="67" t="str">
        <f>IF(Foglio3!G177&lt;1,IF(Foglio3!G177&gt;-1,"ROTTURA BILANCIATA",""),"")</f>
        <v/>
      </c>
    </row>
    <row r="177" spans="1:22" ht="18.75" x14ac:dyDescent="0.25">
      <c r="A177" s="20"/>
      <c r="B177" s="67">
        <f>'DATI nascosti 1'!$H$12*10^-3</f>
        <v>-3.5000000000000001E-3</v>
      </c>
      <c r="C177" s="68">
        <f>C176-('DATI nascosti 1'!$L$8*10^-3/100)</f>
        <v>4.1849999999999977E-2</v>
      </c>
      <c r="D177" s="68">
        <f>('DATI nascosti 1'!$H$12*(F177-'DATI nascosti 1'!$C$10))/(F177*1000)</f>
        <v>-1.7331168831168839E-3</v>
      </c>
      <c r="E177" s="67" t="s">
        <v>39</v>
      </c>
      <c r="F177" s="69">
        <f>(-'DATI nascosti 1'!$H$12*10^-3/(-'DATI nascosti 1'!$H$12*10^-3+C177))*'DATI nascosti 1'!$C$13</f>
        <v>89.140022050716681</v>
      </c>
      <c r="G177" s="70">
        <f t="shared" si="12"/>
        <v>39.978333333333296</v>
      </c>
      <c r="H177" s="70">
        <f t="shared" si="13"/>
        <v>81.720416666666537</v>
      </c>
      <c r="I177" s="70">
        <f>G177/('DATI nascosti 1'!$H$10*(-'DATI nascosti 1'!$H$12))</f>
        <v>0.80952380952380887</v>
      </c>
      <c r="J177" s="70">
        <f t="shared" si="11"/>
        <v>0.41596638655462226</v>
      </c>
      <c r="K177" s="71">
        <f>IF(D177&gt;=('DATI nascosti 1'!$L$10*10^-3),'DATI nascosti 1'!$L$14*'DATI nascosti 1'!$P$12,IF(D177&gt;=(-'DATI nascosti 1'!$L$10*10^-3),'DATI nascosti 1'!$L$16*D177*'DATI nascosti 1'!$P$12,-'DATI nascosti 1'!$L$14*'DATI nascosti 1'!$P$12))</f>
        <v>-569666.6520612879</v>
      </c>
      <c r="L177" s="71">
        <f>-'DATI nascosti 1'!$H$16*'DATI nascosti 1'!$C$6*I177*'DATI nascosti 1'!$H$10*F177</f>
        <v>-259638.77894156546</v>
      </c>
      <c r="M177" s="71">
        <f>IF(C177&gt;=('DATI nascosti 1'!$L$10*10^-3),'DATI nascosti 1'!$L$14*'DATI nascosti 1'!$P$11,IF(C177&gt;=(-'DATI nascosti 1'!$L$10*10^-3),'DATI nascosti 1'!$P$11*'DATI nascosti 1'!$L$16*C177,-'DATI nascosti 1'!$L$14*'DATI nascosti 1'!$P$11))</f>
        <v>614659.43222408998</v>
      </c>
      <c r="N177" s="71">
        <f t="shared" si="6"/>
        <v>-214645.99877876334</v>
      </c>
      <c r="O177" s="71">
        <f>-L177*('DATI nascosti 1'!$C$8/2-(J177*F177))-K177*('DATI nascosti 1'!$C$13/2)+M177*('DATI nascosti 1'!$C$13/2)</f>
        <v>830104369.10055518</v>
      </c>
      <c r="P177" s="69">
        <f>-TABULATI!N177/10^3</f>
        <v>214.64599877876336</v>
      </c>
      <c r="Q177" s="69">
        <f>TABULATI!O177/10^6</f>
        <v>830.10436910055523</v>
      </c>
      <c r="R177" s="72">
        <f>-N177/('DATI nascosti 1'!$C$6*'DATI nascosti 1'!$C$13*'DATI nascosti 1'!$H$10*'DATI nascosti 1'!$H$16)</f>
        <v>5.1650391624170018E-2</v>
      </c>
      <c r="S177" s="72">
        <f>O177/('DATI nascosti 1'!$H$16*'DATI nascosti 1'!$C$6*'DATI nascosti 1'!$C$13^2*'DATI nascosti 1'!$H$10)</f>
        <v>0.17294242208814101</v>
      </c>
      <c r="T177" s="73">
        <f t="shared" si="7"/>
        <v>-3867.3181602427526</v>
      </c>
      <c r="U177" s="67" t="str">
        <f>IF(T177&gt;=0, IF(T177&lt;='DATI nascosti 1'!$C$8/6, "SI", "NO"),IF(T177&gt; -'DATI nascosti 1'!$C$8/6, "SI", "NO"))</f>
        <v>NO</v>
      </c>
      <c r="V177" s="67" t="str">
        <f>IF(Foglio3!G178&lt;1,IF(Foglio3!G178&gt;-1,"ROTTURA BILANCIATA",""),"")</f>
        <v/>
      </c>
    </row>
    <row r="178" spans="1:22" ht="18.75" x14ac:dyDescent="0.25">
      <c r="A178" s="20"/>
      <c r="B178" s="67">
        <f>'DATI nascosti 1'!$H$12*10^-3</f>
        <v>-3.5000000000000001E-3</v>
      </c>
      <c r="C178" s="68">
        <f>C177-('DATI nascosti 1'!$L$8*10^-3/100)</f>
        <v>4.1174999999999976E-2</v>
      </c>
      <c r="D178" s="68">
        <f>('DATI nascosti 1'!$H$12*(F178-'DATI nascosti 1'!$C$10))/(F178*1000)</f>
        <v>-1.7594155844155852E-3</v>
      </c>
      <c r="E178" s="67" t="s">
        <v>39</v>
      </c>
      <c r="F178" s="69">
        <f>(-'DATI nascosti 1'!$H$12*10^-3/(-'DATI nascosti 1'!$H$12*10^-3+C178))*'DATI nascosti 1'!$C$13</f>
        <v>90.486849468382815</v>
      </c>
      <c r="G178" s="70">
        <f t="shared" si="12"/>
        <v>39.978333333333296</v>
      </c>
      <c r="H178" s="70">
        <f t="shared" si="13"/>
        <v>81.720416666666537</v>
      </c>
      <c r="I178" s="70">
        <f>G178/('DATI nascosti 1'!$H$10*(-'DATI nascosti 1'!$H$12))</f>
        <v>0.80952380952380887</v>
      </c>
      <c r="J178" s="70">
        <f t="shared" si="11"/>
        <v>0.41596638655462226</v>
      </c>
      <c r="K178" s="71">
        <f>IF(D178&gt;=('DATI nascosti 1'!$L$10*10^-3),'DATI nascosti 1'!$L$14*'DATI nascosti 1'!$P$12,IF(D178&gt;=(-'DATI nascosti 1'!$L$10*10^-3),'DATI nascosti 1'!$L$16*D178*'DATI nascosti 1'!$P$12,-'DATI nascosti 1'!$L$14*'DATI nascosti 1'!$P$12))</f>
        <v>-578310.9006219781</v>
      </c>
      <c r="L178" s="71">
        <f>-'DATI nascosti 1'!$H$16*'DATI nascosti 1'!$C$6*I178*'DATI nascosti 1'!$H$10*F178</f>
        <v>-263561.69278119743</v>
      </c>
      <c r="M178" s="71">
        <f>IF(C178&gt;=('DATI nascosti 1'!$L$10*10^-3),'DATI nascosti 1'!$L$14*'DATI nascosti 1'!$P$11,IF(C178&gt;=(-'DATI nascosti 1'!$L$10*10^-3),'DATI nascosti 1'!$P$11*'DATI nascosti 1'!$L$16*C178,-'DATI nascosti 1'!$L$14*'DATI nascosti 1'!$P$11))</f>
        <v>614659.43222408998</v>
      </c>
      <c r="N178" s="71">
        <f t="shared" si="6"/>
        <v>-227213.16117908549</v>
      </c>
      <c r="O178" s="71">
        <f>-L178*('DATI nascosti 1'!$C$8/2-(J178*F178))-K178*('DATI nascosti 1'!$C$13/2)+M178*('DATI nascosti 1'!$C$13/2)</f>
        <v>837157055.76626348</v>
      </c>
      <c r="P178" s="69">
        <f>-TABULATI!N178/10^3</f>
        <v>227.21316117908549</v>
      </c>
      <c r="Q178" s="69">
        <f>TABULATI!O178/10^6</f>
        <v>837.15705576626351</v>
      </c>
      <c r="R178" s="72">
        <f>-N178/('DATI nascosti 1'!$C$6*'DATI nascosti 1'!$C$13*'DATI nascosti 1'!$H$10*'DATI nascosti 1'!$H$16)</f>
        <v>5.4674435227471528E-2</v>
      </c>
      <c r="S178" s="72">
        <f>O178/('DATI nascosti 1'!$H$16*'DATI nascosti 1'!$C$6*'DATI nascosti 1'!$C$13^2*'DATI nascosti 1'!$H$10)</f>
        <v>0.17441176589549612</v>
      </c>
      <c r="T178" s="73">
        <f t="shared" si="7"/>
        <v>-3684.4567076219264</v>
      </c>
      <c r="U178" s="67" t="str">
        <f>IF(T178&gt;=0, IF(T178&lt;='DATI nascosti 1'!$C$8/6, "SI", "NO"),IF(T178&gt; -'DATI nascosti 1'!$C$8/6, "SI", "NO"))</f>
        <v>NO</v>
      </c>
      <c r="V178" s="67" t="str">
        <f>IF(Foglio3!G179&lt;1,IF(Foglio3!G179&gt;-1,"ROTTURA BILANCIATA",""),"")</f>
        <v/>
      </c>
    </row>
    <row r="179" spans="1:22" ht="18.75" x14ac:dyDescent="0.25">
      <c r="A179" s="20"/>
      <c r="B179" s="67">
        <f>'DATI nascosti 1'!$H$12*10^-3</f>
        <v>-3.5000000000000001E-3</v>
      </c>
      <c r="C179" s="68">
        <f>C178-('DATI nascosti 1'!$L$8*10^-3/100)</f>
        <v>4.0499999999999974E-2</v>
      </c>
      <c r="D179" s="68">
        <f>('DATI nascosti 1'!$H$12*(F179-'DATI nascosti 1'!$C$10))/(F179*1000)</f>
        <v>-1.7857142857142863E-3</v>
      </c>
      <c r="E179" s="67" t="s">
        <v>39</v>
      </c>
      <c r="F179" s="69">
        <f>(-'DATI nascosti 1'!$H$12*10^-3/(-'DATI nascosti 1'!$H$12*10^-3+C179))*'DATI nascosti 1'!$C$13</f>
        <v>91.875000000000043</v>
      </c>
      <c r="G179" s="70">
        <f t="shared" si="12"/>
        <v>39.978333333333296</v>
      </c>
      <c r="H179" s="70">
        <f t="shared" si="13"/>
        <v>81.720416666666537</v>
      </c>
      <c r="I179" s="70">
        <f>G179/('DATI nascosti 1'!$H$10*(-'DATI nascosti 1'!$H$12))</f>
        <v>0.80952380952380887</v>
      </c>
      <c r="J179" s="70">
        <f t="shared" si="11"/>
        <v>0.41596638655462226</v>
      </c>
      <c r="K179" s="71">
        <f>IF(D179&gt;=('DATI nascosti 1'!$L$10*10^-3),'DATI nascosti 1'!$L$14*'DATI nascosti 1'!$P$12,IF(D179&gt;=(-'DATI nascosti 1'!$L$10*10^-3),'DATI nascosti 1'!$L$16*D179*'DATI nascosti 1'!$P$12,-'DATI nascosti 1'!$L$14*'DATI nascosti 1'!$P$12))</f>
        <v>-586955.14918266819</v>
      </c>
      <c r="L179" s="71">
        <f>-'DATI nascosti 1'!$H$16*'DATI nascosti 1'!$C$6*I179*'DATI nascosti 1'!$H$10*F179</f>
        <v>-267604.96874999988</v>
      </c>
      <c r="M179" s="71">
        <f>IF(C179&gt;=('DATI nascosti 1'!$L$10*10^-3),'DATI nascosti 1'!$L$14*'DATI nascosti 1'!$P$11,IF(C179&gt;=(-'DATI nascosti 1'!$L$10*10^-3),'DATI nascosti 1'!$P$11*'DATI nascosti 1'!$L$16*C179,-'DATI nascosti 1'!$L$14*'DATI nascosti 1'!$P$11))</f>
        <v>614659.43222408998</v>
      </c>
      <c r="N179" s="71">
        <f t="shared" si="6"/>
        <v>-239900.68570857809</v>
      </c>
      <c r="O179" s="71">
        <f>-L179*('DATI nascosti 1'!$C$8/2-(J179*F179))-K179*('DATI nascosti 1'!$C$13/2)+M179*('DATI nascosti 1'!$C$13/2)</f>
        <v>844268366.53388715</v>
      </c>
      <c r="P179" s="69">
        <f>-TABULATI!N179/10^3</f>
        <v>239.9006857085781</v>
      </c>
      <c r="Q179" s="69">
        <f>TABULATI!O179/10^6</f>
        <v>844.26836653388716</v>
      </c>
      <c r="R179" s="72">
        <f>-N179/('DATI nascosti 1'!$C$6*'DATI nascosti 1'!$C$13*'DATI nascosti 1'!$H$10*'DATI nascosti 1'!$H$16)</f>
        <v>5.7727441639973974E-2</v>
      </c>
      <c r="S179" s="72">
        <f>O179/('DATI nascosti 1'!$H$16*'DATI nascosti 1'!$C$6*'DATI nascosti 1'!$C$13^2*'DATI nascosti 1'!$H$10)</f>
        <v>0.17589332334074473</v>
      </c>
      <c r="T179" s="73">
        <f t="shared" si="7"/>
        <v>-3519.2411561485537</v>
      </c>
      <c r="U179" s="67" t="str">
        <f>IF(T179&gt;=0, IF(T179&lt;='DATI nascosti 1'!$C$8/6, "SI", "NO"),IF(T179&gt; -'DATI nascosti 1'!$C$8/6, "SI", "NO"))</f>
        <v>NO</v>
      </c>
      <c r="V179" s="67" t="str">
        <f>IF(Foglio3!G180&lt;1,IF(Foglio3!G180&gt;-1,"ROTTURA BILANCIATA",""),"")</f>
        <v/>
      </c>
    </row>
    <row r="180" spans="1:22" ht="18.75" x14ac:dyDescent="0.25">
      <c r="A180" s="20"/>
      <c r="B180" s="67">
        <f>'DATI nascosti 1'!$H$12*10^-3</f>
        <v>-3.5000000000000001E-3</v>
      </c>
      <c r="C180" s="68">
        <f>C179-('DATI nascosti 1'!$L$8*10^-3/100)</f>
        <v>3.9824999999999972E-2</v>
      </c>
      <c r="D180" s="68">
        <f>('DATI nascosti 1'!$H$12*(F180-'DATI nascosti 1'!$C$10))/(F180*1000)</f>
        <v>-1.812012987012988E-3</v>
      </c>
      <c r="E180" s="67" t="s">
        <v>39</v>
      </c>
      <c r="F180" s="69">
        <f>(-'DATI nascosti 1'!$H$12*10^-3/(-'DATI nascosti 1'!$H$12*10^-3+C180))*'DATI nascosti 1'!$C$13</f>
        <v>93.306405077899655</v>
      </c>
      <c r="G180" s="70">
        <f t="shared" si="12"/>
        <v>39.978333333333296</v>
      </c>
      <c r="H180" s="70">
        <f t="shared" si="13"/>
        <v>81.720416666666537</v>
      </c>
      <c r="I180" s="70">
        <f>G180/('DATI nascosti 1'!$H$10*(-'DATI nascosti 1'!$H$12))</f>
        <v>0.80952380952380887</v>
      </c>
      <c r="J180" s="70">
        <f t="shared" si="11"/>
        <v>0.41596638655462226</v>
      </c>
      <c r="K180" s="71">
        <f>IF(D180&gt;=('DATI nascosti 1'!$L$10*10^-3),'DATI nascosti 1'!$L$14*'DATI nascosti 1'!$P$12,IF(D180&gt;=(-'DATI nascosti 1'!$L$10*10^-3),'DATI nascosti 1'!$L$16*D180*'DATI nascosti 1'!$P$12,-'DATI nascosti 1'!$L$14*'DATI nascosti 1'!$P$12))</f>
        <v>-595599.39774335863</v>
      </c>
      <c r="L180" s="71">
        <f>-'DATI nascosti 1'!$H$16*'DATI nascosti 1'!$C$6*I180*'DATI nascosti 1'!$H$10*F180</f>
        <v>-271774.23254472006</v>
      </c>
      <c r="M180" s="71">
        <f>IF(C180&gt;=('DATI nascosti 1'!$L$10*10^-3),'DATI nascosti 1'!$L$14*'DATI nascosti 1'!$P$11,IF(C180&gt;=(-'DATI nascosti 1'!$L$10*10^-3),'DATI nascosti 1'!$P$11*'DATI nascosti 1'!$L$16*C180,-'DATI nascosti 1'!$L$14*'DATI nascosti 1'!$P$11))</f>
        <v>614659.43222408998</v>
      </c>
      <c r="N180" s="71">
        <f t="shared" si="6"/>
        <v>-252714.1980639887</v>
      </c>
      <c r="O180" s="71">
        <f>-L180*('DATI nascosti 1'!$C$8/2-(J180*F180))-K180*('DATI nascosti 1'!$C$13/2)+M180*('DATI nascosti 1'!$C$13/2)</f>
        <v>851440823.13335395</v>
      </c>
      <c r="P180" s="69">
        <f>-TABULATI!N180/10^3</f>
        <v>252.7141980639887</v>
      </c>
      <c r="Q180" s="69">
        <f>TABULATI!O180/10^6</f>
        <v>851.440823133354</v>
      </c>
      <c r="R180" s="72">
        <f>-N180/('DATI nascosti 1'!$C$6*'DATI nascosti 1'!$C$13*'DATI nascosti 1'!$H$10*'DATI nascosti 1'!$H$16)</f>
        <v>6.0810764576360241E-2</v>
      </c>
      <c r="S180" s="72">
        <f>O180/('DATI nascosti 1'!$H$16*'DATI nascosti 1'!$C$6*'DATI nascosti 1'!$C$13^2*'DATI nascosti 1'!$H$10)</f>
        <v>0.17738761979647583</v>
      </c>
      <c r="T180" s="73">
        <f t="shared" si="7"/>
        <v>-3369.18475359174</v>
      </c>
      <c r="U180" s="67" t="str">
        <f>IF(T180&gt;=0, IF(T180&lt;='DATI nascosti 1'!$C$8/6, "SI", "NO"),IF(T180&gt; -'DATI nascosti 1'!$C$8/6, "SI", "NO"))</f>
        <v>NO</v>
      </c>
      <c r="V180" s="67" t="str">
        <f>IF(Foglio3!G181&lt;1,IF(Foglio3!G181&gt;-1,"ROTTURA BILANCIATA",""),"")</f>
        <v/>
      </c>
    </row>
    <row r="181" spans="1:22" ht="18.75" x14ac:dyDescent="0.25">
      <c r="A181" s="20"/>
      <c r="B181" s="67">
        <f>'DATI nascosti 1'!$H$12*10^-3</f>
        <v>-3.5000000000000001E-3</v>
      </c>
      <c r="C181" s="68">
        <f>C180-('DATI nascosti 1'!$L$8*10^-3/100)</f>
        <v>3.914999999999997E-2</v>
      </c>
      <c r="D181" s="68">
        <f>('DATI nascosti 1'!$H$12*(F181-'DATI nascosti 1'!$C$10))/(F181*1000)</f>
        <v>-1.8383116883116896E-3</v>
      </c>
      <c r="E181" s="67" t="s">
        <v>39</v>
      </c>
      <c r="F181" s="69">
        <f>(-'DATI nascosti 1'!$H$12*10^-3/(-'DATI nascosti 1'!$H$12*10^-3+C181))*'DATI nascosti 1'!$C$13</f>
        <v>94.783118405627263</v>
      </c>
      <c r="G181" s="70">
        <f t="shared" si="12"/>
        <v>39.978333333333296</v>
      </c>
      <c r="H181" s="70">
        <f t="shared" si="13"/>
        <v>81.720416666666537</v>
      </c>
      <c r="I181" s="70">
        <f>G181/('DATI nascosti 1'!$H$10*(-'DATI nascosti 1'!$H$12))</f>
        <v>0.80952380952380887</v>
      </c>
      <c r="J181" s="70">
        <f t="shared" si="11"/>
        <v>0.41596638655462226</v>
      </c>
      <c r="K181" s="71">
        <f>IF(D181&gt;=('DATI nascosti 1'!$L$10*10^-3),'DATI nascosti 1'!$L$14*'DATI nascosti 1'!$P$12,IF(D181&gt;=(-'DATI nascosti 1'!$L$10*10^-3),'DATI nascosti 1'!$L$16*D181*'DATI nascosti 1'!$P$12,-'DATI nascosti 1'!$L$14*'DATI nascosti 1'!$P$12))</f>
        <v>-604243.64630404883</v>
      </c>
      <c r="L181" s="71">
        <f>-'DATI nascosti 1'!$H$16*'DATI nascosti 1'!$C$6*I181*'DATI nascosti 1'!$H$10*F181</f>
        <v>-276075.46600234462</v>
      </c>
      <c r="M181" s="71">
        <f>IF(C181&gt;=('DATI nascosti 1'!$L$10*10^-3),'DATI nascosti 1'!$L$14*'DATI nascosti 1'!$P$11,IF(C181&gt;=(-'DATI nascosti 1'!$L$10*10^-3),'DATI nascosti 1'!$P$11*'DATI nascosti 1'!$L$16*C181,-'DATI nascosti 1'!$L$14*'DATI nascosti 1'!$P$11))</f>
        <v>614659.43222408998</v>
      </c>
      <c r="N181" s="71">
        <f t="shared" si="6"/>
        <v>-265659.68008230347</v>
      </c>
      <c r="O181" s="71">
        <f>-L181*('DATI nascosti 1'!$C$8/2-(J181*F181))-K181*('DATI nascosti 1'!$C$13/2)+M181*('DATI nascosti 1'!$C$13/2)</f>
        <v>858677092.89377701</v>
      </c>
      <c r="P181" s="69">
        <f>-TABULATI!N181/10^3</f>
        <v>265.65968008230345</v>
      </c>
      <c r="Q181" s="69">
        <f>TABULATI!O181/10^6</f>
        <v>858.67709289377706</v>
      </c>
      <c r="R181" s="72">
        <f>-N181/('DATI nascosti 1'!$C$6*'DATI nascosti 1'!$C$13*'DATI nascosti 1'!$H$10*'DATI nascosti 1'!$H$16)</f>
        <v>6.3925843449546119E-2</v>
      </c>
      <c r="S181" s="72">
        <f>O181/('DATI nascosti 1'!$H$16*'DATI nascosti 1'!$C$6*'DATI nascosti 1'!$C$13^2*'DATI nascosti 1'!$H$10)</f>
        <v>0.17889521096914573</v>
      </c>
      <c r="T181" s="73">
        <f t="shared" si="7"/>
        <v>-3232.2446997894149</v>
      </c>
      <c r="U181" s="67" t="str">
        <f>IF(T181&gt;=0, IF(T181&lt;='DATI nascosti 1'!$C$8/6, "SI", "NO"),IF(T181&gt; -'DATI nascosti 1'!$C$8/6, "SI", "NO"))</f>
        <v>NO</v>
      </c>
      <c r="V181" s="67" t="str">
        <f>IF(Foglio3!G182&lt;1,IF(Foglio3!G182&gt;-1,"ROTTURA BILANCIATA",""),"")</f>
        <v/>
      </c>
    </row>
    <row r="182" spans="1:22" ht="18.75" x14ac:dyDescent="0.25">
      <c r="A182" s="20"/>
      <c r="B182" s="67">
        <f>'DATI nascosti 1'!$H$12*10^-3</f>
        <v>-3.5000000000000001E-3</v>
      </c>
      <c r="C182" s="68">
        <f>C181-('DATI nascosti 1'!$L$8*10^-3/100)</f>
        <v>3.8474999999999968E-2</v>
      </c>
      <c r="D182" s="68">
        <f>('DATI nascosti 1'!$H$12*(F182-'DATI nascosti 1'!$C$10))/(F182*1000)</f>
        <v>-1.8646103896103909E-3</v>
      </c>
      <c r="E182" s="67" t="s">
        <v>39</v>
      </c>
      <c r="F182" s="69">
        <f>(-'DATI nascosti 1'!$H$12*10^-3/(-'DATI nascosti 1'!$H$12*10^-3+C182))*'DATI nascosti 1'!$C$13</f>
        <v>96.307325789160288</v>
      </c>
      <c r="G182" s="70">
        <f t="shared" si="12"/>
        <v>39.978333333333296</v>
      </c>
      <c r="H182" s="70">
        <f t="shared" si="13"/>
        <v>81.720416666666537</v>
      </c>
      <c r="I182" s="70">
        <f>G182/('DATI nascosti 1'!$H$10*(-'DATI nascosti 1'!$H$12))</f>
        <v>0.80952380952380887</v>
      </c>
      <c r="J182" s="70">
        <f t="shared" si="11"/>
        <v>0.41596638655462226</v>
      </c>
      <c r="K182" s="71">
        <f>IF(D182&gt;=('DATI nascosti 1'!$L$10*10^-3),'DATI nascosti 1'!$L$14*'DATI nascosti 1'!$P$12,IF(D182&gt;=(-'DATI nascosti 1'!$L$10*10^-3),'DATI nascosti 1'!$L$16*D182*'DATI nascosti 1'!$P$12,-'DATI nascosti 1'!$L$14*'DATI nascosti 1'!$P$12))</f>
        <v>-612887.89486473904</v>
      </c>
      <c r="L182" s="71">
        <f>-'DATI nascosti 1'!$H$16*'DATI nascosti 1'!$C$6*I182*'DATI nascosti 1'!$H$10*F182</f>
        <v>-280515.03573555686</v>
      </c>
      <c r="M182" s="71">
        <f>IF(C182&gt;=('DATI nascosti 1'!$L$10*10^-3),'DATI nascosti 1'!$L$14*'DATI nascosti 1'!$P$11,IF(C182&gt;=(-'DATI nascosti 1'!$L$10*10^-3),'DATI nascosti 1'!$P$11*'DATI nascosti 1'!$L$16*C182,-'DATI nascosti 1'!$L$14*'DATI nascosti 1'!$P$11))</f>
        <v>614659.43222408998</v>
      </c>
      <c r="N182" s="71">
        <f t="shared" si="6"/>
        <v>-278743.49837620591</v>
      </c>
      <c r="O182" s="71">
        <f>-L182*('DATI nascosti 1'!$C$8/2-(J182*F182))-K182*('DATI nascosti 1'!$C$13/2)+M182*('DATI nascosti 1'!$C$13/2)</f>
        <v>865979999.30320477</v>
      </c>
      <c r="P182" s="69">
        <f>-TABULATI!N182/10^3</f>
        <v>278.74349837620593</v>
      </c>
      <c r="Q182" s="69">
        <f>TABULATI!O182/10^6</f>
        <v>865.97999930320475</v>
      </c>
      <c r="R182" s="72">
        <f>-N182/('DATI nascosti 1'!$C$6*'DATI nascosti 1'!$C$13*'DATI nascosti 1'!$H$10*'DATI nascosti 1'!$H$16)</f>
        <v>6.7074210261247449E-2</v>
      </c>
      <c r="S182" s="72">
        <f>O182/('DATI nascosti 1'!$H$16*'DATI nascosti 1'!$C$6*'DATI nascosti 1'!$C$13^2*'DATI nascosti 1'!$H$10)</f>
        <v>0.18041668509907705</v>
      </c>
      <c r="T182" s="73">
        <f t="shared" si="7"/>
        <v>-3106.7271679802038</v>
      </c>
      <c r="U182" s="67" t="str">
        <f>IF(T182&gt;=0, IF(T182&lt;='DATI nascosti 1'!$C$8/6, "SI", "NO"),IF(T182&gt; -'DATI nascosti 1'!$C$8/6, "SI", "NO"))</f>
        <v>NO</v>
      </c>
      <c r="V182" s="67" t="str">
        <f>IF(Foglio3!G183&lt;1,IF(Foglio3!G183&gt;-1,"ROTTURA BILANCIATA",""),"")</f>
        <v/>
      </c>
    </row>
    <row r="183" spans="1:22" ht="18.75" x14ac:dyDescent="0.25">
      <c r="A183" s="20"/>
      <c r="B183" s="67">
        <f>'DATI nascosti 1'!$H$12*10^-3</f>
        <v>-3.5000000000000001E-3</v>
      </c>
      <c r="C183" s="68">
        <f>C182-('DATI nascosti 1'!$L$8*10^-3/100)</f>
        <v>3.7799999999999966E-2</v>
      </c>
      <c r="D183" s="68">
        <f>('DATI nascosti 1'!$H$12*(F183-'DATI nascosti 1'!$C$10))/(F183*1000)</f>
        <v>-1.8909090909090922E-3</v>
      </c>
      <c r="E183" s="67" t="s">
        <v>39</v>
      </c>
      <c r="F183" s="69">
        <f>(-'DATI nascosti 1'!$H$12*10^-3/(-'DATI nascosti 1'!$H$12*10^-3+C183))*'DATI nascosti 1'!$C$13</f>
        <v>97.881355932203462</v>
      </c>
      <c r="G183" s="70">
        <f t="shared" si="12"/>
        <v>39.978333333333296</v>
      </c>
      <c r="H183" s="70">
        <f t="shared" si="13"/>
        <v>81.720416666666537</v>
      </c>
      <c r="I183" s="70">
        <f>G183/('DATI nascosti 1'!$H$10*(-'DATI nascosti 1'!$H$12))</f>
        <v>0.80952380952380887</v>
      </c>
      <c r="J183" s="70">
        <f t="shared" si="11"/>
        <v>0.41596638655462226</v>
      </c>
      <c r="K183" s="71">
        <f>IF(D183&gt;=('DATI nascosti 1'!$L$10*10^-3),'DATI nascosti 1'!$L$14*'DATI nascosti 1'!$P$12,IF(D183&gt;=(-'DATI nascosti 1'!$L$10*10^-3),'DATI nascosti 1'!$L$16*D183*'DATI nascosti 1'!$P$12,-'DATI nascosti 1'!$L$14*'DATI nascosti 1'!$P$12))</f>
        <v>-614659.43222408998</v>
      </c>
      <c r="L183" s="71">
        <f>-'DATI nascosti 1'!$H$16*'DATI nascosti 1'!$C$6*I183*'DATI nascosti 1'!$H$10*F183</f>
        <v>-285099.72457627114</v>
      </c>
      <c r="M183" s="71">
        <f>IF(C183&gt;=('DATI nascosti 1'!$L$10*10^-3),'DATI nascosti 1'!$L$14*'DATI nascosti 1'!$P$11,IF(C183&gt;=(-'DATI nascosti 1'!$L$10*10^-3),'DATI nascosti 1'!$P$11*'DATI nascosti 1'!$L$16*C183,-'DATI nascosti 1'!$L$14*'DATI nascosti 1'!$P$11))</f>
        <v>614659.43222408998</v>
      </c>
      <c r="N183" s="71">
        <f t="shared" si="6"/>
        <v>-285099.72457627114</v>
      </c>
      <c r="O183" s="71">
        <f>-L183*('DATI nascosti 1'!$C$8/2-(J183*F183))-K183*('DATI nascosti 1'!$C$13/2)+M183*('DATI nascosti 1'!$C$13/2)</f>
        <v>869383542.7707845</v>
      </c>
      <c r="P183" s="69">
        <f>-TABULATI!N183/10^3</f>
        <v>285.09972457627111</v>
      </c>
      <c r="Q183" s="69">
        <f>TABULATI!O183/10^6</f>
        <v>869.38354277078452</v>
      </c>
      <c r="R183" s="72">
        <f>-N183/('DATI nascosti 1'!$C$6*'DATI nascosti 1'!$C$13*'DATI nascosti 1'!$H$10*'DATI nascosti 1'!$H$16)</f>
        <v>6.860371267150929E-2</v>
      </c>
      <c r="S183" s="72">
        <f>O183/('DATI nascosti 1'!$H$16*'DATI nascosti 1'!$C$6*'DATI nascosti 1'!$C$13^2*'DATI nascosti 1'!$H$10)</f>
        <v>0.18112577310400263</v>
      </c>
      <c r="T183" s="73">
        <f t="shared" si="7"/>
        <v>-3049.401552607264</v>
      </c>
      <c r="U183" s="67" t="str">
        <f>IF(T183&gt;=0, IF(T183&lt;='DATI nascosti 1'!$C$8/6, "SI", "NO"),IF(T183&gt; -'DATI nascosti 1'!$C$8/6, "SI", "NO"))</f>
        <v>NO</v>
      </c>
      <c r="V183" s="67" t="str">
        <f>IF(Foglio3!G184&lt;1,IF(Foglio3!G184&gt;-1,"ROTTURA BILANCIATA",""),"")</f>
        <v>ROTTURA BILANCIATA</v>
      </c>
    </row>
    <row r="184" spans="1:22" ht="18.75" x14ac:dyDescent="0.25">
      <c r="A184" s="20"/>
      <c r="B184" s="67">
        <f>'DATI nascosti 1'!$H$12*10^-3</f>
        <v>-3.5000000000000001E-3</v>
      </c>
      <c r="C184" s="68">
        <f>C183-('DATI nascosti 1'!$L$8*10^-3/100)</f>
        <v>3.7124999999999964E-2</v>
      </c>
      <c r="D184" s="68">
        <f>('DATI nascosti 1'!$H$12*(F184-'DATI nascosti 1'!$C$10))/(F184*1000)</f>
        <v>-1.9172077922077933E-3</v>
      </c>
      <c r="E184" s="67" t="s">
        <v>39</v>
      </c>
      <c r="F184" s="69">
        <f>(-'DATI nascosti 1'!$H$12*10^-3/(-'DATI nascosti 1'!$H$12*10^-3+C184))*'DATI nascosti 1'!$C$13</f>
        <v>99.50769230769238</v>
      </c>
      <c r="G184" s="70">
        <f t="shared" si="12"/>
        <v>39.978333333333296</v>
      </c>
      <c r="H184" s="70">
        <f t="shared" si="13"/>
        <v>81.720416666666537</v>
      </c>
      <c r="I184" s="70">
        <f>G184/('DATI nascosti 1'!$H$10*(-'DATI nascosti 1'!$H$12))</f>
        <v>0.80952380952380887</v>
      </c>
      <c r="J184" s="70">
        <f t="shared" si="11"/>
        <v>0.41596638655462226</v>
      </c>
      <c r="K184" s="71">
        <f>IF(D184&gt;=('DATI nascosti 1'!$L$10*10^-3),'DATI nascosti 1'!$L$14*'DATI nascosti 1'!$P$12,IF(D184&gt;=(-'DATI nascosti 1'!$L$10*10^-3),'DATI nascosti 1'!$L$16*D184*'DATI nascosti 1'!$P$12,-'DATI nascosti 1'!$L$14*'DATI nascosti 1'!$P$12))</f>
        <v>-614659.43222408998</v>
      </c>
      <c r="L184" s="71">
        <f>-'DATI nascosti 1'!$H$16*'DATI nascosti 1'!$C$6*I184*'DATI nascosti 1'!$H$10*F184</f>
        <v>-289836.76615384611</v>
      </c>
      <c r="M184" s="71">
        <f>IF(C184&gt;=('DATI nascosti 1'!$L$10*10^-3),'DATI nascosti 1'!$L$14*'DATI nascosti 1'!$P$11,IF(C184&gt;=(-'DATI nascosti 1'!$L$10*10^-3),'DATI nascosti 1'!$P$11*'DATI nascosti 1'!$L$16*C184,-'DATI nascosti 1'!$L$14*'DATI nascosti 1'!$P$11))</f>
        <v>614659.43222408998</v>
      </c>
      <c r="N184" s="71">
        <f t="shared" si="6"/>
        <v>-289836.76615384617</v>
      </c>
      <c r="O184" s="71">
        <f>-L184*('DATI nascosti 1'!$C$8/2-(J184*F184))-K184*('DATI nascosti 1'!$C$13/2)+M184*('DATI nascosti 1'!$C$13/2)</f>
        <v>871836822.45380616</v>
      </c>
      <c r="P184" s="69">
        <f>-TABULATI!N184/10^3</f>
        <v>289.83676615384616</v>
      </c>
      <c r="Q184" s="69">
        <f>TABULATI!O184/10^6</f>
        <v>871.83682245380612</v>
      </c>
      <c r="R184" s="72">
        <f>-N184/('DATI nascosti 1'!$C$6*'DATI nascosti 1'!$C$13*'DATI nascosti 1'!$H$10*'DATI nascosti 1'!$H$16)</f>
        <v>6.9743589743589768E-2</v>
      </c>
      <c r="S184" s="72">
        <f>O184/('DATI nascosti 1'!$H$16*'DATI nascosti 1'!$C$6*'DATI nascosti 1'!$C$13^2*'DATI nascosti 1'!$H$10)</f>
        <v>0.18163688489456109</v>
      </c>
      <c r="T184" s="73">
        <f t="shared" si="7"/>
        <v>-3008.0270147336405</v>
      </c>
      <c r="U184" s="67" t="str">
        <f>IF(T184&gt;=0, IF(T184&lt;='DATI nascosti 1'!$C$8/6, "SI", "NO"),IF(T184&gt; -'DATI nascosti 1'!$C$8/6, "SI", "NO"))</f>
        <v>NO</v>
      </c>
      <c r="V184" s="67" t="str">
        <f>IF(Foglio3!G185&lt;1,IF(Foglio3!G185&gt;-1,"ROTTURA BILANCIATA",""),"")</f>
        <v>ROTTURA BILANCIATA</v>
      </c>
    </row>
    <row r="185" spans="1:22" ht="18.75" x14ac:dyDescent="0.25">
      <c r="A185" s="20"/>
      <c r="B185" s="67">
        <f>'DATI nascosti 1'!$H$12*10^-3</f>
        <v>-3.5000000000000001E-3</v>
      </c>
      <c r="C185" s="68">
        <f>C184-('DATI nascosti 1'!$L$8*10^-3/100)</f>
        <v>3.6449999999999962E-2</v>
      </c>
      <c r="D185" s="68">
        <f>('DATI nascosti 1'!$H$12*(F185-'DATI nascosti 1'!$C$10))/(F185*1000)</f>
        <v>-1.9435064935064948E-3</v>
      </c>
      <c r="E185" s="67" t="s">
        <v>39</v>
      </c>
      <c r="F185" s="69">
        <f>(-'DATI nascosti 1'!$H$12*10^-3/(-'DATI nascosti 1'!$H$12*10^-3+C185))*'DATI nascosti 1'!$C$13</f>
        <v>101.18898623279108</v>
      </c>
      <c r="G185" s="70">
        <f t="shared" si="12"/>
        <v>39.978333333333296</v>
      </c>
      <c r="H185" s="70">
        <f t="shared" si="13"/>
        <v>81.720416666666537</v>
      </c>
      <c r="I185" s="70">
        <f>G185/('DATI nascosti 1'!$H$10*(-'DATI nascosti 1'!$H$12))</f>
        <v>0.80952380952380887</v>
      </c>
      <c r="J185" s="70">
        <f t="shared" si="11"/>
        <v>0.41596638655462226</v>
      </c>
      <c r="K185" s="71">
        <f>IF(D185&gt;=('DATI nascosti 1'!$L$10*10^-3),'DATI nascosti 1'!$L$14*'DATI nascosti 1'!$P$12,IF(D185&gt;=(-'DATI nascosti 1'!$L$10*10^-3),'DATI nascosti 1'!$L$16*D185*'DATI nascosti 1'!$P$12,-'DATI nascosti 1'!$L$14*'DATI nascosti 1'!$P$12))</f>
        <v>-614659.43222408998</v>
      </c>
      <c r="L185" s="71">
        <f>-'DATI nascosti 1'!$H$16*'DATI nascosti 1'!$C$6*I185*'DATI nascosti 1'!$H$10*F185</f>
        <v>-294733.88297872338</v>
      </c>
      <c r="M185" s="71">
        <f>IF(C185&gt;=('DATI nascosti 1'!$L$10*10^-3),'DATI nascosti 1'!$L$14*'DATI nascosti 1'!$P$11,IF(C185&gt;=(-'DATI nascosti 1'!$L$10*10^-3),'DATI nascosti 1'!$P$11*'DATI nascosti 1'!$L$16*C185,-'DATI nascosti 1'!$L$14*'DATI nascosti 1'!$P$11))</f>
        <v>614659.43222408998</v>
      </c>
      <c r="N185" s="71">
        <f t="shared" si="6"/>
        <v>-294733.88297872338</v>
      </c>
      <c r="O185" s="71">
        <f>-L185*('DATI nascosti 1'!$C$8/2-(J185*F185))-K185*('DATI nascosti 1'!$C$13/2)+M185*('DATI nascosti 1'!$C$13/2)</f>
        <v>874366266.19143593</v>
      </c>
      <c r="P185" s="69">
        <f>-TABULATI!N185/10^3</f>
        <v>294.73388297872339</v>
      </c>
      <c r="Q185" s="69">
        <f>TABULATI!O185/10^6</f>
        <v>874.3662661914359</v>
      </c>
      <c r="R185" s="72">
        <f>-N185/('DATI nascosti 1'!$C$6*'DATI nascosti 1'!$C$13*'DATI nascosti 1'!$H$10*'DATI nascosti 1'!$H$16)</f>
        <v>7.0921985815602842E-2</v>
      </c>
      <c r="S185" s="72">
        <f>O185/('DATI nascosti 1'!$H$16*'DATI nascosti 1'!$C$6*'DATI nascosti 1'!$C$13^2*'DATI nascosti 1'!$H$10)</f>
        <v>0.18216386456459385</v>
      </c>
      <c r="T185" s="73">
        <f t="shared" si="7"/>
        <v>-2966.629616366693</v>
      </c>
      <c r="U185" s="67" t="str">
        <f>IF(T185&gt;=0, IF(T185&lt;='DATI nascosti 1'!$C$8/6, "SI", "NO"),IF(T185&gt; -'DATI nascosti 1'!$C$8/6, "SI", "NO"))</f>
        <v>NO</v>
      </c>
      <c r="V185" s="67" t="str">
        <f>IF(Foglio3!G186&lt;1,IF(Foglio3!G186&gt;-1,"ROTTURA BILANCIATA",""),"")</f>
        <v>ROTTURA BILANCIATA</v>
      </c>
    </row>
    <row r="186" spans="1:22" ht="18.75" x14ac:dyDescent="0.25">
      <c r="A186" s="20"/>
      <c r="B186" s="67">
        <f>'DATI nascosti 1'!$H$12*10^-3</f>
        <v>-3.5000000000000001E-3</v>
      </c>
      <c r="C186" s="68">
        <f>C185-('DATI nascosti 1'!$L$8*10^-3/100)</f>
        <v>3.577499999999996E-2</v>
      </c>
      <c r="D186" s="68">
        <f>('DATI nascosti 1'!$H$12*(F186-'DATI nascosti 1'!$C$10))/(F186*1000)</f>
        <v>-1.9698051948051961E-3</v>
      </c>
      <c r="E186" s="67" t="s">
        <v>39</v>
      </c>
      <c r="F186" s="69">
        <f>(-'DATI nascosti 1'!$H$12*10^-3/(-'DATI nascosti 1'!$H$12*10^-3+C186))*'DATI nascosti 1'!$C$13</f>
        <v>102.92807129217069</v>
      </c>
      <c r="G186" s="70">
        <f t="shared" si="12"/>
        <v>39.978333333333296</v>
      </c>
      <c r="H186" s="70">
        <f t="shared" si="13"/>
        <v>81.720416666666537</v>
      </c>
      <c r="I186" s="70">
        <f>G186/('DATI nascosti 1'!$H$10*(-'DATI nascosti 1'!$H$12))</f>
        <v>0.80952380952380887</v>
      </c>
      <c r="J186" s="70">
        <f t="shared" si="11"/>
        <v>0.41596638655462226</v>
      </c>
      <c r="K186" s="71">
        <f>IF(D186&gt;=('DATI nascosti 1'!$L$10*10^-3),'DATI nascosti 1'!$L$14*'DATI nascosti 1'!$P$12,IF(D186&gt;=(-'DATI nascosti 1'!$L$10*10^-3),'DATI nascosti 1'!$L$16*D186*'DATI nascosti 1'!$P$12,-'DATI nascosti 1'!$L$14*'DATI nascosti 1'!$P$12))</f>
        <v>-614659.43222408998</v>
      </c>
      <c r="L186" s="71">
        <f>-'DATI nascosti 1'!$H$16*'DATI nascosti 1'!$C$6*I186*'DATI nascosti 1'!$H$10*F186</f>
        <v>-299799.32845321455</v>
      </c>
      <c r="M186" s="71">
        <f>IF(C186&gt;=('DATI nascosti 1'!$L$10*10^-3),'DATI nascosti 1'!$L$14*'DATI nascosti 1'!$P$11,IF(C186&gt;=(-'DATI nascosti 1'!$L$10*10^-3),'DATI nascosti 1'!$P$11*'DATI nascosti 1'!$L$16*C186,-'DATI nascosti 1'!$L$14*'DATI nascosti 1'!$P$11))</f>
        <v>614659.43222408998</v>
      </c>
      <c r="N186" s="71">
        <f t="shared" si="6"/>
        <v>-299799.32845321461</v>
      </c>
      <c r="O186" s="71">
        <f>-L186*('DATI nascosti 1'!$C$8/2-(J186*F186))-K186*('DATI nascosti 1'!$C$13/2)+M186*('DATI nascosti 1'!$C$13/2)</f>
        <v>876975447.59921753</v>
      </c>
      <c r="P186" s="69">
        <f>-TABULATI!N186/10^3</f>
        <v>299.79932845321463</v>
      </c>
      <c r="Q186" s="69">
        <f>TABULATI!O186/10^6</f>
        <v>876.97544759921755</v>
      </c>
      <c r="R186" s="72">
        <f>-N186/('DATI nascosti 1'!$C$6*'DATI nascosti 1'!$C$13*'DATI nascosti 1'!$H$10*'DATI nascosti 1'!$H$16)</f>
        <v>7.2140886908550861E-2</v>
      </c>
      <c r="S186" s="72">
        <f>O186/('DATI nascosti 1'!$H$16*'DATI nascosti 1'!$C$6*'DATI nascosti 1'!$C$13^2*'DATI nascosti 1'!$H$10)</f>
        <v>0.18270745663461035</v>
      </c>
      <c r="T186" s="73">
        <f t="shared" si="7"/>
        <v>-2925.2081788304422</v>
      </c>
      <c r="U186" s="67" t="str">
        <f>IF(T186&gt;=0, IF(T186&lt;='DATI nascosti 1'!$C$8/6, "SI", "NO"),IF(T186&gt; -'DATI nascosti 1'!$C$8/6, "SI", "NO"))</f>
        <v>NO</v>
      </c>
      <c r="V186" s="67" t="str">
        <f>IF(Foglio3!G187&lt;1,IF(Foglio3!G187&gt;-1,"ROTTURA BILANCIATA",""),"")</f>
        <v>ROTTURA BILANCIATA</v>
      </c>
    </row>
    <row r="187" spans="1:22" ht="18.75" x14ac:dyDescent="0.25">
      <c r="A187" s="20"/>
      <c r="B187" s="67">
        <f>'DATI nascosti 1'!$H$12*10^-3</f>
        <v>-3.5000000000000001E-3</v>
      </c>
      <c r="C187" s="68">
        <f>C186-('DATI nascosti 1'!$L$8*10^-3/100)</f>
        <v>3.5099999999999958E-2</v>
      </c>
      <c r="D187" s="68">
        <f>('DATI nascosti 1'!$H$12*(F187-'DATI nascosti 1'!$C$10))/(F187*1000)</f>
        <v>-1.9961038961038976E-3</v>
      </c>
      <c r="E187" s="67" t="s">
        <v>39</v>
      </c>
      <c r="F187" s="69">
        <f>(-'DATI nascosti 1'!$H$12*10^-3/(-'DATI nascosti 1'!$H$12*10^-3+C187))*'DATI nascosti 1'!$C$13</f>
        <v>104.72797927461151</v>
      </c>
      <c r="G187" s="70">
        <f t="shared" si="12"/>
        <v>39.978333333333296</v>
      </c>
      <c r="H187" s="70">
        <f t="shared" si="13"/>
        <v>81.720416666666537</v>
      </c>
      <c r="I187" s="70">
        <f>G187/('DATI nascosti 1'!$H$10*(-'DATI nascosti 1'!$H$12))</f>
        <v>0.80952380952380887</v>
      </c>
      <c r="J187" s="70">
        <f t="shared" si="11"/>
        <v>0.41596638655462226</v>
      </c>
      <c r="K187" s="71">
        <f>IF(D187&gt;=('DATI nascosti 1'!$L$10*10^-3),'DATI nascosti 1'!$L$14*'DATI nascosti 1'!$P$12,IF(D187&gt;=(-'DATI nascosti 1'!$L$10*10^-3),'DATI nascosti 1'!$L$16*D187*'DATI nascosti 1'!$P$12,-'DATI nascosti 1'!$L$14*'DATI nascosti 1'!$P$12))</f>
        <v>-614659.43222408998</v>
      </c>
      <c r="L187" s="71">
        <f>-'DATI nascosti 1'!$H$16*'DATI nascosti 1'!$C$6*I187*'DATI nascosti 1'!$H$10*F187</f>
        <v>-305041.93329015549</v>
      </c>
      <c r="M187" s="71">
        <f>IF(C187&gt;=('DATI nascosti 1'!$L$10*10^-3),'DATI nascosti 1'!$L$14*'DATI nascosti 1'!$P$11,IF(C187&gt;=(-'DATI nascosti 1'!$L$10*10^-3),'DATI nascosti 1'!$P$11*'DATI nascosti 1'!$L$16*C187,-'DATI nascosti 1'!$L$14*'DATI nascosti 1'!$P$11))</f>
        <v>614659.43222408998</v>
      </c>
      <c r="N187" s="71">
        <f t="shared" si="6"/>
        <v>-305041.93329015549</v>
      </c>
      <c r="O187" s="71">
        <f>-L187*('DATI nascosti 1'!$C$8/2-(J187*F187))-K187*('DATI nascosti 1'!$C$13/2)+M187*('DATI nascosti 1'!$C$13/2)</f>
        <v>879668165.11105847</v>
      </c>
      <c r="P187" s="69">
        <f>-TABULATI!N187/10^3</f>
        <v>305.0419332901555</v>
      </c>
      <c r="Q187" s="69">
        <f>TABULATI!O187/10^6</f>
        <v>879.66816511105844</v>
      </c>
      <c r="R187" s="72">
        <f>-N187/('DATI nascosti 1'!$C$6*'DATI nascosti 1'!$C$13*'DATI nascosti 1'!$H$10*'DATI nascosti 1'!$H$16)</f>
        <v>7.3402417962003488E-2</v>
      </c>
      <c r="S187" s="72">
        <f>O187/('DATI nascosti 1'!$H$16*'DATI nascosti 1'!$C$6*'DATI nascosti 1'!$C$13^2*'DATI nascosti 1'!$H$10)</f>
        <v>0.18326845246336559</v>
      </c>
      <c r="T187" s="73">
        <f t="shared" si="7"/>
        <v>-2883.7614410026677</v>
      </c>
      <c r="U187" s="67" t="str">
        <f>IF(T187&gt;=0, IF(T187&lt;='DATI nascosti 1'!$C$8/6, "SI", "NO"),IF(T187&gt; -'DATI nascosti 1'!$C$8/6, "SI", "NO"))</f>
        <v>NO</v>
      </c>
      <c r="V187" s="67" t="str">
        <f>IF(Foglio3!G188&lt;1,IF(Foglio3!G188&gt;-1,"ROTTURA BILANCIATA",""),"")</f>
        <v>ROTTURA BILANCIATA</v>
      </c>
    </row>
    <row r="188" spans="1:22" ht="18.75" x14ac:dyDescent="0.25">
      <c r="A188" s="20"/>
      <c r="B188" s="67">
        <f>'DATI nascosti 1'!$H$12*10^-3</f>
        <v>-3.5000000000000001E-3</v>
      </c>
      <c r="C188" s="68">
        <f>C187-('DATI nascosti 1'!$L$8*10^-3/100)</f>
        <v>3.4424999999999956E-2</v>
      </c>
      <c r="D188" s="68">
        <f>('DATI nascosti 1'!$H$12*(F188-'DATI nascosti 1'!$C$10))/(F188*1000)</f>
        <v>-2.0224025974025987E-3</v>
      </c>
      <c r="E188" s="67" t="s">
        <v>39</v>
      </c>
      <c r="F188" s="69">
        <f>(-'DATI nascosti 1'!$H$12*10^-3/(-'DATI nascosti 1'!$H$12*10^-3+C188))*'DATI nascosti 1'!$C$13</f>
        <v>106.59195781147012</v>
      </c>
      <c r="G188" s="70">
        <f t="shared" si="12"/>
        <v>39.978333333333296</v>
      </c>
      <c r="H188" s="70">
        <f t="shared" si="13"/>
        <v>81.720416666666537</v>
      </c>
      <c r="I188" s="70">
        <f>G188/('DATI nascosti 1'!$H$10*(-'DATI nascosti 1'!$H$12))</f>
        <v>0.80952380952380887</v>
      </c>
      <c r="J188" s="70">
        <f t="shared" si="11"/>
        <v>0.41596638655462226</v>
      </c>
      <c r="K188" s="71">
        <f>IF(D188&gt;=('DATI nascosti 1'!$L$10*10^-3),'DATI nascosti 1'!$L$14*'DATI nascosti 1'!$P$12,IF(D188&gt;=(-'DATI nascosti 1'!$L$10*10^-3),'DATI nascosti 1'!$L$16*D188*'DATI nascosti 1'!$P$12,-'DATI nascosti 1'!$L$14*'DATI nascosti 1'!$P$12))</f>
        <v>-614659.43222408998</v>
      </c>
      <c r="L188" s="71">
        <f>-'DATI nascosti 1'!$H$16*'DATI nascosti 1'!$C$6*I188*'DATI nascosti 1'!$H$10*F188</f>
        <v>-310471.15688859596</v>
      </c>
      <c r="M188" s="71">
        <f>IF(C188&gt;=('DATI nascosti 1'!$L$10*10^-3),'DATI nascosti 1'!$L$14*'DATI nascosti 1'!$P$11,IF(C188&gt;=(-'DATI nascosti 1'!$L$10*10^-3),'DATI nascosti 1'!$P$11*'DATI nascosti 1'!$L$16*C188,-'DATI nascosti 1'!$L$14*'DATI nascosti 1'!$P$11))</f>
        <v>614659.43222408998</v>
      </c>
      <c r="N188" s="71">
        <f t="shared" si="6"/>
        <v>-310471.15688859602</v>
      </c>
      <c r="O188" s="71">
        <f>-L188*('DATI nascosti 1'!$C$8/2-(J188*F188))-K188*('DATI nascosti 1'!$C$13/2)+M188*('DATI nascosti 1'!$C$13/2)</f>
        <v>882448459.70820832</v>
      </c>
      <c r="P188" s="69">
        <f>-TABULATI!N188/10^3</f>
        <v>310.471156888596</v>
      </c>
      <c r="Q188" s="69">
        <f>TABULATI!O188/10^6</f>
        <v>882.44845970820836</v>
      </c>
      <c r="R188" s="72">
        <f>-N188/('DATI nascosti 1'!$C$6*'DATI nascosti 1'!$C$13*'DATI nascosti 1'!$H$10*'DATI nascosti 1'!$H$16)</f>
        <v>7.4708855196660109E-2</v>
      </c>
      <c r="S188" s="72">
        <f>O188/('DATI nascosti 1'!$H$16*'DATI nascosti 1'!$C$6*'DATI nascosti 1'!$C$13^2*'DATI nascosti 1'!$H$10)</f>
        <v>0.18384769394148318</v>
      </c>
      <c r="T188" s="73">
        <f t="shared" si="7"/>
        <v>-2842.2880519778864</v>
      </c>
      <c r="U188" s="67" t="str">
        <f>IF(T188&gt;=0, IF(T188&lt;='DATI nascosti 1'!$C$8/6, "SI", "NO"),IF(T188&gt; -'DATI nascosti 1'!$C$8/6, "SI", "NO"))</f>
        <v>NO</v>
      </c>
      <c r="V188" s="67" t="str">
        <f>IF(Foglio3!G189&lt;1,IF(Foglio3!G189&gt;-1,"ROTTURA BILANCIATA",""),"")</f>
        <v>ROTTURA BILANCIATA</v>
      </c>
    </row>
    <row r="189" spans="1:22" ht="18.75" x14ac:dyDescent="0.25">
      <c r="A189" s="20"/>
      <c r="B189" s="67">
        <f>'DATI nascosti 1'!$H$12*10^-3</f>
        <v>-3.5000000000000001E-3</v>
      </c>
      <c r="C189" s="68">
        <f>C188-('DATI nascosti 1'!$L$8*10^-3/100)</f>
        <v>3.3749999999999954E-2</v>
      </c>
      <c r="D189" s="68">
        <f>('DATI nascosti 1'!$H$12*(F189-'DATI nascosti 1'!$C$10))/(F189*1000)</f>
        <v>-2.0487012987013007E-3</v>
      </c>
      <c r="E189" s="67" t="s">
        <v>39</v>
      </c>
      <c r="F189" s="69">
        <f>(-'DATI nascosti 1'!$H$12*10^-3/(-'DATI nascosti 1'!$H$12*10^-3+C189))*'DATI nascosti 1'!$C$13</f>
        <v>108.52348993288604</v>
      </c>
      <c r="G189" s="70">
        <f t="shared" si="12"/>
        <v>39.978333333333296</v>
      </c>
      <c r="H189" s="70">
        <f t="shared" si="13"/>
        <v>81.720416666666537</v>
      </c>
      <c r="I189" s="70">
        <f>G189/('DATI nascosti 1'!$H$10*(-'DATI nascosti 1'!$H$12))</f>
        <v>0.80952380952380887</v>
      </c>
      <c r="J189" s="70">
        <f t="shared" si="11"/>
        <v>0.41596638655462226</v>
      </c>
      <c r="K189" s="71">
        <f>IF(D189&gt;=('DATI nascosti 1'!$L$10*10^-3),'DATI nascosti 1'!$L$14*'DATI nascosti 1'!$P$12,IF(D189&gt;=(-'DATI nascosti 1'!$L$10*10^-3),'DATI nascosti 1'!$L$16*D189*'DATI nascosti 1'!$P$12,-'DATI nascosti 1'!$L$14*'DATI nascosti 1'!$P$12))</f>
        <v>-614659.43222408998</v>
      </c>
      <c r="L189" s="71">
        <f>-'DATI nascosti 1'!$H$16*'DATI nascosti 1'!$C$6*I189*'DATI nascosti 1'!$H$10*F189</f>
        <v>-316097.1442953021</v>
      </c>
      <c r="M189" s="71">
        <f>IF(C189&gt;=('DATI nascosti 1'!$L$10*10^-3),'DATI nascosti 1'!$L$14*'DATI nascosti 1'!$P$11,IF(C189&gt;=(-'DATI nascosti 1'!$L$10*10^-3),'DATI nascosti 1'!$P$11*'DATI nascosti 1'!$L$16*C189,-'DATI nascosti 1'!$L$14*'DATI nascosti 1'!$P$11))</f>
        <v>614659.43222408998</v>
      </c>
      <c r="N189" s="71">
        <f t="shared" si="6"/>
        <v>-316097.1442953021</v>
      </c>
      <c r="O189" s="71">
        <f>-L189*('DATI nascosti 1'!$C$8/2-(J189*F189))-K189*('DATI nascosti 1'!$C$13/2)+M189*('DATI nascosti 1'!$C$13/2)</f>
        <v>885320634.32366157</v>
      </c>
      <c r="P189" s="69">
        <f>-TABULATI!N189/10^3</f>
        <v>316.09714429530209</v>
      </c>
      <c r="Q189" s="69">
        <f>TABULATI!O189/10^6</f>
        <v>885.32063432366158</v>
      </c>
      <c r="R189" s="72">
        <f>-N189/('DATI nascosti 1'!$C$6*'DATI nascosti 1'!$C$13*'DATI nascosti 1'!$H$10*'DATI nascosti 1'!$H$16)</f>
        <v>7.6062639821029121E-2</v>
      </c>
      <c r="S189" s="72">
        <f>O189/('DATI nascosti 1'!$H$16*'DATI nascosti 1'!$C$6*'DATI nascosti 1'!$C$13^2*'DATI nascosti 1'!$H$10)</f>
        <v>0.18444607753413284</v>
      </c>
      <c r="T189" s="73">
        <f t="shared" si="7"/>
        <v>-2800.7865629326388</v>
      </c>
      <c r="U189" s="67" t="str">
        <f>IF(T189&gt;=0, IF(T189&lt;='DATI nascosti 1'!$C$8/6, "SI", "NO"),IF(T189&gt; -'DATI nascosti 1'!$C$8/6, "SI", "NO"))</f>
        <v>NO</v>
      </c>
      <c r="V189" s="67" t="str">
        <f>IF(Foglio3!G190&lt;1,IF(Foglio3!G190&gt;-1,"ROTTURA BILANCIATA",""),"")</f>
        <v>ROTTURA BILANCIATA</v>
      </c>
    </row>
    <row r="190" spans="1:22" ht="18.75" x14ac:dyDescent="0.25">
      <c r="A190" s="20"/>
      <c r="B190" s="67">
        <f>'DATI nascosti 1'!$H$12*10^-3</f>
        <v>-3.5000000000000001E-3</v>
      </c>
      <c r="C190" s="68">
        <f>C189-('DATI nascosti 1'!$L$8*10^-3/100)</f>
        <v>3.3074999999999952E-2</v>
      </c>
      <c r="D190" s="68">
        <f>('DATI nascosti 1'!$H$12*(F190-'DATI nascosti 1'!$C$10))/(F190*1000)</f>
        <v>-2.0750000000000018E-3</v>
      </c>
      <c r="E190" s="67" t="s">
        <v>39</v>
      </c>
      <c r="F190" s="69">
        <f>(-'DATI nascosti 1'!$H$12*10^-3/(-'DATI nascosti 1'!$H$12*10^-3+C190))*'DATI nascosti 1'!$C$13</f>
        <v>110.52631578947383</v>
      </c>
      <c r="G190" s="70">
        <f t="shared" si="12"/>
        <v>39.978333333333296</v>
      </c>
      <c r="H190" s="70">
        <f t="shared" si="13"/>
        <v>81.720416666666537</v>
      </c>
      <c r="I190" s="70">
        <f>G190/('DATI nascosti 1'!$H$10*(-'DATI nascosti 1'!$H$12))</f>
        <v>0.80952380952380887</v>
      </c>
      <c r="J190" s="70">
        <f t="shared" si="11"/>
        <v>0.41596638655462226</v>
      </c>
      <c r="K190" s="71">
        <f>IF(D190&gt;=('DATI nascosti 1'!$L$10*10^-3),'DATI nascosti 1'!$L$14*'DATI nascosti 1'!$P$12,IF(D190&gt;=(-'DATI nascosti 1'!$L$10*10^-3),'DATI nascosti 1'!$L$16*D190*'DATI nascosti 1'!$P$12,-'DATI nascosti 1'!$L$14*'DATI nascosti 1'!$P$12))</f>
        <v>-614659.43222408998</v>
      </c>
      <c r="L190" s="71">
        <f>-'DATI nascosti 1'!$H$16*'DATI nascosti 1'!$C$6*I190*'DATI nascosti 1'!$H$10*F190</f>
        <v>-321930.78947368433</v>
      </c>
      <c r="M190" s="71">
        <f>IF(C190&gt;=('DATI nascosti 1'!$L$10*10^-3),'DATI nascosti 1'!$L$14*'DATI nascosti 1'!$P$11,IF(C190&gt;=(-'DATI nascosti 1'!$L$10*10^-3),'DATI nascosti 1'!$P$11*'DATI nascosti 1'!$L$16*C190,-'DATI nascosti 1'!$L$14*'DATI nascosti 1'!$P$11))</f>
        <v>614659.43222408998</v>
      </c>
      <c r="N190" s="71">
        <f t="shared" si="6"/>
        <v>-321930.78947368427</v>
      </c>
      <c r="O190" s="71">
        <f>-L190*('DATI nascosti 1'!$C$8/2-(J190*F190))-K190*('DATI nascosti 1'!$C$13/2)+M190*('DATI nascosti 1'!$C$13/2)</f>
        <v>888289275.1052506</v>
      </c>
      <c r="P190" s="69">
        <f>-TABULATI!N190/10^3</f>
        <v>321.93078947368429</v>
      </c>
      <c r="Q190" s="69">
        <f>TABULATI!O190/10^6</f>
        <v>888.28927510525057</v>
      </c>
      <c r="R190" s="72">
        <f>-N190/('DATI nascosti 1'!$C$6*'DATI nascosti 1'!$C$13*'DATI nascosti 1'!$H$10*'DATI nascosti 1'!$H$16)</f>
        <v>7.7466393255866975E-2</v>
      </c>
      <c r="S190" s="72">
        <f>O190/('DATI nascosti 1'!$H$16*'DATI nascosti 1'!$C$6*'DATI nascosti 1'!$C$13^2*'DATI nascosti 1'!$H$10)</f>
        <v>0.18506455871094427</v>
      </c>
      <c r="T190" s="73">
        <f t="shared" si="7"/>
        <v>-2759.2554180899879</v>
      </c>
      <c r="U190" s="67" t="str">
        <f>IF(T190&gt;=0, IF(T190&lt;='DATI nascosti 1'!$C$8/6, "SI", "NO"),IF(T190&gt; -'DATI nascosti 1'!$C$8/6, "SI", "NO"))</f>
        <v>NO</v>
      </c>
      <c r="V190" s="67" t="str">
        <f>IF(Foglio3!G191&lt;1,IF(Foglio3!G191&gt;-1,"ROTTURA BILANCIATA",""),"")</f>
        <v>ROTTURA BILANCIATA</v>
      </c>
    </row>
    <row r="191" spans="1:22" ht="18.75" x14ac:dyDescent="0.25">
      <c r="A191" s="20"/>
      <c r="B191" s="67">
        <f>'DATI nascosti 1'!$H$12*10^-3</f>
        <v>-3.5000000000000001E-3</v>
      </c>
      <c r="C191" s="68">
        <f>C190-('DATI nascosti 1'!$L$8*10^-3/100)</f>
        <v>3.239999999999995E-2</v>
      </c>
      <c r="D191" s="68">
        <f>('DATI nascosti 1'!$H$12*(F191-'DATI nascosti 1'!$C$10))/(F191*1000)</f>
        <v>-2.1012987012987028E-3</v>
      </c>
      <c r="E191" s="67" t="s">
        <v>39</v>
      </c>
      <c r="F191" s="69">
        <f>(-'DATI nascosti 1'!$H$12*10^-3/(-'DATI nascosti 1'!$H$12*10^-3+C191))*'DATI nascosti 1'!$C$13</f>
        <v>112.60445682451268</v>
      </c>
      <c r="G191" s="70">
        <f t="shared" si="12"/>
        <v>39.978333333333296</v>
      </c>
      <c r="H191" s="70">
        <f t="shared" si="13"/>
        <v>81.720416666666537</v>
      </c>
      <c r="I191" s="70">
        <f>G191/('DATI nascosti 1'!$H$10*(-'DATI nascosti 1'!$H$12))</f>
        <v>0.80952380952380887</v>
      </c>
      <c r="J191" s="70">
        <f t="shared" si="11"/>
        <v>0.41596638655462226</v>
      </c>
      <c r="K191" s="71">
        <f>IF(D191&gt;=('DATI nascosti 1'!$L$10*10^-3),'DATI nascosti 1'!$L$14*'DATI nascosti 1'!$P$12,IF(D191&gt;=(-'DATI nascosti 1'!$L$10*10^-3),'DATI nascosti 1'!$L$16*D191*'DATI nascosti 1'!$P$12,-'DATI nascosti 1'!$L$14*'DATI nascosti 1'!$P$12))</f>
        <v>-614659.43222408998</v>
      </c>
      <c r="L191" s="71">
        <f>-'DATI nascosti 1'!$H$16*'DATI nascosti 1'!$C$6*I191*'DATI nascosti 1'!$H$10*F191</f>
        <v>-327983.80571030657</v>
      </c>
      <c r="M191" s="71">
        <f>IF(C191&gt;=('DATI nascosti 1'!$L$10*10^-3),'DATI nascosti 1'!$L$14*'DATI nascosti 1'!$P$11,IF(C191&gt;=(-'DATI nascosti 1'!$L$10*10^-3),'DATI nascosti 1'!$P$11*'DATI nascosti 1'!$L$16*C191,-'DATI nascosti 1'!$L$14*'DATI nascosti 1'!$P$11))</f>
        <v>614659.43222408998</v>
      </c>
      <c r="N191" s="71">
        <f t="shared" si="6"/>
        <v>-327983.80571030662</v>
      </c>
      <c r="O191" s="71">
        <f>-L191*('DATI nascosti 1'!$C$8/2-(J191*F191))-K191*('DATI nascosti 1'!$C$13/2)+M191*('DATI nascosti 1'!$C$13/2)</f>
        <v>891359274.74317884</v>
      </c>
      <c r="P191" s="69">
        <f>-TABULATI!N191/10^3</f>
        <v>327.98380571030663</v>
      </c>
      <c r="Q191" s="69">
        <f>TABULATI!O191/10^6</f>
        <v>891.35927474317884</v>
      </c>
      <c r="R191" s="72">
        <f>-N191/('DATI nascosti 1'!$C$6*'DATI nascosti 1'!$C$13*'DATI nascosti 1'!$H$10*'DATI nascosti 1'!$H$16)</f>
        <v>7.8922934076137485E-2</v>
      </c>
      <c r="S191" s="72">
        <f>O191/('DATI nascosti 1'!$H$16*'DATI nascosti 1'!$C$6*'DATI nascosti 1'!$C$13^2*'DATI nascosti 1'!$H$10)</f>
        <v>0.18570415680602276</v>
      </c>
      <c r="T191" s="73">
        <f t="shared" si="7"/>
        <v>-2717.6929446647023</v>
      </c>
      <c r="U191" s="67" t="str">
        <f>IF(T191&gt;=0, IF(T191&lt;='DATI nascosti 1'!$C$8/6, "SI", "NO"),IF(T191&gt; -'DATI nascosti 1'!$C$8/6, "SI", "NO"))</f>
        <v>NO</v>
      </c>
      <c r="V191" s="67" t="str">
        <f>IF(Foglio3!G192&lt;1,IF(Foglio3!G192&gt;-1,"ROTTURA BILANCIATA",""),"")</f>
        <v>ROTTURA BILANCIATA</v>
      </c>
    </row>
    <row r="192" spans="1:22" ht="18.75" x14ac:dyDescent="0.25">
      <c r="A192" s="20"/>
      <c r="B192" s="67">
        <f>'DATI nascosti 1'!$H$12*10^-3</f>
        <v>-3.5000000000000001E-3</v>
      </c>
      <c r="C192" s="68">
        <f>C191-('DATI nascosti 1'!$L$8*10^-3/100)</f>
        <v>3.1724999999999948E-2</v>
      </c>
      <c r="D192" s="68">
        <f>('DATI nascosti 1'!$H$12*(F192-'DATI nascosti 1'!$C$10))/(F192*1000)</f>
        <v>-2.1275974025974048E-3</v>
      </c>
      <c r="E192" s="67" t="s">
        <v>39</v>
      </c>
      <c r="F192" s="69">
        <f>(-'DATI nascosti 1'!$H$12*10^-3/(-'DATI nascosti 1'!$H$12*10^-3+C192))*'DATI nascosti 1'!$C$13</f>
        <v>114.76224272533729</v>
      </c>
      <c r="G192" s="70">
        <f t="shared" si="12"/>
        <v>39.978333333333296</v>
      </c>
      <c r="H192" s="70">
        <f t="shared" si="13"/>
        <v>81.720416666666537</v>
      </c>
      <c r="I192" s="70">
        <f>G192/('DATI nascosti 1'!$H$10*(-'DATI nascosti 1'!$H$12))</f>
        <v>0.80952380952380887</v>
      </c>
      <c r="J192" s="70">
        <f t="shared" si="11"/>
        <v>0.41596638655462226</v>
      </c>
      <c r="K192" s="71">
        <f>IF(D192&gt;=('DATI nascosti 1'!$L$10*10^-3),'DATI nascosti 1'!$L$14*'DATI nascosti 1'!$P$12,IF(D192&gt;=(-'DATI nascosti 1'!$L$10*10^-3),'DATI nascosti 1'!$L$16*D192*'DATI nascosti 1'!$P$12,-'DATI nascosti 1'!$L$14*'DATI nascosti 1'!$P$12))</f>
        <v>-614659.43222408998</v>
      </c>
      <c r="L192" s="71">
        <f>-'DATI nascosti 1'!$H$16*'DATI nascosti 1'!$C$6*I192*'DATI nascosti 1'!$H$10*F192</f>
        <v>-334268.80411639478</v>
      </c>
      <c r="M192" s="71">
        <f>IF(C192&gt;=('DATI nascosti 1'!$L$10*10^-3),'DATI nascosti 1'!$L$14*'DATI nascosti 1'!$P$11,IF(C192&gt;=(-'DATI nascosti 1'!$L$10*10^-3),'DATI nascosti 1'!$P$11*'DATI nascosti 1'!$L$16*C192,-'DATI nascosti 1'!$L$14*'DATI nascosti 1'!$P$11))</f>
        <v>614659.43222408998</v>
      </c>
      <c r="N192" s="71">
        <f t="shared" si="6"/>
        <v>-334268.80411639484</v>
      </c>
      <c r="O192" s="71">
        <f>-L192*('DATI nascosti 1'!$C$8/2-(J192*F192))-K192*('DATI nascosti 1'!$C$13/2)+M192*('DATI nascosti 1'!$C$13/2)</f>
        <v>894535858.09320748</v>
      </c>
      <c r="P192" s="69">
        <f>-TABULATI!N192/10^3</f>
        <v>334.26880411639485</v>
      </c>
      <c r="Q192" s="69">
        <f>TABULATI!O192/10^6</f>
        <v>894.53585809320748</v>
      </c>
      <c r="R192" s="72">
        <f>-N192/('DATI nascosti 1'!$C$6*'DATI nascosti 1'!$C$13*'DATI nascosti 1'!$H$10*'DATI nascosti 1'!$H$16)</f>
        <v>8.0435296900875405E-2</v>
      </c>
      <c r="S192" s="72">
        <f>O192/('DATI nascosti 1'!$H$16*'DATI nascosti 1'!$C$6*'DATI nascosti 1'!$C$13^2*'DATI nascosti 1'!$H$10)</f>
        <v>0.18636596035623665</v>
      </c>
      <c r="T192" s="73">
        <f t="shared" si="7"/>
        <v>-2676.0973416523893</v>
      </c>
      <c r="U192" s="67" t="str">
        <f>IF(T192&gt;=0, IF(T192&lt;='DATI nascosti 1'!$C$8/6, "SI", "NO"),IF(T192&gt; -'DATI nascosti 1'!$C$8/6, "SI", "NO"))</f>
        <v>NO</v>
      </c>
      <c r="V192" s="67" t="str">
        <f>IF(Foglio3!G193&lt;1,IF(Foglio3!G193&gt;-1,"ROTTURA BILANCIATA",""),"")</f>
        <v>ROTTURA BILANCIATA</v>
      </c>
    </row>
    <row r="193" spans="1:22" ht="18.75" x14ac:dyDescent="0.25">
      <c r="A193" s="20"/>
      <c r="B193" s="67">
        <f>'DATI nascosti 1'!$H$12*10^-3</f>
        <v>-3.5000000000000001E-3</v>
      </c>
      <c r="C193" s="68">
        <f>C192-('DATI nascosti 1'!$L$8*10^-3/100)</f>
        <v>3.1049999999999949E-2</v>
      </c>
      <c r="D193" s="68">
        <f>('DATI nascosti 1'!$H$12*(F193-'DATI nascosti 1'!$C$10))/(F193*1000)</f>
        <v>-2.1538961038961059E-3</v>
      </c>
      <c r="E193" s="67" t="s">
        <v>39</v>
      </c>
      <c r="F193" s="69">
        <f>(-'DATI nascosti 1'!$H$12*10^-3/(-'DATI nascosti 1'!$H$12*10^-3+C193))*'DATI nascosti 1'!$C$13</f>
        <v>117.00434153400886</v>
      </c>
      <c r="G193" s="70">
        <f t="shared" si="12"/>
        <v>39.978333333333296</v>
      </c>
      <c r="H193" s="70">
        <f t="shared" si="13"/>
        <v>81.720416666666537</v>
      </c>
      <c r="I193" s="70">
        <f>G193/('DATI nascosti 1'!$H$10*(-'DATI nascosti 1'!$H$12))</f>
        <v>0.80952380952380887</v>
      </c>
      <c r="J193" s="70">
        <f t="shared" si="11"/>
        <v>0.41596638655462226</v>
      </c>
      <c r="K193" s="71">
        <f>IF(D193&gt;=('DATI nascosti 1'!$L$10*10^-3),'DATI nascosti 1'!$L$14*'DATI nascosti 1'!$P$12,IF(D193&gt;=(-'DATI nascosti 1'!$L$10*10^-3),'DATI nascosti 1'!$L$16*D193*'DATI nascosti 1'!$P$12,-'DATI nascosti 1'!$L$14*'DATI nascosti 1'!$P$12))</f>
        <v>-614659.43222408998</v>
      </c>
      <c r="L193" s="71">
        <f>-'DATI nascosti 1'!$H$16*'DATI nascosti 1'!$C$6*I193*'DATI nascosti 1'!$H$10*F193</f>
        <v>-340799.38133140397</v>
      </c>
      <c r="M193" s="71">
        <f>IF(C193&gt;=('DATI nascosti 1'!$L$10*10^-3),'DATI nascosti 1'!$L$14*'DATI nascosti 1'!$P$11,IF(C193&gt;=(-'DATI nascosti 1'!$L$10*10^-3),'DATI nascosti 1'!$P$11*'DATI nascosti 1'!$L$16*C193,-'DATI nascosti 1'!$L$14*'DATI nascosti 1'!$P$11))</f>
        <v>614659.43222408998</v>
      </c>
      <c r="N193" s="71">
        <f t="shared" si="6"/>
        <v>-340799.38133140397</v>
      </c>
      <c r="O193" s="71">
        <f>-L193*('DATI nascosti 1'!$C$8/2-(J193*F193))-K193*('DATI nascosti 1'!$C$13/2)+M193*('DATI nascosti 1'!$C$13/2)</f>
        <v>897824610.35556555</v>
      </c>
      <c r="P193" s="69">
        <f>-TABULATI!N193/10^3</f>
        <v>340.79938133140399</v>
      </c>
      <c r="Q193" s="69">
        <f>TABULATI!O193/10^6</f>
        <v>897.8246103555656</v>
      </c>
      <c r="R193" s="72">
        <f>-N193/('DATI nascosti 1'!$C$6*'DATI nascosti 1'!$C$13*'DATI nascosti 1'!$H$10*'DATI nascosti 1'!$H$16)</f>
        <v>8.2006753497346915E-2</v>
      </c>
      <c r="S193" s="72">
        <f>O193/('DATI nascosti 1'!$H$16*'DATI nascosti 1'!$C$6*'DATI nascosti 1'!$C$13^2*'DATI nascosti 1'!$H$10)</f>
        <v>0.18705113297196005</v>
      </c>
      <c r="T193" s="73">
        <f t="shared" si="7"/>
        <v>-2634.4666673044599</v>
      </c>
      <c r="U193" s="67" t="str">
        <f>IF(T193&gt;=0, IF(T193&lt;='DATI nascosti 1'!$C$8/6, "SI", "NO"),IF(T193&gt; -'DATI nascosti 1'!$C$8/6, "SI", "NO"))</f>
        <v>NO</v>
      </c>
      <c r="V193" s="67" t="str">
        <f>IF(Foglio3!G194&lt;1,IF(Foglio3!G194&gt;-1,"ROTTURA BILANCIATA",""),"")</f>
        <v>ROTTURA BILANCIATA</v>
      </c>
    </row>
    <row r="194" spans="1:22" ht="18.75" x14ac:dyDescent="0.25">
      <c r="A194" s="20"/>
      <c r="B194" s="67">
        <f>'DATI nascosti 1'!$H$12*10^-3</f>
        <v>-3.5000000000000001E-3</v>
      </c>
      <c r="C194" s="68">
        <f>C193-('DATI nascosti 1'!$L$8*10^-3/100)</f>
        <v>3.0374999999999951E-2</v>
      </c>
      <c r="D194" s="68">
        <f>('DATI nascosti 1'!$H$12*(F194-'DATI nascosti 1'!$C$10))/(F194*1000)</f>
        <v>-2.180194805194807E-3</v>
      </c>
      <c r="E194" s="67" t="s">
        <v>39</v>
      </c>
      <c r="F194" s="69">
        <f>(-'DATI nascosti 1'!$H$12*10^-3/(-'DATI nascosti 1'!$H$12*10^-3+C194))*'DATI nascosti 1'!$C$13</f>
        <v>119.33579335793374</v>
      </c>
      <c r="G194" s="70">
        <f t="shared" si="12"/>
        <v>39.978333333333296</v>
      </c>
      <c r="H194" s="70">
        <f t="shared" si="13"/>
        <v>81.720416666666537</v>
      </c>
      <c r="I194" s="70">
        <f>G194/('DATI nascosti 1'!$H$10*(-'DATI nascosti 1'!$H$12))</f>
        <v>0.80952380952380887</v>
      </c>
      <c r="J194" s="70">
        <f t="shared" si="11"/>
        <v>0.41596638655462226</v>
      </c>
      <c r="K194" s="71">
        <f>IF(D194&gt;=('DATI nascosti 1'!$L$10*10^-3),'DATI nascosti 1'!$L$14*'DATI nascosti 1'!$P$12,IF(D194&gt;=(-'DATI nascosti 1'!$L$10*10^-3),'DATI nascosti 1'!$L$16*D194*'DATI nascosti 1'!$P$12,-'DATI nascosti 1'!$L$14*'DATI nascosti 1'!$P$12))</f>
        <v>-614659.43222408998</v>
      </c>
      <c r="L194" s="71">
        <f>-'DATI nascosti 1'!$H$16*'DATI nascosti 1'!$C$6*I194*'DATI nascosti 1'!$H$10*F194</f>
        <v>-347590.21771217725</v>
      </c>
      <c r="M194" s="71">
        <f>IF(C194&gt;=('DATI nascosti 1'!$L$10*10^-3),'DATI nascosti 1'!$L$14*'DATI nascosti 1'!$P$11,IF(C194&gt;=(-'DATI nascosti 1'!$L$10*10^-3),'DATI nascosti 1'!$P$11*'DATI nascosti 1'!$L$16*C194,-'DATI nascosti 1'!$L$14*'DATI nascosti 1'!$P$11))</f>
        <v>614659.43222408998</v>
      </c>
      <c r="N194" s="71">
        <f t="shared" ref="N194:N257" si="14">K194+L194+M194</f>
        <v>-347590.2177121772</v>
      </c>
      <c r="O194" s="71">
        <f>-L194*('DATI nascosti 1'!$C$8/2-(J194*F194))-K194*('DATI nascosti 1'!$C$13/2)+M194*('DATI nascosti 1'!$C$13/2)</f>
        <v>901231508.10234952</v>
      </c>
      <c r="P194" s="69">
        <f>-TABULATI!N194/10^3</f>
        <v>347.59021771217721</v>
      </c>
      <c r="Q194" s="69">
        <f>TABULATI!O194/10^6</f>
        <v>901.23150810234949</v>
      </c>
      <c r="R194" s="72">
        <f>-N194/('DATI nascosti 1'!$C$6*'DATI nascosti 1'!$C$13*'DATI nascosti 1'!$H$10*'DATI nascosti 1'!$H$16)</f>
        <v>8.3640836408364116E-2</v>
      </c>
      <c r="S194" s="72">
        <f>O194/('DATI nascosti 1'!$H$16*'DATI nascosti 1'!$C$6*'DATI nascosti 1'!$C$13^2*'DATI nascosti 1'!$H$10)</f>
        <v>0.18776091980126425</v>
      </c>
      <c r="T194" s="73">
        <f t="shared" ref="T194:T258" si="15">O194/N194</f>
        <v>-2592.7988251056481</v>
      </c>
      <c r="U194" s="67" t="str">
        <f>IF(T194&gt;=0, IF(T194&lt;='DATI nascosti 1'!$C$8/6, "SI", "NO"),IF(T194&gt; -'DATI nascosti 1'!$C$8/6, "SI", "NO"))</f>
        <v>NO</v>
      </c>
      <c r="V194" s="67" t="str">
        <f>IF(Foglio3!G195&lt;1,IF(Foglio3!G195&gt;-1,"ROTTURA BILANCIATA",""),"")</f>
        <v>ROTTURA BILANCIATA</v>
      </c>
    </row>
    <row r="195" spans="1:22" ht="18.75" x14ac:dyDescent="0.25">
      <c r="A195" s="20"/>
      <c r="B195" s="67">
        <f>'DATI nascosti 1'!$H$12*10^-3</f>
        <v>-3.5000000000000001E-3</v>
      </c>
      <c r="C195" s="68">
        <f>C194-('DATI nascosti 1'!$L$8*10^-3/100)</f>
        <v>2.9699999999999952E-2</v>
      </c>
      <c r="D195" s="68">
        <f>('DATI nascosti 1'!$H$12*(F195-'DATI nascosti 1'!$C$10))/(F195*1000)</f>
        <v>-2.2064935064935085E-3</v>
      </c>
      <c r="E195" s="67" t="s">
        <v>39</v>
      </c>
      <c r="F195" s="69">
        <f>(-'DATI nascosti 1'!$H$12*10^-3/(-'DATI nascosti 1'!$H$12*10^-3+C195))*'DATI nascosti 1'!$C$13</f>
        <v>121.76204819277127</v>
      </c>
      <c r="G195" s="70">
        <f t="shared" si="12"/>
        <v>39.978333333333296</v>
      </c>
      <c r="H195" s="70">
        <f t="shared" si="13"/>
        <v>81.720416666666537</v>
      </c>
      <c r="I195" s="70">
        <f>G195/('DATI nascosti 1'!$H$10*(-'DATI nascosti 1'!$H$12))</f>
        <v>0.80952380952380887</v>
      </c>
      <c r="J195" s="70">
        <f t="shared" si="11"/>
        <v>0.41596638655462226</v>
      </c>
      <c r="K195" s="71">
        <f>IF(D195&gt;=('DATI nascosti 1'!$L$10*10^-3),'DATI nascosti 1'!$L$14*'DATI nascosti 1'!$P$12,IF(D195&gt;=(-'DATI nascosti 1'!$L$10*10^-3),'DATI nascosti 1'!$L$16*D195*'DATI nascosti 1'!$P$12,-'DATI nascosti 1'!$L$14*'DATI nascosti 1'!$P$12))</f>
        <v>-614659.43222408998</v>
      </c>
      <c r="L195" s="71">
        <f>-'DATI nascosti 1'!$H$16*'DATI nascosti 1'!$C$6*I195*'DATI nascosti 1'!$H$10*F195</f>
        <v>-354657.18750000023</v>
      </c>
      <c r="M195" s="71">
        <f>IF(C195&gt;=('DATI nascosti 1'!$L$10*10^-3),'DATI nascosti 1'!$L$14*'DATI nascosti 1'!$P$11,IF(C195&gt;=(-'DATI nascosti 1'!$L$10*10^-3),'DATI nascosti 1'!$P$11*'DATI nascosti 1'!$L$16*C195,-'DATI nascosti 1'!$L$14*'DATI nascosti 1'!$P$11))</f>
        <v>614659.43222408998</v>
      </c>
      <c r="N195" s="71">
        <f t="shared" si="14"/>
        <v>-354657.18750000023</v>
      </c>
      <c r="O195" s="71">
        <f>-L195*('DATI nascosti 1'!$C$8/2-(J195*F195))-K195*('DATI nascosti 1'!$C$13/2)+M195*('DATI nascosti 1'!$C$13/2)</f>
        <v>904762953.48322535</v>
      </c>
      <c r="P195" s="69">
        <f>-TABULATI!N195/10^3</f>
        <v>354.65718750000025</v>
      </c>
      <c r="Q195" s="69">
        <f>TABULATI!O195/10^6</f>
        <v>904.76295348322537</v>
      </c>
      <c r="R195" s="72">
        <f>-N195/('DATI nascosti 1'!$C$6*'DATI nascosti 1'!$C$13*'DATI nascosti 1'!$H$10*'DATI nascosti 1'!$H$16)</f>
        <v>8.5341365461847465E-2</v>
      </c>
      <c r="S195" s="72">
        <f>O195/('DATI nascosti 1'!$H$16*'DATI nascosti 1'!$C$6*'DATI nascosti 1'!$C$13^2*'DATI nascosti 1'!$H$10)</f>
        <v>0.18849665465627097</v>
      </c>
      <c r="T195" s="73">
        <f t="shared" si="15"/>
        <v>-2551.0915480409508</v>
      </c>
      <c r="U195" s="67" t="str">
        <f>IF(T195&gt;=0, IF(T195&lt;='DATI nascosti 1'!$C$8/6, "SI", "NO"),IF(T195&gt; -'DATI nascosti 1'!$C$8/6, "SI", "NO"))</f>
        <v>NO</v>
      </c>
      <c r="V195" s="67" t="str">
        <f>IF(Foglio3!G196&lt;1,IF(Foglio3!G196&gt;-1,"ROTTURA BILANCIATA",""),"")</f>
        <v>ROTTURA BILANCIATA</v>
      </c>
    </row>
    <row r="196" spans="1:22" ht="18.75" x14ac:dyDescent="0.25">
      <c r="A196" s="20"/>
      <c r="B196" s="67">
        <f>'DATI nascosti 1'!$H$12*10^-3</f>
        <v>-3.5000000000000001E-3</v>
      </c>
      <c r="C196" s="68">
        <f>C195-('DATI nascosti 1'!$L$8*10^-3/100)</f>
        <v>2.9024999999999954E-2</v>
      </c>
      <c r="D196" s="68">
        <f>('DATI nascosti 1'!$H$12*(F196-'DATI nascosti 1'!$C$10))/(F196*1000)</f>
        <v>-2.2327922077922096E-3</v>
      </c>
      <c r="E196" s="67" t="s">
        <v>39</v>
      </c>
      <c r="F196" s="69">
        <f>(-'DATI nascosti 1'!$H$12*10^-3/(-'DATI nascosti 1'!$H$12*10^-3+C196))*'DATI nascosti 1'!$C$13</f>
        <v>124.28900845503476</v>
      </c>
      <c r="G196" s="70">
        <f t="shared" si="12"/>
        <v>39.978333333333296</v>
      </c>
      <c r="H196" s="70">
        <f t="shared" si="13"/>
        <v>81.720416666666537</v>
      </c>
      <c r="I196" s="70">
        <f>G196/('DATI nascosti 1'!$H$10*(-'DATI nascosti 1'!$H$12))</f>
        <v>0.80952380952380887</v>
      </c>
      <c r="J196" s="70">
        <f t="shared" si="11"/>
        <v>0.41596638655462226</v>
      </c>
      <c r="K196" s="71">
        <f>IF(D196&gt;=('DATI nascosti 1'!$L$10*10^-3),'DATI nascosti 1'!$L$14*'DATI nascosti 1'!$P$12,IF(D196&gt;=(-'DATI nascosti 1'!$L$10*10^-3),'DATI nascosti 1'!$L$16*D196*'DATI nascosti 1'!$P$12,-'DATI nascosti 1'!$L$14*'DATI nascosti 1'!$P$12))</f>
        <v>-614659.43222408998</v>
      </c>
      <c r="L196" s="71">
        <f>-'DATI nascosti 1'!$H$16*'DATI nascosti 1'!$C$6*I196*'DATI nascosti 1'!$H$10*F196</f>
        <v>-362017.48270561127</v>
      </c>
      <c r="M196" s="71">
        <f>IF(C196&gt;=('DATI nascosti 1'!$L$10*10^-3),'DATI nascosti 1'!$L$14*'DATI nascosti 1'!$P$11,IF(C196&gt;=(-'DATI nascosti 1'!$L$10*10^-3),'DATI nascosti 1'!$P$11*'DATI nascosti 1'!$L$16*C196,-'DATI nascosti 1'!$L$14*'DATI nascosti 1'!$P$11))</f>
        <v>614659.43222408998</v>
      </c>
      <c r="N196" s="71">
        <f t="shared" si="14"/>
        <v>-362017.48270561127</v>
      </c>
      <c r="O196" s="71">
        <f>-L196*('DATI nascosti 1'!$C$8/2-(J196*F196))-K196*('DATI nascosti 1'!$C$13/2)+M196*('DATI nascosti 1'!$C$13/2)</f>
        <v>908425811.98119092</v>
      </c>
      <c r="P196" s="69">
        <f>-TABULATI!N196/10^3</f>
        <v>362.01748270561126</v>
      </c>
      <c r="Q196" s="69">
        <f>TABULATI!O196/10^6</f>
        <v>908.42581198119092</v>
      </c>
      <c r="R196" s="72">
        <f>-N196/('DATI nascosti 1'!$C$6*'DATI nascosti 1'!$C$13*'DATI nascosti 1'!$H$10*'DATI nascosti 1'!$H$16)</f>
        <v>8.7112477581347755E-2</v>
      </c>
      <c r="S196" s="72">
        <f>O196/('DATI nascosti 1'!$H$16*'DATI nascosti 1'!$C$6*'DATI nascosti 1'!$C$13^2*'DATI nascosti 1'!$H$10)</f>
        <v>0.18925976787911869</v>
      </c>
      <c r="T196" s="73">
        <f t="shared" si="15"/>
        <v>-2509.3423809035021</v>
      </c>
      <c r="U196" s="67" t="str">
        <f>IF(T196&gt;=0, IF(T196&lt;='DATI nascosti 1'!$C$8/6, "SI", "NO"),IF(T196&gt; -'DATI nascosti 1'!$C$8/6, "SI", "NO"))</f>
        <v>NO</v>
      </c>
      <c r="V196" s="67" t="str">
        <f>IF(Foglio3!G197&lt;1,IF(Foglio3!G197&gt;-1,"ROTTURA BILANCIATA",""),"")</f>
        <v>ROTTURA BILANCIATA</v>
      </c>
    </row>
    <row r="197" spans="1:22" ht="18.75" x14ac:dyDescent="0.25">
      <c r="A197" s="20"/>
      <c r="B197" s="67">
        <f>'DATI nascosti 1'!$H$12*10^-3</f>
        <v>-3.5000000000000001E-3</v>
      </c>
      <c r="C197" s="68">
        <f>C196-('DATI nascosti 1'!$L$8*10^-3/100)</f>
        <v>2.8349999999999955E-2</v>
      </c>
      <c r="D197" s="68">
        <f>('DATI nascosti 1'!$H$12*(F197-'DATI nascosti 1'!$C$10))/(F197*1000)</f>
        <v>-2.2590909090909107E-3</v>
      </c>
      <c r="E197" s="67" t="s">
        <v>39</v>
      </c>
      <c r="F197" s="69">
        <f>(-'DATI nascosti 1'!$H$12*10^-3/(-'DATI nascosti 1'!$H$12*10^-3+C197))*'DATI nascosti 1'!$C$13</f>
        <v>126.92307692307712</v>
      </c>
      <c r="G197" s="70">
        <f t="shared" si="12"/>
        <v>39.978333333333296</v>
      </c>
      <c r="H197" s="70">
        <f t="shared" si="13"/>
        <v>81.720416666666537</v>
      </c>
      <c r="I197" s="70">
        <f>G197/('DATI nascosti 1'!$H$10*(-'DATI nascosti 1'!$H$12))</f>
        <v>0.80952380952380887</v>
      </c>
      <c r="J197" s="70">
        <f t="shared" si="11"/>
        <v>0.41596638655462226</v>
      </c>
      <c r="K197" s="71">
        <f>IF(D197&gt;=('DATI nascosti 1'!$L$10*10^-3),'DATI nascosti 1'!$L$14*'DATI nascosti 1'!$P$12,IF(D197&gt;=(-'DATI nascosti 1'!$L$10*10^-3),'DATI nascosti 1'!$L$16*D197*'DATI nascosti 1'!$P$12,-'DATI nascosti 1'!$L$14*'DATI nascosti 1'!$P$12))</f>
        <v>-614659.43222408998</v>
      </c>
      <c r="L197" s="71">
        <f>-'DATI nascosti 1'!$H$16*'DATI nascosti 1'!$C$6*I197*'DATI nascosti 1'!$H$10*F197</f>
        <v>-369689.75274725299</v>
      </c>
      <c r="M197" s="71">
        <f>IF(C197&gt;=('DATI nascosti 1'!$L$10*10^-3),'DATI nascosti 1'!$L$14*'DATI nascosti 1'!$P$11,IF(C197&gt;=(-'DATI nascosti 1'!$L$10*10^-3),'DATI nascosti 1'!$P$11*'DATI nascosti 1'!$L$16*C197,-'DATI nascosti 1'!$L$14*'DATI nascosti 1'!$P$11))</f>
        <v>614659.43222408998</v>
      </c>
      <c r="N197" s="71">
        <f t="shared" si="14"/>
        <v>-369689.75274725305</v>
      </c>
      <c r="O197" s="71">
        <f>-L197*('DATI nascosti 1'!$C$8/2-(J197*F197))-K197*('DATI nascosti 1'!$C$13/2)+M197*('DATI nascosti 1'!$C$13/2)</f>
        <v>912227454.13761401</v>
      </c>
      <c r="P197" s="69">
        <f>-TABULATI!N197/10^3</f>
        <v>369.68975274725307</v>
      </c>
      <c r="Q197" s="69">
        <f>TABULATI!O197/10^6</f>
        <v>912.22745413761402</v>
      </c>
      <c r="R197" s="72">
        <f>-N197/('DATI nascosti 1'!$C$6*'DATI nascosti 1'!$C$13*'DATI nascosti 1'!$H$10*'DATI nascosti 1'!$H$16)</f>
        <v>8.8958660387231908E-2</v>
      </c>
      <c r="S197" s="72">
        <f>O197/('DATI nascosti 1'!$H$16*'DATI nascosti 1'!$C$6*'DATI nascosti 1'!$C$13^2*'DATI nascosti 1'!$H$10)</f>
        <v>0.19005179503488054</v>
      </c>
      <c r="T197" s="73">
        <f t="shared" si="15"/>
        <v>-2467.5486603527238</v>
      </c>
      <c r="U197" s="67" t="str">
        <f>IF(T197&gt;=0, IF(T197&lt;='DATI nascosti 1'!$C$8/6, "SI", "NO"),IF(T197&gt; -'DATI nascosti 1'!$C$8/6, "SI", "NO"))</f>
        <v>NO</v>
      </c>
      <c r="V197" s="67" t="str">
        <f>IF(Foglio3!G198&lt;1,IF(Foglio3!G198&gt;-1,"ROTTURA BILANCIATA",""),"")</f>
        <v>ROTTURA BILANCIATA</v>
      </c>
    </row>
    <row r="198" spans="1:22" ht="18.75" x14ac:dyDescent="0.25">
      <c r="A198" s="20"/>
      <c r="B198" s="67">
        <f>'DATI nascosti 1'!$H$12*10^-3</f>
        <v>-3.5000000000000001E-3</v>
      </c>
      <c r="C198" s="68">
        <f>C197-('DATI nascosti 1'!$L$8*10^-3/100)</f>
        <v>2.7674999999999957E-2</v>
      </c>
      <c r="D198" s="68">
        <f>('DATI nascosti 1'!$H$12*(F198-'DATI nascosti 1'!$C$10))/(F198*1000)</f>
        <v>-2.2853896103896122E-3</v>
      </c>
      <c r="E198" s="67" t="s">
        <v>39</v>
      </c>
      <c r="F198" s="69">
        <f>(-'DATI nascosti 1'!$H$12*10^-3/(-'DATI nascosti 1'!$H$12*10^-3+C198))*'DATI nascosti 1'!$C$13</f>
        <v>129.67121090617502</v>
      </c>
      <c r="G198" s="70">
        <f t="shared" si="12"/>
        <v>39.978333333333296</v>
      </c>
      <c r="H198" s="70">
        <f t="shared" si="13"/>
        <v>81.720416666666537</v>
      </c>
      <c r="I198" s="70">
        <f>G198/('DATI nascosti 1'!$H$10*(-'DATI nascosti 1'!$H$12))</f>
        <v>0.80952380952380887</v>
      </c>
      <c r="J198" s="70">
        <f t="shared" si="11"/>
        <v>0.41596638655462226</v>
      </c>
      <c r="K198" s="71">
        <f>IF(D198&gt;=('DATI nascosti 1'!$L$10*10^-3),'DATI nascosti 1'!$L$14*'DATI nascosti 1'!$P$12,IF(D198&gt;=(-'DATI nascosti 1'!$L$10*10^-3),'DATI nascosti 1'!$L$16*D198*'DATI nascosti 1'!$P$12,-'DATI nascosti 1'!$L$14*'DATI nascosti 1'!$P$12))</f>
        <v>-614659.43222408998</v>
      </c>
      <c r="L198" s="71">
        <f>-'DATI nascosti 1'!$H$16*'DATI nascosti 1'!$C$6*I198*'DATI nascosti 1'!$H$10*F198</f>
        <v>-377694.26222935069</v>
      </c>
      <c r="M198" s="71">
        <f>IF(C198&gt;=('DATI nascosti 1'!$L$10*10^-3),'DATI nascosti 1'!$L$14*'DATI nascosti 1'!$P$11,IF(C198&gt;=(-'DATI nascosti 1'!$L$10*10^-3),'DATI nascosti 1'!$P$11*'DATI nascosti 1'!$L$16*C198,-'DATI nascosti 1'!$L$14*'DATI nascosti 1'!$P$11))</f>
        <v>614659.43222408998</v>
      </c>
      <c r="N198" s="71">
        <f t="shared" si="14"/>
        <v>-377694.26222935063</v>
      </c>
      <c r="O198" s="71">
        <f>-L198*('DATI nascosti 1'!$C$8/2-(J198*F198))-K198*('DATI nascosti 1'!$C$13/2)+M198*('DATI nascosti 1'!$C$13/2)</f>
        <v>916175801.7193594</v>
      </c>
      <c r="P198" s="69">
        <f>-TABULATI!N198/10^3</f>
        <v>377.69426222935061</v>
      </c>
      <c r="Q198" s="69">
        <f>TABULATI!O198/10^6</f>
        <v>916.17580171935936</v>
      </c>
      <c r="R198" s="72">
        <f>-N198/('DATI nascosti 1'!$C$6*'DATI nascosti 1'!$C$13*'DATI nascosti 1'!$H$10*'DATI nascosti 1'!$H$16)</f>
        <v>9.0884790163058074E-2</v>
      </c>
      <c r="S198" s="72">
        <f>O198/('DATI nascosti 1'!$H$16*'DATI nascosti 1'!$C$6*'DATI nascosti 1'!$C$13^2*'DATI nascosti 1'!$H$10)</f>
        <v>0.19087438652993891</v>
      </c>
      <c r="T198" s="73">
        <f t="shared" si="15"/>
        <v>-2425.7074923818195</v>
      </c>
      <c r="U198" s="67" t="str">
        <f>IF(T198&gt;=0, IF(T198&lt;='DATI nascosti 1'!$C$8/6, "SI", "NO"),IF(T198&gt; -'DATI nascosti 1'!$C$8/6, "SI", "NO"))</f>
        <v>NO</v>
      </c>
      <c r="V198" s="67" t="str">
        <f>IF(Foglio3!G199&lt;1,IF(Foglio3!G199&gt;-1,"ROTTURA BILANCIATA",""),"")</f>
        <v>ROTTURA BILANCIATA</v>
      </c>
    </row>
    <row r="199" spans="1:22" ht="18.75" x14ac:dyDescent="0.25">
      <c r="A199" s="20"/>
      <c r="B199" s="67">
        <f>'DATI nascosti 1'!$H$12*10^-3</f>
        <v>-3.5000000000000001E-3</v>
      </c>
      <c r="C199" s="68">
        <f>C198-('DATI nascosti 1'!$L$8*10^-3/100)</f>
        <v>2.6999999999999958E-2</v>
      </c>
      <c r="D199" s="68">
        <f>('DATI nascosti 1'!$H$12*(F199-'DATI nascosti 1'!$C$10))/(F199*1000)</f>
        <v>-2.3116883116883133E-3</v>
      </c>
      <c r="E199" s="67" t="s">
        <v>39</v>
      </c>
      <c r="F199" s="69">
        <f>(-'DATI nascosti 1'!$H$12*10^-3/(-'DATI nascosti 1'!$H$12*10^-3+C199))*'DATI nascosti 1'!$C$13</f>
        <v>132.54098360655755</v>
      </c>
      <c r="G199" s="70">
        <f t="shared" si="12"/>
        <v>39.978333333333296</v>
      </c>
      <c r="H199" s="70">
        <f t="shared" si="13"/>
        <v>81.720416666666537</v>
      </c>
      <c r="I199" s="70">
        <f>G199/('DATI nascosti 1'!$H$10*(-'DATI nascosti 1'!$H$12))</f>
        <v>0.80952380952380887</v>
      </c>
      <c r="J199" s="70">
        <f t="shared" si="11"/>
        <v>0.41596638655462226</v>
      </c>
      <c r="K199" s="71">
        <f>IF(D199&gt;=('DATI nascosti 1'!$L$10*10^-3),'DATI nascosti 1'!$L$14*'DATI nascosti 1'!$P$12,IF(D199&gt;=(-'DATI nascosti 1'!$L$10*10^-3),'DATI nascosti 1'!$L$16*D199*'DATI nascosti 1'!$P$12,-'DATI nascosti 1'!$L$14*'DATI nascosti 1'!$P$12))</f>
        <v>-614659.43222408998</v>
      </c>
      <c r="L199" s="71">
        <f>-'DATI nascosti 1'!$H$16*'DATI nascosti 1'!$C$6*I199*'DATI nascosti 1'!$H$10*F199</f>
        <v>-386053.06967213133</v>
      </c>
      <c r="M199" s="71">
        <f>IF(C199&gt;=('DATI nascosti 1'!$L$10*10^-3),'DATI nascosti 1'!$L$14*'DATI nascosti 1'!$P$11,IF(C199&gt;=(-'DATI nascosti 1'!$L$10*10^-3),'DATI nascosti 1'!$P$11*'DATI nascosti 1'!$L$16*C199,-'DATI nascosti 1'!$L$14*'DATI nascosti 1'!$P$11))</f>
        <v>614659.43222408998</v>
      </c>
      <c r="N199" s="71">
        <f t="shared" si="14"/>
        <v>-386053.06967213133</v>
      </c>
      <c r="O199" s="71">
        <f>-L199*('DATI nascosti 1'!$C$8/2-(J199*F199))-K199*('DATI nascosti 1'!$C$13/2)+M199*('DATI nascosti 1'!$C$13/2)</f>
        <v>920279378.86122525</v>
      </c>
      <c r="P199" s="69">
        <f>-TABULATI!N199/10^3</f>
        <v>386.0530696721313</v>
      </c>
      <c r="Q199" s="69">
        <f>TABULATI!O199/10^6</f>
        <v>920.27937886122527</v>
      </c>
      <c r="R199" s="72">
        <f>-N199/('DATI nascosti 1'!$C$6*'DATI nascosti 1'!$C$13*'DATI nascosti 1'!$H$10*'DATI nascosti 1'!$H$16)</f>
        <v>9.289617486338804E-2</v>
      </c>
      <c r="S199" s="72">
        <f>O199/('DATI nascosti 1'!$H$16*'DATI nascosti 1'!$C$6*'DATI nascosti 1'!$C$13^2*'DATI nascosti 1'!$H$10)</f>
        <v>0.19172931826690684</v>
      </c>
      <c r="T199" s="73">
        <f t="shared" si="15"/>
        <v>-2383.8157267932197</v>
      </c>
      <c r="U199" s="67" t="str">
        <f>IF(T199&gt;=0, IF(T199&lt;='DATI nascosti 1'!$C$8/6, "SI", "NO"),IF(T199&gt; -'DATI nascosti 1'!$C$8/6, "SI", "NO"))</f>
        <v>NO</v>
      </c>
      <c r="V199" s="67" t="str">
        <f>IF(Foglio3!G200&lt;1,IF(Foglio3!G200&gt;-1,"ROTTURA BILANCIATA",""),"")</f>
        <v>ROTTURA BILANCIATA</v>
      </c>
    </row>
    <row r="200" spans="1:22" ht="18.75" x14ac:dyDescent="0.25">
      <c r="A200" s="20"/>
      <c r="B200" s="67">
        <f>'DATI nascosti 1'!$H$12*10^-3</f>
        <v>-3.5000000000000001E-3</v>
      </c>
      <c r="C200" s="68">
        <f>C199-('DATI nascosti 1'!$L$8*10^-3/100)</f>
        <v>2.632499999999996E-2</v>
      </c>
      <c r="D200" s="68">
        <f>('DATI nascosti 1'!$H$12*(F200-'DATI nascosti 1'!$C$10))/(F200*1000)</f>
        <v>-2.3379870129870144E-3</v>
      </c>
      <c r="E200" s="67" t="s">
        <v>39</v>
      </c>
      <c r="F200" s="69">
        <f>(-'DATI nascosti 1'!$H$12*10^-3/(-'DATI nascosti 1'!$H$12*10^-3+C200))*'DATI nascosti 1'!$C$13</f>
        <v>135.5406538139147</v>
      </c>
      <c r="G200" s="70">
        <f t="shared" si="12"/>
        <v>39.978333333333296</v>
      </c>
      <c r="H200" s="70">
        <f t="shared" si="13"/>
        <v>81.720416666666537</v>
      </c>
      <c r="I200" s="70">
        <f>G200/('DATI nascosti 1'!$H$10*(-'DATI nascosti 1'!$H$12))</f>
        <v>0.80952380952380887</v>
      </c>
      <c r="J200" s="70">
        <f t="shared" ref="J200:J231" si="16">1-(H200/G200)/(-B200*10^3)</f>
        <v>0.41596638655462226</v>
      </c>
      <c r="K200" s="71">
        <f>IF(D200&gt;=('DATI nascosti 1'!$L$10*10^-3),'DATI nascosti 1'!$L$14*'DATI nascosti 1'!$P$12,IF(D200&gt;=(-'DATI nascosti 1'!$L$10*10^-3),'DATI nascosti 1'!$L$16*D200*'DATI nascosti 1'!$P$12,-'DATI nascosti 1'!$L$14*'DATI nascosti 1'!$P$12))</f>
        <v>-614659.43222408998</v>
      </c>
      <c r="L200" s="71">
        <f>-'DATI nascosti 1'!$H$16*'DATI nascosti 1'!$C$6*I200*'DATI nascosti 1'!$H$10*F200</f>
        <v>-394790.23051131627</v>
      </c>
      <c r="M200" s="71">
        <f>IF(C200&gt;=('DATI nascosti 1'!$L$10*10^-3),'DATI nascosti 1'!$L$14*'DATI nascosti 1'!$P$11,IF(C200&gt;=(-'DATI nascosti 1'!$L$10*10^-3),'DATI nascosti 1'!$P$11*'DATI nascosti 1'!$L$16*C200,-'DATI nascosti 1'!$L$14*'DATI nascosti 1'!$P$11))</f>
        <v>614659.43222408998</v>
      </c>
      <c r="N200" s="71">
        <f t="shared" si="14"/>
        <v>-394790.23051131633</v>
      </c>
      <c r="O200" s="71">
        <f>-L200*('DATI nascosti 1'!$C$8/2-(J200*F200))-K200*('DATI nascosti 1'!$C$13/2)+M200*('DATI nascosti 1'!$C$13/2)</f>
        <v>924547368.78476429</v>
      </c>
      <c r="P200" s="69">
        <f>-TABULATI!N200/10^3</f>
        <v>394.79023051131634</v>
      </c>
      <c r="Q200" s="69">
        <f>TABULATI!O200/10^6</f>
        <v>924.54736878476433</v>
      </c>
      <c r="R200" s="72">
        <f>-N200/('DATI nascosti 1'!$C$6*'DATI nascosti 1'!$C$13*'DATI nascosti 1'!$H$10*'DATI nascosti 1'!$H$16)</f>
        <v>9.4998602961721246E-2</v>
      </c>
      <c r="S200" s="72">
        <f>O200/('DATI nascosti 1'!$H$16*'DATI nascosti 1'!$C$6*'DATI nascosti 1'!$C$13^2*'DATI nascosti 1'!$H$10)</f>
        <v>0.19261850346132328</v>
      </c>
      <c r="T200" s="73">
        <f t="shared" si="15"/>
        <v>-2341.8699282080206</v>
      </c>
      <c r="U200" s="67" t="str">
        <f>IF(T200&gt;=0, IF(T200&lt;='DATI nascosti 1'!$C$8/6, "SI", "NO"),IF(T200&gt; -'DATI nascosti 1'!$C$8/6, "SI", "NO"))</f>
        <v>NO</v>
      </c>
      <c r="V200" s="67" t="str">
        <f>IF(Foglio3!G201&lt;1,IF(Foglio3!G201&gt;-1,"ROTTURA BILANCIATA",""),"")</f>
        <v>ROTTURA BILANCIATA</v>
      </c>
    </row>
    <row r="201" spans="1:22" ht="18.75" x14ac:dyDescent="0.25">
      <c r="A201" s="20"/>
      <c r="B201" s="67">
        <f>'DATI nascosti 1'!$H$12*10^-3</f>
        <v>-3.5000000000000001E-3</v>
      </c>
      <c r="C201" s="68">
        <f>C200-('DATI nascosti 1'!$L$8*10^-3/100)</f>
        <v>2.5649999999999961E-2</v>
      </c>
      <c r="D201" s="68">
        <f>('DATI nascosti 1'!$H$12*(F201-'DATI nascosti 1'!$C$10))/(F201*1000)</f>
        <v>-2.3642857142857159E-3</v>
      </c>
      <c r="E201" s="67" t="s">
        <v>39</v>
      </c>
      <c r="F201" s="69">
        <f>(-'DATI nascosti 1'!$H$12*10^-3/(-'DATI nascosti 1'!$H$12*10^-3+C201))*'DATI nascosti 1'!$C$13</f>
        <v>138.67924528301907</v>
      </c>
      <c r="G201" s="70">
        <f t="shared" si="12"/>
        <v>39.978333333333296</v>
      </c>
      <c r="H201" s="70">
        <f t="shared" si="13"/>
        <v>81.720416666666537</v>
      </c>
      <c r="I201" s="70">
        <f>G201/('DATI nascosti 1'!$H$10*(-'DATI nascosti 1'!$H$12))</f>
        <v>0.80952380952380887</v>
      </c>
      <c r="J201" s="70">
        <f t="shared" si="16"/>
        <v>0.41596638655462226</v>
      </c>
      <c r="K201" s="71">
        <f>IF(D201&gt;=('DATI nascosti 1'!$L$10*10^-3),'DATI nascosti 1'!$L$14*'DATI nascosti 1'!$P$12,IF(D201&gt;=(-'DATI nascosti 1'!$L$10*10^-3),'DATI nascosti 1'!$L$16*D201*'DATI nascosti 1'!$P$12,-'DATI nascosti 1'!$L$14*'DATI nascosti 1'!$P$12))</f>
        <v>-614659.43222408998</v>
      </c>
      <c r="L201" s="71">
        <f>-'DATI nascosti 1'!$H$16*'DATI nascosti 1'!$C$6*I201*'DATI nascosti 1'!$H$10*F201</f>
        <v>-403932.02830188704</v>
      </c>
      <c r="M201" s="71">
        <f>IF(C201&gt;=('DATI nascosti 1'!$L$10*10^-3),'DATI nascosti 1'!$L$14*'DATI nascosti 1'!$P$11,IF(C201&gt;=(-'DATI nascosti 1'!$L$10*10^-3),'DATI nascosti 1'!$P$11*'DATI nascosti 1'!$L$16*C201,-'DATI nascosti 1'!$L$14*'DATI nascosti 1'!$P$11))</f>
        <v>614659.43222408998</v>
      </c>
      <c r="N201" s="71">
        <f t="shared" si="14"/>
        <v>-403932.02830188698</v>
      </c>
      <c r="O201" s="71">
        <f>-L201*('DATI nascosti 1'!$C$8/2-(J201*F201))-K201*('DATI nascosti 1'!$C$13/2)+M201*('DATI nascosti 1'!$C$13/2)</f>
        <v>928989676.7704438</v>
      </c>
      <c r="P201" s="69">
        <f>-TABULATI!N201/10^3</f>
        <v>403.93202830188699</v>
      </c>
      <c r="Q201" s="69">
        <f>TABULATI!O201/10^6</f>
        <v>928.98967677044379</v>
      </c>
      <c r="R201" s="72">
        <f>-N201/('DATI nascosti 1'!$C$6*'DATI nascosti 1'!$C$13*'DATI nascosti 1'!$H$10*'DATI nascosti 1'!$H$16)</f>
        <v>9.7198399085191609E-2</v>
      </c>
      <c r="S201" s="72">
        <f>O201/('DATI nascosti 1'!$H$16*'DATI nascosti 1'!$C$6*'DATI nascosti 1'!$C$13^2*'DATI nascosti 1'!$H$10)</f>
        <v>0.19354400576115738</v>
      </c>
      <c r="T201" s="73">
        <f t="shared" si="15"/>
        <v>-2299.8663430475585</v>
      </c>
      <c r="U201" s="67" t="str">
        <f>IF(T201&gt;=0, IF(T201&lt;='DATI nascosti 1'!$C$8/6, "SI", "NO"),IF(T201&gt; -'DATI nascosti 1'!$C$8/6, "SI", "NO"))</f>
        <v>NO</v>
      </c>
      <c r="V201" s="67" t="str">
        <f>IF(Foglio3!G202&lt;1,IF(Foglio3!G202&gt;-1,"ROTTURA BILANCIATA",""),"")</f>
        <v>ROTTURA BILANCIATA</v>
      </c>
    </row>
    <row r="202" spans="1:22" ht="18.75" x14ac:dyDescent="0.25">
      <c r="A202" s="20"/>
      <c r="B202" s="67">
        <f>'DATI nascosti 1'!$H$12*10^-3</f>
        <v>-3.5000000000000001E-3</v>
      </c>
      <c r="C202" s="68">
        <f>C201-('DATI nascosti 1'!$L$8*10^-3/100)</f>
        <v>2.4974999999999963E-2</v>
      </c>
      <c r="D202" s="68">
        <f>('DATI nascosti 1'!$H$12*(F202-'DATI nascosti 1'!$C$10))/(F202*1000)</f>
        <v>-2.390584415584417E-3</v>
      </c>
      <c r="E202" s="67" t="s">
        <v>39</v>
      </c>
      <c r="F202" s="69">
        <f>(-'DATI nascosti 1'!$H$12*10^-3/(-'DATI nascosti 1'!$H$12*10^-3+C202))*'DATI nascosti 1'!$C$13</f>
        <v>141.96663740122935</v>
      </c>
      <c r="G202" s="70">
        <f t="shared" si="12"/>
        <v>39.978333333333296</v>
      </c>
      <c r="H202" s="70">
        <f t="shared" si="13"/>
        <v>81.720416666666537</v>
      </c>
      <c r="I202" s="70">
        <f>G202/('DATI nascosti 1'!$H$10*(-'DATI nascosti 1'!$H$12))</f>
        <v>0.80952380952380887</v>
      </c>
      <c r="J202" s="70">
        <f t="shared" si="16"/>
        <v>0.41596638655462226</v>
      </c>
      <c r="K202" s="71">
        <f>IF(D202&gt;=('DATI nascosti 1'!$L$10*10^-3),'DATI nascosti 1'!$L$14*'DATI nascosti 1'!$P$12,IF(D202&gt;=(-'DATI nascosti 1'!$L$10*10^-3),'DATI nascosti 1'!$L$16*D202*'DATI nascosti 1'!$P$12,-'DATI nascosti 1'!$L$14*'DATI nascosti 1'!$P$12))</f>
        <v>-614659.43222408998</v>
      </c>
      <c r="L202" s="71">
        <f>-'DATI nascosti 1'!$H$16*'DATI nascosti 1'!$C$6*I202*'DATI nascosti 1'!$H$10*F202</f>
        <v>-413507.23880597035</v>
      </c>
      <c r="M202" s="71">
        <f>IF(C202&gt;=('DATI nascosti 1'!$L$10*10^-3),'DATI nascosti 1'!$L$14*'DATI nascosti 1'!$P$11,IF(C202&gt;=(-'DATI nascosti 1'!$L$10*10^-3),'DATI nascosti 1'!$P$11*'DATI nascosti 1'!$L$16*C202,-'DATI nascosti 1'!$L$14*'DATI nascosti 1'!$P$11))</f>
        <v>614659.43222408998</v>
      </c>
      <c r="N202" s="71">
        <f t="shared" si="14"/>
        <v>-413507.23880597041</v>
      </c>
      <c r="O202" s="71">
        <f>-L202*('DATI nascosti 1'!$C$8/2-(J202*F202))-K202*('DATI nascosti 1'!$C$13/2)+M202*('DATI nascosti 1'!$C$13/2)</f>
        <v>933617000.14441991</v>
      </c>
      <c r="P202" s="69">
        <f>-TABULATI!N202/10^3</f>
        <v>413.50723880597042</v>
      </c>
      <c r="Q202" s="69">
        <f>TABULATI!O202/10^6</f>
        <v>933.61700014441988</v>
      </c>
      <c r="R202" s="72">
        <f>-N202/('DATI nascosti 1'!$C$6*'DATI nascosti 1'!$C$13*'DATI nascosti 1'!$H$10*'DATI nascosti 1'!$H$16)</f>
        <v>9.9502487562189143E-2</v>
      </c>
      <c r="S202" s="72">
        <f>O202/('DATI nascosti 1'!$H$16*'DATI nascosti 1'!$C$6*'DATI nascosti 1'!$C$13^2*'DATI nascosti 1'!$H$10)</f>
        <v>0.19450805382772474</v>
      </c>
      <c r="T202" s="73">
        <f t="shared" si="15"/>
        <v>-2257.80086181877</v>
      </c>
      <c r="U202" s="67" t="str">
        <f>IF(T202&gt;=0, IF(T202&lt;='DATI nascosti 1'!$C$8/6, "SI", "NO"),IF(T202&gt; -'DATI nascosti 1'!$C$8/6, "SI", "NO"))</f>
        <v>NO</v>
      </c>
      <c r="V202" s="67" t="str">
        <f>IF(Foglio3!G203&lt;1,IF(Foglio3!G203&gt;-1,"ROTTURA BILANCIATA",""),"")</f>
        <v>ROTTURA BILANCIATA</v>
      </c>
    </row>
    <row r="203" spans="1:22" ht="18.75" x14ac:dyDescent="0.25">
      <c r="A203" s="20"/>
      <c r="B203" s="67">
        <f>'DATI nascosti 1'!$H$12*10^-3</f>
        <v>-3.5000000000000001E-3</v>
      </c>
      <c r="C203" s="68">
        <f>C202-('DATI nascosti 1'!$L$8*10^-3/100)</f>
        <v>2.4299999999999964E-2</v>
      </c>
      <c r="D203" s="68">
        <f>('DATI nascosti 1'!$H$12*(F203-'DATI nascosti 1'!$C$10))/(F203*1000)</f>
        <v>-2.4168831168831185E-3</v>
      </c>
      <c r="E203" s="67" t="s">
        <v>39</v>
      </c>
      <c r="F203" s="69">
        <f>(-'DATI nascosti 1'!$H$12*10^-3/(-'DATI nascosti 1'!$H$12*10^-3+C203))*'DATI nascosti 1'!$C$13</f>
        <v>145.41366906474838</v>
      </c>
      <c r="G203" s="70">
        <f t="shared" ref="G203:G239" si="17">$G$138</f>
        <v>39.978333333333296</v>
      </c>
      <c r="H203" s="70">
        <f t="shared" ref="H203:H239" si="18">$H$138</f>
        <v>81.720416666666537</v>
      </c>
      <c r="I203" s="70">
        <f>G203/('DATI nascosti 1'!$H$10*(-'DATI nascosti 1'!$H$12))</f>
        <v>0.80952380952380887</v>
      </c>
      <c r="J203" s="70">
        <f t="shared" si="16"/>
        <v>0.41596638655462226</v>
      </c>
      <c r="K203" s="71">
        <f>IF(D203&gt;=('DATI nascosti 1'!$L$10*10^-3),'DATI nascosti 1'!$L$14*'DATI nascosti 1'!$P$12,IF(D203&gt;=(-'DATI nascosti 1'!$L$10*10^-3),'DATI nascosti 1'!$L$16*D203*'DATI nascosti 1'!$P$12,-'DATI nascosti 1'!$L$14*'DATI nascosti 1'!$P$12))</f>
        <v>-614659.43222408998</v>
      </c>
      <c r="L203" s="71">
        <f>-'DATI nascosti 1'!$H$16*'DATI nascosti 1'!$C$6*I203*'DATI nascosti 1'!$H$10*F203</f>
        <v>-423547.43255395698</v>
      </c>
      <c r="M203" s="71">
        <f>IF(C203&gt;=('DATI nascosti 1'!$L$10*10^-3),'DATI nascosti 1'!$L$14*'DATI nascosti 1'!$P$11,IF(C203&gt;=(-'DATI nascosti 1'!$L$10*10^-3),'DATI nascosti 1'!$P$11*'DATI nascosti 1'!$L$16*C203,-'DATI nascosti 1'!$L$14*'DATI nascosti 1'!$P$11))</f>
        <v>614659.43222408998</v>
      </c>
      <c r="N203" s="71">
        <f t="shared" si="14"/>
        <v>-423547.43255395698</v>
      </c>
      <c r="O203" s="71">
        <f>-L203*('DATI nascosti 1'!$C$8/2-(J203*F203))-K203*('DATI nascosti 1'!$C$13/2)+M203*('DATI nascosti 1'!$C$13/2)</f>
        <v>938440906.13408935</v>
      </c>
      <c r="P203" s="69">
        <f>-TABULATI!N203/10^3</f>
        <v>423.54743255395698</v>
      </c>
      <c r="Q203" s="69">
        <f>TABULATI!O203/10^6</f>
        <v>938.44090613408935</v>
      </c>
      <c r="R203" s="72">
        <f>-N203/('DATI nascosti 1'!$C$6*'DATI nascosti 1'!$C$13*'DATI nascosti 1'!$H$10*'DATI nascosti 1'!$H$16)</f>
        <v>0.10191846522781781</v>
      </c>
      <c r="S203" s="72">
        <f>O203/('DATI nascosti 1'!$H$16*'DATI nascosti 1'!$C$6*'DATI nascosti 1'!$C$13^2*'DATI nascosti 1'!$H$10)</f>
        <v>0.19551305755597023</v>
      </c>
      <c r="T203" s="73">
        <f t="shared" si="15"/>
        <v>-2215.6689759051687</v>
      </c>
      <c r="U203" s="67" t="str">
        <f>IF(T203&gt;=0, IF(T203&lt;='DATI nascosti 1'!$C$8/6, "SI", "NO"),IF(T203&gt; -'DATI nascosti 1'!$C$8/6, "SI", "NO"))</f>
        <v>NO</v>
      </c>
      <c r="V203" s="67" t="str">
        <f>IF(Foglio3!G204&lt;1,IF(Foglio3!G204&gt;-1,"ROTTURA BILANCIATA",""),"")</f>
        <v>ROTTURA BILANCIATA</v>
      </c>
    </row>
    <row r="204" spans="1:22" ht="18.75" x14ac:dyDescent="0.25">
      <c r="A204" s="20"/>
      <c r="B204" s="67">
        <f>'DATI nascosti 1'!$H$12*10^-3</f>
        <v>-3.5000000000000001E-3</v>
      </c>
      <c r="C204" s="68">
        <f>C203-('DATI nascosti 1'!$L$8*10^-3/100)</f>
        <v>2.3624999999999965E-2</v>
      </c>
      <c r="D204" s="68">
        <f>('DATI nascosti 1'!$H$12*(F204-'DATI nascosti 1'!$C$10))/(F204*1000)</f>
        <v>-2.4431818181818196E-3</v>
      </c>
      <c r="E204" s="67" t="s">
        <v>39</v>
      </c>
      <c r="F204" s="69">
        <f>(-'DATI nascosti 1'!$H$12*10^-3/(-'DATI nascosti 1'!$H$12*10^-3+C204))*'DATI nascosti 1'!$C$13</f>
        <v>149.03225806451633</v>
      </c>
      <c r="G204" s="70">
        <f t="shared" si="17"/>
        <v>39.978333333333296</v>
      </c>
      <c r="H204" s="70">
        <f t="shared" si="18"/>
        <v>81.720416666666537</v>
      </c>
      <c r="I204" s="70">
        <f>G204/('DATI nascosti 1'!$H$10*(-'DATI nascosti 1'!$H$12))</f>
        <v>0.80952380952380887</v>
      </c>
      <c r="J204" s="70">
        <f t="shared" si="16"/>
        <v>0.41596638655462226</v>
      </c>
      <c r="K204" s="71">
        <f>IF(D204&gt;=('DATI nascosti 1'!$L$10*10^-3),'DATI nascosti 1'!$L$14*'DATI nascosti 1'!$P$12,IF(D204&gt;=(-'DATI nascosti 1'!$L$10*10^-3),'DATI nascosti 1'!$L$16*D204*'DATI nascosti 1'!$P$12,-'DATI nascosti 1'!$L$14*'DATI nascosti 1'!$P$12))</f>
        <v>-614659.43222408998</v>
      </c>
      <c r="L204" s="71">
        <f>-'DATI nascosti 1'!$H$16*'DATI nascosti 1'!$C$6*I204*'DATI nascosti 1'!$H$10*F204</f>
        <v>-434087.32258064538</v>
      </c>
      <c r="M204" s="71">
        <f>IF(C204&gt;=('DATI nascosti 1'!$L$10*10^-3),'DATI nascosti 1'!$L$14*'DATI nascosti 1'!$P$11,IF(C204&gt;=(-'DATI nascosti 1'!$L$10*10^-3),'DATI nascosti 1'!$P$11*'DATI nascosti 1'!$L$16*C204,-'DATI nascosti 1'!$L$14*'DATI nascosti 1'!$P$11))</f>
        <v>614659.43222408998</v>
      </c>
      <c r="N204" s="71">
        <f t="shared" si="14"/>
        <v>-434087.32258064533</v>
      </c>
      <c r="O204" s="71">
        <f>-L204*('DATI nascosti 1'!$C$8/2-(J204*F204))-K204*('DATI nascosti 1'!$C$13/2)+M204*('DATI nascosti 1'!$C$13/2)</f>
        <v>943473918.54764819</v>
      </c>
      <c r="P204" s="69">
        <f>-TABULATI!N204/10^3</f>
        <v>434.08732258064532</v>
      </c>
      <c r="Q204" s="69">
        <f>TABULATI!O204/10^6</f>
        <v>943.47391854764817</v>
      </c>
      <c r="R204" s="72">
        <f>-N204/('DATI nascosti 1'!$C$6*'DATI nascosti 1'!$C$13*'DATI nascosti 1'!$H$10*'DATI nascosti 1'!$H$16)</f>
        <v>0.10445468509984646</v>
      </c>
      <c r="S204" s="72">
        <f>O204/('DATI nascosti 1'!$H$16*'DATI nascosti 1'!$C$6*'DATI nascosti 1'!$C$13^2*'DATI nascosti 1'!$H$10)</f>
        <v>0.19656162613312839</v>
      </c>
      <c r="T204" s="73">
        <f t="shared" si="15"/>
        <v>-2173.4657279063208</v>
      </c>
      <c r="U204" s="67" t="str">
        <f>IF(T204&gt;=0, IF(T204&lt;='DATI nascosti 1'!$C$8/6, "SI", "NO"),IF(T204&gt; -'DATI nascosti 1'!$C$8/6, "SI", "NO"))</f>
        <v>NO</v>
      </c>
      <c r="V204" s="67" t="str">
        <f>IF(Foglio3!G205&lt;1,IF(Foglio3!G205&gt;-1,"ROTTURA BILANCIATA",""),"")</f>
        <v>ROTTURA BILANCIATA</v>
      </c>
    </row>
    <row r="205" spans="1:22" ht="18.75" x14ac:dyDescent="0.25">
      <c r="A205" s="20"/>
      <c r="B205" s="67">
        <f>'DATI nascosti 1'!$H$12*10^-3</f>
        <v>-3.5000000000000001E-3</v>
      </c>
      <c r="C205" s="68">
        <f>C204-('DATI nascosti 1'!$L$8*10^-3/100)</f>
        <v>2.2949999999999967E-2</v>
      </c>
      <c r="D205" s="68">
        <f>('DATI nascosti 1'!$H$12*(F205-'DATI nascosti 1'!$C$10))/(F205*1000)</f>
        <v>-2.4694805194805211E-3</v>
      </c>
      <c r="E205" s="67" t="s">
        <v>39</v>
      </c>
      <c r="F205" s="69">
        <f>(-'DATI nascosti 1'!$H$12*10^-3/(-'DATI nascosti 1'!$H$12*10^-3+C205))*'DATI nascosti 1'!$C$13</f>
        <v>152.83553875236316</v>
      </c>
      <c r="G205" s="70">
        <f t="shared" si="17"/>
        <v>39.978333333333296</v>
      </c>
      <c r="H205" s="70">
        <f t="shared" si="18"/>
        <v>81.720416666666537</v>
      </c>
      <c r="I205" s="70">
        <f>G205/('DATI nascosti 1'!$H$10*(-'DATI nascosti 1'!$H$12))</f>
        <v>0.80952380952380887</v>
      </c>
      <c r="J205" s="70">
        <f t="shared" si="16"/>
        <v>0.41596638655462226</v>
      </c>
      <c r="K205" s="71">
        <f>IF(D205&gt;=('DATI nascosti 1'!$L$10*10^-3),'DATI nascosti 1'!$L$14*'DATI nascosti 1'!$P$12,IF(D205&gt;=(-'DATI nascosti 1'!$L$10*10^-3),'DATI nascosti 1'!$L$16*D205*'DATI nascosti 1'!$P$12,-'DATI nascosti 1'!$L$14*'DATI nascosti 1'!$P$12))</f>
        <v>-614659.43222408998</v>
      </c>
      <c r="L205" s="71">
        <f>-'DATI nascosti 1'!$H$16*'DATI nascosti 1'!$C$6*I205*'DATI nascosti 1'!$H$10*F205</f>
        <v>-445165.16540642746</v>
      </c>
      <c r="M205" s="71">
        <f>IF(C205&gt;=('DATI nascosti 1'!$L$10*10^-3),'DATI nascosti 1'!$L$14*'DATI nascosti 1'!$P$11,IF(C205&gt;=(-'DATI nascosti 1'!$L$10*10^-3),'DATI nascosti 1'!$P$11*'DATI nascosti 1'!$L$16*C205,-'DATI nascosti 1'!$L$14*'DATI nascosti 1'!$P$11))</f>
        <v>614659.43222408998</v>
      </c>
      <c r="N205" s="71">
        <f t="shared" si="14"/>
        <v>-445165.16540642758</v>
      </c>
      <c r="O205" s="71">
        <f>-L205*('DATI nascosti 1'!$C$8/2-(J205*F205))-K205*('DATI nascosti 1'!$C$13/2)+M205*('DATI nascosti 1'!$C$13/2)</f>
        <v>948729614.34092009</v>
      </c>
      <c r="P205" s="69">
        <f>-TABULATI!N205/10^3</f>
        <v>445.1651654064276</v>
      </c>
      <c r="Q205" s="69">
        <f>TABULATI!O205/10^6</f>
        <v>948.72961434092008</v>
      </c>
      <c r="R205" s="72">
        <f>-N205/('DATI nascosti 1'!$C$6*'DATI nascosti 1'!$C$13*'DATI nascosti 1'!$H$10*'DATI nascosti 1'!$H$16)</f>
        <v>0.10712035286704485</v>
      </c>
      <c r="S205" s="72">
        <f>O205/('DATI nascosti 1'!$H$16*'DATI nascosti 1'!$C$6*'DATI nascosti 1'!$C$13^2*'DATI nascosti 1'!$H$10)</f>
        <v>0.19765658815727935</v>
      </c>
      <c r="T205" s="73">
        <f t="shared" si="15"/>
        <v>-2131.1856543733547</v>
      </c>
      <c r="U205" s="67" t="str">
        <f>IF(T205&gt;=0, IF(T205&lt;='DATI nascosti 1'!$C$8/6, "SI", "NO"),IF(T205&gt; -'DATI nascosti 1'!$C$8/6, "SI", "NO"))</f>
        <v>NO</v>
      </c>
      <c r="V205" s="67" t="str">
        <f>IF(Foglio3!G206&lt;1,IF(Foglio3!G206&gt;-1,"ROTTURA BILANCIATA",""),"")</f>
        <v>ROTTURA BILANCIATA</v>
      </c>
    </row>
    <row r="206" spans="1:22" ht="18.75" x14ac:dyDescent="0.25">
      <c r="A206" s="20"/>
      <c r="B206" s="67">
        <f>'DATI nascosti 1'!$H$12*10^-3</f>
        <v>-3.5000000000000001E-3</v>
      </c>
      <c r="C206" s="68">
        <f>C205-('DATI nascosti 1'!$L$8*10^-3/100)</f>
        <v>2.2274999999999968E-2</v>
      </c>
      <c r="D206" s="68">
        <f>('DATI nascosti 1'!$H$12*(F206-'DATI nascosti 1'!$C$10))/(F206*1000)</f>
        <v>-2.4957792207792222E-3</v>
      </c>
      <c r="E206" s="67" t="s">
        <v>39</v>
      </c>
      <c r="F206" s="69">
        <f>(-'DATI nascosti 1'!$H$12*10^-3/(-'DATI nascosti 1'!$H$12*10^-3+C206))*'DATI nascosti 1'!$C$13</f>
        <v>156.83802133850651</v>
      </c>
      <c r="G206" s="70">
        <f t="shared" si="17"/>
        <v>39.978333333333296</v>
      </c>
      <c r="H206" s="70">
        <f t="shared" si="18"/>
        <v>81.720416666666537</v>
      </c>
      <c r="I206" s="70">
        <f>G206/('DATI nascosti 1'!$H$10*(-'DATI nascosti 1'!$H$12))</f>
        <v>0.80952380952380887</v>
      </c>
      <c r="J206" s="70">
        <f t="shared" si="16"/>
        <v>0.41596638655462226</v>
      </c>
      <c r="K206" s="71">
        <f>IF(D206&gt;=('DATI nascosti 1'!$L$10*10^-3),'DATI nascosti 1'!$L$14*'DATI nascosti 1'!$P$12,IF(D206&gt;=(-'DATI nascosti 1'!$L$10*10^-3),'DATI nascosti 1'!$L$16*D206*'DATI nascosti 1'!$P$12,-'DATI nascosti 1'!$L$14*'DATI nascosti 1'!$P$12))</f>
        <v>-614659.43222408998</v>
      </c>
      <c r="L206" s="71">
        <f>-'DATI nascosti 1'!$H$16*'DATI nascosti 1'!$C$6*I206*'DATI nascosti 1'!$H$10*F206</f>
        <v>-456823.22502424847</v>
      </c>
      <c r="M206" s="71">
        <f>IF(C206&gt;=('DATI nascosti 1'!$L$10*10^-3),'DATI nascosti 1'!$L$14*'DATI nascosti 1'!$P$11,IF(C206&gt;=(-'DATI nascosti 1'!$L$10*10^-3),'DATI nascosti 1'!$P$11*'DATI nascosti 1'!$L$16*C206,-'DATI nascosti 1'!$L$14*'DATI nascosti 1'!$P$11))</f>
        <v>614659.43222408998</v>
      </c>
      <c r="N206" s="71">
        <f t="shared" si="14"/>
        <v>-456823.22502424847</v>
      </c>
      <c r="O206" s="71">
        <f>-L206*('DATI nascosti 1'!$C$8/2-(J206*F206))-K206*('DATI nascosti 1'!$C$13/2)+M206*('DATI nascosti 1'!$C$13/2)</f>
        <v>954222731.24718153</v>
      </c>
      <c r="P206" s="69">
        <f>-TABULATI!N206/10^3</f>
        <v>456.82322502424847</v>
      </c>
      <c r="Q206" s="69">
        <f>TABULATI!O206/10^6</f>
        <v>954.22273124718151</v>
      </c>
      <c r="R206" s="72">
        <f>-N206/('DATI nascosti 1'!$C$6*'DATI nascosti 1'!$C$13*'DATI nascosti 1'!$H$10*'DATI nascosti 1'!$H$16)</f>
        <v>0.1099256385386357</v>
      </c>
      <c r="S206" s="72">
        <f>O206/('DATI nascosti 1'!$H$16*'DATI nascosti 1'!$C$6*'DATI nascosti 1'!$C$13^2*'DATI nascosti 1'!$H$10)</f>
        <v>0.19880101406074918</v>
      </c>
      <c r="T206" s="73">
        <f t="shared" si="15"/>
        <v>-2088.8227195465615</v>
      </c>
      <c r="U206" s="67" t="str">
        <f>IF(T206&gt;=0, IF(T206&lt;='DATI nascosti 1'!$C$8/6, "SI", "NO"),IF(T206&gt; -'DATI nascosti 1'!$C$8/6, "SI", "NO"))</f>
        <v>NO</v>
      </c>
      <c r="V206" s="67" t="str">
        <f>IF(Foglio3!G207&lt;1,IF(Foglio3!G207&gt;-1,"ROTTURA BILANCIATA",""),"")</f>
        <v>ROTTURA BILANCIATA</v>
      </c>
    </row>
    <row r="207" spans="1:22" ht="18.75" x14ac:dyDescent="0.25">
      <c r="A207" s="20"/>
      <c r="B207" s="67">
        <f>'DATI nascosti 1'!$H$12*10^-3</f>
        <v>-3.5000000000000001E-3</v>
      </c>
      <c r="C207" s="68">
        <f>C206-('DATI nascosti 1'!$L$8*10^-3/100)</f>
        <v>2.159999999999997E-2</v>
      </c>
      <c r="D207" s="68">
        <f>('DATI nascosti 1'!$H$12*(F207-'DATI nascosti 1'!$C$10))/(F207*1000)</f>
        <v>-2.5220779220779233E-3</v>
      </c>
      <c r="E207" s="67" t="s">
        <v>39</v>
      </c>
      <c r="F207" s="69">
        <f>(-'DATI nascosti 1'!$H$12*10^-3/(-'DATI nascosti 1'!$H$12*10^-3+C207))*'DATI nascosti 1'!$C$13</f>
        <v>161.05577689243049</v>
      </c>
      <c r="G207" s="70">
        <f t="shared" si="17"/>
        <v>39.978333333333296</v>
      </c>
      <c r="H207" s="70">
        <f t="shared" si="18"/>
        <v>81.720416666666537</v>
      </c>
      <c r="I207" s="70">
        <f>G207/('DATI nascosti 1'!$H$10*(-'DATI nascosti 1'!$H$12))</f>
        <v>0.80952380952380887</v>
      </c>
      <c r="J207" s="70">
        <f t="shared" si="16"/>
        <v>0.41596638655462226</v>
      </c>
      <c r="K207" s="71">
        <f>IF(D207&gt;=('DATI nascosti 1'!$L$10*10^-3),'DATI nascosti 1'!$L$14*'DATI nascosti 1'!$P$12,IF(D207&gt;=(-'DATI nascosti 1'!$L$10*10^-3),'DATI nascosti 1'!$L$16*D207*'DATI nascosti 1'!$P$12,-'DATI nascosti 1'!$L$14*'DATI nascosti 1'!$P$12))</f>
        <v>-614659.43222408998</v>
      </c>
      <c r="L207" s="71">
        <f>-'DATI nascosti 1'!$H$16*'DATI nascosti 1'!$C$6*I207*'DATI nascosti 1'!$H$10*F207</f>
        <v>-469108.31175298826</v>
      </c>
      <c r="M207" s="71">
        <f>IF(C207&gt;=('DATI nascosti 1'!$L$10*10^-3),'DATI nascosti 1'!$L$14*'DATI nascosti 1'!$P$11,IF(C207&gt;=(-'DATI nascosti 1'!$L$10*10^-3),'DATI nascosti 1'!$P$11*'DATI nascosti 1'!$L$16*C207,-'DATI nascosti 1'!$L$14*'DATI nascosti 1'!$P$11))</f>
        <v>614659.43222408998</v>
      </c>
      <c r="N207" s="71">
        <f t="shared" si="14"/>
        <v>-469108.31175298826</v>
      </c>
      <c r="O207" s="71">
        <f>-L207*('DATI nascosti 1'!$C$8/2-(J207*F207))-K207*('DATI nascosti 1'!$C$13/2)+M207*('DATI nascosti 1'!$C$13/2)</f>
        <v>959969287.75796425</v>
      </c>
      <c r="P207" s="69">
        <f>-TABULATI!N207/10^3</f>
        <v>469.10831175298824</v>
      </c>
      <c r="Q207" s="69">
        <f>TABULATI!O207/10^6</f>
        <v>959.96928775796425</v>
      </c>
      <c r="R207" s="72">
        <f>-N207/('DATI nascosti 1'!$C$6*'DATI nascosti 1'!$C$13*'DATI nascosti 1'!$H$10*'DATI nascosti 1'!$H$16)</f>
        <v>0.11288180610889782</v>
      </c>
      <c r="S207" s="72">
        <f>O207/('DATI nascosti 1'!$H$16*'DATI nascosti 1'!$C$6*'DATI nascosti 1'!$C$13^2*'DATI nascosti 1'!$H$10)</f>
        <v>0.1999982411066904</v>
      </c>
      <c r="T207" s="73">
        <f t="shared" si="15"/>
        <v>-2046.3702384012367</v>
      </c>
      <c r="U207" s="67" t="str">
        <f>IF(T207&gt;=0, IF(T207&lt;='DATI nascosti 1'!$C$8/6, "SI", "NO"),IF(T207&gt; -'DATI nascosti 1'!$C$8/6, "SI", "NO"))</f>
        <v>NO</v>
      </c>
      <c r="V207" s="67" t="str">
        <f>IF(Foglio3!G208&lt;1,IF(Foglio3!G208&gt;-1,"ROTTURA BILANCIATA",""),"")</f>
        <v>ROTTURA BILANCIATA</v>
      </c>
    </row>
    <row r="208" spans="1:22" ht="18.75" x14ac:dyDescent="0.25">
      <c r="A208" s="20"/>
      <c r="B208" s="67">
        <f>'DATI nascosti 1'!$H$12*10^-3</f>
        <v>-3.5000000000000001E-3</v>
      </c>
      <c r="C208" s="68">
        <f>C207-('DATI nascosti 1'!$L$8*10^-3/100)</f>
        <v>2.0924999999999971E-2</v>
      </c>
      <c r="D208" s="68">
        <f>('DATI nascosti 1'!$H$12*(F208-'DATI nascosti 1'!$C$10))/(F208*1000)</f>
        <v>-2.5483766233766244E-3</v>
      </c>
      <c r="E208" s="67" t="s">
        <v>39</v>
      </c>
      <c r="F208" s="69">
        <f>(-'DATI nascosti 1'!$H$12*10^-3/(-'DATI nascosti 1'!$H$12*10^-3+C208))*'DATI nascosti 1'!$C$13</f>
        <v>165.5066530194475</v>
      </c>
      <c r="G208" s="70">
        <f t="shared" si="17"/>
        <v>39.978333333333296</v>
      </c>
      <c r="H208" s="70">
        <f t="shared" si="18"/>
        <v>81.720416666666537</v>
      </c>
      <c r="I208" s="70">
        <f>G208/('DATI nascosti 1'!$H$10*(-'DATI nascosti 1'!$H$12))</f>
        <v>0.80952380952380887</v>
      </c>
      <c r="J208" s="70">
        <f t="shared" si="16"/>
        <v>0.41596638655462226</v>
      </c>
      <c r="K208" s="71">
        <f>IF(D208&gt;=('DATI nascosti 1'!$L$10*10^-3),'DATI nascosti 1'!$L$14*'DATI nascosti 1'!$P$12,IF(D208&gt;=(-'DATI nascosti 1'!$L$10*10^-3),'DATI nascosti 1'!$L$16*D208*'DATI nascosti 1'!$P$12,-'DATI nascosti 1'!$L$14*'DATI nascosti 1'!$P$12))</f>
        <v>-614659.43222408998</v>
      </c>
      <c r="L208" s="71">
        <f>-'DATI nascosti 1'!$H$16*'DATI nascosti 1'!$C$6*I208*'DATI nascosti 1'!$H$10*F208</f>
        <v>-482072.410440123</v>
      </c>
      <c r="M208" s="71">
        <f>IF(C208&gt;=('DATI nascosti 1'!$L$10*10^-3),'DATI nascosti 1'!$L$14*'DATI nascosti 1'!$P$11,IF(C208&gt;=(-'DATI nascosti 1'!$L$10*10^-3),'DATI nascosti 1'!$P$11*'DATI nascosti 1'!$L$16*C208,-'DATI nascosti 1'!$L$14*'DATI nascosti 1'!$P$11))</f>
        <v>614659.43222408998</v>
      </c>
      <c r="N208" s="71">
        <f t="shared" si="14"/>
        <v>-482072.41044012294</v>
      </c>
      <c r="O208" s="71">
        <f>-L208*('DATI nascosti 1'!$C$8/2-(J208*F208))-K208*('DATI nascosti 1'!$C$13/2)+M208*('DATI nascosti 1'!$C$13/2)</f>
        <v>965986716.8470521</v>
      </c>
      <c r="P208" s="69">
        <f>-TABULATI!N208/10^3</f>
        <v>482.07241044012295</v>
      </c>
      <c r="Q208" s="69">
        <f>TABULATI!O208/10^6</f>
        <v>965.98671684705209</v>
      </c>
      <c r="R208" s="72">
        <f>-N208/('DATI nascosti 1'!$C$6*'DATI nascosti 1'!$C$13*'DATI nascosti 1'!$H$10*'DATI nascosti 1'!$H$16)</f>
        <v>0.11600136472193796</v>
      </c>
      <c r="S208" s="72">
        <f>O208/('DATI nascosti 1'!$H$16*'DATI nascosti 1'!$C$6*'DATI nascosti 1'!$C$13^2*'DATI nascosti 1'!$H$10)</f>
        <v>0.20125190124889406</v>
      </c>
      <c r="T208" s="73">
        <f t="shared" si="15"/>
        <v>-2003.8207869334913</v>
      </c>
      <c r="U208" s="67" t="str">
        <f>IF(T208&gt;=0, IF(T208&lt;='DATI nascosti 1'!$C$8/6, "SI", "NO"),IF(T208&gt; -'DATI nascosti 1'!$C$8/6, "SI", "NO"))</f>
        <v>NO</v>
      </c>
      <c r="V208" s="67" t="str">
        <f>IF(Foglio3!G209&lt;1,IF(Foglio3!G209&gt;-1,"ROTTURA BILANCIATA",""),"")</f>
        <v>ROTTURA BILANCIATA</v>
      </c>
    </row>
    <row r="209" spans="1:22" ht="18.75" x14ac:dyDescent="0.25">
      <c r="A209" s="20"/>
      <c r="B209" s="67">
        <f>'DATI nascosti 1'!$H$12*10^-3</f>
        <v>-3.5000000000000001E-3</v>
      </c>
      <c r="C209" s="68">
        <f>C208-('DATI nascosti 1'!$L$8*10^-3/100)</f>
        <v>2.0249999999999973E-2</v>
      </c>
      <c r="D209" s="68">
        <f>('DATI nascosti 1'!$H$12*(F209-'DATI nascosti 1'!$C$10))/(F209*1000)</f>
        <v>-2.5746753246753259E-3</v>
      </c>
      <c r="E209" s="67" t="s">
        <v>39</v>
      </c>
      <c r="F209" s="69">
        <f>(-'DATI nascosti 1'!$H$12*10^-3/(-'DATI nascosti 1'!$H$12*10^-3+C209))*'DATI nascosti 1'!$C$13</f>
        <v>170.21052631578968</v>
      </c>
      <c r="G209" s="70">
        <f t="shared" si="17"/>
        <v>39.978333333333296</v>
      </c>
      <c r="H209" s="70">
        <f t="shared" si="18"/>
        <v>81.720416666666537</v>
      </c>
      <c r="I209" s="70">
        <f>G209/('DATI nascosti 1'!$H$10*(-'DATI nascosti 1'!$H$12))</f>
        <v>0.80952380952380887</v>
      </c>
      <c r="J209" s="70">
        <f t="shared" si="16"/>
        <v>0.41596638655462226</v>
      </c>
      <c r="K209" s="71">
        <f>IF(D209&gt;=('DATI nascosti 1'!$L$10*10^-3),'DATI nascosti 1'!$L$14*'DATI nascosti 1'!$P$12,IF(D209&gt;=(-'DATI nascosti 1'!$L$10*10^-3),'DATI nascosti 1'!$L$16*D209*'DATI nascosti 1'!$P$12,-'DATI nascosti 1'!$L$14*'DATI nascosti 1'!$P$12))</f>
        <v>-614659.43222408998</v>
      </c>
      <c r="L209" s="71">
        <f>-'DATI nascosti 1'!$H$16*'DATI nascosti 1'!$C$6*I209*'DATI nascosti 1'!$H$10*F209</f>
        <v>-495773.41578947386</v>
      </c>
      <c r="M209" s="71">
        <f>IF(C209&gt;=('DATI nascosti 1'!$L$10*10^-3),'DATI nascosti 1'!$L$14*'DATI nascosti 1'!$P$11,IF(C209&gt;=(-'DATI nascosti 1'!$L$10*10^-3),'DATI nascosti 1'!$P$11*'DATI nascosti 1'!$L$16*C209,-'DATI nascosti 1'!$L$14*'DATI nascosti 1'!$P$11))</f>
        <v>614659.43222408998</v>
      </c>
      <c r="N209" s="71">
        <f t="shared" si="14"/>
        <v>-495773.4157894738</v>
      </c>
      <c r="O209" s="71">
        <f>-L209*('DATI nascosti 1'!$C$8/2-(J209*F209))-K209*('DATI nascosti 1'!$C$13/2)+M209*('DATI nascosti 1'!$C$13/2)</f>
        <v>972294014.91328382</v>
      </c>
      <c r="P209" s="69">
        <f>-TABULATI!N209/10^3</f>
        <v>495.7734157894738</v>
      </c>
      <c r="Q209" s="69">
        <f>TABULATI!O209/10^6</f>
        <v>972.29401491328383</v>
      </c>
      <c r="R209" s="72">
        <f>-N209/('DATI nascosti 1'!$C$6*'DATI nascosti 1'!$C$13*'DATI nascosti 1'!$H$10*'DATI nascosti 1'!$H$16)</f>
        <v>0.11929824561403514</v>
      </c>
      <c r="S209" s="72">
        <f>O209/('DATI nascosti 1'!$H$16*'DATI nascosti 1'!$C$6*'DATI nascosti 1'!$C$13^2*'DATI nascosti 1'!$H$10)</f>
        <v>0.20256595216226039</v>
      </c>
      <c r="T209" s="73">
        <f t="shared" si="15"/>
        <v>-1961.1660971474128</v>
      </c>
      <c r="U209" s="67" t="str">
        <f>IF(T209&gt;=0, IF(T209&lt;='DATI nascosti 1'!$C$8/6, "SI", "NO"),IF(T209&gt; -'DATI nascosti 1'!$C$8/6, "SI", "NO"))</f>
        <v>NO</v>
      </c>
      <c r="V209" s="67" t="str">
        <f>IF(Foglio3!G210&lt;1,IF(Foglio3!G210&gt;-1,"ROTTURA BILANCIATA",""),"")</f>
        <v>ROTTURA BILANCIATA</v>
      </c>
    </row>
    <row r="210" spans="1:22" ht="18.75" x14ac:dyDescent="0.25">
      <c r="A210" s="20"/>
      <c r="B210" s="67">
        <f>'DATI nascosti 1'!$H$12*10^-3</f>
        <v>-3.5000000000000001E-3</v>
      </c>
      <c r="C210" s="68">
        <f>C209-('DATI nascosti 1'!$L$8*10^-3/100)</f>
        <v>1.9574999999999974E-2</v>
      </c>
      <c r="D210" s="68">
        <f>('DATI nascosti 1'!$H$12*(F210-'DATI nascosti 1'!$C$10))/(F210*1000)</f>
        <v>-2.600974025974027E-3</v>
      </c>
      <c r="E210" s="67" t="s">
        <v>39</v>
      </c>
      <c r="F210" s="69">
        <f>(-'DATI nascosti 1'!$H$12*10^-3/(-'DATI nascosti 1'!$H$12*10^-3+C210))*'DATI nascosti 1'!$C$13</f>
        <v>175.18959913326128</v>
      </c>
      <c r="G210" s="70">
        <f t="shared" si="17"/>
        <v>39.978333333333296</v>
      </c>
      <c r="H210" s="70">
        <f t="shared" si="18"/>
        <v>81.720416666666537</v>
      </c>
      <c r="I210" s="70">
        <f>G210/('DATI nascosti 1'!$H$10*(-'DATI nascosti 1'!$H$12))</f>
        <v>0.80952380952380887</v>
      </c>
      <c r="J210" s="70">
        <f t="shared" si="16"/>
        <v>0.41596638655462226</v>
      </c>
      <c r="K210" s="71">
        <f>IF(D210&gt;=('DATI nascosti 1'!$L$10*10^-3),'DATI nascosti 1'!$L$14*'DATI nascosti 1'!$P$12,IF(D210&gt;=(-'DATI nascosti 1'!$L$10*10^-3),'DATI nascosti 1'!$L$16*D210*'DATI nascosti 1'!$P$12,-'DATI nascosti 1'!$L$14*'DATI nascosti 1'!$P$12))</f>
        <v>-614659.43222408998</v>
      </c>
      <c r="L210" s="71">
        <f>-'DATI nascosti 1'!$H$16*'DATI nascosti 1'!$C$6*I210*'DATI nascosti 1'!$H$10*F210</f>
        <v>-510275.99674972921</v>
      </c>
      <c r="M210" s="71">
        <f>IF(C210&gt;=('DATI nascosti 1'!$L$10*10^-3),'DATI nascosti 1'!$L$14*'DATI nascosti 1'!$P$11,IF(C210&gt;=(-'DATI nascosti 1'!$L$10*10^-3),'DATI nascosti 1'!$P$11*'DATI nascosti 1'!$L$16*C210,-'DATI nascosti 1'!$L$14*'DATI nascosti 1'!$P$11))</f>
        <v>614659.43222408998</v>
      </c>
      <c r="N210" s="71">
        <f t="shared" si="14"/>
        <v>-510275.99674972915</v>
      </c>
      <c r="O210" s="71">
        <f>-L210*('DATI nascosti 1'!$C$8/2-(J210*F210))-K210*('DATI nascosti 1'!$C$13/2)+M210*('DATI nascosti 1'!$C$13/2)</f>
        <v>978911907.45995069</v>
      </c>
      <c r="P210" s="69">
        <f>-TABULATI!N210/10^3</f>
        <v>510.27599674972913</v>
      </c>
      <c r="Q210" s="69">
        <f>TABULATI!O210/10^6</f>
        <v>978.91190745995073</v>
      </c>
      <c r="R210" s="72">
        <f>-N210/('DATI nascosti 1'!$C$6*'DATI nascosti 1'!$C$13*'DATI nascosti 1'!$H$10*'DATI nascosti 1'!$H$16)</f>
        <v>0.1227880101119538</v>
      </c>
      <c r="S210" s="72">
        <f>O210/('DATI nascosti 1'!$H$16*'DATI nascosti 1'!$C$6*'DATI nascosti 1'!$C$13^2*'DATI nascosti 1'!$H$10)</f>
        <v>0.20394471176014051</v>
      </c>
      <c r="T210" s="73">
        <f t="shared" si="15"/>
        <v>-1918.3969336109485</v>
      </c>
      <c r="U210" s="67" t="str">
        <f>IF(T210&gt;=0, IF(T210&lt;='DATI nascosti 1'!$C$8/6, "SI", "NO"),IF(T210&gt; -'DATI nascosti 1'!$C$8/6, "SI", "NO"))</f>
        <v>NO</v>
      </c>
      <c r="V210" s="67" t="str">
        <f>IF(Foglio3!G211&lt;1,IF(Foglio3!G211&gt;-1,"ROTTURA BILANCIATA",""),"")</f>
        <v>ROTTURA BILANCIATA</v>
      </c>
    </row>
    <row r="211" spans="1:22" ht="18.75" x14ac:dyDescent="0.25">
      <c r="A211" s="20"/>
      <c r="B211" s="67">
        <f>'DATI nascosti 1'!$H$12*10^-3</f>
        <v>-3.5000000000000001E-3</v>
      </c>
      <c r="C211" s="68">
        <f>C210-('DATI nascosti 1'!$L$8*10^-3/100)</f>
        <v>1.8899999999999976E-2</v>
      </c>
      <c r="D211" s="68">
        <f>('DATI nascosti 1'!$H$12*(F211-'DATI nascosti 1'!$C$10))/(F211*1000)</f>
        <v>-2.6272727272727281E-3</v>
      </c>
      <c r="E211" s="67" t="s">
        <v>39</v>
      </c>
      <c r="F211" s="69">
        <f>(-'DATI nascosti 1'!$H$12*10^-3/(-'DATI nascosti 1'!$H$12*10^-3+C211))*'DATI nascosti 1'!$C$13</f>
        <v>180.4687500000002</v>
      </c>
      <c r="G211" s="70">
        <f t="shared" si="17"/>
        <v>39.978333333333296</v>
      </c>
      <c r="H211" s="70">
        <f t="shared" si="18"/>
        <v>81.720416666666537</v>
      </c>
      <c r="I211" s="70">
        <f>G211/('DATI nascosti 1'!$H$10*(-'DATI nascosti 1'!$H$12))</f>
        <v>0.80952380952380887</v>
      </c>
      <c r="J211" s="70">
        <f t="shared" si="16"/>
        <v>0.41596638655462226</v>
      </c>
      <c r="K211" s="71">
        <f>IF(D211&gt;=('DATI nascosti 1'!$L$10*10^-3),'DATI nascosti 1'!$L$14*'DATI nascosti 1'!$P$12,IF(D211&gt;=(-'DATI nascosti 1'!$L$10*10^-3),'DATI nascosti 1'!$L$16*D211*'DATI nascosti 1'!$P$12,-'DATI nascosti 1'!$L$14*'DATI nascosti 1'!$P$12))</f>
        <v>-614659.43222408998</v>
      </c>
      <c r="L211" s="71">
        <f>-'DATI nascosti 1'!$H$16*'DATI nascosti 1'!$C$6*I211*'DATI nascosti 1'!$H$10*F211</f>
        <v>-525652.61718750012</v>
      </c>
      <c r="M211" s="71">
        <f>IF(C211&gt;=('DATI nascosti 1'!$L$10*10^-3),'DATI nascosti 1'!$L$14*'DATI nascosti 1'!$P$11,IF(C211&gt;=(-'DATI nascosti 1'!$L$10*10^-3),'DATI nascosti 1'!$P$11*'DATI nascosti 1'!$L$16*C211,-'DATI nascosti 1'!$L$14*'DATI nascosti 1'!$P$11))</f>
        <v>614659.43222408998</v>
      </c>
      <c r="N211" s="71">
        <f t="shared" si="14"/>
        <v>-525652.61718750023</v>
      </c>
      <c r="O211" s="71">
        <f>-L211*('DATI nascosti 1'!$C$8/2-(J211*F211))-K211*('DATI nascosti 1'!$C$13/2)+M211*('DATI nascosti 1'!$C$13/2)</f>
        <v>985863032.99751043</v>
      </c>
      <c r="P211" s="69">
        <f>-TABULATI!N211/10^3</f>
        <v>525.65261718750025</v>
      </c>
      <c r="Q211" s="69">
        <f>TABULATI!O211/10^6</f>
        <v>985.86303299751046</v>
      </c>
      <c r="R211" s="72">
        <f>-N211/('DATI nascosti 1'!$C$6*'DATI nascosti 1'!$C$13*'DATI nascosti 1'!$H$10*'DATI nascosti 1'!$H$16)</f>
        <v>0.12648809523809532</v>
      </c>
      <c r="S211" s="72">
        <f>O211/('DATI nascosti 1'!$H$16*'DATI nascosti 1'!$C$6*'DATI nascosti 1'!$C$13^2*'DATI nascosti 1'!$H$10)</f>
        <v>0.20539289650829076</v>
      </c>
      <c r="T211" s="73">
        <f t="shared" si="15"/>
        <v>-1875.5029476926454</v>
      </c>
      <c r="U211" s="67" t="str">
        <f>IF(T211&gt;=0, IF(T211&lt;='DATI nascosti 1'!$C$8/6, "SI", "NO"),IF(T211&gt; -'DATI nascosti 1'!$C$8/6, "SI", "NO"))</f>
        <v>NO</v>
      </c>
      <c r="V211" s="67" t="str">
        <f>IF(Foglio3!G212&lt;1,IF(Foglio3!G212&gt;-1,"ROTTURA BILANCIATA",""),"")</f>
        <v>ROTTURA BILANCIATA</v>
      </c>
    </row>
    <row r="212" spans="1:22" ht="18.75" x14ac:dyDescent="0.25">
      <c r="A212" s="20"/>
      <c r="B212" s="67">
        <f>'DATI nascosti 1'!$H$12*10^-3</f>
        <v>-3.5000000000000001E-3</v>
      </c>
      <c r="C212" s="68">
        <f>C211-('DATI nascosti 1'!$L$8*10^-3/100)</f>
        <v>1.8224999999999977E-2</v>
      </c>
      <c r="D212" s="68">
        <f>('DATI nascosti 1'!$H$12*(F212-'DATI nascosti 1'!$C$10))/(F212*1000)</f>
        <v>-2.6535714285714292E-3</v>
      </c>
      <c r="E212" s="67" t="s">
        <v>39</v>
      </c>
      <c r="F212" s="69">
        <f>(-'DATI nascosti 1'!$H$12*10^-3/(-'DATI nascosti 1'!$H$12*10^-3+C212))*'DATI nascosti 1'!$C$13</f>
        <v>186.07594936708881</v>
      </c>
      <c r="G212" s="70">
        <f t="shared" si="17"/>
        <v>39.978333333333296</v>
      </c>
      <c r="H212" s="70">
        <f t="shared" si="18"/>
        <v>81.720416666666537</v>
      </c>
      <c r="I212" s="70">
        <f>G212/('DATI nascosti 1'!$H$10*(-'DATI nascosti 1'!$H$12))</f>
        <v>0.80952380952380887</v>
      </c>
      <c r="J212" s="70">
        <f t="shared" si="16"/>
        <v>0.41596638655462226</v>
      </c>
      <c r="K212" s="71">
        <f>IF(D212&gt;=('DATI nascosti 1'!$L$10*10^-3),'DATI nascosti 1'!$L$14*'DATI nascosti 1'!$P$12,IF(D212&gt;=(-'DATI nascosti 1'!$L$10*10^-3),'DATI nascosti 1'!$L$16*D212*'DATI nascosti 1'!$P$12,-'DATI nascosti 1'!$L$14*'DATI nascosti 1'!$P$12))</f>
        <v>-614659.43222408998</v>
      </c>
      <c r="L212" s="71">
        <f>-'DATI nascosti 1'!$H$16*'DATI nascosti 1'!$C$6*I212*'DATI nascosti 1'!$H$10*F212</f>
        <v>-541984.74683544319</v>
      </c>
      <c r="M212" s="71">
        <f>IF(C212&gt;=('DATI nascosti 1'!$L$10*10^-3),'DATI nascosti 1'!$L$14*'DATI nascosti 1'!$P$11,IF(C212&gt;=(-'DATI nascosti 1'!$L$10*10^-3),'DATI nascosti 1'!$P$11*'DATI nascosti 1'!$L$16*C212,-'DATI nascosti 1'!$L$14*'DATI nascosti 1'!$P$11))</f>
        <v>614659.43222408998</v>
      </c>
      <c r="N212" s="71">
        <f t="shared" si="14"/>
        <v>-541984.74683544319</v>
      </c>
      <c r="O212" s="71">
        <f>-L212*('DATI nascosti 1'!$C$8/2-(J212*F212))-K212*('DATI nascosti 1'!$C$13/2)+M212*('DATI nascosti 1'!$C$13/2)</f>
        <v>993172146.50211191</v>
      </c>
      <c r="P212" s="69">
        <f>-TABULATI!N212/10^3</f>
        <v>541.98474683544316</v>
      </c>
      <c r="Q212" s="69">
        <f>TABULATI!O212/10^6</f>
        <v>993.1721465021119</v>
      </c>
      <c r="R212" s="72">
        <f>-N212/('DATI nascosti 1'!$C$6*'DATI nascosti 1'!$C$13*'DATI nascosti 1'!$H$10*'DATI nascosti 1'!$H$16)</f>
        <v>0.13041810510164947</v>
      </c>
      <c r="S212" s="72">
        <f>O212/('DATI nascosti 1'!$H$16*'DATI nascosti 1'!$C$6*'DATI nascosti 1'!$C$13^2*'DATI nascosti 1'!$H$10)</f>
        <v>0.20691566381304857</v>
      </c>
      <c r="T212" s="73">
        <f t="shared" si="15"/>
        <v>-1832.4725046250383</v>
      </c>
      <c r="U212" s="67" t="str">
        <f>IF(T212&gt;=0, IF(T212&lt;='DATI nascosti 1'!$C$8/6, "SI", "NO"),IF(T212&gt; -'DATI nascosti 1'!$C$8/6, "SI", "NO"))</f>
        <v>NO</v>
      </c>
      <c r="V212" s="67" t="str">
        <f>IF(Foglio3!G213&lt;1,IF(Foglio3!G213&gt;-1,"ROTTURA BILANCIATA",""),"")</f>
        <v>ROTTURA BILANCIATA</v>
      </c>
    </row>
    <row r="213" spans="1:22" ht="18.75" x14ac:dyDescent="0.25">
      <c r="A213" s="20"/>
      <c r="B213" s="67">
        <f>'DATI nascosti 1'!$H$12*10^-3</f>
        <v>-3.5000000000000001E-3</v>
      </c>
      <c r="C213" s="68">
        <f>C212-('DATI nascosti 1'!$L$8*10^-3/100)</f>
        <v>1.7549999999999979E-2</v>
      </c>
      <c r="D213" s="68">
        <f>('DATI nascosti 1'!$H$12*(F213-'DATI nascosti 1'!$C$10))/(F213*1000)</f>
        <v>-2.6798701298701307E-3</v>
      </c>
      <c r="E213" s="67" t="s">
        <v>39</v>
      </c>
      <c r="F213" s="69">
        <f>(-'DATI nascosti 1'!$H$12*10^-3/(-'DATI nascosti 1'!$H$12*10^-3+C213))*'DATI nascosti 1'!$C$13</f>
        <v>192.04275534441825</v>
      </c>
      <c r="G213" s="70">
        <f t="shared" si="17"/>
        <v>39.978333333333296</v>
      </c>
      <c r="H213" s="70">
        <f t="shared" si="18"/>
        <v>81.720416666666537</v>
      </c>
      <c r="I213" s="70">
        <f>G213/('DATI nascosti 1'!$H$10*(-'DATI nascosti 1'!$H$12))</f>
        <v>0.80952380952380887</v>
      </c>
      <c r="J213" s="70">
        <f t="shared" si="16"/>
        <v>0.41596638655462226</v>
      </c>
      <c r="K213" s="71">
        <f>IF(D213&gt;=('DATI nascosti 1'!$L$10*10^-3),'DATI nascosti 1'!$L$14*'DATI nascosti 1'!$P$12,IF(D213&gt;=(-'DATI nascosti 1'!$L$10*10^-3),'DATI nascosti 1'!$L$16*D213*'DATI nascosti 1'!$P$12,-'DATI nascosti 1'!$L$14*'DATI nascosti 1'!$P$12))</f>
        <v>-614659.43222408998</v>
      </c>
      <c r="L213" s="71">
        <f>-'DATI nascosti 1'!$H$16*'DATI nascosti 1'!$C$6*I213*'DATI nascosti 1'!$H$10*F213</f>
        <v>-559364.30522565334</v>
      </c>
      <c r="M213" s="71">
        <f>IF(C213&gt;=('DATI nascosti 1'!$L$10*10^-3),'DATI nascosti 1'!$L$14*'DATI nascosti 1'!$P$11,IF(C213&gt;=(-'DATI nascosti 1'!$L$10*10^-3),'DATI nascosti 1'!$P$11*'DATI nascosti 1'!$L$16*C213,-'DATI nascosti 1'!$L$14*'DATI nascosti 1'!$P$11))</f>
        <v>614659.43222408998</v>
      </c>
      <c r="N213" s="71">
        <f t="shared" si="14"/>
        <v>-559364.30522565334</v>
      </c>
      <c r="O213" s="71">
        <f>-L213*('DATI nascosti 1'!$C$8/2-(J213*F213))-K213*('DATI nascosti 1'!$C$13/2)+M213*('DATI nascosti 1'!$C$13/2)</f>
        <v>1000866343.4077108</v>
      </c>
      <c r="P213" s="69">
        <f>-TABULATI!N213/10^3</f>
        <v>559.36430522565331</v>
      </c>
      <c r="Q213" s="69">
        <f>TABULATI!O213/10^6</f>
        <v>1000.8663434077108</v>
      </c>
      <c r="R213" s="72">
        <f>-N213/('DATI nascosti 1'!$C$6*'DATI nascosti 1'!$C$13*'DATI nascosti 1'!$H$10*'DATI nascosti 1'!$H$16)</f>
        <v>0.13460015835312752</v>
      </c>
      <c r="S213" s="72">
        <f>O213/('DATI nascosti 1'!$H$16*'DATI nascosti 1'!$C$6*'DATI nascosti 1'!$C$13^2*'DATI nascosti 1'!$H$10)</f>
        <v>0.20851865868743907</v>
      </c>
      <c r="T213" s="73">
        <f t="shared" si="15"/>
        <v>-1789.2924772951878</v>
      </c>
      <c r="U213" s="67" t="str">
        <f>IF(T213&gt;=0, IF(T213&lt;='DATI nascosti 1'!$C$8/6, "SI", "NO"),IF(T213&gt; -'DATI nascosti 1'!$C$8/6, "SI", "NO"))</f>
        <v>NO</v>
      </c>
      <c r="V213" s="67" t="str">
        <f>IF(Foglio3!G214&lt;1,IF(Foglio3!G214&gt;-1,"ROTTURA BILANCIATA",""),"")</f>
        <v>ROTTURA BILANCIATA</v>
      </c>
    </row>
    <row r="214" spans="1:22" ht="18.75" x14ac:dyDescent="0.25">
      <c r="A214" s="20"/>
      <c r="B214" s="67">
        <f>'DATI nascosti 1'!$H$12*10^-3</f>
        <v>-3.5000000000000001E-3</v>
      </c>
      <c r="C214" s="68">
        <f>C213-('DATI nascosti 1'!$L$8*10^-3/100)</f>
        <v>1.687499999999998E-2</v>
      </c>
      <c r="D214" s="68">
        <f>('DATI nascosti 1'!$H$12*(F214-'DATI nascosti 1'!$C$10))/(F214*1000)</f>
        <v>-2.7061688311688314E-3</v>
      </c>
      <c r="E214" s="67" t="s">
        <v>39</v>
      </c>
      <c r="F214" s="69">
        <f>(-'DATI nascosti 1'!$H$12*10^-3/(-'DATI nascosti 1'!$H$12*10^-3+C214))*'DATI nascosti 1'!$C$13</f>
        <v>198.40490797546033</v>
      </c>
      <c r="G214" s="70">
        <f t="shared" si="17"/>
        <v>39.978333333333296</v>
      </c>
      <c r="H214" s="70">
        <f t="shared" si="18"/>
        <v>81.720416666666537</v>
      </c>
      <c r="I214" s="70">
        <f>G214/('DATI nascosti 1'!$H$10*(-'DATI nascosti 1'!$H$12))</f>
        <v>0.80952380952380887</v>
      </c>
      <c r="J214" s="70">
        <f t="shared" si="16"/>
        <v>0.41596638655462226</v>
      </c>
      <c r="K214" s="71">
        <f>IF(D214&gt;=('DATI nascosti 1'!$L$10*10^-3),'DATI nascosti 1'!$L$14*'DATI nascosti 1'!$P$12,IF(D214&gt;=(-'DATI nascosti 1'!$L$10*10^-3),'DATI nascosti 1'!$L$16*D214*'DATI nascosti 1'!$P$12,-'DATI nascosti 1'!$L$14*'DATI nascosti 1'!$P$12))</f>
        <v>-614659.43222408998</v>
      </c>
      <c r="L214" s="71">
        <f>-'DATI nascosti 1'!$H$16*'DATI nascosti 1'!$C$6*I214*'DATI nascosti 1'!$H$10*F214</f>
        <v>-577895.39263803686</v>
      </c>
      <c r="M214" s="71">
        <f>IF(C214&gt;=('DATI nascosti 1'!$L$10*10^-3),'DATI nascosti 1'!$L$14*'DATI nascosti 1'!$P$11,IF(C214&gt;=(-'DATI nascosti 1'!$L$10*10^-3),'DATI nascosti 1'!$P$11*'DATI nascosti 1'!$L$16*C214,-'DATI nascosti 1'!$L$14*'DATI nascosti 1'!$P$11))</f>
        <v>614659.43222408998</v>
      </c>
      <c r="N214" s="71">
        <f t="shared" si="14"/>
        <v>-577895.39263803675</v>
      </c>
      <c r="O214" s="71">
        <f>-L214*('DATI nascosti 1'!$C$8/2-(J214*F214))-K214*('DATI nascosti 1'!$C$13/2)+M214*('DATI nascosti 1'!$C$13/2)</f>
        <v>1008975304.4344888</v>
      </c>
      <c r="P214" s="69">
        <f>-TABULATI!N214/10^3</f>
        <v>577.8953926380367</v>
      </c>
      <c r="Q214" s="69">
        <f>TABULATI!O214/10^6</f>
        <v>1008.9753044344887</v>
      </c>
      <c r="R214" s="72">
        <f>-N214/('DATI nascosti 1'!$C$6*'DATI nascosti 1'!$C$13*'DATI nascosti 1'!$H$10*'DATI nascosti 1'!$H$16)</f>
        <v>0.13905930470347649</v>
      </c>
      <c r="S214" s="72">
        <f>O214/('DATI nascosti 1'!$H$16*'DATI nascosti 1'!$C$6*'DATI nascosti 1'!$C$13^2*'DATI nascosti 1'!$H$10)</f>
        <v>0.21020806475827911</v>
      </c>
      <c r="T214" s="73">
        <f t="shared" si="15"/>
        <v>-1745.9479990463565</v>
      </c>
      <c r="U214" s="67" t="str">
        <f>IF(T214&gt;=0, IF(T214&lt;='DATI nascosti 1'!$C$8/6, "SI", "NO"),IF(T214&gt; -'DATI nascosti 1'!$C$8/6, "SI", "NO"))</f>
        <v>NO</v>
      </c>
      <c r="V214" s="67" t="str">
        <f>IF(Foglio3!G215&lt;1,IF(Foglio3!G215&gt;-1,"ROTTURA BILANCIATA",""),"")</f>
        <v>ROTTURA BILANCIATA</v>
      </c>
    </row>
    <row r="215" spans="1:22" ht="18.75" x14ac:dyDescent="0.25">
      <c r="A215" s="20"/>
      <c r="B215" s="67">
        <f>'DATI nascosti 1'!$H$12*10^-3</f>
        <v>-3.5000000000000001E-3</v>
      </c>
      <c r="C215" s="68">
        <f>C214-('DATI nascosti 1'!$L$8*10^-3/100)</f>
        <v>1.6199999999999982E-2</v>
      </c>
      <c r="D215" s="68">
        <f>('DATI nascosti 1'!$H$12*(F215-'DATI nascosti 1'!$C$10))/(F215*1000)</f>
        <v>-2.7324675324675333E-3</v>
      </c>
      <c r="E215" s="67" t="s">
        <v>39</v>
      </c>
      <c r="F215" s="69">
        <f>(-'DATI nascosti 1'!$H$12*10^-3/(-'DATI nascosti 1'!$H$12*10^-3+C215))*'DATI nascosti 1'!$C$13</f>
        <v>205.20304568527939</v>
      </c>
      <c r="G215" s="70">
        <f t="shared" si="17"/>
        <v>39.978333333333296</v>
      </c>
      <c r="H215" s="70">
        <f t="shared" si="18"/>
        <v>81.720416666666537</v>
      </c>
      <c r="I215" s="70">
        <f>G215/('DATI nascosti 1'!$H$10*(-'DATI nascosti 1'!$H$12))</f>
        <v>0.80952380952380887</v>
      </c>
      <c r="J215" s="70">
        <f t="shared" si="16"/>
        <v>0.41596638655462226</v>
      </c>
      <c r="K215" s="71">
        <f>IF(D215&gt;=('DATI nascosti 1'!$L$10*10^-3),'DATI nascosti 1'!$L$14*'DATI nascosti 1'!$P$12,IF(D215&gt;=(-'DATI nascosti 1'!$L$10*10^-3),'DATI nascosti 1'!$L$16*D215*'DATI nascosti 1'!$P$12,-'DATI nascosti 1'!$L$14*'DATI nascosti 1'!$P$12))</f>
        <v>-614659.43222408998</v>
      </c>
      <c r="L215" s="71">
        <f>-'DATI nascosti 1'!$H$16*'DATI nascosti 1'!$C$6*I215*'DATI nascosti 1'!$H$10*F215</f>
        <v>-597696.37690355338</v>
      </c>
      <c r="M215" s="71">
        <f>IF(C215&gt;=('DATI nascosti 1'!$L$10*10^-3),'DATI nascosti 1'!$L$14*'DATI nascosti 1'!$P$11,IF(C215&gt;=(-'DATI nascosti 1'!$L$10*10^-3),'DATI nascosti 1'!$P$11*'DATI nascosti 1'!$L$16*C215,-'DATI nascosti 1'!$L$14*'DATI nascosti 1'!$P$11))</f>
        <v>614659.43222408998</v>
      </c>
      <c r="N215" s="71">
        <f t="shared" si="14"/>
        <v>-597696.37690355326</v>
      </c>
      <c r="O215" s="71">
        <f>-L215*('DATI nascosti 1'!$C$8/2-(J215*F215))-K215*('DATI nascosti 1'!$C$13/2)+M215*('DATI nascosti 1'!$C$13/2)</f>
        <v>1017531560.3751117</v>
      </c>
      <c r="P215" s="69">
        <f>-TABULATI!N215/10^3</f>
        <v>597.6963769035533</v>
      </c>
      <c r="Q215" s="69">
        <f>TABULATI!O215/10^6</f>
        <v>1017.5315603751117</v>
      </c>
      <c r="R215" s="72">
        <f>-N215/('DATI nascosti 1'!$C$6*'DATI nascosti 1'!$C$13*'DATI nascosti 1'!$H$10*'DATI nascosti 1'!$H$16)</f>
        <v>0.14382402707275807</v>
      </c>
      <c r="S215" s="72">
        <f>O215/('DATI nascosti 1'!$H$16*'DATI nascosti 1'!$C$6*'DATI nascosti 1'!$C$13^2*'DATI nascosti 1'!$H$10)</f>
        <v>0.21199065943126066</v>
      </c>
      <c r="T215" s="73">
        <f t="shared" si="15"/>
        <v>-1702.4221656597138</v>
      </c>
      <c r="U215" s="67" t="str">
        <f>IF(T215&gt;=0, IF(T215&lt;='DATI nascosti 1'!$C$8/6, "SI", "NO"),IF(T215&gt; -'DATI nascosti 1'!$C$8/6, "SI", "NO"))</f>
        <v>NO</v>
      </c>
      <c r="V215" s="67" t="str">
        <f>IF(Foglio3!G216&lt;1,IF(Foglio3!G216&gt;-1,"ROTTURA BILANCIATA",""),"")</f>
        <v>ROTTURA BILANCIATA</v>
      </c>
    </row>
    <row r="216" spans="1:22" ht="18.75" x14ac:dyDescent="0.25">
      <c r="A216" s="20"/>
      <c r="B216" s="67">
        <f>'DATI nascosti 1'!$H$12*10^-3</f>
        <v>-3.5000000000000001E-3</v>
      </c>
      <c r="C216" s="68">
        <f>C215-('DATI nascosti 1'!$L$8*10^-3/100)</f>
        <v>1.5524999999999982E-2</v>
      </c>
      <c r="D216" s="68">
        <f>('DATI nascosti 1'!$H$12*(F216-'DATI nascosti 1'!$C$10))/(F216*1000)</f>
        <v>-2.7587662337662344E-3</v>
      </c>
      <c r="E216" s="67" t="s">
        <v>39</v>
      </c>
      <c r="F216" s="69">
        <f>(-'DATI nascosti 1'!$H$12*10^-3/(-'DATI nascosti 1'!$H$12*10^-3+C216))*'DATI nascosti 1'!$C$13</f>
        <v>212.48357424441542</v>
      </c>
      <c r="G216" s="70">
        <f t="shared" si="17"/>
        <v>39.978333333333296</v>
      </c>
      <c r="H216" s="70">
        <f t="shared" si="18"/>
        <v>81.720416666666537</v>
      </c>
      <c r="I216" s="70">
        <f>G216/('DATI nascosti 1'!$H$10*(-'DATI nascosti 1'!$H$12))</f>
        <v>0.80952380952380887</v>
      </c>
      <c r="J216" s="70">
        <f t="shared" si="16"/>
        <v>0.41596638655462226</v>
      </c>
      <c r="K216" s="71">
        <f>IF(D216&gt;=('DATI nascosti 1'!$L$10*10^-3),'DATI nascosti 1'!$L$14*'DATI nascosti 1'!$P$12,IF(D216&gt;=(-'DATI nascosti 1'!$L$10*10^-3),'DATI nascosti 1'!$L$16*D216*'DATI nascosti 1'!$P$12,-'DATI nascosti 1'!$L$14*'DATI nascosti 1'!$P$12))</f>
        <v>-614659.43222408998</v>
      </c>
      <c r="L216" s="71">
        <f>-'DATI nascosti 1'!$H$16*'DATI nascosti 1'!$C$6*I216*'DATI nascosti 1'!$H$10*F216</f>
        <v>-618902.42444152432</v>
      </c>
      <c r="M216" s="71">
        <f>IF(C216&gt;=('DATI nascosti 1'!$L$10*10^-3),'DATI nascosti 1'!$L$14*'DATI nascosti 1'!$P$11,IF(C216&gt;=(-'DATI nascosti 1'!$L$10*10^-3),'DATI nascosti 1'!$P$11*'DATI nascosti 1'!$L$16*C216,-'DATI nascosti 1'!$L$14*'DATI nascosti 1'!$P$11))</f>
        <v>614659.43222408998</v>
      </c>
      <c r="N216" s="71">
        <f t="shared" si="14"/>
        <v>-618902.42444152432</v>
      </c>
      <c r="O216" s="71">
        <f>-L216*('DATI nascosti 1'!$C$8/2-(J216*F216))-K216*('DATI nascosti 1'!$C$13/2)+M216*('DATI nascosti 1'!$C$13/2)</f>
        <v>1026570773.9840196</v>
      </c>
      <c r="P216" s="69">
        <f>-TABULATI!N216/10^3</f>
        <v>618.90242444152432</v>
      </c>
      <c r="Q216" s="69">
        <f>TABULATI!O216/10^6</f>
        <v>1026.5707739840195</v>
      </c>
      <c r="R216" s="72">
        <f>-N216/('DATI nascosti 1'!$C$6*'DATI nascosti 1'!$C$13*'DATI nascosti 1'!$H$10*'DATI nascosti 1'!$H$16)</f>
        <v>0.14892685063512925</v>
      </c>
      <c r="S216" s="72">
        <f>O216/('DATI nascosti 1'!$H$16*'DATI nascosti 1'!$C$6*'DATI nascosti 1'!$C$13^2*'DATI nascosti 1'!$H$10)</f>
        <v>0.21387387261924867</v>
      </c>
      <c r="T216" s="73">
        <f t="shared" si="15"/>
        <v>-1658.6956738945737</v>
      </c>
      <c r="U216" s="67" t="str">
        <f>IF(T216&gt;=0, IF(T216&lt;='DATI nascosti 1'!$C$8/6, "SI", "NO"),IF(T216&gt; -'DATI nascosti 1'!$C$8/6, "SI", "NO"))</f>
        <v>NO</v>
      </c>
      <c r="V216" s="67" t="str">
        <f>IF(Foglio3!G217&lt;1,IF(Foglio3!G217&gt;-1,"ROTTURA BILANCIATA",""),"")</f>
        <v>ROTTURA BILANCIATA</v>
      </c>
    </row>
    <row r="217" spans="1:22" ht="18.75" x14ac:dyDescent="0.25">
      <c r="A217" s="20"/>
      <c r="B217" s="67">
        <f>'DATI nascosti 1'!$H$12*10^-3</f>
        <v>-3.5000000000000001E-3</v>
      </c>
      <c r="C217" s="68">
        <f>C216-('DATI nascosti 1'!$L$8*10^-3/100)</f>
        <v>1.4849999999999981E-2</v>
      </c>
      <c r="D217" s="68">
        <f>('DATI nascosti 1'!$H$12*(F217-'DATI nascosti 1'!$C$10))/(F217*1000)</f>
        <v>-2.7850649350649359E-3</v>
      </c>
      <c r="E217" s="67" t="s">
        <v>39</v>
      </c>
      <c r="F217" s="69">
        <f>(-'DATI nascosti 1'!$H$12*10^-3/(-'DATI nascosti 1'!$H$12*10^-3+C217))*'DATI nascosti 1'!$C$13</f>
        <v>220.29972752043619</v>
      </c>
      <c r="G217" s="70">
        <f t="shared" si="17"/>
        <v>39.978333333333296</v>
      </c>
      <c r="H217" s="70">
        <f t="shared" si="18"/>
        <v>81.720416666666537</v>
      </c>
      <c r="I217" s="70">
        <f>G217/('DATI nascosti 1'!$H$10*(-'DATI nascosti 1'!$H$12))</f>
        <v>0.80952380952380887</v>
      </c>
      <c r="J217" s="70">
        <f t="shared" si="16"/>
        <v>0.41596638655462226</v>
      </c>
      <c r="K217" s="71">
        <f>IF(D217&gt;=('DATI nascosti 1'!$L$10*10^-3),'DATI nascosti 1'!$L$14*'DATI nascosti 1'!$P$12,IF(D217&gt;=(-'DATI nascosti 1'!$L$10*10^-3),'DATI nascosti 1'!$L$16*D217*'DATI nascosti 1'!$P$12,-'DATI nascosti 1'!$L$14*'DATI nascosti 1'!$P$12))</f>
        <v>-614659.43222408998</v>
      </c>
      <c r="L217" s="71">
        <f>-'DATI nascosti 1'!$H$16*'DATI nascosti 1'!$C$6*I217*'DATI nascosti 1'!$H$10*F217</f>
        <v>-641668.58991825627</v>
      </c>
      <c r="M217" s="71">
        <f>IF(C217&gt;=('DATI nascosti 1'!$L$10*10^-3),'DATI nascosti 1'!$L$14*'DATI nascosti 1'!$P$11,IF(C217&gt;=(-'DATI nascosti 1'!$L$10*10^-3),'DATI nascosti 1'!$P$11*'DATI nascosti 1'!$L$16*C217,-'DATI nascosti 1'!$L$14*'DATI nascosti 1'!$P$11))</f>
        <v>614659.43222408998</v>
      </c>
      <c r="N217" s="71">
        <f t="shared" si="14"/>
        <v>-641668.58991825627</v>
      </c>
      <c r="O217" s="71">
        <f>-L217*('DATI nascosti 1'!$C$8/2-(J217*F217))-K217*('DATI nascosti 1'!$C$13/2)+M217*('DATI nascosti 1'!$C$13/2)</f>
        <v>1036132032.8915255</v>
      </c>
      <c r="P217" s="69">
        <f>-TABULATI!N217/10^3</f>
        <v>641.66858991825632</v>
      </c>
      <c r="Q217" s="69">
        <f>TABULATI!O217/10^6</f>
        <v>1036.1320328915256</v>
      </c>
      <c r="R217" s="72">
        <f>-N217/('DATI nascosti 1'!$C$6*'DATI nascosti 1'!$C$13*'DATI nascosti 1'!$H$10*'DATI nascosti 1'!$H$16)</f>
        <v>0.15440508628519534</v>
      </c>
      <c r="S217" s="72">
        <f>O217/('DATI nascosti 1'!$H$16*'DATI nascosti 1'!$C$6*'DATI nascosti 1'!$C$13^2*'DATI nascosti 1'!$H$10)</f>
        <v>0.21586584776746714</v>
      </c>
      <c r="T217" s="73">
        <f t="shared" si="15"/>
        <v>-1614.7463802514019</v>
      </c>
      <c r="U217" s="67" t="str">
        <f>IF(T217&gt;=0, IF(T217&lt;='DATI nascosti 1'!$C$8/6, "SI", "NO"),IF(T217&gt; -'DATI nascosti 1'!$C$8/6, "SI", "NO"))</f>
        <v>NO</v>
      </c>
      <c r="V217" s="67" t="str">
        <f>IF(Foglio3!G218&lt;1,IF(Foglio3!G218&gt;-1,"ROTTURA BILANCIATA",""),"")</f>
        <v>ROTTURA BILANCIATA</v>
      </c>
    </row>
    <row r="218" spans="1:22" ht="18.75" x14ac:dyDescent="0.25">
      <c r="A218" s="20"/>
      <c r="B218" s="67">
        <f>'DATI nascosti 1'!$H$12*10^-3</f>
        <v>-3.5000000000000001E-3</v>
      </c>
      <c r="C218" s="68">
        <f>C217-('DATI nascosti 1'!$L$8*10^-3/100)</f>
        <v>1.4174999999999981E-2</v>
      </c>
      <c r="D218" s="68">
        <f>('DATI nascosti 1'!$H$12*(F218-'DATI nascosti 1'!$C$10))/(F218*1000)</f>
        <v>-2.811363636363637E-3</v>
      </c>
      <c r="E218" s="67" t="s">
        <v>39</v>
      </c>
      <c r="F218" s="69">
        <f>(-'DATI nascosti 1'!$H$12*10^-3/(-'DATI nascosti 1'!$H$12*10^-3+C218))*'DATI nascosti 1'!$C$13</f>
        <v>228.71287128712896</v>
      </c>
      <c r="G218" s="70">
        <f t="shared" si="17"/>
        <v>39.978333333333296</v>
      </c>
      <c r="H218" s="70">
        <f t="shared" si="18"/>
        <v>81.720416666666537</v>
      </c>
      <c r="I218" s="70">
        <f>G218/('DATI nascosti 1'!$H$10*(-'DATI nascosti 1'!$H$12))</f>
        <v>0.80952380952380887</v>
      </c>
      <c r="J218" s="70">
        <f t="shared" si="16"/>
        <v>0.41596638655462226</v>
      </c>
      <c r="K218" s="71">
        <f>IF(D218&gt;=('DATI nascosti 1'!$L$10*10^-3),'DATI nascosti 1'!$L$14*'DATI nascosti 1'!$P$12,IF(D218&gt;=(-'DATI nascosti 1'!$L$10*10^-3),'DATI nascosti 1'!$L$16*D218*'DATI nascosti 1'!$P$12,-'DATI nascosti 1'!$L$14*'DATI nascosti 1'!$P$12))</f>
        <v>-614659.43222408998</v>
      </c>
      <c r="L218" s="71">
        <f>-'DATI nascosti 1'!$H$16*'DATI nascosti 1'!$C$6*I218*'DATI nascosti 1'!$H$10*F218</f>
        <v>-666173.61386138631</v>
      </c>
      <c r="M218" s="71">
        <f>IF(C218&gt;=('DATI nascosti 1'!$L$10*10^-3),'DATI nascosti 1'!$L$14*'DATI nascosti 1'!$P$11,IF(C218&gt;=(-'DATI nascosti 1'!$L$10*10^-3),'DATI nascosti 1'!$P$11*'DATI nascosti 1'!$L$16*C218,-'DATI nascosti 1'!$L$14*'DATI nascosti 1'!$P$11))</f>
        <v>614659.43222408998</v>
      </c>
      <c r="N218" s="71">
        <f t="shared" si="14"/>
        <v>-666173.61386138643</v>
      </c>
      <c r="O218" s="71">
        <f>-L218*('DATI nascosti 1'!$C$8/2-(J218*F218))-K218*('DATI nascosti 1'!$C$13/2)+M218*('DATI nascosti 1'!$C$13/2)</f>
        <v>1046258142.2827392</v>
      </c>
      <c r="P218" s="69">
        <f>-TABULATI!N218/10^3</f>
        <v>666.17361386138646</v>
      </c>
      <c r="Q218" s="69">
        <f>TABULATI!O218/10^6</f>
        <v>1046.2581422827391</v>
      </c>
      <c r="R218" s="72">
        <f>-N218/('DATI nascosti 1'!$C$6*'DATI nascosti 1'!$C$13*'DATI nascosti 1'!$H$10*'DATI nascosti 1'!$H$16)</f>
        <v>0.16030174446016041</v>
      </c>
      <c r="S218" s="72">
        <f>O218/('DATI nascosti 1'!$H$16*'DATI nascosti 1'!$C$6*'DATI nascosti 1'!$C$13^2*'DATI nascosti 1'!$H$10)</f>
        <v>0.21797550282968961</v>
      </c>
      <c r="T218" s="73">
        <f t="shared" si="15"/>
        <v>-1570.5487586310173</v>
      </c>
      <c r="U218" s="67" t="str">
        <f>IF(T218&gt;=0, IF(T218&lt;='DATI nascosti 1'!$C$8/6, "SI", "NO"),IF(T218&gt; -'DATI nascosti 1'!$C$8/6, "SI", "NO"))</f>
        <v>NO</v>
      </c>
      <c r="V218" s="67" t="str">
        <f>IF(Foglio3!G219&lt;1,IF(Foglio3!G219&gt;-1,"ROTTURA BILANCIATA",""),"")</f>
        <v>ROTTURA BILANCIATA</v>
      </c>
    </row>
    <row r="219" spans="1:22" ht="18.75" x14ac:dyDescent="0.25">
      <c r="A219" s="20"/>
      <c r="B219" s="67">
        <f>'DATI nascosti 1'!$H$12*10^-3</f>
        <v>-3.5000000000000001E-3</v>
      </c>
      <c r="C219" s="68">
        <f>C218-('DATI nascosti 1'!$L$8*10^-3/100)</f>
        <v>1.3499999999999981E-2</v>
      </c>
      <c r="D219" s="68">
        <f>('DATI nascosti 1'!$H$12*(F219-'DATI nascosti 1'!$C$10))/(F219*1000)</f>
        <v>-2.8376623376623385E-3</v>
      </c>
      <c r="E219" s="67" t="s">
        <v>39</v>
      </c>
      <c r="F219" s="69">
        <f>(-'DATI nascosti 1'!$H$12*10^-3/(-'DATI nascosti 1'!$H$12*10^-3+C219))*'DATI nascosti 1'!$C$13</f>
        <v>237.7941176470591</v>
      </c>
      <c r="G219" s="70">
        <f t="shared" si="17"/>
        <v>39.978333333333296</v>
      </c>
      <c r="H219" s="70">
        <f t="shared" si="18"/>
        <v>81.720416666666537</v>
      </c>
      <c r="I219" s="70">
        <f>G219/('DATI nascosti 1'!$H$10*(-'DATI nascosti 1'!$H$12))</f>
        <v>0.80952380952380887</v>
      </c>
      <c r="J219" s="70">
        <f t="shared" si="16"/>
        <v>0.41596638655462226</v>
      </c>
      <c r="K219" s="71">
        <f>IF(D219&gt;=('DATI nascosti 1'!$L$10*10^-3),'DATI nascosti 1'!$L$14*'DATI nascosti 1'!$P$12,IF(D219&gt;=(-'DATI nascosti 1'!$L$10*10^-3),'DATI nascosti 1'!$L$16*D219*'DATI nascosti 1'!$P$12,-'DATI nascosti 1'!$L$14*'DATI nascosti 1'!$P$12))</f>
        <v>-614659.43222408998</v>
      </c>
      <c r="L219" s="71">
        <f>-'DATI nascosti 1'!$H$16*'DATI nascosti 1'!$C$6*I219*'DATI nascosti 1'!$H$10*F219</f>
        <v>-692624.62500000023</v>
      </c>
      <c r="M219" s="71">
        <f>IF(C219&gt;=('DATI nascosti 1'!$L$10*10^-3),'DATI nascosti 1'!$L$14*'DATI nascosti 1'!$P$11,IF(C219&gt;=(-'DATI nascosti 1'!$L$10*10^-3),'DATI nascosti 1'!$P$11*'DATI nascosti 1'!$L$16*C219,-'DATI nascosti 1'!$L$14*'DATI nascosti 1'!$P$11))</f>
        <v>614659.43222408998</v>
      </c>
      <c r="N219" s="71">
        <f t="shared" si="14"/>
        <v>-692624.62500000023</v>
      </c>
      <c r="O219" s="71">
        <f>-L219*('DATI nascosti 1'!$C$8/2-(J219*F219))-K219*('DATI nascosti 1'!$C$13/2)+M219*('DATI nascosti 1'!$C$13/2)</f>
        <v>1056995897.8125739</v>
      </c>
      <c r="P219" s="69">
        <f>-TABULATI!N219/10^3</f>
        <v>692.62462500000026</v>
      </c>
      <c r="Q219" s="69">
        <f>TABULATI!O219/10^6</f>
        <v>1056.995897812574</v>
      </c>
      <c r="R219" s="72">
        <f>-N219/('DATI nascosti 1'!$C$6*'DATI nascosti 1'!$C$13*'DATI nascosti 1'!$H$10*'DATI nascosti 1'!$H$16)</f>
        <v>0.16666666666666677</v>
      </c>
      <c r="S219" s="72">
        <f>O219/('DATI nascosti 1'!$H$16*'DATI nascosti 1'!$C$6*'DATI nascosti 1'!$C$13^2*'DATI nascosti 1'!$H$10)</f>
        <v>0.22021258712685104</v>
      </c>
      <c r="T219" s="73">
        <f t="shared" si="15"/>
        <v>-1526.0732287890769</v>
      </c>
      <c r="U219" s="67" t="str">
        <f>IF(T219&gt;=0, IF(T219&lt;='DATI nascosti 1'!$C$8/6, "SI", "NO"),IF(T219&gt; -'DATI nascosti 1'!$C$8/6, "SI", "NO"))</f>
        <v>NO</v>
      </c>
      <c r="V219" s="67" t="str">
        <f>IF(Foglio3!G220&lt;1,IF(Foglio3!G220&gt;-1,"ROTTURA BILANCIATA",""),"")</f>
        <v>ROTTURA BILANCIATA</v>
      </c>
    </row>
    <row r="220" spans="1:22" ht="18.75" x14ac:dyDescent="0.25">
      <c r="A220" s="20"/>
      <c r="B220" s="67">
        <f>'DATI nascosti 1'!$H$12*10^-3</f>
        <v>-3.5000000000000001E-3</v>
      </c>
      <c r="C220" s="68">
        <f>C219-('DATI nascosti 1'!$L$8*10^-3/100)</f>
        <v>1.2824999999999981E-2</v>
      </c>
      <c r="D220" s="68">
        <f>('DATI nascosti 1'!$H$12*(F220-'DATI nascosti 1'!$C$10))/(F220*1000)</f>
        <v>-2.8639610389610396E-3</v>
      </c>
      <c r="E220" s="67" t="s">
        <v>39</v>
      </c>
      <c r="F220" s="69">
        <f>(-'DATI nascosti 1'!$H$12*10^-3/(-'DATI nascosti 1'!$H$12*10^-3+C220))*'DATI nascosti 1'!$C$13</f>
        <v>247.6263399693724</v>
      </c>
      <c r="G220" s="70">
        <f t="shared" si="17"/>
        <v>39.978333333333296</v>
      </c>
      <c r="H220" s="70">
        <f t="shared" si="18"/>
        <v>81.720416666666537</v>
      </c>
      <c r="I220" s="70">
        <f>G220/('DATI nascosti 1'!$H$10*(-'DATI nascosti 1'!$H$12))</f>
        <v>0.80952380952380887</v>
      </c>
      <c r="J220" s="70">
        <f t="shared" si="16"/>
        <v>0.41596638655462226</v>
      </c>
      <c r="K220" s="71">
        <f>IF(D220&gt;=('DATI nascosti 1'!$L$10*10^-3),'DATI nascosti 1'!$L$14*'DATI nascosti 1'!$P$12,IF(D220&gt;=(-'DATI nascosti 1'!$L$10*10^-3),'DATI nascosti 1'!$L$16*D220*'DATI nascosti 1'!$P$12,-'DATI nascosti 1'!$L$14*'DATI nascosti 1'!$P$12))</f>
        <v>-614659.43222408998</v>
      </c>
      <c r="L220" s="71">
        <f>-'DATI nascosti 1'!$H$16*'DATI nascosti 1'!$C$6*I220*'DATI nascosti 1'!$H$10*F220</f>
        <v>-721263.00918836158</v>
      </c>
      <c r="M220" s="71">
        <f>IF(C220&gt;=('DATI nascosti 1'!$L$10*10^-3),'DATI nascosti 1'!$L$14*'DATI nascosti 1'!$P$11,IF(C220&gt;=(-'DATI nascosti 1'!$L$10*10^-3),'DATI nascosti 1'!$P$11*'DATI nascosti 1'!$L$16*C220,-'DATI nascosti 1'!$L$14*'DATI nascosti 1'!$P$11))</f>
        <v>614659.43222408998</v>
      </c>
      <c r="N220" s="71">
        <f t="shared" si="14"/>
        <v>-721263.0091883617</v>
      </c>
      <c r="O220" s="71">
        <f>-L220*('DATI nascosti 1'!$C$8/2-(J220*F220))-K220*('DATI nascosti 1'!$C$13/2)+M220*('DATI nascosti 1'!$C$13/2)</f>
        <v>1068396306.0640242</v>
      </c>
      <c r="P220" s="69">
        <f>-TABULATI!N220/10^3</f>
        <v>721.26300918836171</v>
      </c>
      <c r="Q220" s="69">
        <f>TABULATI!O220/10^6</f>
        <v>1068.3963060640242</v>
      </c>
      <c r="R220" s="72">
        <f>-N220/('DATI nascosti 1'!$C$6*'DATI nascosti 1'!$C$13*'DATI nascosti 1'!$H$10*'DATI nascosti 1'!$H$16)</f>
        <v>0.17355793772332834</v>
      </c>
      <c r="S220" s="72">
        <f>O220/('DATI nascosti 1'!$H$16*'DATI nascosti 1'!$C$6*'DATI nascosti 1'!$C$13^2*'DATI nascosti 1'!$H$10)</f>
        <v>0.22258772727692125</v>
      </c>
      <c r="T220" s="73">
        <f t="shared" si="15"/>
        <v>-1481.2853181896742</v>
      </c>
      <c r="U220" s="67" t="str">
        <f>IF(T220&gt;=0, IF(T220&lt;='DATI nascosti 1'!$C$8/6, "SI", "NO"),IF(T220&gt; -'DATI nascosti 1'!$C$8/6, "SI", "NO"))</f>
        <v>NO</v>
      </c>
      <c r="V220" s="67" t="str">
        <f>IF(Foglio3!G221&lt;1,IF(Foglio3!G221&gt;-1,"ROTTURA BILANCIATA",""),"")</f>
        <v>ROTTURA BILANCIATA</v>
      </c>
    </row>
    <row r="221" spans="1:22" ht="18.75" x14ac:dyDescent="0.25">
      <c r="A221" s="20"/>
      <c r="B221" s="67">
        <f>'DATI nascosti 1'!$H$12*10^-3</f>
        <v>-3.5000000000000001E-3</v>
      </c>
      <c r="C221" s="68">
        <f>C220-('DATI nascosti 1'!$L$8*10^-3/100)</f>
        <v>1.214999999999998E-2</v>
      </c>
      <c r="D221" s="68">
        <f>('DATI nascosti 1'!$H$12*(F221-'DATI nascosti 1'!$C$10))/(F221*1000)</f>
        <v>-2.8902597402597411E-3</v>
      </c>
      <c r="E221" s="67" t="s">
        <v>39</v>
      </c>
      <c r="F221" s="69">
        <f>(-'DATI nascosti 1'!$H$12*10^-3/(-'DATI nascosti 1'!$H$12*10^-3+C221))*'DATI nascosti 1'!$C$13</f>
        <v>258.30670926517604</v>
      </c>
      <c r="G221" s="70">
        <f t="shared" si="17"/>
        <v>39.978333333333296</v>
      </c>
      <c r="H221" s="70">
        <f t="shared" si="18"/>
        <v>81.720416666666537</v>
      </c>
      <c r="I221" s="70">
        <f>G221/('DATI nascosti 1'!$H$10*(-'DATI nascosti 1'!$H$12))</f>
        <v>0.80952380952380887</v>
      </c>
      <c r="J221" s="70">
        <f t="shared" si="16"/>
        <v>0.41596638655462226</v>
      </c>
      <c r="K221" s="71">
        <f>IF(D221&gt;=('DATI nascosti 1'!$L$10*10^-3),'DATI nascosti 1'!$L$14*'DATI nascosti 1'!$P$12,IF(D221&gt;=(-'DATI nascosti 1'!$L$10*10^-3),'DATI nascosti 1'!$L$16*D221*'DATI nascosti 1'!$P$12,-'DATI nascosti 1'!$L$14*'DATI nascosti 1'!$P$12))</f>
        <v>-614659.43222408998</v>
      </c>
      <c r="L221" s="71">
        <f>-'DATI nascosti 1'!$H$16*'DATI nascosti 1'!$C$6*I221*'DATI nascosti 1'!$H$10*F221</f>
        <v>-752371.79712460085</v>
      </c>
      <c r="M221" s="71">
        <f>IF(C221&gt;=('DATI nascosti 1'!$L$10*10^-3),'DATI nascosti 1'!$L$14*'DATI nascosti 1'!$P$11,IF(C221&gt;=(-'DATI nascosti 1'!$L$10*10^-3),'DATI nascosti 1'!$P$11*'DATI nascosti 1'!$L$16*C221,-'DATI nascosti 1'!$L$14*'DATI nascosti 1'!$P$11))</f>
        <v>614659.43222408998</v>
      </c>
      <c r="N221" s="71">
        <f t="shared" si="14"/>
        <v>-752371.79712460074</v>
      </c>
      <c r="O221" s="71">
        <f>-L221*('DATI nascosti 1'!$C$8/2-(J221*F221))-K221*('DATI nascosti 1'!$C$13/2)+M221*('DATI nascosti 1'!$C$13/2)</f>
        <v>1080514698.8681262</v>
      </c>
      <c r="P221" s="69">
        <f>-TABULATI!N221/10^3</f>
        <v>752.37179712460079</v>
      </c>
      <c r="Q221" s="69">
        <f>TABULATI!O221/10^6</f>
        <v>1080.5146988681261</v>
      </c>
      <c r="R221" s="72">
        <f>-N221/('DATI nascosti 1'!$C$6*'DATI nascosti 1'!$C$13*'DATI nascosti 1'!$H$10*'DATI nascosti 1'!$H$16)</f>
        <v>0.18104366347177855</v>
      </c>
      <c r="S221" s="72">
        <f>O221/('DATI nascosti 1'!$H$16*'DATI nascosti 1'!$C$6*'DATI nascosti 1'!$C$13^2*'DATI nascosti 1'!$H$10)</f>
        <v>0.22511245101211583</v>
      </c>
      <c r="T221" s="73">
        <f t="shared" si="15"/>
        <v>-1436.1446069584417</v>
      </c>
      <c r="U221" s="67" t="str">
        <f>IF(T221&gt;=0, IF(T221&lt;='DATI nascosti 1'!$C$8/6, "SI", "NO"),IF(T221&gt; -'DATI nascosti 1'!$C$8/6, "SI", "NO"))</f>
        <v>NO</v>
      </c>
      <c r="V221" s="67" t="str">
        <f>IF(Foglio3!G222&lt;1,IF(Foglio3!G222&gt;-1,"ROTTURA BILANCIATA",""),"")</f>
        <v>ROTTURA BILANCIATA</v>
      </c>
    </row>
    <row r="222" spans="1:22" ht="18.75" x14ac:dyDescent="0.25">
      <c r="A222" s="20"/>
      <c r="B222" s="67">
        <f>'DATI nascosti 1'!$H$12*10^-3</f>
        <v>-3.5000000000000001E-3</v>
      </c>
      <c r="C222" s="68">
        <f>C221-('DATI nascosti 1'!$L$8*10^-3/100)</f>
        <v>1.147499999999998E-2</v>
      </c>
      <c r="D222" s="68">
        <f>('DATI nascosti 1'!$H$12*(F222-'DATI nascosti 1'!$C$10))/(F222*1000)</f>
        <v>-2.9165584415584422E-3</v>
      </c>
      <c r="E222" s="67" t="s">
        <v>39</v>
      </c>
      <c r="F222" s="69">
        <f>(-'DATI nascosti 1'!$H$12*10^-3/(-'DATI nascosti 1'!$H$12*10^-3+C222))*'DATI nascosti 1'!$C$13</f>
        <v>269.94991652754629</v>
      </c>
      <c r="G222" s="70">
        <f t="shared" si="17"/>
        <v>39.978333333333296</v>
      </c>
      <c r="H222" s="70">
        <f t="shared" si="18"/>
        <v>81.720416666666537</v>
      </c>
      <c r="I222" s="70">
        <f>G222/('DATI nascosti 1'!$H$10*(-'DATI nascosti 1'!$H$12))</f>
        <v>0.80952380952380887</v>
      </c>
      <c r="J222" s="70">
        <f t="shared" si="16"/>
        <v>0.41596638655462226</v>
      </c>
      <c r="K222" s="71">
        <f>IF(D222&gt;=('DATI nascosti 1'!$L$10*10^-3),'DATI nascosti 1'!$L$14*'DATI nascosti 1'!$P$12,IF(D222&gt;=(-'DATI nascosti 1'!$L$10*10^-3),'DATI nascosti 1'!$L$16*D222*'DATI nascosti 1'!$P$12,-'DATI nascosti 1'!$L$14*'DATI nascosti 1'!$P$12))</f>
        <v>-614659.43222408998</v>
      </c>
      <c r="L222" s="71">
        <f>-'DATI nascosti 1'!$H$16*'DATI nascosti 1'!$C$6*I222*'DATI nascosti 1'!$H$10*F222</f>
        <v>-786285.05008347286</v>
      </c>
      <c r="M222" s="71">
        <f>IF(C222&gt;=('DATI nascosti 1'!$L$10*10^-3),'DATI nascosti 1'!$L$14*'DATI nascosti 1'!$P$11,IF(C222&gt;=(-'DATI nascosti 1'!$L$10*10^-3),'DATI nascosti 1'!$P$11*'DATI nascosti 1'!$L$16*C222,-'DATI nascosti 1'!$L$14*'DATI nascosti 1'!$P$11))</f>
        <v>614659.43222408998</v>
      </c>
      <c r="N222" s="71">
        <f t="shared" si="14"/>
        <v>-786285.05008347286</v>
      </c>
      <c r="O222" s="71">
        <f>-L222*('DATI nascosti 1'!$C$8/2-(J222*F222))-K222*('DATI nascosti 1'!$C$13/2)+M222*('DATI nascosti 1'!$C$13/2)</f>
        <v>1093410654.1846545</v>
      </c>
      <c r="P222" s="69">
        <f>-TABULATI!N222/10^3</f>
        <v>786.28505008347281</v>
      </c>
      <c r="Q222" s="69">
        <f>TABULATI!O222/10^6</f>
        <v>1093.4106541846545</v>
      </c>
      <c r="R222" s="72">
        <f>-N222/('DATI nascosti 1'!$C$6*'DATI nascosti 1'!$C$13*'DATI nascosti 1'!$H$10*'DATI nascosti 1'!$H$16)</f>
        <v>0.18920422927100738</v>
      </c>
      <c r="S222" s="72">
        <f>O222/('DATI nascosti 1'!$H$16*'DATI nascosti 1'!$C$6*'DATI nascosti 1'!$C$13^2*'DATI nascosti 1'!$H$10)</f>
        <v>0.22779917069532554</v>
      </c>
      <c r="T222" s="73">
        <f t="shared" si="15"/>
        <v>-1390.6033874974182</v>
      </c>
      <c r="U222" s="67" t="str">
        <f>IF(T222&gt;=0, IF(T222&lt;='DATI nascosti 1'!$C$8/6, "SI", "NO"),IF(T222&gt; -'DATI nascosti 1'!$C$8/6, "SI", "NO"))</f>
        <v>NO</v>
      </c>
      <c r="V222" s="67" t="str">
        <f>IF(Foglio3!G223&lt;1,IF(Foglio3!G223&gt;-1,"ROTTURA BILANCIATA",""),"")</f>
        <v>ROTTURA BILANCIATA</v>
      </c>
    </row>
    <row r="223" spans="1:22" ht="18.75" x14ac:dyDescent="0.25">
      <c r="A223" s="20"/>
      <c r="B223" s="67">
        <f>'DATI nascosti 1'!$H$12*10^-3</f>
        <v>-3.5000000000000001E-3</v>
      </c>
      <c r="C223" s="68">
        <f>C222-('DATI nascosti 1'!$L$8*10^-3/100)</f>
        <v>1.079999999999998E-2</v>
      </c>
      <c r="D223" s="68">
        <f>('DATI nascosti 1'!$H$12*(F223-'DATI nascosti 1'!$C$10))/(F223*1000)</f>
        <v>-2.9428571428571433E-3</v>
      </c>
      <c r="E223" s="67" t="s">
        <v>39</v>
      </c>
      <c r="F223" s="69">
        <f>(-'DATI nascosti 1'!$H$12*10^-3/(-'DATI nascosti 1'!$H$12*10^-3+C223))*'DATI nascosti 1'!$C$13</f>
        <v>282.69230769230808</v>
      </c>
      <c r="G223" s="70">
        <f t="shared" si="17"/>
        <v>39.978333333333296</v>
      </c>
      <c r="H223" s="70">
        <f t="shared" si="18"/>
        <v>81.720416666666537</v>
      </c>
      <c r="I223" s="70">
        <f>G223/('DATI nascosti 1'!$H$10*(-'DATI nascosti 1'!$H$12))</f>
        <v>0.80952380952380887</v>
      </c>
      <c r="J223" s="70">
        <f t="shared" si="16"/>
        <v>0.41596638655462226</v>
      </c>
      <c r="K223" s="71">
        <f>IF(D223&gt;=('DATI nascosti 1'!$L$10*10^-3),'DATI nascosti 1'!$L$14*'DATI nascosti 1'!$P$12,IF(D223&gt;=(-'DATI nascosti 1'!$L$10*10^-3),'DATI nascosti 1'!$L$16*D223*'DATI nascosti 1'!$P$12,-'DATI nascosti 1'!$L$14*'DATI nascosti 1'!$P$12))</f>
        <v>-614659.43222408998</v>
      </c>
      <c r="L223" s="71">
        <f>-'DATI nascosti 1'!$H$16*'DATI nascosti 1'!$C$6*I223*'DATI nascosti 1'!$H$10*F223</f>
        <v>-823399.90384615422</v>
      </c>
      <c r="M223" s="71">
        <f>IF(C223&gt;=('DATI nascosti 1'!$L$10*10^-3),'DATI nascosti 1'!$L$14*'DATI nascosti 1'!$P$11,IF(C223&gt;=(-'DATI nascosti 1'!$L$10*10^-3),'DATI nascosti 1'!$P$11*'DATI nascosti 1'!$L$16*C223,-'DATI nascosti 1'!$L$14*'DATI nascosti 1'!$P$11))</f>
        <v>614659.43222408998</v>
      </c>
      <c r="N223" s="71">
        <f t="shared" si="14"/>
        <v>-823399.90384615422</v>
      </c>
      <c r="O223" s="71">
        <f>-L223*('DATI nascosti 1'!$C$8/2-(J223*F223))-K223*('DATI nascosti 1'!$C$13/2)+M223*('DATI nascosti 1'!$C$13/2)</f>
        <v>1107147581.9961908</v>
      </c>
      <c r="P223" s="69">
        <f>-TABULATI!N223/10^3</f>
        <v>823.39990384615419</v>
      </c>
      <c r="Q223" s="69">
        <f>TABULATI!O223/10^6</f>
        <v>1107.1475819961909</v>
      </c>
      <c r="R223" s="72">
        <f>-N223/('DATI nascosti 1'!$C$6*'DATI nascosti 1'!$C$13*'DATI nascosti 1'!$H$10*'DATI nascosti 1'!$H$16)</f>
        <v>0.19813519813519828</v>
      </c>
      <c r="S223" s="72">
        <f>O223/('DATI nascosti 1'!$H$16*'DATI nascosti 1'!$C$6*'DATI nascosti 1'!$C$13^2*'DATI nascosti 1'!$H$10)</f>
        <v>0.23066109704604598</v>
      </c>
      <c r="T223" s="73">
        <f t="shared" si="15"/>
        <v>-1344.6049444803587</v>
      </c>
      <c r="U223" s="67" t="str">
        <f>IF(T223&gt;=0, IF(T223&lt;='DATI nascosti 1'!$C$8/6, "SI", "NO"),IF(T223&gt; -'DATI nascosti 1'!$C$8/6, "SI", "NO"))</f>
        <v>NO</v>
      </c>
      <c r="V223" s="67" t="str">
        <f>IF(Foglio3!G224&lt;1,IF(Foglio3!G224&gt;-1,"ROTTURA BILANCIATA",""),"")</f>
        <v>ROTTURA BILANCIATA</v>
      </c>
    </row>
    <row r="224" spans="1:22" ht="18.75" x14ac:dyDescent="0.25">
      <c r="A224" s="20"/>
      <c r="B224" s="67">
        <f>'DATI nascosti 1'!$H$12*10^-3</f>
        <v>-3.5000000000000001E-3</v>
      </c>
      <c r="C224" s="68">
        <f>C223-('DATI nascosti 1'!$L$8*10^-3/100)</f>
        <v>1.012499999999998E-2</v>
      </c>
      <c r="D224" s="68">
        <f>('DATI nascosti 1'!$H$12*(F224-'DATI nascosti 1'!$C$10))/(F224*1000)</f>
        <v>-2.9691558441558448E-3</v>
      </c>
      <c r="E224" s="67" t="s">
        <v>39</v>
      </c>
      <c r="F224" s="69">
        <f>(-'DATI nascosti 1'!$H$12*10^-3/(-'DATI nascosti 1'!$H$12*10^-3+C224))*'DATI nascosti 1'!$C$13</f>
        <v>296.6972477064225</v>
      </c>
      <c r="G224" s="70">
        <f t="shared" si="17"/>
        <v>39.978333333333296</v>
      </c>
      <c r="H224" s="70">
        <f t="shared" si="18"/>
        <v>81.720416666666537</v>
      </c>
      <c r="I224" s="70">
        <f>G224/('DATI nascosti 1'!$H$10*(-'DATI nascosti 1'!$H$12))</f>
        <v>0.80952380952380887</v>
      </c>
      <c r="J224" s="70">
        <f t="shared" si="16"/>
        <v>0.41596638655462226</v>
      </c>
      <c r="K224" s="71">
        <f>IF(D224&gt;=('DATI nascosti 1'!$L$10*10^-3),'DATI nascosti 1'!$L$14*'DATI nascosti 1'!$P$12,IF(D224&gt;=(-'DATI nascosti 1'!$L$10*10^-3),'DATI nascosti 1'!$L$16*D224*'DATI nascosti 1'!$P$12,-'DATI nascosti 1'!$L$14*'DATI nascosti 1'!$P$12))</f>
        <v>-614659.43222408998</v>
      </c>
      <c r="L224" s="71">
        <f>-'DATI nascosti 1'!$H$16*'DATI nascosti 1'!$C$6*I224*'DATI nascosti 1'!$H$10*F224</f>
        <v>-864192.19266055105</v>
      </c>
      <c r="M224" s="71">
        <f>IF(C224&gt;=('DATI nascosti 1'!$L$10*10^-3),'DATI nascosti 1'!$L$14*'DATI nascosti 1'!$P$11,IF(C224&gt;=(-'DATI nascosti 1'!$L$10*10^-3),'DATI nascosti 1'!$P$11*'DATI nascosti 1'!$L$16*C224,-'DATI nascosti 1'!$L$14*'DATI nascosti 1'!$P$11))</f>
        <v>614659.43222408998</v>
      </c>
      <c r="N224" s="71">
        <f t="shared" si="14"/>
        <v>-864192.19266055105</v>
      </c>
      <c r="O224" s="71">
        <f>-L224*('DATI nascosti 1'!$C$8/2-(J224*F224))-K224*('DATI nascosti 1'!$C$13/2)+M224*('DATI nascosti 1'!$C$13/2)</f>
        <v>1121791745.2768157</v>
      </c>
      <c r="P224" s="69">
        <f>-TABULATI!N224/10^3</f>
        <v>864.19219266055109</v>
      </c>
      <c r="Q224" s="69">
        <f>TABULATI!O224/10^6</f>
        <v>1121.7917452768156</v>
      </c>
      <c r="R224" s="72">
        <f>-N224/('DATI nascosti 1'!$C$6*'DATI nascosti 1'!$C$13*'DATI nascosti 1'!$H$10*'DATI nascosti 1'!$H$16)</f>
        <v>0.20795107033639162</v>
      </c>
      <c r="S224" s="72">
        <f>O224/('DATI nascosti 1'!$H$16*'DATI nascosti 1'!$C$6*'DATI nascosti 1'!$C$13^2*'DATI nascosti 1'!$H$10)</f>
        <v>0.23371203517079003</v>
      </c>
      <c r="T224" s="73">
        <f t="shared" si="15"/>
        <v>-1298.0813235805845</v>
      </c>
      <c r="U224" s="67" t="str">
        <f>IF(T224&gt;=0, IF(T224&lt;='DATI nascosti 1'!$C$8/6, "SI", "NO"),IF(T224&gt; -'DATI nascosti 1'!$C$8/6, "SI", "NO"))</f>
        <v>NO</v>
      </c>
      <c r="V224" s="67" t="str">
        <f>IF(Foglio3!G225&lt;1,IF(Foglio3!G225&gt;-1,"ROTTURA BILANCIATA",""),"")</f>
        <v>ROTTURA BILANCIATA</v>
      </c>
    </row>
    <row r="225" spans="1:22" ht="18.75" x14ac:dyDescent="0.25">
      <c r="A225" s="20"/>
      <c r="B225" s="67">
        <f>'DATI nascosti 1'!$H$12*10^-3</f>
        <v>-3.5000000000000001E-3</v>
      </c>
      <c r="C225" s="68">
        <f>C224-('DATI nascosti 1'!$L$8*10^-3/100)</f>
        <v>9.4499999999999792E-3</v>
      </c>
      <c r="D225" s="68">
        <f>('DATI nascosti 1'!$H$12*(F225-'DATI nascosti 1'!$C$10))/(F225*1000)</f>
        <v>-2.9954545454545459E-3</v>
      </c>
      <c r="E225" s="67" t="s">
        <v>39</v>
      </c>
      <c r="F225" s="69">
        <f>(-'DATI nascosti 1'!$H$12*10^-3/(-'DATI nascosti 1'!$H$12*10^-3+C225))*'DATI nascosti 1'!$C$13</f>
        <v>312.1621621621627</v>
      </c>
      <c r="G225" s="70">
        <f t="shared" si="17"/>
        <v>39.978333333333296</v>
      </c>
      <c r="H225" s="70">
        <f t="shared" si="18"/>
        <v>81.720416666666537</v>
      </c>
      <c r="I225" s="70">
        <f>G225/('DATI nascosti 1'!$H$10*(-'DATI nascosti 1'!$H$12))</f>
        <v>0.80952380952380887</v>
      </c>
      <c r="J225" s="70">
        <f t="shared" si="16"/>
        <v>0.41596638655462226</v>
      </c>
      <c r="K225" s="71">
        <f>IF(D225&gt;=('DATI nascosti 1'!$L$10*10^-3),'DATI nascosti 1'!$L$14*'DATI nascosti 1'!$P$12,IF(D225&gt;=(-'DATI nascosti 1'!$L$10*10^-3),'DATI nascosti 1'!$L$16*D225*'DATI nascosti 1'!$P$12,-'DATI nascosti 1'!$L$14*'DATI nascosti 1'!$P$12))</f>
        <v>-614659.43222408998</v>
      </c>
      <c r="L225" s="71">
        <f>-'DATI nascosti 1'!$H$16*'DATI nascosti 1'!$C$6*I225*'DATI nascosti 1'!$H$10*F225</f>
        <v>-909236.95945946022</v>
      </c>
      <c r="M225" s="71">
        <f>IF(C225&gt;=('DATI nascosti 1'!$L$10*10^-3),'DATI nascosti 1'!$L$14*'DATI nascosti 1'!$P$11,IF(C225&gt;=(-'DATI nascosti 1'!$L$10*10^-3),'DATI nascosti 1'!$P$11*'DATI nascosti 1'!$L$16*C225,-'DATI nascosti 1'!$L$14*'DATI nascosti 1'!$P$11))</f>
        <v>614659.43222408998</v>
      </c>
      <c r="N225" s="71">
        <f t="shared" si="14"/>
        <v>-909236.95945946011</v>
      </c>
      <c r="O225" s="71">
        <f>-L225*('DATI nascosti 1'!$C$8/2-(J225*F225))-K225*('DATI nascosti 1'!$C$13/2)+M225*('DATI nascosti 1'!$C$13/2)</f>
        <v>1137410340.3017311</v>
      </c>
      <c r="P225" s="69">
        <f>-TABULATI!N225/10^3</f>
        <v>909.23695945946008</v>
      </c>
      <c r="Q225" s="69">
        <f>TABULATI!O225/10^6</f>
        <v>1137.4103403017311</v>
      </c>
      <c r="R225" s="72">
        <f>-N225/('DATI nascosti 1'!$C$6*'DATI nascosti 1'!$C$13*'DATI nascosti 1'!$H$10*'DATI nascosti 1'!$H$16)</f>
        <v>0.21879021879021898</v>
      </c>
      <c r="S225" s="72">
        <f>O225/('DATI nascosti 1'!$H$16*'DATI nascosti 1'!$C$6*'DATI nascosti 1'!$C$13^2*'DATI nascosti 1'!$H$10)</f>
        <v>0.23696598461831481</v>
      </c>
      <c r="T225" s="73">
        <f t="shared" si="15"/>
        <v>-1250.9504023878656</v>
      </c>
      <c r="U225" s="67" t="str">
        <f>IF(T225&gt;=0, IF(T225&lt;='DATI nascosti 1'!$C$8/6, "SI", "NO"),IF(T225&gt; -'DATI nascosti 1'!$C$8/6, "SI", "NO"))</f>
        <v>NO</v>
      </c>
      <c r="V225" s="67" t="str">
        <f>IF(Foglio3!G226&lt;1,IF(Foglio3!G226&gt;-1,"ROTTURA BILANCIATA",""),"")</f>
        <v>ROTTURA BILANCIATA</v>
      </c>
    </row>
    <row r="226" spans="1:22" ht="18.75" x14ac:dyDescent="0.25">
      <c r="A226" s="20"/>
      <c r="B226" s="67">
        <f>'DATI nascosti 1'!$H$12*10^-3</f>
        <v>-3.5000000000000001E-3</v>
      </c>
      <c r="C226" s="68">
        <f>C225-('DATI nascosti 1'!$L$8*10^-3/100)</f>
        <v>8.774999999999979E-3</v>
      </c>
      <c r="D226" s="68">
        <f>('DATI nascosti 1'!$H$12*(F226-'DATI nascosti 1'!$C$10))/(F226*1000)</f>
        <v>-3.0217532467532475E-3</v>
      </c>
      <c r="E226" s="67" t="s">
        <v>39</v>
      </c>
      <c r="F226" s="69">
        <f>(-'DATI nascosti 1'!$H$12*10^-3/(-'DATI nascosti 1'!$H$12*10^-3+C226))*'DATI nascosti 1'!$C$13</f>
        <v>329.32790224032641</v>
      </c>
      <c r="G226" s="70">
        <f t="shared" si="17"/>
        <v>39.978333333333296</v>
      </c>
      <c r="H226" s="70">
        <f t="shared" si="18"/>
        <v>81.720416666666537</v>
      </c>
      <c r="I226" s="70">
        <f>G226/('DATI nascosti 1'!$H$10*(-'DATI nascosti 1'!$H$12))</f>
        <v>0.80952380952380887</v>
      </c>
      <c r="J226" s="70">
        <f t="shared" si="16"/>
        <v>0.41596638655462226</v>
      </c>
      <c r="K226" s="71">
        <f>IF(D226&gt;=('DATI nascosti 1'!$L$10*10^-3),'DATI nascosti 1'!$L$14*'DATI nascosti 1'!$P$12,IF(D226&gt;=(-'DATI nascosti 1'!$L$10*10^-3),'DATI nascosti 1'!$L$16*D226*'DATI nascosti 1'!$P$12,-'DATI nascosti 1'!$L$14*'DATI nascosti 1'!$P$12))</f>
        <v>-614659.43222408998</v>
      </c>
      <c r="L226" s="71">
        <f>-'DATI nascosti 1'!$H$16*'DATI nascosti 1'!$C$6*I226*'DATI nascosti 1'!$H$10*F226</f>
        <v>-959235.73319755669</v>
      </c>
      <c r="M226" s="71">
        <f>IF(C226&gt;=('DATI nascosti 1'!$L$10*10^-3),'DATI nascosti 1'!$L$14*'DATI nascosti 1'!$P$11,IF(C226&gt;=(-'DATI nascosti 1'!$L$10*10^-3),'DATI nascosti 1'!$P$11*'DATI nascosti 1'!$L$16*C226,-'DATI nascosti 1'!$L$14*'DATI nascosti 1'!$P$11))</f>
        <v>614659.43222408998</v>
      </c>
      <c r="N226" s="71">
        <f t="shared" si="14"/>
        <v>-959235.73319755658</v>
      </c>
      <c r="O226" s="71">
        <f>-L226*('DATI nascosti 1'!$C$8/2-(J226*F226))-K226*('DATI nascosti 1'!$C$13/2)+M226*('DATI nascosti 1'!$C$13/2)</f>
        <v>1154068016.553226</v>
      </c>
      <c r="P226" s="69">
        <f>-TABULATI!N226/10^3</f>
        <v>959.23573319755656</v>
      </c>
      <c r="Q226" s="69">
        <f>TABULATI!O226/10^6</f>
        <v>1154.068016553226</v>
      </c>
      <c r="R226" s="72">
        <f>-N226/('DATI nascosti 1'!$C$6*'DATI nascosti 1'!$C$13*'DATI nascosti 1'!$H$10*'DATI nascosti 1'!$H$16)</f>
        <v>0.23082145281737967</v>
      </c>
      <c r="S226" s="72">
        <f>O226/('DATI nascosti 1'!$H$16*'DATI nascosti 1'!$C$6*'DATI nascosti 1'!$C$13^2*'DATI nascosti 1'!$H$10)</f>
        <v>0.24043641434321206</v>
      </c>
      <c r="T226" s="73">
        <f t="shared" si="15"/>
        <v>-1203.1119949068279</v>
      </c>
      <c r="U226" s="67" t="str">
        <f>IF(T226&gt;=0, IF(T226&lt;='DATI nascosti 1'!$C$8/6, "SI", "NO"),IF(T226&gt; -'DATI nascosti 1'!$C$8/6, "SI", "NO"))</f>
        <v>NO</v>
      </c>
      <c r="V226" s="67" t="str">
        <f>IF(Foglio3!G227&lt;1,IF(Foglio3!G227&gt;-1,"ROTTURA BILANCIATA",""),"")</f>
        <v>ROTTURA BILANCIATA</v>
      </c>
    </row>
    <row r="227" spans="1:22" ht="18.75" x14ac:dyDescent="0.25">
      <c r="A227" s="20"/>
      <c r="B227" s="67">
        <f>'DATI nascosti 1'!$H$12*10^-3</f>
        <v>-3.5000000000000001E-3</v>
      </c>
      <c r="C227" s="68">
        <f>C226-('DATI nascosti 1'!$L$8*10^-3/100)</f>
        <v>8.0999999999999787E-3</v>
      </c>
      <c r="D227" s="68">
        <f>('DATI nascosti 1'!$H$12*(F227-'DATI nascosti 1'!$C$10))/(F227*1000)</f>
        <v>-3.0480519480519486E-3</v>
      </c>
      <c r="E227" s="67" t="s">
        <v>39</v>
      </c>
      <c r="F227" s="69">
        <f>(-'DATI nascosti 1'!$H$12*10^-3/(-'DATI nascosti 1'!$H$12*10^-3+C227))*'DATI nascosti 1'!$C$13</f>
        <v>348.49137931034545</v>
      </c>
      <c r="G227" s="70">
        <f t="shared" si="17"/>
        <v>39.978333333333296</v>
      </c>
      <c r="H227" s="70">
        <f t="shared" si="18"/>
        <v>81.720416666666537</v>
      </c>
      <c r="I227" s="70">
        <f>G227/('DATI nascosti 1'!$H$10*(-'DATI nascosti 1'!$H$12))</f>
        <v>0.80952380952380887</v>
      </c>
      <c r="J227" s="70">
        <f t="shared" si="16"/>
        <v>0.41596638655462226</v>
      </c>
      <c r="K227" s="71">
        <f>IF(D227&gt;=('DATI nascosti 1'!$L$10*10^-3),'DATI nascosti 1'!$L$14*'DATI nascosti 1'!$P$12,IF(D227&gt;=(-'DATI nascosti 1'!$L$10*10^-3),'DATI nascosti 1'!$L$16*D227*'DATI nascosti 1'!$P$12,-'DATI nascosti 1'!$L$14*'DATI nascosti 1'!$P$12))</f>
        <v>-614659.43222408998</v>
      </c>
      <c r="L227" s="71">
        <f>-'DATI nascosti 1'!$H$16*'DATI nascosti 1'!$C$6*I227*'DATI nascosti 1'!$H$10*F227</f>
        <v>-1015053.3297413802</v>
      </c>
      <c r="M227" s="71">
        <f>IF(C227&gt;=('DATI nascosti 1'!$L$10*10^-3),'DATI nascosti 1'!$L$14*'DATI nascosti 1'!$P$11,IF(C227&gt;=(-'DATI nascosti 1'!$L$10*10^-3),'DATI nascosti 1'!$P$11*'DATI nascosti 1'!$L$16*C227,-'DATI nascosti 1'!$L$14*'DATI nascosti 1'!$P$11))</f>
        <v>614659.43222408998</v>
      </c>
      <c r="N227" s="71">
        <f t="shared" si="14"/>
        <v>-1015053.3297413802</v>
      </c>
      <c r="O227" s="71">
        <f>-L227*('DATI nascosti 1'!$C$8/2-(J227*F227))-K227*('DATI nascosti 1'!$C$13/2)+M227*('DATI nascosti 1'!$C$13/2)</f>
        <v>1171820801.0529034</v>
      </c>
      <c r="P227" s="69">
        <f>-TABULATI!N227/10^3</f>
        <v>1015.0533297413801</v>
      </c>
      <c r="Q227" s="69">
        <f>TABULATI!O227/10^6</f>
        <v>1171.8208010529033</v>
      </c>
      <c r="R227" s="72">
        <f>-N227/('DATI nascosti 1'!$C$6*'DATI nascosti 1'!$C$13*'DATI nascosti 1'!$H$10*'DATI nascosti 1'!$H$16)</f>
        <v>0.24425287356321865</v>
      </c>
      <c r="S227" s="72">
        <f>O227/('DATI nascosti 1'!$H$16*'DATI nascosti 1'!$C$6*'DATI nascosti 1'!$C$13^2*'DATI nascosti 1'!$H$10)</f>
        <v>0.24413499691242524</v>
      </c>
      <c r="T227" s="73">
        <f t="shared" si="15"/>
        <v>-1154.4425959880011</v>
      </c>
      <c r="U227" s="67" t="str">
        <f>IF(T227&gt;=0, IF(T227&lt;='DATI nascosti 1'!$C$8/6, "SI", "NO"),IF(T227&gt; -'DATI nascosti 1'!$C$8/6, "SI", "NO"))</f>
        <v>NO</v>
      </c>
      <c r="V227" s="67" t="str">
        <f>IF(Foglio3!G228&lt;1,IF(Foglio3!G228&gt;-1,"ROTTURA BILANCIATA",""),"")</f>
        <v>ROTTURA BILANCIATA</v>
      </c>
    </row>
    <row r="228" spans="1:22" ht="18.75" x14ac:dyDescent="0.25">
      <c r="A228" s="20"/>
      <c r="B228" s="67">
        <f>'DATI nascosti 1'!$H$12*10^-3</f>
        <v>-3.5000000000000001E-3</v>
      </c>
      <c r="C228" s="68">
        <f>C227-('DATI nascosti 1'!$L$8*10^-3/100)</f>
        <v>7.4249999999999785E-3</v>
      </c>
      <c r="D228" s="68">
        <f>('DATI nascosti 1'!$H$12*(F228-'DATI nascosti 1'!$C$10))/(F228*1000)</f>
        <v>-3.0743506493506501E-3</v>
      </c>
      <c r="E228" s="67" t="s">
        <v>39</v>
      </c>
      <c r="F228" s="69">
        <f>(-'DATI nascosti 1'!$H$12*10^-3/(-'DATI nascosti 1'!$H$12*10^-3+C228))*'DATI nascosti 1'!$C$13</f>
        <v>370.02288329519524</v>
      </c>
      <c r="G228" s="70">
        <f t="shared" si="17"/>
        <v>39.978333333333296</v>
      </c>
      <c r="H228" s="70">
        <f t="shared" si="18"/>
        <v>81.720416666666537</v>
      </c>
      <c r="I228" s="70">
        <f>G228/('DATI nascosti 1'!$H$10*(-'DATI nascosti 1'!$H$12))</f>
        <v>0.80952380952380887</v>
      </c>
      <c r="J228" s="70">
        <f t="shared" si="16"/>
        <v>0.41596638655462226</v>
      </c>
      <c r="K228" s="71">
        <f>IF(D228&gt;=('DATI nascosti 1'!$L$10*10^-3),'DATI nascosti 1'!$L$14*'DATI nascosti 1'!$P$12,IF(D228&gt;=(-'DATI nascosti 1'!$L$10*10^-3),'DATI nascosti 1'!$L$16*D228*'DATI nascosti 1'!$P$12,-'DATI nascosti 1'!$L$14*'DATI nascosti 1'!$P$12))</f>
        <v>-614659.43222408998</v>
      </c>
      <c r="L228" s="71">
        <f>-'DATI nascosti 1'!$H$16*'DATI nascosti 1'!$C$6*I228*'DATI nascosti 1'!$H$10*F228</f>
        <v>-1077768.2951945092</v>
      </c>
      <c r="M228" s="71">
        <f>IF(C228&gt;=('DATI nascosti 1'!$L$10*10^-3),'DATI nascosti 1'!$L$14*'DATI nascosti 1'!$P$11,IF(C228&gt;=(-'DATI nascosti 1'!$L$10*10^-3),'DATI nascosti 1'!$P$11*'DATI nascosti 1'!$L$16*C228,-'DATI nascosti 1'!$L$14*'DATI nascosti 1'!$P$11))</f>
        <v>614659.43222408998</v>
      </c>
      <c r="N228" s="71">
        <f t="shared" si="14"/>
        <v>-1077768.2951945092</v>
      </c>
      <c r="O228" s="71">
        <f>-L228*('DATI nascosti 1'!$C$8/2-(J228*F228))-K228*('DATI nascosti 1'!$C$13/2)+M228*('DATI nascosti 1'!$C$13/2)</f>
        <v>1190705670.5830507</v>
      </c>
      <c r="P228" s="69">
        <f>-TABULATI!N228/10^3</f>
        <v>1077.7682951945092</v>
      </c>
      <c r="Q228" s="69">
        <f>TABULATI!O228/10^6</f>
        <v>1190.7056705830507</v>
      </c>
      <c r="R228" s="72">
        <f>-N228/('DATI nascosti 1'!$C$6*'DATI nascosti 1'!$C$13*'DATI nascosti 1'!$H$10*'DATI nascosti 1'!$H$16)</f>
        <v>0.25934401220442443</v>
      </c>
      <c r="S228" s="72">
        <f>O228/('DATI nascosti 1'!$H$16*'DATI nascosti 1'!$C$6*'DATI nascosti 1'!$C$13^2*'DATI nascosti 1'!$H$10)</f>
        <v>0.24806943600097142</v>
      </c>
      <c r="T228" s="73">
        <f t="shared" si="15"/>
        <v>-1104.7881774701484</v>
      </c>
      <c r="U228" s="67" t="str">
        <f>IF(T228&gt;=0, IF(T228&lt;='DATI nascosti 1'!$C$8/6, "SI", "NO"),IF(T228&gt; -'DATI nascosti 1'!$C$8/6, "SI", "NO"))</f>
        <v>NO</v>
      </c>
      <c r="V228" s="67" t="str">
        <f>IF(Foglio3!G229&lt;1,IF(Foglio3!G229&gt;-1,"ROTTURA BILANCIATA",""),"")</f>
        <v>ROTTURA BILANCIATA</v>
      </c>
    </row>
    <row r="229" spans="1:22" ht="18.75" x14ac:dyDescent="0.25">
      <c r="A229" s="20"/>
      <c r="B229" s="67">
        <f>'DATI nascosti 1'!$H$12*10^-3</f>
        <v>-3.5000000000000001E-3</v>
      </c>
      <c r="C229" s="68">
        <f>C228-('DATI nascosti 1'!$L$8*10^-3/100)</f>
        <v>6.7499999999999782E-3</v>
      </c>
      <c r="D229" s="68">
        <f>('DATI nascosti 1'!$H$12*(F229-'DATI nascosti 1'!$C$10))/(F229*1000)</f>
        <v>-3.1006493506493512E-3</v>
      </c>
      <c r="E229" s="67" t="s">
        <v>39</v>
      </c>
      <c r="F229" s="69">
        <f>(-'DATI nascosti 1'!$H$12*10^-3/(-'DATI nascosti 1'!$H$12*10^-3+C229))*'DATI nascosti 1'!$C$13</f>
        <v>394.39024390243986</v>
      </c>
      <c r="G229" s="70">
        <f t="shared" si="17"/>
        <v>39.978333333333296</v>
      </c>
      <c r="H229" s="70">
        <f t="shared" si="18"/>
        <v>81.720416666666537</v>
      </c>
      <c r="I229" s="70">
        <f>G229/('DATI nascosti 1'!$H$10*(-'DATI nascosti 1'!$H$12))</f>
        <v>0.80952380952380887</v>
      </c>
      <c r="J229" s="70">
        <f t="shared" si="16"/>
        <v>0.41596638655462226</v>
      </c>
      <c r="K229" s="71">
        <f>IF(D229&gt;=('DATI nascosti 1'!$L$10*10^-3),'DATI nascosti 1'!$L$14*'DATI nascosti 1'!$P$12,IF(D229&gt;=(-'DATI nascosti 1'!$L$10*10^-3),'DATI nascosti 1'!$L$16*D229*'DATI nascosti 1'!$P$12,-'DATI nascosti 1'!$L$14*'DATI nascosti 1'!$P$12))</f>
        <v>-614659.43222408998</v>
      </c>
      <c r="L229" s="71">
        <f>-'DATI nascosti 1'!$H$16*'DATI nascosti 1'!$C$6*I229*'DATI nascosti 1'!$H$10*F229</f>
        <v>-1148743.2804878063</v>
      </c>
      <c r="M229" s="71">
        <f>IF(C229&gt;=('DATI nascosti 1'!$L$10*10^-3),'DATI nascosti 1'!$L$14*'DATI nascosti 1'!$P$11,IF(C229&gt;=(-'DATI nascosti 1'!$L$10*10^-3),'DATI nascosti 1'!$P$11*'DATI nascosti 1'!$L$16*C229,-'DATI nascosti 1'!$L$14*'DATI nascosti 1'!$P$11))</f>
        <v>614659.43222408998</v>
      </c>
      <c r="N229" s="71">
        <f t="shared" si="14"/>
        <v>-1148743.2804878063</v>
      </c>
      <c r="O229" s="71">
        <f>-L229*('DATI nascosti 1'!$C$8/2-(J229*F229))-K229*('DATI nascosti 1'!$C$13/2)+M229*('DATI nascosti 1'!$C$13/2)</f>
        <v>1210722733.878253</v>
      </c>
      <c r="P229" s="69">
        <f>-TABULATI!N229/10^3</f>
        <v>1148.7432804878063</v>
      </c>
      <c r="Q229" s="69">
        <f>TABULATI!O229/10^6</f>
        <v>1210.7227338782529</v>
      </c>
      <c r="R229" s="72">
        <f>-N229/('DATI nascosti 1'!$C$6*'DATI nascosti 1'!$C$13*'DATI nascosti 1'!$H$10*'DATI nascosti 1'!$H$16)</f>
        <v>0.27642276422764267</v>
      </c>
      <c r="S229" s="72">
        <f>O229/('DATI nascosti 1'!$H$16*'DATI nascosti 1'!$C$6*'DATI nascosti 1'!$C$13^2*'DATI nascosti 1'!$H$10)</f>
        <v>0.25223975426241474</v>
      </c>
      <c r="T229" s="73">
        <f t="shared" si="15"/>
        <v>-1053.954137920291</v>
      </c>
      <c r="U229" s="67" t="str">
        <f>IF(T229&gt;=0, IF(T229&lt;='DATI nascosti 1'!$C$8/6, "SI", "NO"),IF(T229&gt; -'DATI nascosti 1'!$C$8/6, "SI", "NO"))</f>
        <v>NO</v>
      </c>
      <c r="V229" s="67" t="str">
        <f>IF(Foglio3!G230&lt;1,IF(Foglio3!G230&gt;-1,"ROTTURA BILANCIATA",""),"")</f>
        <v>ROTTURA BILANCIATA</v>
      </c>
    </row>
    <row r="230" spans="1:22" ht="18.75" x14ac:dyDescent="0.25">
      <c r="A230" s="20"/>
      <c r="B230" s="67">
        <f>'DATI nascosti 1'!$H$12*10^-3</f>
        <v>-3.5000000000000001E-3</v>
      </c>
      <c r="C230" s="68">
        <f>C229-('DATI nascosti 1'!$L$8*10^-3/100)</f>
        <v>6.074999999999978E-3</v>
      </c>
      <c r="D230" s="68">
        <f>('DATI nascosti 1'!$H$12*(F230-'DATI nascosti 1'!$C$10))/(F230*1000)</f>
        <v>-3.1269480519480527E-3</v>
      </c>
      <c r="E230" s="67" t="s">
        <v>39</v>
      </c>
      <c r="F230" s="69">
        <f>(-'DATI nascosti 1'!$H$12*10^-3/(-'DATI nascosti 1'!$H$12*10^-3+C230))*'DATI nascosti 1'!$C$13</f>
        <v>422.19321148825168</v>
      </c>
      <c r="G230" s="70">
        <f t="shared" si="17"/>
        <v>39.978333333333296</v>
      </c>
      <c r="H230" s="70">
        <f t="shared" si="18"/>
        <v>81.720416666666537</v>
      </c>
      <c r="I230" s="70">
        <f>G230/('DATI nascosti 1'!$H$10*(-'DATI nascosti 1'!$H$12))</f>
        <v>0.80952380952380887</v>
      </c>
      <c r="J230" s="70">
        <f t="shared" si="16"/>
        <v>0.41596638655462226</v>
      </c>
      <c r="K230" s="71">
        <f>IF(D230&gt;=('DATI nascosti 1'!$L$10*10^-3),'DATI nascosti 1'!$L$14*'DATI nascosti 1'!$P$12,IF(D230&gt;=(-'DATI nascosti 1'!$L$10*10^-3),'DATI nascosti 1'!$L$16*D230*'DATI nascosti 1'!$P$12,-'DATI nascosti 1'!$L$14*'DATI nascosti 1'!$P$12))</f>
        <v>-614659.43222408998</v>
      </c>
      <c r="L230" s="71">
        <f>-'DATI nascosti 1'!$H$16*'DATI nascosti 1'!$C$6*I230*'DATI nascosti 1'!$H$10*F230</f>
        <v>-1229725.1827676259</v>
      </c>
      <c r="M230" s="71">
        <f>IF(C230&gt;=('DATI nascosti 1'!$L$10*10^-3),'DATI nascosti 1'!$L$14*'DATI nascosti 1'!$P$11,IF(C230&gt;=(-'DATI nascosti 1'!$L$10*10^-3),'DATI nascosti 1'!$P$11*'DATI nascosti 1'!$L$16*C230,-'DATI nascosti 1'!$L$14*'DATI nascosti 1'!$P$11))</f>
        <v>614659.43222408998</v>
      </c>
      <c r="N230" s="71">
        <f t="shared" si="14"/>
        <v>-1229725.1827676259</v>
      </c>
      <c r="O230" s="71">
        <f>-L230*('DATI nascosti 1'!$C$8/2-(J230*F230))-K230*('DATI nascosti 1'!$C$13/2)+M230*('DATI nascosti 1'!$C$13/2)</f>
        <v>1231804649.7117376</v>
      </c>
      <c r="P230" s="69">
        <f>-TABULATI!N230/10^3</f>
        <v>1229.7251827676259</v>
      </c>
      <c r="Q230" s="69">
        <f>TABULATI!O230/10^6</f>
        <v>1231.8046497117377</v>
      </c>
      <c r="R230" s="72">
        <f>-N230/('DATI nascosti 1'!$C$6*'DATI nascosti 1'!$C$13*'DATI nascosti 1'!$H$10*'DATI nascosti 1'!$H$16)</f>
        <v>0.2959094865100092</v>
      </c>
      <c r="S230" s="72">
        <f>O230/('DATI nascosti 1'!$H$16*'DATI nascosti 1'!$C$6*'DATI nascosti 1'!$C$13^2*'DATI nascosti 1'!$H$10)</f>
        <v>0.25663192194905354</v>
      </c>
      <c r="T230" s="73">
        <f t="shared" si="15"/>
        <v>-1001.6910013499371</v>
      </c>
      <c r="U230" s="67" t="str">
        <f>IF(T230&gt;=0, IF(T230&lt;='DATI nascosti 1'!$C$8/6, "SI", "NO"),IF(T230&gt; -'DATI nascosti 1'!$C$8/6, "SI", "NO"))</f>
        <v>NO</v>
      </c>
      <c r="V230" s="67" t="str">
        <f>IF(Foglio3!G231&lt;1,IF(Foglio3!G231&gt;-1,"ROTTURA BILANCIATA",""),"")</f>
        <v>ROTTURA BILANCIATA</v>
      </c>
    </row>
    <row r="231" spans="1:22" ht="18.75" x14ac:dyDescent="0.25">
      <c r="A231" s="20"/>
      <c r="B231" s="67">
        <f>'DATI nascosti 1'!$H$12*10^-3</f>
        <v>-3.5000000000000001E-3</v>
      </c>
      <c r="C231" s="68">
        <f>C230-('DATI nascosti 1'!$L$8*10^-3/100)</f>
        <v>5.3999999999999777E-3</v>
      </c>
      <c r="D231" s="68">
        <f>('DATI nascosti 1'!$H$12*(F231-'DATI nascosti 1'!$C$10))/(F231*1000)</f>
        <v>-3.1532467532467542E-3</v>
      </c>
      <c r="E231" s="67" t="s">
        <v>39</v>
      </c>
      <c r="F231" s="69">
        <f>(-'DATI nascosti 1'!$H$12*10^-3/(-'DATI nascosti 1'!$H$12*10^-3+C231))*'DATI nascosti 1'!$C$13</f>
        <v>454.2134831460686</v>
      </c>
      <c r="G231" s="70">
        <f t="shared" si="17"/>
        <v>39.978333333333296</v>
      </c>
      <c r="H231" s="70">
        <f t="shared" si="18"/>
        <v>81.720416666666537</v>
      </c>
      <c r="I231" s="70">
        <f>G231/('DATI nascosti 1'!$H$10*(-'DATI nascosti 1'!$H$12))</f>
        <v>0.80952380952380887</v>
      </c>
      <c r="J231" s="70">
        <f t="shared" si="16"/>
        <v>0.41596638655462226</v>
      </c>
      <c r="K231" s="71">
        <f>IF(D231&gt;=('DATI nascosti 1'!$L$10*10^-3),'DATI nascosti 1'!$L$14*'DATI nascosti 1'!$P$12,IF(D231&gt;=(-'DATI nascosti 1'!$L$10*10^-3),'DATI nascosti 1'!$L$16*D231*'DATI nascosti 1'!$P$12,-'DATI nascosti 1'!$L$14*'DATI nascosti 1'!$P$12))</f>
        <v>-614659.43222408998</v>
      </c>
      <c r="L231" s="71">
        <f>-'DATI nascosti 1'!$H$16*'DATI nascosti 1'!$C$6*I231*'DATI nascosti 1'!$H$10*F231</f>
        <v>-1322990.8567415753</v>
      </c>
      <c r="M231" s="71">
        <f>IF(C231&gt;=('DATI nascosti 1'!$L$10*10^-3),'DATI nascosti 1'!$L$14*'DATI nascosti 1'!$P$11,IF(C231&gt;=(-'DATI nascosti 1'!$L$10*10^-3),'DATI nascosti 1'!$P$11*'DATI nascosti 1'!$L$16*C231,-'DATI nascosti 1'!$L$14*'DATI nascosti 1'!$P$11))</f>
        <v>614659.43222408998</v>
      </c>
      <c r="N231" s="71">
        <f t="shared" si="14"/>
        <v>-1322990.8567415753</v>
      </c>
      <c r="O231" s="71">
        <f>-L231*('DATI nascosti 1'!$C$8/2-(J231*F231))-K231*('DATI nascosti 1'!$C$13/2)+M231*('DATI nascosti 1'!$C$13/2)</f>
        <v>1253763518.6171794</v>
      </c>
      <c r="P231" s="69">
        <f>-TABULATI!N231/10^3</f>
        <v>1322.9908567415753</v>
      </c>
      <c r="Q231" s="69">
        <f>TABULATI!O231/10^6</f>
        <v>1253.7635186171794</v>
      </c>
      <c r="R231" s="72">
        <f>-N231/('DATI nascosti 1'!$C$6*'DATI nascosti 1'!$C$13*'DATI nascosti 1'!$H$10*'DATI nascosti 1'!$H$16)</f>
        <v>0.31835205992509424</v>
      </c>
      <c r="S231" s="72">
        <f>O231/('DATI nascosti 1'!$H$16*'DATI nascosti 1'!$C$6*'DATI nascosti 1'!$C$13^2*'DATI nascosti 1'!$H$10)</f>
        <v>0.26120679243062672</v>
      </c>
      <c r="T231" s="73">
        <f t="shared" si="15"/>
        <v>-947.67360804374903</v>
      </c>
      <c r="U231" s="67" t="str">
        <f>IF(T231&gt;=0, IF(T231&lt;='DATI nascosti 1'!$C$8/6, "SI", "NO"),IF(T231&gt; -'DATI nascosti 1'!$C$8/6, "SI", "NO"))</f>
        <v>NO</v>
      </c>
      <c r="V231" s="67" t="str">
        <f>IF(Foglio3!G232&lt;1,IF(Foglio3!G232&gt;-1,"ROTTURA BILANCIATA",""),"")</f>
        <v>ROTTURA BILANCIATA</v>
      </c>
    </row>
    <row r="232" spans="1:22" ht="18.75" x14ac:dyDescent="0.25">
      <c r="A232" s="20"/>
      <c r="B232" s="67">
        <f>'DATI nascosti 1'!$H$12*10^-3</f>
        <v>-3.5000000000000001E-3</v>
      </c>
      <c r="C232" s="68">
        <f>C231-('DATI nascosti 1'!$L$8*10^-3/100)</f>
        <v>4.7249999999999775E-3</v>
      </c>
      <c r="D232" s="68">
        <f>('DATI nascosti 1'!$H$12*(F232-'DATI nascosti 1'!$C$10))/(F232*1000)</f>
        <v>-3.1795454545454557E-3</v>
      </c>
      <c r="E232" s="67" t="s">
        <v>39</v>
      </c>
      <c r="F232" s="69">
        <f>(-'DATI nascosti 1'!$H$12*10^-3/(-'DATI nascosti 1'!$H$12*10^-3+C232))*'DATI nascosti 1'!$C$13</f>
        <v>491.48936170212903</v>
      </c>
      <c r="G232" s="70">
        <f t="shared" si="17"/>
        <v>39.978333333333296</v>
      </c>
      <c r="H232" s="70">
        <f t="shared" si="18"/>
        <v>81.720416666666537</v>
      </c>
      <c r="I232" s="70">
        <f>G232/('DATI nascosti 1'!$H$10*(-'DATI nascosti 1'!$H$12))</f>
        <v>0.80952380952380887</v>
      </c>
      <c r="J232" s="70">
        <f t="shared" ref="J232:J242" si="19">1-(H232/G232)/(-B232*10^3)</f>
        <v>0.41596638655462226</v>
      </c>
      <c r="K232" s="71">
        <f>IF(D232&gt;=('DATI nascosti 1'!$L$10*10^-3),'DATI nascosti 1'!$L$14*'DATI nascosti 1'!$P$12,IF(D232&gt;=(-'DATI nascosti 1'!$L$10*10^-3),'DATI nascosti 1'!$L$16*D232*'DATI nascosti 1'!$P$12,-'DATI nascosti 1'!$L$14*'DATI nascosti 1'!$P$12))</f>
        <v>-614659.43222408998</v>
      </c>
      <c r="L232" s="71">
        <f>-'DATI nascosti 1'!$H$16*'DATI nascosti 1'!$C$6*I232*'DATI nascosti 1'!$H$10*F232</f>
        <v>-1431564.5744680879</v>
      </c>
      <c r="M232" s="71">
        <f>IF(C232&gt;=('DATI nascosti 1'!$L$10*10^-3),'DATI nascosti 1'!$L$14*'DATI nascosti 1'!$P$11,IF(C232&gt;=(-'DATI nascosti 1'!$L$10*10^-3),'DATI nascosti 1'!$P$11*'DATI nascosti 1'!$L$16*C232,-'DATI nascosti 1'!$L$14*'DATI nascosti 1'!$P$11))</f>
        <v>614659.43222408998</v>
      </c>
      <c r="N232" s="71">
        <f t="shared" si="14"/>
        <v>-1431564.5744680879</v>
      </c>
      <c r="O232" s="71">
        <f>-L232*('DATI nascosti 1'!$C$8/2-(J232*F232))-K232*('DATI nascosti 1'!$C$13/2)+M232*('DATI nascosti 1'!$C$13/2)</f>
        <v>1276196955.5587969</v>
      </c>
      <c r="P232" s="69">
        <f>-TABULATI!N232/10^3</f>
        <v>1431.5645744680878</v>
      </c>
      <c r="Q232" s="69">
        <f>TABULATI!O232/10^6</f>
        <v>1276.1969555587968</v>
      </c>
      <c r="R232" s="72">
        <f>-N232/('DATI nascosti 1'!$C$6*'DATI nascosti 1'!$C$13*'DATI nascosti 1'!$H$10*'DATI nascosti 1'!$H$16)</f>
        <v>0.3444782168186431</v>
      </c>
      <c r="S232" s="72">
        <f>O232/('DATI nascosti 1'!$H$16*'DATI nascosti 1'!$C$6*'DATI nascosti 1'!$C$13^2*'DATI nascosti 1'!$H$10)</f>
        <v>0.26588053354663688</v>
      </c>
      <c r="T232" s="73">
        <f t="shared" si="15"/>
        <v>-891.47005892694756</v>
      </c>
      <c r="U232" s="67" t="str">
        <f>IF(T232&gt;=0, IF(T232&lt;='DATI nascosti 1'!$C$8/6, "SI", "NO"),IF(T232&gt; -'DATI nascosti 1'!$C$8/6, "SI", "NO"))</f>
        <v>NO</v>
      </c>
      <c r="V232" s="67" t="str">
        <f>IF(Foglio3!G233&lt;1,IF(Foglio3!G233&gt;-1,"ROTTURA BILANCIATA",""),"")</f>
        <v>ROTTURA BILANCIATA</v>
      </c>
    </row>
    <row r="233" spans="1:22" ht="18.75" x14ac:dyDescent="0.25">
      <c r="A233" s="20"/>
      <c r="B233" s="67">
        <f>'DATI nascosti 1'!$H$12*10^-3</f>
        <v>-3.5000000000000001E-3</v>
      </c>
      <c r="C233" s="68">
        <f>C232-('DATI nascosti 1'!$L$8*10^-3/100)</f>
        <v>4.0499999999999772E-3</v>
      </c>
      <c r="D233" s="68">
        <f>('DATI nascosti 1'!$H$12*(F233-'DATI nascosti 1'!$C$10))/(F233*1000)</f>
        <v>-3.2058441558441568E-3</v>
      </c>
      <c r="E233" s="67" t="s">
        <v>39</v>
      </c>
      <c r="F233" s="69">
        <f>(-'DATI nascosti 1'!$H$12*10^-3/(-'DATI nascosti 1'!$H$12*10^-3+C233))*'DATI nascosti 1'!$C$13</f>
        <v>535.43046357616061</v>
      </c>
      <c r="G233" s="70">
        <f t="shared" si="17"/>
        <v>39.978333333333296</v>
      </c>
      <c r="H233" s="70">
        <f t="shared" si="18"/>
        <v>81.720416666666537</v>
      </c>
      <c r="I233" s="70">
        <f>G233/('DATI nascosti 1'!$H$10*(-'DATI nascosti 1'!$H$12))</f>
        <v>0.80952380952380887</v>
      </c>
      <c r="J233" s="70">
        <f t="shared" si="19"/>
        <v>0.41596638655462226</v>
      </c>
      <c r="K233" s="71">
        <f>IF(D233&gt;=('DATI nascosti 1'!$L$10*10^-3),'DATI nascosti 1'!$L$14*'DATI nascosti 1'!$P$12,IF(D233&gt;=(-'DATI nascosti 1'!$L$10*10^-3),'DATI nascosti 1'!$L$16*D233*'DATI nascosti 1'!$P$12,-'DATI nascosti 1'!$L$14*'DATI nascosti 1'!$P$12))</f>
        <v>-614659.43222408998</v>
      </c>
      <c r="L233" s="71">
        <f>-'DATI nascosti 1'!$H$16*'DATI nascosti 1'!$C$6*I233*'DATI nascosti 1'!$H$10*F233</f>
        <v>-1559552.1357615928</v>
      </c>
      <c r="M233" s="71">
        <f>IF(C233&gt;=('DATI nascosti 1'!$L$10*10^-3),'DATI nascosti 1'!$L$14*'DATI nascosti 1'!$P$11,IF(C233&gt;=(-'DATI nascosti 1'!$L$10*10^-3),'DATI nascosti 1'!$P$11*'DATI nascosti 1'!$L$16*C233,-'DATI nascosti 1'!$L$14*'DATI nascosti 1'!$P$11))</f>
        <v>614659.43222408998</v>
      </c>
      <c r="N233" s="71">
        <f t="shared" si="14"/>
        <v>-1559552.1357615928</v>
      </c>
      <c r="O233" s="71">
        <f>-L233*('DATI nascosti 1'!$C$8/2-(J233*F233))-K233*('DATI nascosti 1'!$C$13/2)+M233*('DATI nascosti 1'!$C$13/2)</f>
        <v>1298317797.1918292</v>
      </c>
      <c r="P233" s="69">
        <f>-TABULATI!N233/10^3</f>
        <v>1559.5521357615928</v>
      </c>
      <c r="Q233" s="69">
        <f>TABULATI!O233/10^6</f>
        <v>1298.3177971918292</v>
      </c>
      <c r="R233" s="72">
        <f>-N233/('DATI nascosti 1'!$C$6*'DATI nascosti 1'!$C$13*'DATI nascosti 1'!$H$10*'DATI nascosti 1'!$H$16)</f>
        <v>0.37527593818984639</v>
      </c>
      <c r="S233" s="72">
        <f>O233/('DATI nascosti 1'!$H$16*'DATI nascosti 1'!$C$6*'DATI nascosti 1'!$C$13^2*'DATI nascosti 1'!$H$10)</f>
        <v>0.2704891491292653</v>
      </c>
      <c r="T233" s="73">
        <f t="shared" si="15"/>
        <v>-832.49400095098952</v>
      </c>
      <c r="U233" s="67" t="str">
        <f>IF(T233&gt;=0, IF(T233&lt;='DATI nascosti 1'!$C$8/6, "SI", "NO"),IF(T233&gt; -'DATI nascosti 1'!$C$8/6, "SI", "NO"))</f>
        <v>NO</v>
      </c>
      <c r="V233" s="67" t="str">
        <f>IF(Foglio3!G234&lt;1,IF(Foglio3!G234&gt;-1,"ROTTURA BILANCIATA",""),"")</f>
        <v>ROTTURA BILANCIATA</v>
      </c>
    </row>
    <row r="234" spans="1:22" ht="18.75" x14ac:dyDescent="0.25">
      <c r="A234" s="20"/>
      <c r="B234" s="67">
        <f>'DATI nascosti 1'!$H$12*10^-3</f>
        <v>-3.5000000000000001E-3</v>
      </c>
      <c r="C234" s="68">
        <f>C233-('DATI nascosti 1'!$L$8*10^-3/100)</f>
        <v>3.374999999999977E-3</v>
      </c>
      <c r="D234" s="68">
        <f>('DATI nascosti 1'!$H$12*(F234-'DATI nascosti 1'!$C$10))/(F234*1000)</f>
        <v>-3.2321428571428579E-3</v>
      </c>
      <c r="E234" s="67" t="s">
        <v>39</v>
      </c>
      <c r="F234" s="69">
        <f>(-'DATI nascosti 1'!$H$12*10^-3/(-'DATI nascosti 1'!$H$12*10^-3+C234))*'DATI nascosti 1'!$C$13</f>
        <v>588.00000000000205</v>
      </c>
      <c r="G234" s="70">
        <f t="shared" si="17"/>
        <v>39.978333333333296</v>
      </c>
      <c r="H234" s="70">
        <f t="shared" si="18"/>
        <v>81.720416666666537</v>
      </c>
      <c r="I234" s="70">
        <f>G234/('DATI nascosti 1'!$H$10*(-'DATI nascosti 1'!$H$12))</f>
        <v>0.80952380952380887</v>
      </c>
      <c r="J234" s="70">
        <f t="shared" si="19"/>
        <v>0.41596638655462226</v>
      </c>
      <c r="K234" s="71">
        <f>IF(D234&gt;=('DATI nascosti 1'!$L$10*10^-3),'DATI nascosti 1'!$L$14*'DATI nascosti 1'!$P$12,IF(D234&gt;=(-'DATI nascosti 1'!$L$10*10^-3),'DATI nascosti 1'!$L$16*D234*'DATI nascosti 1'!$P$12,-'DATI nascosti 1'!$L$14*'DATI nascosti 1'!$P$12))</f>
        <v>-614659.43222408998</v>
      </c>
      <c r="L234" s="71">
        <f>-'DATI nascosti 1'!$H$16*'DATI nascosti 1'!$C$6*I234*'DATI nascosti 1'!$H$10*F234</f>
        <v>-1712671.8000000045</v>
      </c>
      <c r="M234" s="71">
        <f>IF(C234&gt;=('DATI nascosti 1'!$L$10*10^-3),'DATI nascosti 1'!$L$14*'DATI nascosti 1'!$P$11,IF(C234&gt;=(-'DATI nascosti 1'!$L$10*10^-3),'DATI nascosti 1'!$P$11*'DATI nascosti 1'!$L$16*C234,-'DATI nascosti 1'!$L$14*'DATI nascosti 1'!$P$11))</f>
        <v>614659.43222408998</v>
      </c>
      <c r="N234" s="71">
        <f t="shared" si="14"/>
        <v>-1712671.8000000047</v>
      </c>
      <c r="O234" s="71">
        <f>-L234*('DATI nascosti 1'!$C$8/2-(J234*F234))-K234*('DATI nascosti 1'!$C$13/2)+M234*('DATI nascosti 1'!$C$13/2)</f>
        <v>1318635351.0188236</v>
      </c>
      <c r="P234" s="69">
        <f>-TABULATI!N234/10^3</f>
        <v>1712.6718000000046</v>
      </c>
      <c r="Q234" s="69">
        <f>TABULATI!O234/10^6</f>
        <v>1318.6353510188237</v>
      </c>
      <c r="R234" s="72">
        <f>-N234/('DATI nascosti 1'!$C$6*'DATI nascosti 1'!$C$13*'DATI nascosti 1'!$H$10*'DATI nascosti 1'!$H$16)</f>
        <v>0.41212121212121333</v>
      </c>
      <c r="S234" s="72">
        <f>O234/('DATI nascosti 1'!$H$16*'DATI nascosti 1'!$C$6*'DATI nascosti 1'!$C$13^2*'DATI nascosti 1'!$H$10)</f>
        <v>0.27472207103708984</v>
      </c>
      <c r="T234" s="73">
        <f t="shared" si="15"/>
        <v>-769.92880423372412</v>
      </c>
      <c r="U234" s="67" t="str">
        <f>IF(T234&gt;=0, IF(T234&lt;='DATI nascosti 1'!$C$8/6, "SI", "NO"),IF(T234&gt; -'DATI nascosti 1'!$C$8/6, "SI", "NO"))</f>
        <v>NO</v>
      </c>
      <c r="V234" s="67" t="str">
        <f>IF(Foglio3!G235&lt;1,IF(Foglio3!G235&gt;-1,"ROTTURA BILANCIATA",""),"")</f>
        <v>ROTTURA BILANCIATA</v>
      </c>
    </row>
    <row r="235" spans="1:22" ht="18.75" x14ac:dyDescent="0.25">
      <c r="A235" s="20"/>
      <c r="B235" s="67">
        <f>'DATI nascosti 1'!$H$12*10^-3</f>
        <v>-3.5000000000000001E-3</v>
      </c>
      <c r="C235" s="68">
        <f>C234-('DATI nascosti 1'!$L$8*10^-3/100)</f>
        <v>2.6999999999999767E-3</v>
      </c>
      <c r="D235" s="68">
        <f>('DATI nascosti 1'!$H$12*(F235-'DATI nascosti 1'!$C$10))/(F235*1000)</f>
        <v>-3.2584415584415599E-3</v>
      </c>
      <c r="E235" s="67" t="s">
        <v>39</v>
      </c>
      <c r="F235" s="69">
        <f>(-'DATI nascosti 1'!$H$12*10^-3/(-'DATI nascosti 1'!$H$12*10^-3+C235))*'DATI nascosti 1'!$C$13</f>
        <v>652.01612903226055</v>
      </c>
      <c r="G235" s="70">
        <f t="shared" si="17"/>
        <v>39.978333333333296</v>
      </c>
      <c r="H235" s="70">
        <f t="shared" si="18"/>
        <v>81.720416666666537</v>
      </c>
      <c r="I235" s="70">
        <f>G235/('DATI nascosti 1'!$H$10*(-'DATI nascosti 1'!$H$12))</f>
        <v>0.80952380952380887</v>
      </c>
      <c r="J235" s="70">
        <f t="shared" si="19"/>
        <v>0.41596638655462226</v>
      </c>
      <c r="K235" s="71">
        <f>IF(D235&gt;=('DATI nascosti 1'!$L$10*10^-3),'DATI nascosti 1'!$L$14*'DATI nascosti 1'!$P$12,IF(D235&gt;=(-'DATI nascosti 1'!$L$10*10^-3),'DATI nascosti 1'!$L$16*D235*'DATI nascosti 1'!$P$12,-'DATI nascosti 1'!$L$14*'DATI nascosti 1'!$P$12))</f>
        <v>-614659.43222408998</v>
      </c>
      <c r="L235" s="71">
        <f>-'DATI nascosti 1'!$H$16*'DATI nascosti 1'!$C$6*I235*'DATI nascosti 1'!$H$10*F235</f>
        <v>-1899132.0362903283</v>
      </c>
      <c r="M235" s="71">
        <f>IF(C235&gt;=('DATI nascosti 1'!$L$10*10^-3),'DATI nascosti 1'!$L$14*'DATI nascosti 1'!$P$11,IF(C235&gt;=(-'DATI nascosti 1'!$L$10*10^-3),'DATI nascosti 1'!$P$11*'DATI nascosti 1'!$L$16*C235,-'DATI nascosti 1'!$L$14*'DATI nascosti 1'!$P$11))</f>
        <v>614659.43222408998</v>
      </c>
      <c r="N235" s="71">
        <f t="shared" si="14"/>
        <v>-1899132.0362903283</v>
      </c>
      <c r="O235" s="71">
        <f>-L235*('DATI nascosti 1'!$C$8/2-(J235*F235))-K235*('DATI nascosti 1'!$C$13/2)+M235*('DATI nascosti 1'!$C$13/2)</f>
        <v>1334334365.3060699</v>
      </c>
      <c r="P235" s="69">
        <f>-TABULATI!N235/10^3</f>
        <v>1899.1320362903282</v>
      </c>
      <c r="Q235" s="69">
        <f>TABULATI!O235/10^6</f>
        <v>1334.3343653060699</v>
      </c>
      <c r="R235" s="72">
        <f>-N235/('DATI nascosti 1'!$C$6*'DATI nascosti 1'!$C$13*'DATI nascosti 1'!$H$10*'DATI nascosti 1'!$H$16)</f>
        <v>0.45698924731182944</v>
      </c>
      <c r="S235" s="72">
        <f>O235/('DATI nascosti 1'!$H$16*'DATI nascosti 1'!$C$6*'DATI nascosti 1'!$C$13^2*'DATI nascosti 1'!$H$10)</f>
        <v>0.27799277488626306</v>
      </c>
      <c r="T235" s="73">
        <f t="shared" si="15"/>
        <v>-702.602209750773</v>
      </c>
      <c r="U235" s="67" t="str">
        <f>IF(T235&gt;=0, IF(T235&lt;='DATI nascosti 1'!$C$8/6, "SI", "NO"),IF(T235&gt; -'DATI nascosti 1'!$C$8/6, "SI", "NO"))</f>
        <v>NO</v>
      </c>
      <c r="V235" s="67" t="str">
        <f>IF(Foglio3!G236&lt;1,IF(Foglio3!G236&gt;-1,"ROTTURA BILANCIATA",""),"")</f>
        <v>ROTTURA BILANCIATA</v>
      </c>
    </row>
    <row r="236" spans="1:22" ht="18.75" x14ac:dyDescent="0.25">
      <c r="A236" s="20"/>
      <c r="B236" s="67">
        <f>'DATI nascosti 1'!$H$12*10^-3</f>
        <v>-3.5000000000000001E-3</v>
      </c>
      <c r="C236" s="68">
        <f>C235-('DATI nascosti 1'!$L$8*10^-3/100)</f>
        <v>2.0249999999999765E-3</v>
      </c>
      <c r="D236" s="68">
        <f>('DATI nascosti 1'!$H$12*(F236-'DATI nascosti 1'!$C$10))/(F236*1000)</f>
        <v>-3.2847402597402605E-3</v>
      </c>
      <c r="E236" s="67" t="s">
        <v>39</v>
      </c>
      <c r="F236" s="69">
        <f>(-'DATI nascosti 1'!$H$12*10^-3/(-'DATI nascosti 1'!$H$12*10^-3+C236))*'DATI nascosti 1'!$C$13</f>
        <v>731.67420814479954</v>
      </c>
      <c r="G236" s="70">
        <f t="shared" si="17"/>
        <v>39.978333333333296</v>
      </c>
      <c r="H236" s="70">
        <f t="shared" si="18"/>
        <v>81.720416666666537</v>
      </c>
      <c r="I236" s="70">
        <f>G236/('DATI nascosti 1'!$H$10*(-'DATI nascosti 1'!$H$12))</f>
        <v>0.80952380952380887</v>
      </c>
      <c r="J236" s="70">
        <f t="shared" si="19"/>
        <v>0.41596638655462226</v>
      </c>
      <c r="K236" s="71">
        <f>IF(D236&gt;=('DATI nascosti 1'!$L$10*10^-3),'DATI nascosti 1'!$L$14*'DATI nascosti 1'!$P$12,IF(D236&gt;=(-'DATI nascosti 1'!$L$10*10^-3),'DATI nascosti 1'!$L$16*D236*'DATI nascosti 1'!$P$12,-'DATI nascosti 1'!$L$14*'DATI nascosti 1'!$P$12))</f>
        <v>-614659.43222408998</v>
      </c>
      <c r="L236" s="71">
        <f>-'DATI nascosti 1'!$H$16*'DATI nascosti 1'!$C$6*I236*'DATI nascosti 1'!$H$10*F236</f>
        <v>-2131152.6923076995</v>
      </c>
      <c r="M236" s="71">
        <f>IF(C236&gt;=('DATI nascosti 1'!$L$10*10^-3),'DATI nascosti 1'!$L$14*'DATI nascosti 1'!$P$11,IF(C236&gt;=(-'DATI nascosti 1'!$L$10*10^-3),'DATI nascosti 1'!$P$11*'DATI nascosti 1'!$L$16*C236,-'DATI nascosti 1'!$L$14*'DATI nascosti 1'!$P$11))</f>
        <v>614659.43222408998</v>
      </c>
      <c r="N236" s="71">
        <f t="shared" si="14"/>
        <v>-2131152.6923076995</v>
      </c>
      <c r="O236" s="71">
        <f>-L236*('DATI nascosti 1'!$C$8/2-(J236*F236))-K236*('DATI nascosti 1'!$C$13/2)+M236*('DATI nascosti 1'!$C$13/2)</f>
        <v>1340002938.5975208</v>
      </c>
      <c r="P236" s="69">
        <f>-TABULATI!N236/10^3</f>
        <v>2131.1526923076995</v>
      </c>
      <c r="Q236" s="69">
        <f>TABULATI!O236/10^6</f>
        <v>1340.0029385975208</v>
      </c>
      <c r="R236" s="72">
        <f>-N236/('DATI nascosti 1'!$C$6*'DATI nascosti 1'!$C$13*'DATI nascosti 1'!$H$10*'DATI nascosti 1'!$H$16)</f>
        <v>0.51282051282051466</v>
      </c>
      <c r="S236" s="72">
        <f>O236/('DATI nascosti 1'!$H$16*'DATI nascosti 1'!$C$6*'DATI nascosti 1'!$C$13^2*'DATI nascosti 1'!$H$10)</f>
        <v>0.27917375505128728</v>
      </c>
      <c r="T236" s="73">
        <f t="shared" si="15"/>
        <v>-628.76908981425947</v>
      </c>
      <c r="U236" s="67" t="str">
        <f>IF(T236&gt;=0, IF(T236&lt;='DATI nascosti 1'!$C$8/6, "SI", "NO"),IF(T236&gt; -'DATI nascosti 1'!$C$8/6, "SI", "NO"))</f>
        <v>NO</v>
      </c>
      <c r="V236" s="67" t="str">
        <f>IF(Foglio3!G237&lt;1,IF(Foglio3!G237&gt;-1,"ROTTURA BILANCIATA",""),"")</f>
        <v>ROTTURA BILANCIATA</v>
      </c>
    </row>
    <row r="237" spans="1:22" ht="18.75" x14ac:dyDescent="0.25">
      <c r="A237" s="20"/>
      <c r="B237" s="67">
        <f>'DATI nascosti 1'!$H$12*10^-3</f>
        <v>-3.5000000000000001E-3</v>
      </c>
      <c r="C237" s="68">
        <f>C236-('DATI nascosti 1'!$L$8*10^-3/100)</f>
        <v>1.3499999999999764E-3</v>
      </c>
      <c r="D237" s="68">
        <f>('DATI nascosti 1'!$H$12*(F237-'DATI nascosti 1'!$C$10))/(F237*1000)</f>
        <v>-3.311038961038962E-3</v>
      </c>
      <c r="E237" s="67" t="s">
        <v>39</v>
      </c>
      <c r="F237" s="69">
        <f>(-'DATI nascosti 1'!$H$12*10^-3/(-'DATI nascosti 1'!$H$12*10^-3+C237))*'DATI nascosti 1'!$C$13</f>
        <v>833.50515463917918</v>
      </c>
      <c r="G237" s="70">
        <f t="shared" si="17"/>
        <v>39.978333333333296</v>
      </c>
      <c r="H237" s="70">
        <f t="shared" si="18"/>
        <v>81.720416666666537</v>
      </c>
      <c r="I237" s="70">
        <f>G237/('DATI nascosti 1'!$H$10*(-'DATI nascosti 1'!$H$12))</f>
        <v>0.80952380952380887</v>
      </c>
      <c r="J237" s="70">
        <f t="shared" si="19"/>
        <v>0.41596638655462226</v>
      </c>
      <c r="K237" s="71">
        <f>IF(D237&gt;=('DATI nascosti 1'!$L$10*10^-3),'DATI nascosti 1'!$L$14*'DATI nascosti 1'!$P$12,IF(D237&gt;=(-'DATI nascosti 1'!$L$10*10^-3),'DATI nascosti 1'!$L$16*D237*'DATI nascosti 1'!$P$12,-'DATI nascosti 1'!$L$14*'DATI nascosti 1'!$P$12))</f>
        <v>-614659.43222408998</v>
      </c>
      <c r="L237" s="71">
        <f>-'DATI nascosti 1'!$H$16*'DATI nascosti 1'!$C$6*I237*'DATI nascosti 1'!$H$10*F237</f>
        <v>-2427756.4175257827</v>
      </c>
      <c r="M237" s="71">
        <f>IF(C237&gt;=('DATI nascosti 1'!$L$10*10^-3),'DATI nascosti 1'!$L$14*'DATI nascosti 1'!$P$11,IF(C237&gt;=(-'DATI nascosti 1'!$L$10*10^-3),'DATI nascosti 1'!$P$11*'DATI nascosti 1'!$L$16*C237,-'DATI nascosti 1'!$L$14*'DATI nascosti 1'!$P$11))</f>
        <v>443738.09278208925</v>
      </c>
      <c r="N237" s="71">
        <f t="shared" si="14"/>
        <v>-2598677.756967783</v>
      </c>
      <c r="O237" s="71">
        <f>-L237*('DATI nascosti 1'!$C$8/2-(J237*F237))-K237*('DATI nascosti 1'!$C$13/2)+M237*('DATI nascosti 1'!$C$13/2)</f>
        <v>1226150684.5116103</v>
      </c>
      <c r="P237" s="69">
        <f>-TABULATI!N237/10^3</f>
        <v>2598.6777569677829</v>
      </c>
      <c r="Q237" s="69">
        <f>TABULATI!O237/10^6</f>
        <v>1226.1506845116103</v>
      </c>
      <c r="R237" s="72">
        <f>-N237/('DATI nascosti 1'!$C$6*'DATI nascosti 1'!$C$13*'DATI nascosti 1'!$H$10*'DATI nascosti 1'!$H$16)</f>
        <v>0.62532134125989325</v>
      </c>
      <c r="S237" s="72">
        <f>O237/('DATI nascosti 1'!$H$16*'DATI nascosti 1'!$C$6*'DATI nascosti 1'!$C$13^2*'DATI nascosti 1'!$H$10)</f>
        <v>0.2554539852069887</v>
      </c>
      <c r="T237" s="73">
        <f t="shared" si="15"/>
        <v>-471.83637187179397</v>
      </c>
      <c r="U237" s="67" t="str">
        <f>IF(T237&gt;=0, IF(T237&lt;='DATI nascosti 1'!$C$8/6, "SI", "NO"),IF(T237&gt; -'DATI nascosti 1'!$C$8/6, "SI", "NO"))</f>
        <v>NO</v>
      </c>
      <c r="V237" s="67" t="str">
        <f>IF(Foglio3!G238&lt;1,IF(Foglio3!G238&gt;-1,"ROTTURA BILANCIATA",""),"")</f>
        <v/>
      </c>
    </row>
    <row r="238" spans="1:22" ht="18.75" x14ac:dyDescent="0.25">
      <c r="A238" s="20"/>
      <c r="B238" s="67">
        <f>'DATI nascosti 1'!$H$12*10^-3</f>
        <v>-3.5000000000000001E-3</v>
      </c>
      <c r="C238" s="68">
        <f>C237-('DATI nascosti 1'!$L$8*10^-3/100)</f>
        <v>6.749999999999764E-4</v>
      </c>
      <c r="D238" s="68">
        <f>('DATI nascosti 1'!$H$12*(F238-'DATI nascosti 1'!$C$10))/(F238*1000)</f>
        <v>-3.3373376623376636E-3</v>
      </c>
      <c r="E238" s="67" t="s">
        <v>39</v>
      </c>
      <c r="F238" s="69">
        <f>(-'DATI nascosti 1'!$H$12*10^-3/(-'DATI nascosti 1'!$H$12*10^-3+C238))*'DATI nascosti 1'!$C$13</f>
        <v>968.26347305389766</v>
      </c>
      <c r="G238" s="70">
        <f t="shared" si="17"/>
        <v>39.978333333333296</v>
      </c>
      <c r="H238" s="70">
        <f t="shared" si="18"/>
        <v>81.720416666666537</v>
      </c>
      <c r="I238" s="70">
        <f>G238/('DATI nascosti 1'!$H$10*(-'DATI nascosti 1'!$H$12))</f>
        <v>0.80952380952380887</v>
      </c>
      <c r="J238" s="70">
        <f t="shared" si="19"/>
        <v>0.41596638655462226</v>
      </c>
      <c r="K238" s="71">
        <f>IF(D238&gt;=('DATI nascosti 1'!$L$10*10^-3),'DATI nascosti 1'!$L$14*'DATI nascosti 1'!$P$12,IF(D238&gt;=(-'DATI nascosti 1'!$L$10*10^-3),'DATI nascosti 1'!$L$16*D238*'DATI nascosti 1'!$P$12,-'DATI nascosti 1'!$L$14*'DATI nascosti 1'!$P$12))</f>
        <v>-614659.43222408998</v>
      </c>
      <c r="L238" s="71">
        <f>-'DATI nascosti 1'!$H$16*'DATI nascosti 1'!$C$6*I238*'DATI nascosti 1'!$H$10*F238</f>
        <v>-2820267.9341317499</v>
      </c>
      <c r="M238" s="71">
        <f>IF(C238&gt;=('DATI nascosti 1'!$L$10*10^-3),'DATI nascosti 1'!$L$14*'DATI nascosti 1'!$P$11,IF(C238&gt;=(-'DATI nascosti 1'!$L$10*10^-3),'DATI nascosti 1'!$P$11*'DATI nascosti 1'!$L$16*C238,-'DATI nascosti 1'!$L$14*'DATI nascosti 1'!$P$11))</f>
        <v>221869.04639104076</v>
      </c>
      <c r="N238" s="71">
        <f t="shared" si="14"/>
        <v>-3213058.3199647996</v>
      </c>
      <c r="O238" s="71">
        <f>-L238*('DATI nascosti 1'!$C$8/2-(J238*F238))-K238*('DATI nascosti 1'!$C$13/2)+M238*('DATI nascosti 1'!$C$13/2)</f>
        <v>1039350578.4773962</v>
      </c>
      <c r="P238" s="69">
        <f>-TABULATI!N238/10^3</f>
        <v>3213.0583199647995</v>
      </c>
      <c r="Q238" s="69">
        <f>TABULATI!O238/10^6</f>
        <v>1039.3505784773963</v>
      </c>
      <c r="R238" s="72">
        <f>-N238/('DATI nascosti 1'!$C$6*'DATI nascosti 1'!$C$13*'DATI nascosti 1'!$H$10*'DATI nascosti 1'!$H$16)</f>
        <v>0.77316009374361094</v>
      </c>
      <c r="S238" s="72">
        <f>O238/('DATI nascosti 1'!$H$16*'DATI nascosti 1'!$C$6*'DATI nascosti 1'!$C$13^2*'DATI nascosti 1'!$H$10)</f>
        <v>0.21653639365294983</v>
      </c>
      <c r="T238" s="73">
        <f t="shared" si="15"/>
        <v>-323.47703495428084</v>
      </c>
      <c r="U238" s="67" t="str">
        <f>IF(T238&gt;=0, IF(T238&lt;='DATI nascosti 1'!$C$8/6, "SI", "NO"),IF(T238&gt; -'DATI nascosti 1'!$C$8/6, "SI", "NO"))</f>
        <v>NO</v>
      </c>
      <c r="V238" s="67" t="str">
        <f>IF(Foglio3!G239&lt;1,IF(Foglio3!G239&gt;-1,"ROTTURA BILANCIATA",""),"")</f>
        <v/>
      </c>
    </row>
    <row r="239" spans="1:22" ht="18.75" x14ac:dyDescent="0.25">
      <c r="A239" s="20"/>
      <c r="B239" s="67">
        <f>'DATI nascosti 1'!$H$12*10^-3</f>
        <v>-3.5000000000000001E-3</v>
      </c>
      <c r="C239" s="68">
        <f>C238-('DATI nascosti 1'!$L$8*10^-3/100)</f>
        <v>-2.3635607360183997E-17</v>
      </c>
      <c r="D239" s="68">
        <f>('DATI nascosti 1'!$H$12*(F239-'DATI nascosti 1'!$C$10))/(F239*1000)</f>
        <v>-3.3636363636363647E-3</v>
      </c>
      <c r="E239" s="67" t="s">
        <v>39</v>
      </c>
      <c r="F239" s="69">
        <f>(-'DATI nascosti 1'!$H$12*10^-3/(-'DATI nascosti 1'!$H$12*10^-3+C239))*'DATI nascosti 1'!$C$13</f>
        <v>1155.000000000008</v>
      </c>
      <c r="G239" s="70">
        <f t="shared" si="17"/>
        <v>39.978333333333296</v>
      </c>
      <c r="H239" s="70">
        <f t="shared" si="18"/>
        <v>81.720416666666537</v>
      </c>
      <c r="I239" s="70">
        <f>G239/('DATI nascosti 1'!$H$10*(-'DATI nascosti 1'!$H$12))</f>
        <v>0.80952380952380887</v>
      </c>
      <c r="J239" s="70">
        <f t="shared" si="19"/>
        <v>0.41596638655462226</v>
      </c>
      <c r="K239" s="71">
        <f>IF(D239&gt;=('DATI nascosti 1'!$L$10*10^-3),'DATI nascosti 1'!$L$14*'DATI nascosti 1'!$P$12,IF(D239&gt;=(-'DATI nascosti 1'!$L$10*10^-3),'DATI nascosti 1'!$L$16*D239*'DATI nascosti 1'!$P$12,-'DATI nascosti 1'!$L$14*'DATI nascosti 1'!$P$12))</f>
        <v>-614659.43222408998</v>
      </c>
      <c r="L239" s="71">
        <f>-'DATI nascosti 1'!$H$16*'DATI nascosti 1'!$C$6*I239*'DATI nascosti 1'!$H$10*F239</f>
        <v>-3364176.75000002</v>
      </c>
      <c r="M239" s="71">
        <f>IF(C239&gt;=('DATI nascosti 1'!$L$10*10^-3),'DATI nascosti 1'!$L$14*'DATI nascosti 1'!$P$11,IF(C239&gt;=(-'DATI nascosti 1'!$L$10*10^-3),'DATI nascosti 1'!$P$11*'DATI nascosti 1'!$L$16*C239,-'DATI nascosti 1'!$L$14*'DATI nascosti 1'!$P$11))</f>
        <v>-7.7689032087070674E-9</v>
      </c>
      <c r="N239" s="71">
        <f t="shared" si="14"/>
        <v>-3978836.1822241177</v>
      </c>
      <c r="O239" s="71">
        <f>-L239*('DATI nascosti 1'!$C$8/2-(J239*F239))-K239*('DATI nascosti 1'!$C$13/2)+M239*('DATI nascosti 1'!$C$13/2)</f>
        <v>757182836.48439693</v>
      </c>
      <c r="P239" s="69">
        <f>-TABULATI!N239/10^3</f>
        <v>3978.8361822241177</v>
      </c>
      <c r="Q239" s="69">
        <f>TABULATI!O239/10^6</f>
        <v>757.18283648439694</v>
      </c>
      <c r="R239" s="72">
        <f>-N239/('DATI nascosti 1'!$C$6*'DATI nascosti 1'!$C$13*'DATI nascosti 1'!$H$10*'DATI nascosti 1'!$H$16)</f>
        <v>0.95742966647196492</v>
      </c>
      <c r="S239" s="72">
        <f>O239/('DATI nascosti 1'!$H$16*'DATI nascosti 1'!$C$6*'DATI nascosti 1'!$C$13^2*'DATI nascosti 1'!$H$10)</f>
        <v>0.15775008369979782</v>
      </c>
      <c r="T239" s="73">
        <f t="shared" si="15"/>
        <v>-190.30259146310004</v>
      </c>
      <c r="U239" s="67" t="str">
        <f>IF(T239&gt;=0, IF(T239&lt;='DATI nascosti 1'!$C$8/6, "SI", "NO"),IF(T239&gt; -'DATI nascosti 1'!$C$8/6, "SI", "NO"))</f>
        <v>SI</v>
      </c>
      <c r="V239" s="67" t="str">
        <f>IF(Foglio3!G240&lt;1,IF(Foglio3!G240&gt;-1,"ROTTURA BILANCIATA",""),"")</f>
        <v/>
      </c>
    </row>
    <row r="240" spans="1:22" ht="26.25" x14ac:dyDescent="0.25">
      <c r="A240" s="82"/>
      <c r="B240" s="67">
        <f>'DATI nascosti 1'!$H$12*10^-3</f>
        <v>-3.5000000000000001E-3</v>
      </c>
      <c r="C240" s="68">
        <f>$C$239</f>
        <v>-2.3635607360183997E-17</v>
      </c>
      <c r="D240" s="68">
        <f>(('DATI nascosti 1'!$C$13+F240-'DATI nascosti 1'!$C$8)/F240*B240)</f>
        <v>-3.3636363636363651E-3</v>
      </c>
      <c r="E240" s="83" t="str">
        <f>IF(((F240-'DATI nascosti 1'!$C$8)/F240*B240)&gt;0,"&gt;0,0000",(F240-'DATI nascosti 1'!$C$8)/F240*B240)</f>
        <v>&gt;0,0000</v>
      </c>
      <c r="F240" s="69">
        <f>('DATI nascosti 1'!$C$13*B240)/(B240-C240)</f>
        <v>1155.000000000008</v>
      </c>
      <c r="G240" s="70">
        <f>IF(E240&gt;0,$G$239,(IF(E240&lt;('DATI nascosti 1'!$H$14*10^-3),'DATI nascosti 1'!$H$10*(-'DATI nascosti 1'!$H$12), $G$239-((2*'DATI nascosti 1'!$H$10/(-'DATI nascosti 1'!$H$14)*((-E240*10^3)^2)/2)-('DATI nascosti 1'!$H$10/(-'DATI nascosti 1'!$H$14)^2*(-E240*10^3)^3/3))+(-E240*10^3*'DATI nascosti 1'!$H$10))))</f>
        <v>39.978333333333296</v>
      </c>
      <c r="H240" s="70">
        <f>IF(E240&gt;0,H239,(IF(E240&lt;('DATI nascosti 1'!$H$14*10^-3),'DATI nascosti 1'!$H$10/2*(-'DATI nascosti 1'!$H$12)^2,$H$239-((2*'DATI nascosti 1'!$H$10/(-'DATI nascosti 1'!$H$14)*((-E240*10^3)^3)/3)-('DATI nascosti 1'!$H$10/(-'DATI nascosti 1'!$H$14)^2*(-E240*10^3)^4/4))+'DATI nascosti 1'!$H$10/2*((-E240*10^3)^2))))</f>
        <v>81.720416666666537</v>
      </c>
      <c r="I240" s="70">
        <f>G240/('DATI nascosti 1'!$H$10*(-'DATI nascosti 1'!$H$12))</f>
        <v>0.80952380952380887</v>
      </c>
      <c r="J240" s="70">
        <f t="shared" si="19"/>
        <v>0.41596638655462226</v>
      </c>
      <c r="K240" s="71">
        <f>IF(D240&gt;=('DATI nascosti 1'!$L$10*10^-3),'DATI nascosti 1'!$L$14*'DATI nascosti 1'!$P$12,IF(D240&gt;=(-'DATI nascosti 1'!$L$10*10^-3),'DATI nascosti 1'!$L$16*D240*'DATI nascosti 1'!$P$12,-'DATI nascosti 1'!$L$14*'DATI nascosti 1'!$P$12))</f>
        <v>-614659.43222408998</v>
      </c>
      <c r="L240" s="71">
        <f>IF(F240&lt;'DATI nascosti 1'!$C$8,( -'DATI nascosti 1'!$H$16*'DATI nascosti 1'!$C$6*I240*'DATI nascosti 1'!$H$10*F240),( -'DATI nascosti 1'!$H$16*'DATI nascosti 1'!$C$6*I240*'DATI nascosti 1'!$H$10*'DATI nascosti 1'!$C$8))</f>
        <v>-3364176.75000002</v>
      </c>
      <c r="M240" s="71">
        <f>IF(C240&gt;=('DATI nascosti 1'!$L$10*10^-3),'DATI nascosti 1'!$L$14*'DATI nascosti 1'!$P$11,IF(C240&gt;=(-'DATI nascosti 1'!$L$10*10^-3),'DATI nascosti 1'!$P$11*'DATI nascosti 1'!$L$16*C240,-'DATI nascosti 1'!$L$14*'DATI nascosti 1'!$P$11))</f>
        <v>-7.7689032087070674E-9</v>
      </c>
      <c r="N240" s="71">
        <f t="shared" si="14"/>
        <v>-3978836.1822241177</v>
      </c>
      <c r="O240" s="71">
        <f>IF(F240&lt;='DATI nascosti 1'!$C$8,-L240*('DATI nascosti 1'!$C$8/2-(J240*F240))-K240*('DATI nascosti 1'!$C$13/2)+M240*('DATI nascosti 1'!$C$13/2),-L240*('DATI nascosti 1'!$C$8/2-(J240*'DATI nascosti 1'!$C$8))-K240*('DATI nascosti 1'!$C$13/2)+M240*('DATI nascosti 1'!$C$13/2))</f>
        <v>757182836.48439693</v>
      </c>
      <c r="P240" s="69">
        <f>-TABULATI!N240/10^3</f>
        <v>3978.8361822241177</v>
      </c>
      <c r="Q240" s="69">
        <f>TABULATI!O240/10^6</f>
        <v>757.18283648439694</v>
      </c>
      <c r="R240" s="72">
        <f>-N240/('DATI nascosti 1'!$C$6*'DATI nascosti 1'!$C$13*'DATI nascosti 1'!$H$10*'DATI nascosti 1'!$H$16)</f>
        <v>0.95742966647196492</v>
      </c>
      <c r="S240" s="72">
        <f>O240/('DATI nascosti 1'!$H$16*'DATI nascosti 1'!$C$6*'DATI nascosti 1'!$C$13^2*'DATI nascosti 1'!$H$10)</f>
        <v>0.15775008369979782</v>
      </c>
      <c r="T240" s="70">
        <f t="shared" si="15"/>
        <v>-190.30259146310004</v>
      </c>
      <c r="U240" s="67" t="str">
        <f>IF(T240&gt;=0, IF(T240&lt;='DATI nascosti 1'!$C$8/6, "SI", "NO"),IF(T240&gt; -'DATI nascosti 1'!$C$8/6, "SI", "NO"))</f>
        <v>SI</v>
      </c>
      <c r="V240" s="67" t="str">
        <f>IF(Foglio3!G241&lt;1,IF(Foglio3!G241&gt;-1,"ROTTURA BILANCIATA",""),"")</f>
        <v/>
      </c>
    </row>
    <row r="241" spans="1:22" ht="18.75" x14ac:dyDescent="0.25">
      <c r="A241" s="20"/>
      <c r="B241" s="67">
        <f>'DATI nascosti 1'!$H$12*10^-3</f>
        <v>-3.5000000000000001E-3</v>
      </c>
      <c r="C241" s="68">
        <f>C240-0.0001</f>
        <v>-1.0000000000002364E-4</v>
      </c>
      <c r="D241" s="68">
        <f>(('DATI nascosti 1'!$C$13+F241-'DATI nascosti 1'!$C$8)/F241*B241)</f>
        <v>-3.3675324675324692E-3</v>
      </c>
      <c r="E241" s="83" t="str">
        <f>IF(((F241-'DATI nascosti 1'!$C$8)/F241*B241)&gt;0,"&gt;0,0000",(F241-'DATI nascosti 1'!$C$8)/F241*B241)</f>
        <v>&gt;0,0000</v>
      </c>
      <c r="F241" s="69">
        <f>('DATI nascosti 1'!$C$13*B241)/(B241-C241)</f>
        <v>1188.9705882353026</v>
      </c>
      <c r="G241" s="70">
        <f>IF(E241&gt;0,$G$239,(IF(E241&lt;('DATI nascosti 1'!$H$14*10^-3),'DATI nascosti 1'!$H$10*(-'DATI nascosti 1'!$H$12), $G$239-((2*'DATI nascosti 1'!$H$10/(-'DATI nascosti 1'!$H$14)*((-E241*10^3)^2)/2)-('DATI nascosti 1'!$H$10/(-'DATI nascosti 1'!$H$14)^2*(-E241*10^3)^3/3))+(-E241*10^3*'DATI nascosti 1'!$H$10))))</f>
        <v>39.978333333333296</v>
      </c>
      <c r="H241" s="70">
        <f>IF(E241&gt;0,H240,(IF(E241&lt;('DATI nascosti 1'!$H$14*10^-3),'DATI nascosti 1'!$H$10/2*(-'DATI nascosti 1'!$H$12)^2,$H$239-((2*'DATI nascosti 1'!$H$10/(-'DATI nascosti 1'!$H$14)*((-E241*10^3)^3)/3)-('DATI nascosti 1'!$H$10/(-'DATI nascosti 1'!$H$14)^2*(-E241*10^3)^4/4))+'DATI nascosti 1'!$H$10/2*((-E241*10^3)^2))))</f>
        <v>81.720416666666537</v>
      </c>
      <c r="I241" s="70">
        <f>G241/('DATI nascosti 1'!$H$10*(-'DATI nascosti 1'!$H$12))</f>
        <v>0.80952380952380887</v>
      </c>
      <c r="J241" s="70">
        <f t="shared" si="19"/>
        <v>0.41596638655462226</v>
      </c>
      <c r="K241" s="71">
        <f>IF(D241&gt;=('DATI nascosti 1'!$L$10*10^-3),'DATI nascosti 1'!$L$14*'DATI nascosti 1'!$P$12,IF(D241&gt;=(-'DATI nascosti 1'!$L$10*10^-3),'DATI nascosti 1'!$L$16*D241*'DATI nascosti 1'!$P$12,-'DATI nascosti 1'!$L$14*'DATI nascosti 1'!$P$12))</f>
        <v>-614659.43222408998</v>
      </c>
      <c r="L241" s="71">
        <f>IF(F241&lt;'DATI nascosti 1'!$C$8,( -'DATI nascosti 1'!$H$16*'DATI nascosti 1'!$C$6*I241*'DATI nascosti 1'!$H$10*F241),( -'DATI nascosti 1'!$H$16*'DATI nascosti 1'!$C$6*I241*'DATI nascosti 1'!$H$10*'DATI nascosti 1'!$C$8))</f>
        <v>-3463123.1250000214</v>
      </c>
      <c r="M241" s="71">
        <f>IF(C241&gt;=('DATI nascosti 1'!$L$10*10^-3),'DATI nascosti 1'!$L$14*'DATI nascosti 1'!$P$11,IF(C241&gt;=(-'DATI nascosti 1'!$L$10*10^-3),'DATI nascosti 1'!$P$11*'DATI nascosti 1'!$L$16*C241,-'DATI nascosti 1'!$L$14*'DATI nascosti 1'!$P$11))</f>
        <v>-32869.488354237175</v>
      </c>
      <c r="N241" s="71">
        <f t="shared" si="14"/>
        <v>-4110652.0455783489</v>
      </c>
      <c r="O241" s="71">
        <f>IF(F241&lt;='DATI nascosti 1'!$C$8,-L241*('DATI nascosti 1'!$C$8/2-(J241*F241))-K241*('DATI nascosti 1'!$C$13/2)+M241*('DATI nascosti 1'!$C$13/2),-L241*('DATI nascosti 1'!$C$8/2-(J241*'DATI nascosti 1'!$C$8))-K241*('DATI nascosti 1'!$C$13/2)+M241*('DATI nascosti 1'!$C$13/2))</f>
        <v>701094532.42857838</v>
      </c>
      <c r="P241" s="69">
        <f>-TABULATI!N241/10^3</f>
        <v>4110.6520455783493</v>
      </c>
      <c r="Q241" s="69">
        <f>TABULATI!O241/10^6</f>
        <v>701.09453242857842</v>
      </c>
      <c r="R241" s="72">
        <f>-N241/('DATI nascosti 1'!$C$6*'DATI nascosti 1'!$C$13*'DATI nascosti 1'!$H$10*'DATI nascosti 1'!$H$16)</f>
        <v>0.98914859439636338</v>
      </c>
      <c r="S241" s="72">
        <f>O241/('DATI nascosti 1'!$H$16*'DATI nascosti 1'!$C$6*'DATI nascosti 1'!$C$13^2*'DATI nascosti 1'!$H$10)</f>
        <v>0.14606474928246463</v>
      </c>
      <c r="T241" s="70">
        <f t="shared" si="15"/>
        <v>-170.55555290375781</v>
      </c>
      <c r="U241" s="67" t="str">
        <f>IF(T241&gt;=0, IF(T241&lt;='DATI nascosti 1'!$C$8/6, "SI", "NO"),IF(T241&gt; -'DATI nascosti 1'!$C$8/6, "SI", "NO"))</f>
        <v>SI</v>
      </c>
      <c r="V241" s="67" t="str">
        <f>IF(Foglio3!G242&lt;1,IF(Foglio3!G242&gt;-1,"ROTTURA BILANCIATA",""),"")</f>
        <v/>
      </c>
    </row>
    <row r="242" spans="1:22" ht="18.75" x14ac:dyDescent="0.25">
      <c r="A242" s="20"/>
      <c r="B242" s="67">
        <f>'DATI nascosti 1'!$H$12*10^-3</f>
        <v>-3.5000000000000001E-3</v>
      </c>
      <c r="C242" s="68">
        <f>C241-0.0001</f>
        <v>-2.0000000000002365E-4</v>
      </c>
      <c r="D242" s="68">
        <f>(('DATI nascosti 1'!$C$13+F242-'DATI nascosti 1'!$C$8)/F242*B242)</f>
        <v>-3.371428571428573E-3</v>
      </c>
      <c r="E242" s="83">
        <f>IF(((F242-'DATI nascosti 1'!$C$8)/F242*B242)&gt;0,"&gt;0,0000",(F242-'DATI nascosti 1'!$C$8)/F242*B242)</f>
        <v>-7.1428571428596249E-5</v>
      </c>
      <c r="F242" s="69">
        <f>('DATI nascosti 1'!$C$13*B242)/(B242-C242)</f>
        <v>1225.0000000000089</v>
      </c>
      <c r="G242" s="70">
        <f>IF(E242&gt;0,$G$239,(IF(E242&lt;('DATI nascosti 1'!$H$14*10^-3),'DATI nascosti 1'!$H$10*(-'DATI nascosti 1'!$H$12), $G$239-((2*'DATI nascosti 1'!$H$10/(-'DATI nascosti 1'!$H$14)*((-E242*10^3)^2)/2)-('DATI nascosti 1'!$H$10/(-'DATI nascosti 1'!$H$14)^2*(-E242*10^3)^3/3))+(-E242*10^3*'DATI nascosti 1'!$H$10))))</f>
        <v>40.950624088921572</v>
      </c>
      <c r="H242" s="70">
        <f>IF(E242&gt;0,H241,(IF(E242&lt;('DATI nascosti 1'!$H$14*10^-3),'DATI nascosti 1'!$H$10/2*(-'DATI nascosti 1'!$H$12)^2,$H$239-((2*'DATI nascosti 1'!$H$10/(-'DATI nascosti 1'!$H$14)*((-E242*10^3)^3)/3)-('DATI nascosti 1'!$H$10/(-'DATI nascosti 1'!$H$14)^2*(-E242*10^3)^4/4))+'DATI nascosti 1'!$H$10/2*((-E242*10^3)^2))))</f>
        <v>81.754720477795615</v>
      </c>
      <c r="I242" s="70">
        <f>G242/('DATI nascosti 1'!$H$10*(-'DATI nascosti 1'!$H$12))</f>
        <v>0.82921178675552454</v>
      </c>
      <c r="J242" s="70">
        <f t="shared" si="19"/>
        <v>0.42959375870895056</v>
      </c>
      <c r="K242" s="71">
        <f>IF(D242&gt;=('DATI nascosti 1'!$L$10*10^-3),'DATI nascosti 1'!$L$14*'DATI nascosti 1'!$P$12,IF(D242&gt;=(-'DATI nascosti 1'!$L$10*10^-3),'DATI nascosti 1'!$L$16*D242*'DATI nascosti 1'!$P$12,-'DATI nascosti 1'!$L$14*'DATI nascosti 1'!$P$12))</f>
        <v>-614659.43222408998</v>
      </c>
      <c r="L242" s="71">
        <f>IF(F242&lt;'DATI nascosti 1'!$C$8,( -'DATI nascosti 1'!$H$16*'DATI nascosti 1'!$C$6*I242*'DATI nascosti 1'!$H$10*F242),( -'DATI nascosti 1'!$H$16*'DATI nascosti 1'!$C$6*I242*'DATI nascosti 1'!$H$10*'DATI nascosti 1'!$C$8))</f>
        <v>-3580254.563202857</v>
      </c>
      <c r="M242" s="71">
        <f>IF(C242&gt;=('DATI nascosti 1'!$L$10*10^-3),'DATI nascosti 1'!$L$14*'DATI nascosti 1'!$P$11,IF(C242&gt;=(-'DATI nascosti 1'!$L$10*10^-3),'DATI nascosti 1'!$P$11*'DATI nascosti 1'!$L$16*C242,-'DATI nascosti 1'!$L$14*'DATI nascosti 1'!$P$11))</f>
        <v>-65738.976708466595</v>
      </c>
      <c r="N242" s="71">
        <f t="shared" si="14"/>
        <v>-4260652.9721354134</v>
      </c>
      <c r="O242" s="71">
        <f>IF(F242&lt;='DATI nascosti 1'!$C$8,-L242*('DATI nascosti 1'!$C$8/2-(J242*F242))-K242*('DATI nascosti 1'!$C$13/2)+M242*('DATI nascosti 1'!$C$13/2),-L242*('DATI nascosti 1'!$C$8/2-(J242*'DATI nascosti 1'!$C$8))-K242*('DATI nascosti 1'!$C$13/2)+M242*('DATI nascosti 1'!$C$13/2))</f>
        <v>619488283.05256176</v>
      </c>
      <c r="P242" s="69">
        <f>-TABULATI!N242/10^3</f>
        <v>4260.6529721354136</v>
      </c>
      <c r="Q242" s="69">
        <f>TABULATI!O242/10^6</f>
        <v>619.48828305256177</v>
      </c>
      <c r="R242" s="72">
        <f>-N242/('DATI nascosti 1'!$C$6*'DATI nascosti 1'!$C$13*'DATI nascosti 1'!$H$10*'DATI nascosti 1'!$H$16)</f>
        <v>1.0252434046641581</v>
      </c>
      <c r="S242" s="72">
        <f>O242/('DATI nascosti 1'!$H$16*'DATI nascosti 1'!$C$6*'DATI nascosti 1'!$C$13^2*'DATI nascosti 1'!$H$10)</f>
        <v>0.12906305292962017</v>
      </c>
      <c r="T242" s="70">
        <f t="shared" si="15"/>
        <v>-145.39749824827391</v>
      </c>
      <c r="U242" s="67" t="str">
        <f>IF(T242&gt;=0, IF(T242&lt;='DATI nascosti 1'!$C$8/6, "SI", "NO"),IF(T242&gt; -'DATI nascosti 1'!$C$8/6, "SI", "NO"))</f>
        <v>SI</v>
      </c>
      <c r="V242" s="67" t="str">
        <f>IF(Foglio3!G243&lt;1,IF(Foglio3!G243&gt;-1,"ROTTURA BILANCIATA",""),"")</f>
        <v/>
      </c>
    </row>
    <row r="243" spans="1:22" ht="19.5" thickBot="1" x14ac:dyDescent="0.3">
      <c r="A243" s="20"/>
      <c r="B243" s="113">
        <f>'DATI nascosti 1'!$H$12*10^-3</f>
        <v>-3.5000000000000001E-3</v>
      </c>
      <c r="C243" s="113">
        <f>(F243-'DATI nascosti 1'!$C$13)/(F243-'DATI nascosti 1'!$C$8+('DATI nascosti 1'!$H$14*10^-3)*'DATI nascosti 1'!$C$8/('DATI nascosti 1'!$H$12*10^-3))*('DATI nascosti 1'!$H$14*10^-3)</f>
        <v>-1.312499999999994E-4</v>
      </c>
      <c r="D243" s="113">
        <f>(F243-'DATI nascosti 1'!$C$10)/(F243-'DATI nascosti 1'!$C$8+('DATI nascosti 1'!$H$14*10^-3)*'DATI nascosti 1'!$C$8/('DATI nascosti 1'!$H$12*10^-3))*('DATI nascosti 1'!$H$14*10^-3)</f>
        <v>-3.3687500000000011E-3</v>
      </c>
      <c r="E243" s="113">
        <f>(F243-'DATI nascosti 1'!$C$8)/(F243-'DATI nascosti 1'!$C$8+('DATI nascosti 1'!$H$14*10^-3)*'DATI nascosti 1'!$C$8/('DATI nascosti 1'!$H$12*10^-3))*('DATI nascosti 1'!$H$14*10^-3)</f>
        <v>6.6317322004276044E-19</v>
      </c>
      <c r="F243" s="114">
        <f>('DATI nascosti 1'!$C$8*('DATI nascosti 1'!$H$14*10^-3)*B243/(('DATI nascosti 1'!$H$14*10^-3)-B243))*(1/('DATI nascosti 1'!$H$12*10^-3)-1/('DATI nascosti 1'!$H$14*10^-3))</f>
        <v>1199.9999999999998</v>
      </c>
      <c r="G243" s="115">
        <f>IF(E243&gt;0,$G$239,(IF(E243&lt;('DATI nascosti 1'!$H$14*10^-3),'DATI nascosti 1'!$H$10*(-'DATI nascosti 1'!$H$12), $G$239-((2*'DATI nascosti 1'!$H$10/(-'DATI nascosti 1'!$H$14)*((-E243*10^3)^2)/2)-('DATI nascosti 1'!$H$10/(-'DATI nascosti 1'!$H$14)^2*(-E243*10^3)^3/3))+(-E243*10^3*'DATI nascosti 1'!$H$10))))</f>
        <v>39.978333333333296</v>
      </c>
      <c r="H243" s="115">
        <f>IF(E243&gt;0,H242,(IF(E243&lt;('DATI nascosti 1'!$H$14*10^-3),'DATI nascosti 1'!$H$10/2*(-'DATI nascosti 1'!$H$12)^2,$H$239-((2*'DATI nascosti 1'!$H$10/(-'DATI nascosti 1'!$H$14)*((-E243*10^3)^3)/3)-('DATI nascosti 1'!$H$10/(-'DATI nascosti 1'!$H$14)^2*(-E243*10^3)^4/4))+'DATI nascosti 1'!$H$10/2*((-E243*10^3)^2))))</f>
        <v>81.754720477795615</v>
      </c>
      <c r="I243" s="115">
        <f>G243/('DATI nascosti 1'!$H$10*(-'DATI nascosti 1'!$H$12))</f>
        <v>0.80952380952380887</v>
      </c>
      <c r="J243" s="115">
        <f>1-(H243/G243)/(-'DATI nascosti 1'!$H$12)</f>
        <v>0.41572122653726229</v>
      </c>
      <c r="K243" s="116">
        <f>IF(D243&gt;=('DATI nascosti 1'!$L$10*10^-3),'DATI nascosti 1'!$L$14*'DATI nascosti 1'!$P$12,IF(D243&gt;=(-'DATI nascosti 1'!$L$10*10^-3),'DATI nascosti 1'!$L$16*D243*'DATI nascosti 1'!$P$12,-'DATI nascosti 1'!$L$14*'DATI nascosti 1'!$P$12))</f>
        <v>-614659.43222408998</v>
      </c>
      <c r="L243" s="116">
        <f>IF(F243&lt;'DATI nascosti 1'!$C$8,( -'DATI nascosti 1'!$H$16*'DATI nascosti 1'!$C$6*I243*'DATI nascosti 1'!$H$10*F243),( -'DATI nascosti 1'!$H$16*'DATI nascosti 1'!$C$6*I243*'DATI nascosti 1'!$H$10*'DATI nascosti 1'!$C$8))</f>
        <v>-3495248.5714285686</v>
      </c>
      <c r="M243" s="116">
        <f>IF(C243&gt;=('DATI nascosti 1'!$L$10*10^-3),'DATI nascosti 1'!$L$14*'DATI nascosti 1'!$P$11,IF(C243&gt;=(-'DATI nascosti 1'!$L$10*10^-3),'DATI nascosti 1'!$P$11*'DATI nascosti 1'!$L$16*C243,-'DATI nascosti 1'!$L$14*'DATI nascosti 1'!$P$11))</f>
        <v>-43141.2034649259</v>
      </c>
      <c r="N243" s="116">
        <f t="shared" si="14"/>
        <v>-4153049.2071175841</v>
      </c>
      <c r="O243" s="286">
        <f>IF(F243&lt;='DATI nascosti 1'!$C$8,-L243*('DATI nascosti 1'!$C$8/2-(J243*F243))-K243*('DATI nascosti 1'!$C$13/2)+M243*('DATI nascosti 1'!$C$13/2),-L243*('DATI nascosti 1'!$C$8/2-(J243*'DATI nascosti 1'!$C$8))-K243*('DATI nascosti 1'!$C$13/2)+M243*('DATI nascosti 1'!$C$13/2))</f>
        <v>683542092.16528082</v>
      </c>
      <c r="P243" s="285">
        <f>-TABULATI!N243/10^3</f>
        <v>4153.049207117584</v>
      </c>
      <c r="Q243" s="285">
        <f>TABULATI!O243/10^6</f>
        <v>683.54209216528079</v>
      </c>
      <c r="R243" s="287">
        <f>-N243/('DATI nascosti 1'!$C$6*'DATI nascosti 1'!$C$13*'DATI nascosti 1'!$H$10*'DATI nascosti 1'!$H$16)</f>
        <v>0.99935064805547569</v>
      </c>
      <c r="S243" s="117">
        <f>O243/('DATI nascosti 1'!$H$16*'DATI nascosti 1'!$C$6*'DATI nascosti 1'!$C$13^2*'DATI nascosti 1'!$H$10)</f>
        <v>0.14240790606408568</v>
      </c>
      <c r="T243" s="115">
        <f t="shared" si="15"/>
        <v>-164.58800704643997</v>
      </c>
      <c r="U243" s="112" t="str">
        <f>IF(T243&gt;=0, IF(T243&lt;='DATI nascosti 1'!$C$8/6, "SI", "NO"),IF(T243&gt; -'DATI nascosti 1'!$C$8/6, "SI", "NO"))</f>
        <v>SI</v>
      </c>
      <c r="V243" s="112" t="str">
        <f>IF(Foglio3!G244&lt;1,IF(Foglio3!G244&gt;-1,"ROTTURA BILANCIATA",""),"")</f>
        <v/>
      </c>
    </row>
    <row r="244" spans="1:22" ht="26.25" customHeight="1" x14ac:dyDescent="0.25">
      <c r="A244" s="351" t="s">
        <v>57</v>
      </c>
      <c r="B244" s="119">
        <f t="shared" ref="B244:B258" si="20">B243+0.0001</f>
        <v>-3.4000000000000002E-3</v>
      </c>
      <c r="C244" s="119">
        <f>(F244-'DATI nascosti 1'!$C$13)/(F244-'DATI nascosti 1'!$C$8+('DATI nascosti 1'!$H$14*10^-3)*'DATI nascosti 1'!$C$8/('DATI nascosti 1'!$H$12*10^-3))*('DATI nascosti 1'!$H$14*10^-3)</f>
        <v>-2.5583333333333334E-4</v>
      </c>
      <c r="D244" s="119">
        <f>(F244-'DATI nascosti 1'!$C$10)/(F244-'DATI nascosti 1'!$C$8+('DATI nascosti 1'!$H$14*10^-3)*'DATI nascosti 1'!$C$8/('DATI nascosti 1'!$H$12*10^-3))*('DATI nascosti 1'!$H$14*10^-3)</f>
        <v>-3.2775000000000005E-3</v>
      </c>
      <c r="E244" s="119">
        <f>(F244-'DATI nascosti 1'!$C$8)/(F244-'DATI nascosti 1'!$C$8+('DATI nascosti 1'!$H$14*10^-3)*'DATI nascosti 1'!$C$8/('DATI nascosti 1'!$H$12*10^-3))*('DATI nascosti 1'!$H$14*10^-3)</f>
        <v>-1.3333333333333337E-4</v>
      </c>
      <c r="F244" s="122">
        <f>('DATI nascosti 1'!$C$8*('DATI nascosti 1'!$H$14*10^-3)*B244/(('DATI nascosti 1'!$H$14*10^-3)-B244))*(1/('DATI nascosti 1'!$H$12*10^-3)-1/('DATI nascosti 1'!$H$14*10^-3))</f>
        <v>1248.9795918367347</v>
      </c>
      <c r="G244" s="123">
        <f>IF(E244&gt;0,$G$239,(IF(E244&lt;('DATI nascosti 1'!$H$14*10^-3),'DATI nascosti 1'!$H$10*(-'DATI nascosti 1'!$H$12), $G$239-((2*'DATI nascosti 1'!$H$10/(-'DATI nascosti 1'!$H$14)*((-E244*10^3)^2)/2)-('DATI nascosti 1'!$H$10/(-'DATI nascosti 1'!$H$14)^2*(-E244*10^3)^3/3))+(-E244*10^3*'DATI nascosti 1'!$H$10))))</f>
        <v>41.737031604938231</v>
      </c>
      <c r="H244" s="123">
        <f>IF(E244&gt;0,H243,(IF(E244&lt;('DATI nascosti 1'!$H$14*10^-3),'DATI nascosti 1'!$H$10/2*(-'DATI nascosti 1'!$H$12)^2,$H$239-((2*'DATI nascosti 1'!$H$10/(-'DATI nascosti 1'!$H$14)*((-E244*10^3)^3)/3)-('DATI nascosti 1'!$H$10/(-'DATI nascosti 1'!$H$14)^2*(-E244*10^3)^4/4))+'DATI nascosti 1'!$H$10/2*((-E244*10^3)^2))))</f>
        <v>81.834968962962833</v>
      </c>
      <c r="I244" s="123">
        <f>G244/('DATI nascosti 1'!$H$10*(-'DATI nascosti 1'!$H$12))</f>
        <v>0.84513580246913511</v>
      </c>
      <c r="J244" s="123">
        <f>1-(H244/G244)/(-'DATI nascosti 1'!$H$12)</f>
        <v>0.43979198317167267</v>
      </c>
      <c r="K244" s="124">
        <f>IF(D244&gt;=('DATI nascosti 1'!$L$10*10^-3),'DATI nascosti 1'!$L$14*'DATI nascosti 1'!$P$12,IF(D244&gt;=(-'DATI nascosti 1'!$L$10*10^-3),'DATI nascosti 1'!$L$16*D244*'DATI nascosti 1'!$P$12,-'DATI nascosti 1'!$L$14*'DATI nascosti 1'!$P$12))</f>
        <v>-614659.43222408998</v>
      </c>
      <c r="L244" s="124">
        <f>IF(F244&lt;'DATI nascosti 1'!$C$8,( -'DATI nascosti 1'!$H$16*'DATI nascosti 1'!$C$6*I244*'DATI nascosti 1'!$H$10*F244),( -'DATI nascosti 1'!$H$16*'DATI nascosti 1'!$C$6*I244*'DATI nascosti 1'!$H$10*'DATI nascosti 1'!$C$8))</f>
        <v>-3649009.0488888854</v>
      </c>
      <c r="M244" s="124">
        <f>IF(C244&gt;=('DATI nascosti 1'!$L$10*10^-3),'DATI nascosti 1'!$L$14*'DATI nascosti 1'!$P$11,IF(C244&gt;=(-'DATI nascosti 1'!$L$10*10^-3),'DATI nascosti 1'!$P$11*'DATI nascosti 1'!$L$16*C244,-'DATI nascosti 1'!$L$14*'DATI nascosti 1'!$P$11))</f>
        <v>-84091.1077062369</v>
      </c>
      <c r="N244" s="124">
        <f t="shared" si="14"/>
        <v>-4347759.5888192123</v>
      </c>
      <c r="O244" s="141">
        <f>IF(F244&lt;='DATI nascosti 1'!$C$8,-L244*('DATI nascosti 1'!$C$8/2-(J244*F244))-K244*('DATI nascosti 1'!$C$13/2)+M244*('DATI nascosti 1'!$C$13/2),-L244*('DATI nascosti 1'!$C$8/2-(J244*'DATI nascosti 1'!$C$8))-K244*('DATI nascosti 1'!$C$13/2)+M244*('DATI nascosti 1'!$C$13/2))</f>
        <v>570042725.27572489</v>
      </c>
      <c r="P244" s="140">
        <f>-TABULATI!N244/10^3</f>
        <v>4347.7595888192127</v>
      </c>
      <c r="Q244" s="140">
        <f>TABULATI!O244/10^6</f>
        <v>570.04272527572493</v>
      </c>
      <c r="R244" s="142">
        <f>-N244/('DATI nascosti 1'!$C$6*'DATI nascosti 1'!$C$13*'DATI nascosti 1'!$H$10*'DATI nascosti 1'!$H$16)</f>
        <v>1.0462039205385392</v>
      </c>
      <c r="S244" s="125">
        <f>O244/('DATI nascosti 1'!$H$16*'DATI nascosti 1'!$C$6*'DATI nascosti 1'!$C$13^2*'DATI nascosti 1'!$H$10)</f>
        <v>0.11876165609118305</v>
      </c>
      <c r="T244" s="123">
        <f t="shared" si="15"/>
        <v>-131.1118321127181</v>
      </c>
      <c r="U244" s="121" t="str">
        <f>IF(T244&gt;=0, IF(T244&lt;='DATI nascosti 1'!$C$8/6, "SI", "NO"),IF(T244&gt; -'DATI nascosti 1'!$C$8/6, "SI", "NO"))</f>
        <v>SI</v>
      </c>
      <c r="V244" s="121" t="str">
        <f>IF(Foglio3!G245&lt;1,IF(Foglio3!G245&gt;-1,"ROTTURA BILANCIATA",""),"")</f>
        <v/>
      </c>
    </row>
    <row r="245" spans="1:22" ht="18.75" x14ac:dyDescent="0.25">
      <c r="A245" s="351"/>
      <c r="B245" s="68">
        <f t="shared" si="20"/>
        <v>-3.3000000000000004E-3</v>
      </c>
      <c r="C245" s="68">
        <f>(F245-'DATI nascosti 1'!$C$13)/(F245-'DATI nascosti 1'!$C$8+('DATI nascosti 1'!$H$14*10^-3)*'DATI nascosti 1'!$C$8/('DATI nascosti 1'!$H$12*10^-3))*('DATI nascosti 1'!$H$14*10^-3)</f>
        <v>-3.8041666666666546E-4</v>
      </c>
      <c r="D245" s="68">
        <f>(F245-'DATI nascosti 1'!$C$10)/(F245-'DATI nascosti 1'!$C$8+('DATI nascosti 1'!$H$14*10^-3)*'DATI nascosti 1'!$C$8/('DATI nascosti 1'!$H$12*10^-3))*('DATI nascosti 1'!$H$14*10^-3)</f>
        <v>-3.1862500000000011E-3</v>
      </c>
      <c r="E245" s="68">
        <f>(F245-'DATI nascosti 1'!$C$8)/(F245-'DATI nascosti 1'!$C$8+('DATI nascosti 1'!$H$14*10^-3)*'DATI nascosti 1'!$C$8/('DATI nascosti 1'!$H$12*10^-3))*('DATI nascosti 1'!$H$14*10^-3)</f>
        <v>-2.6666666666666538E-4</v>
      </c>
      <c r="F245" s="69">
        <f>('DATI nascosti 1'!$C$8*('DATI nascosti 1'!$H$14*10^-3)*B245/(('DATI nascosti 1'!$H$14*10^-3)-B245))*(1/('DATI nascosti 1'!$H$12*10^-3)-1/('DATI nascosti 1'!$H$14*10^-3))</f>
        <v>1305.4945054945049</v>
      </c>
      <c r="G245" s="70">
        <f>IF(E245&gt;0,$G$239,(IF(E245&lt;('DATI nascosti 1'!$H$14*10^-3),'DATI nascosti 1'!$H$10*(-'DATI nascosti 1'!$H$12), $G$239-((2*'DATI nascosti 1'!$H$10/(-'DATI nascosti 1'!$H$14)*((-E245*10^3)^2)/2)-('DATI nascosti 1'!$H$10/(-'DATI nascosti 1'!$H$14)^2*(-E245*10^3)^3/3))+(-E245*10^3*'DATI nascosti 1'!$H$10))))</f>
        <v>43.261608395061678</v>
      </c>
      <c r="H245" s="70">
        <f>IF(E245&gt;0,H244,(IF(E245&lt;('DATI nascosti 1'!$H$14*10^-3),'DATI nascosti 1'!$H$10/2*(-'DATI nascosti 1'!$H$12)^2,$H$239-((2*'DATI nascosti 1'!$H$10/(-'DATI nascosti 1'!$H$14)*((-E245*10^3)^3)/3)-('DATI nascosti 1'!$H$10/(-'DATI nascosti 1'!$H$14)^2*(-E245*10^3)^4/4))+'DATI nascosti 1'!$H$10/2*((-E245*10^3)^2))))</f>
        <v>82.137375876543075</v>
      </c>
      <c r="I245" s="70">
        <f>G245/('DATI nascosti 1'!$H$10*(-'DATI nascosti 1'!$H$12))</f>
        <v>0.87600705467372053</v>
      </c>
      <c r="J245" s="70">
        <f>1-(H245/G245)/(-'DATI nascosti 1'!$H$12)</f>
        <v>0.4575370045259074</v>
      </c>
      <c r="K245" s="71">
        <f>IF(D245&gt;=('DATI nascosti 1'!$L$10*10^-3),'DATI nascosti 1'!$L$14*'DATI nascosti 1'!$P$12,IF(D245&gt;=(-'DATI nascosti 1'!$L$10*10^-3),'DATI nascosti 1'!$L$16*D245*'DATI nascosti 1'!$P$12,-'DATI nascosti 1'!$L$14*'DATI nascosti 1'!$P$12))</f>
        <v>-614659.43222408998</v>
      </c>
      <c r="L245" s="71">
        <f>IF(F245&lt;'DATI nascosti 1'!$C$8,( -'DATI nascosti 1'!$H$16*'DATI nascosti 1'!$C$6*I245*'DATI nascosti 1'!$H$10*F245),( -'DATI nascosti 1'!$H$16*'DATI nascosti 1'!$C$6*I245*'DATI nascosti 1'!$H$10*'DATI nascosti 1'!$C$8))</f>
        <v>-3782300.6196825355</v>
      </c>
      <c r="M245" s="71">
        <f>IF(C245&gt;=('DATI nascosti 1'!$L$10*10^-3),'DATI nascosti 1'!$L$14*'DATI nascosti 1'!$P$11,IF(C245&gt;=(-'DATI nascosti 1'!$L$10*10^-3),'DATI nascosti 1'!$P$11*'DATI nascosti 1'!$L$16*C245,-'DATI nascosti 1'!$L$14*'DATI nascosti 1'!$P$11))</f>
        <v>-125041.01194754732</v>
      </c>
      <c r="N245" s="71">
        <f t="shared" si="14"/>
        <v>-4522001.0638541728</v>
      </c>
      <c r="O245" s="71">
        <f>IF(F245&lt;='DATI nascosti 1'!$C$8,-L245*('DATI nascosti 1'!$C$8/2-(J245*F245))-K245*('DATI nascosti 1'!$C$13/2)+M245*('DATI nascosti 1'!$C$13/2),-L245*('DATI nascosti 1'!$C$8/2-(J245*'DATI nascosti 1'!$C$8))-K245*('DATI nascosti 1'!$C$13/2)+M245*('DATI nascosti 1'!$C$13/2))</f>
        <v>475484014.62398797</v>
      </c>
      <c r="P245" s="69">
        <f>-TABULATI!N245/10^3</f>
        <v>4522.0010638541726</v>
      </c>
      <c r="Q245" s="69">
        <f>TABULATI!O245/10^6</f>
        <v>475.48401462398795</v>
      </c>
      <c r="R245" s="72">
        <f>-N245/('DATI nascosti 1'!$C$6*'DATI nascosti 1'!$C$13*'DATI nascosti 1'!$H$10*'DATI nascosti 1'!$H$16)</f>
        <v>1.0881317480961576</v>
      </c>
      <c r="S245" s="72">
        <f>O245/('DATI nascosti 1'!$H$16*'DATI nascosti 1'!$C$6*'DATI nascosti 1'!$C$13^2*'DATI nascosti 1'!$H$10)</f>
        <v>9.9061467707206335E-2</v>
      </c>
      <c r="T245" s="70">
        <f t="shared" si="15"/>
        <v>-105.14902758972937</v>
      </c>
      <c r="U245" s="67" t="str">
        <f>IF(T245&gt;=0, IF(T245&lt;='DATI nascosti 1'!$C$8/6, "SI", "NO"),IF(T245&gt; -'DATI nascosti 1'!$C$8/6, "SI", "NO"))</f>
        <v>SI</v>
      </c>
      <c r="V245" s="67" t="str">
        <f>IF(Foglio3!G246&lt;1,IF(Foglio3!G246&gt;-1,"ROTTURA BILANCIATA",""),"")</f>
        <v/>
      </c>
    </row>
    <row r="246" spans="1:22" ht="18.75" x14ac:dyDescent="0.25">
      <c r="A246" s="20"/>
      <c r="B246" s="68">
        <f t="shared" si="20"/>
        <v>-3.2000000000000006E-3</v>
      </c>
      <c r="C246" s="68">
        <f>(F246-'DATI nascosti 1'!$C$13)/(F246-'DATI nascosti 1'!$C$8+('DATI nascosti 1'!$H$14*10^-3)*'DATI nascosti 1'!$C$8/('DATI nascosti 1'!$H$12*10^-3))*('DATI nascosti 1'!$H$14*10^-3)</f>
        <v>-5.0499999999999916E-4</v>
      </c>
      <c r="D246" s="68">
        <f>(F246-'DATI nascosti 1'!$C$10)/(F246-'DATI nascosti 1'!$C$8+('DATI nascosti 1'!$H$14*10^-3)*'DATI nascosti 1'!$C$8/('DATI nascosti 1'!$H$12*10^-3))*('DATI nascosti 1'!$H$14*10^-3)</f>
        <v>-3.095000000000001E-3</v>
      </c>
      <c r="E246" s="68">
        <f>(F246-'DATI nascosti 1'!$C$8)/(F246-'DATI nascosti 1'!$C$8+('DATI nascosti 1'!$H$14*10^-3)*'DATI nascosti 1'!$C$8/('DATI nascosti 1'!$H$12*10^-3))*('DATI nascosti 1'!$H$14*10^-3)</f>
        <v>-3.9999999999999899E-4</v>
      </c>
      <c r="F246" s="69">
        <f>('DATI nascosti 1'!$C$8*('DATI nascosti 1'!$H$14*10^-3)*B246/(('DATI nascosti 1'!$H$14*10^-3)-B246))*(1/('DATI nascosti 1'!$H$12*10^-3)-1/('DATI nascosti 1'!$H$14*10^-3))</f>
        <v>1371.4285714285709</v>
      </c>
      <c r="G246" s="70">
        <f>IF(E246&gt;0,$G$239,(IF(E246&lt;('DATI nascosti 1'!$H$14*10^-3),'DATI nascosti 1'!$H$10*(-'DATI nascosti 1'!$H$12), $G$239-((2*'DATI nascosti 1'!$H$10/(-'DATI nascosti 1'!$H$14)*((-E246*10^3)^2)/2)-('DATI nascosti 1'!$H$10/(-'DATI nascosti 1'!$H$14)^2*(-E246*10^3)^3/3))+(-E246*10^3*'DATI nascosti 1'!$H$10))))</f>
        <v>44.568786666666618</v>
      </c>
      <c r="H246" s="70">
        <f>IF(E246&gt;0,H245,(IF(E246&lt;('DATI nascosti 1'!$H$14*10^-3),'DATI nascosti 1'!$H$10/2*(-'DATI nascosti 1'!$H$12)^2,$H$239-((2*'DATI nascosti 1'!$H$10/(-'DATI nascosti 1'!$H$14)*((-E246*10^3)^3)/3)-('DATI nascosti 1'!$H$10/(-'DATI nascosti 1'!$H$14)^2*(-E246*10^3)^4/4))+'DATI nascosti 1'!$H$10/2*((-E246*10^3)^2))))</f>
        <v>82.570779333333206</v>
      </c>
      <c r="I246" s="70">
        <f>G246/('DATI nascosti 1'!$H$10*(-'DATI nascosti 1'!$H$12))</f>
        <v>0.90247619047618965</v>
      </c>
      <c r="J246" s="70">
        <f>1-(H246/G246)/(-'DATI nascosti 1'!$H$12)</f>
        <v>0.47066875716094825</v>
      </c>
      <c r="K246" s="71">
        <f>IF(D246&gt;=('DATI nascosti 1'!$L$10*10^-3),'DATI nascosti 1'!$L$14*'DATI nascosti 1'!$P$12,IF(D246&gt;=(-'DATI nascosti 1'!$L$10*10^-3),'DATI nascosti 1'!$L$16*D246*'DATI nascosti 1'!$P$12,-'DATI nascosti 1'!$L$14*'DATI nascosti 1'!$P$12))</f>
        <v>-614659.43222408998</v>
      </c>
      <c r="L246" s="71">
        <f>IF(F246&lt;'DATI nascosti 1'!$C$8,( -'DATI nascosti 1'!$H$16*'DATI nascosti 1'!$C$6*I246*'DATI nascosti 1'!$H$10*F246),( -'DATI nascosti 1'!$H$16*'DATI nascosti 1'!$C$6*I246*'DATI nascosti 1'!$H$10*'DATI nascosti 1'!$C$8))</f>
        <v>-3896585.3485714244</v>
      </c>
      <c r="M246" s="71">
        <f>IF(C246&gt;=('DATI nascosti 1'!$L$10*10^-3),'DATI nascosti 1'!$L$14*'DATI nascosti 1'!$P$11,IF(C246&gt;=(-'DATI nascosti 1'!$L$10*10^-3),'DATI nascosti 1'!$P$11*'DATI nascosti 1'!$L$16*C246,-'DATI nascosti 1'!$L$14*'DATI nascosti 1'!$P$11))</f>
        <v>-165990.91618885825</v>
      </c>
      <c r="N246" s="71">
        <f t="shared" si="14"/>
        <v>-4677235.696984373</v>
      </c>
      <c r="O246" s="71">
        <f>IF(F246&lt;='DATI nascosti 1'!$C$8,-L246*('DATI nascosti 1'!$C$8/2-(J246*F246))-K246*('DATI nascosti 1'!$C$13/2)+M246*('DATI nascosti 1'!$C$13/2),-L246*('DATI nascosti 1'!$C$8/2-(J246*'DATI nascosti 1'!$C$8))-K246*('DATI nascosti 1'!$C$13/2)+M246*('DATI nascosti 1'!$C$13/2))</f>
        <v>396256097.33279383</v>
      </c>
      <c r="P246" s="69">
        <f>-TABULATI!N246/10^3</f>
        <v>4677.2356969843731</v>
      </c>
      <c r="Q246" s="69">
        <f>TABULATI!O246/10^6</f>
        <v>396.25609733279384</v>
      </c>
      <c r="R246" s="72">
        <f>-N246/('DATI nascosti 1'!$C$6*'DATI nascosti 1'!$C$13*'DATI nascosti 1'!$H$10*'DATI nascosti 1'!$H$16)</f>
        <v>1.1254859482230062</v>
      </c>
      <c r="S246" s="72">
        <f>O246/('DATI nascosti 1'!$H$16*'DATI nascosti 1'!$C$6*'DATI nascosti 1'!$C$13^2*'DATI nascosti 1'!$H$10)</f>
        <v>8.2555268699743653E-2</v>
      </c>
      <c r="T246" s="70">
        <f t="shared" si="15"/>
        <v>-84.720147327251055</v>
      </c>
      <c r="U246" s="67" t="str">
        <f>IF(T246&gt;=0, IF(T246&lt;='DATI nascosti 1'!$C$8/6, "SI", "NO"),IF(T246&gt; -'DATI nascosti 1'!$C$8/6, "SI", "NO"))</f>
        <v>SI</v>
      </c>
      <c r="V246" s="67" t="str">
        <f>IF(Foglio3!G247&lt;1,IF(Foglio3!G247&gt;-1,"ROTTURA BILANCIATA",""),"")</f>
        <v/>
      </c>
    </row>
    <row r="247" spans="1:22" ht="18.75" x14ac:dyDescent="0.25">
      <c r="A247" s="20"/>
      <c r="B247" s="68">
        <f t="shared" si="20"/>
        <v>-3.1000000000000008E-3</v>
      </c>
      <c r="C247" s="68">
        <f>(F247-'DATI nascosti 1'!$C$13)/(F247-'DATI nascosti 1'!$C$8+('DATI nascosti 1'!$H$14*10^-3)*'DATI nascosti 1'!$C$8/('DATI nascosti 1'!$H$12*10^-3))*('DATI nascosti 1'!$H$14*10^-3)</f>
        <v>-6.2958333333333226E-4</v>
      </c>
      <c r="D247" s="68">
        <f>(F247-'DATI nascosti 1'!$C$10)/(F247-'DATI nascosti 1'!$C$8+('DATI nascosti 1'!$H$14*10^-3)*'DATI nascosti 1'!$C$8/('DATI nascosti 1'!$H$12*10^-3))*('DATI nascosti 1'!$H$14*10^-3)</f>
        <v>-3.0037500000000012E-3</v>
      </c>
      <c r="E247" s="68">
        <f>(F247-'DATI nascosti 1'!$C$8)/(F247-'DATI nascosti 1'!$C$8+('DATI nascosti 1'!$H$14*10^-3)*'DATI nascosti 1'!$C$8/('DATI nascosti 1'!$H$12*10^-3))*('DATI nascosti 1'!$H$14*10^-3)</f>
        <v>-5.3333333333333227E-4</v>
      </c>
      <c r="F247" s="69">
        <f>('DATI nascosti 1'!$C$8*('DATI nascosti 1'!$H$14*10^-3)*B247/(('DATI nascosti 1'!$H$14*10^-3)-B247))*(1/('DATI nascosti 1'!$H$12*10^-3)-1/('DATI nascosti 1'!$H$14*10^-3))</f>
        <v>1449.3506493506486</v>
      </c>
      <c r="G247" s="70">
        <f>IF(E247&gt;0,$G$239,(IF(E247&lt;('DATI nascosti 1'!$H$14*10^-3),'DATI nascosti 1'!$H$10*(-'DATI nascosti 1'!$H$12), $G$239-((2*'DATI nascosti 1'!$H$10/(-'DATI nascosti 1'!$H$14)*((-E247*10^3)^2)/2)-('DATI nascosti 1'!$H$10/(-'DATI nascosti 1'!$H$14)^2*(-E247*10^3)^3/3))+(-E247*10^3*'DATI nascosti 1'!$H$10))))</f>
        <v>45.675289382716002</v>
      </c>
      <c r="H247" s="70">
        <f>IF(E247&gt;0,H246,(IF(E247&lt;('DATI nascosti 1'!$H$14*10^-3),'DATI nascosti 1'!$H$10/2*(-'DATI nascosti 1'!$H$12)^2,$H$239-((2*'DATI nascosti 1'!$H$10/(-'DATI nascosti 1'!$H$14)*((-E247*10^3)^3)/3)-('DATI nascosti 1'!$H$10/(-'DATI nascosti 1'!$H$14)^2*(-E247*10^3)^4/4))+'DATI nascosti 1'!$H$10/2*((-E247*10^3)^2))))</f>
        <v>83.085010444444308</v>
      </c>
      <c r="I247" s="70">
        <f>G247/('DATI nascosti 1'!$H$10*(-'DATI nascosti 1'!$H$12))</f>
        <v>0.92488183421516679</v>
      </c>
      <c r="J247" s="70">
        <f>1-(H247/G247)/(-'DATI nascosti 1'!$H$12)</f>
        <v>0.48027533632482489</v>
      </c>
      <c r="K247" s="71">
        <f>IF(D247&gt;=('DATI nascosti 1'!$L$10*10^-3),'DATI nascosti 1'!$L$14*'DATI nascosti 1'!$P$12,IF(D247&gt;=(-'DATI nascosti 1'!$L$10*10^-3),'DATI nascosti 1'!$L$16*D247*'DATI nascosti 1'!$P$12,-'DATI nascosti 1'!$L$14*'DATI nascosti 1'!$P$12))</f>
        <v>-614659.43222408998</v>
      </c>
      <c r="L247" s="71">
        <f>IF(F247&lt;'DATI nascosti 1'!$C$8,( -'DATI nascosti 1'!$H$16*'DATI nascosti 1'!$C$6*I247*'DATI nascosti 1'!$H$10*F247),( -'DATI nascosti 1'!$H$16*'DATI nascosti 1'!$C$6*I247*'DATI nascosti 1'!$H$10*'DATI nascosti 1'!$C$8))</f>
        <v>-3993325.300317456</v>
      </c>
      <c r="M247" s="71">
        <f>IF(C247&gt;=('DATI nascosti 1'!$L$10*10^-3),'DATI nascosti 1'!$L$14*'DATI nascosti 1'!$P$11,IF(C247&gt;=(-'DATI nascosti 1'!$L$10*10^-3),'DATI nascosti 1'!$P$11*'DATI nascosti 1'!$L$16*C247,-'DATI nascosti 1'!$L$14*'DATI nascosti 1'!$P$11))</f>
        <v>-206940.82043016897</v>
      </c>
      <c r="N247" s="71">
        <f t="shared" si="14"/>
        <v>-4814925.5529717151</v>
      </c>
      <c r="O247" s="71">
        <f>IF(F247&lt;='DATI nascosti 1'!$C$8,-L247*('DATI nascosti 1'!$C$8/2-(J247*F247))-K247*('DATI nascosti 1'!$C$13/2)+M247*('DATI nascosti 1'!$C$13/2),-L247*('DATI nascosti 1'!$C$8/2-(J247*'DATI nascosti 1'!$C$8))-K247*('DATI nascosti 1'!$C$13/2)+M247*('DATI nascosti 1'!$C$13/2))</f>
        <v>329977896.50418478</v>
      </c>
      <c r="P247" s="69">
        <f>-TABULATI!N247/10^3</f>
        <v>4814.9255529717148</v>
      </c>
      <c r="Q247" s="69">
        <f>TABULATI!O247/10^6</f>
        <v>329.9778965041848</v>
      </c>
      <c r="R247" s="72">
        <f>-N247/('DATI nascosti 1'!$C$6*'DATI nascosti 1'!$C$13*'DATI nascosti 1'!$H$10*'DATI nascosti 1'!$H$16)</f>
        <v>1.1586183384137587</v>
      </c>
      <c r="S247" s="72">
        <f>O247/('DATI nascosti 1'!$H$16*'DATI nascosti 1'!$C$6*'DATI nascosti 1'!$C$13^2*'DATI nascosti 1'!$H$10)</f>
        <v>6.8746989874077832E-2</v>
      </c>
      <c r="T247" s="70">
        <f t="shared" si="15"/>
        <v>-68.532294606409096</v>
      </c>
      <c r="U247" s="67" t="str">
        <f>IF(T247&gt;=0, IF(T247&lt;='DATI nascosti 1'!$C$8/6, "SI", "NO"),IF(T247&gt; -'DATI nascosti 1'!$C$8/6, "SI", "NO"))</f>
        <v>SI</v>
      </c>
      <c r="V247" s="67" t="str">
        <f>IF(Foglio3!G248&lt;1,IF(Foglio3!G248&gt;-1,"ROTTURA BILANCIATA",""),"")</f>
        <v/>
      </c>
    </row>
    <row r="248" spans="1:22" ht="18.75" x14ac:dyDescent="0.25">
      <c r="A248" s="20"/>
      <c r="B248" s="68">
        <f t="shared" si="20"/>
        <v>-3.0000000000000009E-3</v>
      </c>
      <c r="C248" s="68">
        <f>(F248-'DATI nascosti 1'!$C$13)/(F248-'DATI nascosti 1'!$C$8+('DATI nascosti 1'!$H$14*10^-3)*'DATI nascosti 1'!$C$8/('DATI nascosti 1'!$H$12*10^-3))*('DATI nascosti 1'!$H$14*10^-3)</f>
        <v>-7.5416666666666536E-4</v>
      </c>
      <c r="D248" s="68">
        <f>(F248-'DATI nascosti 1'!$C$10)/(F248-'DATI nascosti 1'!$C$8+('DATI nascosti 1'!$H$14*10^-3)*'DATI nascosti 1'!$C$8/('DATI nascosti 1'!$H$12*10^-3))*('DATI nascosti 1'!$H$14*10^-3)</f>
        <v>-2.912500000000001E-3</v>
      </c>
      <c r="E248" s="68">
        <f>(F248-'DATI nascosti 1'!$C$8)/(F248-'DATI nascosti 1'!$C$8+('DATI nascosti 1'!$H$14*10^-3)*'DATI nascosti 1'!$C$8/('DATI nascosti 1'!$H$12*10^-3))*('DATI nascosti 1'!$H$14*10^-3)</f>
        <v>-6.6666666666666523E-4</v>
      </c>
      <c r="F248" s="69">
        <f>('DATI nascosti 1'!$C$8*('DATI nascosti 1'!$H$14*10^-3)*B248/(('DATI nascosti 1'!$H$14*10^-3)-B248))*(1/('DATI nascosti 1'!$H$12*10^-3)-1/('DATI nascosti 1'!$H$14*10^-3))</f>
        <v>1542.8571428571418</v>
      </c>
      <c r="G248" s="70">
        <f>IF(E248&gt;0,$G$239,(IF(E248&lt;('DATI nascosti 1'!$H$14*10^-3),'DATI nascosti 1'!$H$10*(-'DATI nascosti 1'!$H$12), $G$239-((2*'DATI nascosti 1'!$H$10/(-'DATI nascosti 1'!$H$14)*((-E248*10^3)^2)/2)-('DATI nascosti 1'!$H$10/(-'DATI nascosti 1'!$H$14)^2*(-E248*10^3)^3/3))+(-E248*10^3*'DATI nascosti 1'!$H$10))))</f>
        <v>46.597839506172789</v>
      </c>
      <c r="H248" s="70">
        <f>IF(E248&gt;0,H247,(IF(E248&lt;('DATI nascosti 1'!$H$14*10^-3),'DATI nascosti 1'!$H$10/2*(-'DATI nascosti 1'!$H$12)^2,$H$239-((2*'DATI nascosti 1'!$H$10/(-'DATI nascosti 1'!$H$14)*((-E248*10^3)^3)/3)-('DATI nascosti 1'!$H$10/(-'DATI nascosti 1'!$H$14)^2*(-E248*10^3)^4/4))+'DATI nascosti 1'!$H$10/2*((-E248*10^3)^2))))</f>
        <v>83.636589506172697</v>
      </c>
      <c r="I248" s="70">
        <f>G248/('DATI nascosti 1'!$H$10*(-'DATI nascosti 1'!$H$12))</f>
        <v>0.94356261022927601</v>
      </c>
      <c r="J248" s="70">
        <f>1-(H248/G248)/(-'DATI nascosti 1'!$H$12)</f>
        <v>0.48718291054739682</v>
      </c>
      <c r="K248" s="71">
        <f>IF(D248&gt;=('DATI nascosti 1'!$L$10*10^-3),'DATI nascosti 1'!$L$14*'DATI nascosti 1'!$P$12,IF(D248&gt;=(-'DATI nascosti 1'!$L$10*10^-3),'DATI nascosti 1'!$L$16*D248*'DATI nascosti 1'!$P$12,-'DATI nascosti 1'!$L$14*'DATI nascosti 1'!$P$12))</f>
        <v>-614659.43222408998</v>
      </c>
      <c r="L248" s="71">
        <f>IF(F248&lt;'DATI nascosti 1'!$C$8,( -'DATI nascosti 1'!$H$16*'DATI nascosti 1'!$C$6*I248*'DATI nascosti 1'!$H$10*F248),( -'DATI nascosti 1'!$H$16*'DATI nascosti 1'!$C$6*I248*'DATI nascosti 1'!$H$10*'DATI nascosti 1'!$C$8))</f>
        <v>-4073982.5396825355</v>
      </c>
      <c r="M248" s="71">
        <f>IF(C248&gt;=('DATI nascosti 1'!$L$10*10^-3),'DATI nascosti 1'!$L$14*'DATI nascosti 1'!$P$11,IF(C248&gt;=(-'DATI nascosti 1'!$L$10*10^-3),'DATI nascosti 1'!$P$11*'DATI nascosti 1'!$L$16*C248,-'DATI nascosti 1'!$L$14*'DATI nascosti 1'!$P$11))</f>
        <v>-247890.72467147969</v>
      </c>
      <c r="N248" s="71">
        <f t="shared" si="14"/>
        <v>-4936532.696578105</v>
      </c>
      <c r="O248" s="71">
        <f>IF(F248&lt;='DATI nascosti 1'!$C$8,-L248*('DATI nascosti 1'!$C$8/2-(J248*F248))-K248*('DATI nascosti 1'!$C$13/2)+M248*('DATI nascosti 1'!$C$13/2),-L248*('DATI nascosti 1'!$C$8/2-(J248*'DATI nascosti 1'!$C$8))-K248*('DATI nascosti 1'!$C$13/2)+M248*('DATI nascosti 1'!$C$13/2))</f>
        <v>274468846.9789778</v>
      </c>
      <c r="P248" s="69">
        <f>-TABULATI!N248/10^3</f>
        <v>4936.5326965781051</v>
      </c>
      <c r="Q248" s="69">
        <f>TABULATI!O248/10^6</f>
        <v>274.46884697897781</v>
      </c>
      <c r="R248" s="72">
        <f>-N248/('DATI nascosti 1'!$C$6*'DATI nascosti 1'!$C$13*'DATI nascosti 1'!$H$10*'DATI nascosti 1'!$H$16)</f>
        <v>1.1878807361630903</v>
      </c>
      <c r="S248" s="72">
        <f>O248/('DATI nascosti 1'!$H$16*'DATI nascosti 1'!$C$6*'DATI nascosti 1'!$C$13^2*'DATI nascosti 1'!$H$10)</f>
        <v>5.7182336283467729E-2</v>
      </c>
      <c r="T248" s="70">
        <f t="shared" si="15"/>
        <v>-55.599519713347291</v>
      </c>
      <c r="U248" s="67" t="str">
        <f>IF(T248&gt;=0, IF(T248&lt;='DATI nascosti 1'!$C$8/6, "SI", "NO"),IF(T248&gt; -'DATI nascosti 1'!$C$8/6, "SI", "NO"))</f>
        <v>SI</v>
      </c>
      <c r="V248" s="67" t="str">
        <f>IF(Foglio3!G249&lt;1,IF(Foglio3!G249&gt;-1,"ROTTURA BILANCIATA",""),"")</f>
        <v/>
      </c>
    </row>
    <row r="249" spans="1:22" ht="18.75" x14ac:dyDescent="0.25">
      <c r="A249" s="20"/>
      <c r="B249" s="68">
        <f t="shared" si="20"/>
        <v>-2.9000000000000011E-3</v>
      </c>
      <c r="C249" s="68">
        <f>(F249-'DATI nascosti 1'!$C$13)/(F249-'DATI nascosti 1'!$C$8+('DATI nascosti 1'!$H$14*10^-3)*'DATI nascosti 1'!$C$8/('DATI nascosti 1'!$H$12*10^-3))*('DATI nascosti 1'!$H$14*10^-3)</f>
        <v>-8.7874999999999878E-4</v>
      </c>
      <c r="D249" s="68">
        <f>(F249-'DATI nascosti 1'!$C$10)/(F249-'DATI nascosti 1'!$C$8+('DATI nascosti 1'!$H$14*10^-3)*'DATI nascosti 1'!$C$8/('DATI nascosti 1'!$H$12*10^-3))*('DATI nascosti 1'!$H$14*10^-3)</f>
        <v>-2.8212500000000013E-3</v>
      </c>
      <c r="E249" s="68">
        <f>(F249-'DATI nascosti 1'!$C$8)/(F249-'DATI nascosti 1'!$C$8+('DATI nascosti 1'!$H$14*10^-3)*'DATI nascosti 1'!$C$8/('DATI nascosti 1'!$H$12*10^-3))*('DATI nascosti 1'!$H$14*10^-3)</f>
        <v>-7.9999999999999863E-4</v>
      </c>
      <c r="F249" s="69">
        <f>('DATI nascosti 1'!$C$8*('DATI nascosti 1'!$H$14*10^-3)*B249/(('DATI nascosti 1'!$H$14*10^-3)-B249))*(1/('DATI nascosti 1'!$H$12*10^-3)-1/('DATI nascosti 1'!$H$14*10^-3))</f>
        <v>1657.1428571428557</v>
      </c>
      <c r="G249" s="70">
        <f>IF(E249&gt;0,$G$239,(IF(E249&lt;('DATI nascosti 1'!$H$14*10^-3),'DATI nascosti 1'!$H$10*(-'DATI nascosti 1'!$H$12), $G$239-((2*'DATI nascosti 1'!$H$10/(-'DATI nascosti 1'!$H$14)*((-E249*10^3)^2)/2)-('DATI nascosti 1'!$H$10/(-'DATI nascosti 1'!$H$14)^2*(-E249*10^3)^3/3))+(-E249*10^3*'DATI nascosti 1'!$H$10))))</f>
        <v>47.35315999999996</v>
      </c>
      <c r="H249" s="70">
        <f>IF(E249&gt;0,H248,(IF(E249&lt;('DATI nascosti 1'!$H$14*10^-3),'DATI nascosti 1'!$H$10/2*(-'DATI nascosti 1'!$H$12)^2,$H$239-((2*'DATI nascosti 1'!$H$10/(-'DATI nascosti 1'!$H$14)*((-E249*10^3)^3)/3)-('DATI nascosti 1'!$H$10/(-'DATI nascosti 1'!$H$14)^2*(-E249*10^3)^4/4))+'DATI nascosti 1'!$H$10/2*((-E249*10^3)^2))))</f>
        <v>84.188725999999861</v>
      </c>
      <c r="I249" s="70">
        <f>G249/('DATI nascosti 1'!$H$10*(-'DATI nascosti 1'!$H$12))</f>
        <v>0.95885714285714219</v>
      </c>
      <c r="J249" s="70">
        <f>1-(H249/G249)/(-'DATI nascosti 1'!$H$12)</f>
        <v>0.49203132981440534</v>
      </c>
      <c r="K249" s="71">
        <f>IF(D249&gt;=('DATI nascosti 1'!$L$10*10^-3),'DATI nascosti 1'!$L$14*'DATI nascosti 1'!$P$12,IF(D249&gt;=(-'DATI nascosti 1'!$L$10*10^-3),'DATI nascosti 1'!$L$16*D249*'DATI nascosti 1'!$P$12,-'DATI nascosti 1'!$L$14*'DATI nascosti 1'!$P$12))</f>
        <v>-614659.43222408998</v>
      </c>
      <c r="L249" s="71">
        <f>IF(F249&lt;'DATI nascosti 1'!$C$8,( -'DATI nascosti 1'!$H$16*'DATI nascosti 1'!$C$6*I249*'DATI nascosti 1'!$H$10*F249),( -'DATI nascosti 1'!$H$16*'DATI nascosti 1'!$C$6*I249*'DATI nascosti 1'!$H$10*'DATI nascosti 1'!$C$8))</f>
        <v>-4140019.1314285682</v>
      </c>
      <c r="M249" s="71">
        <f>IF(C249&gt;=('DATI nascosti 1'!$L$10*10^-3),'DATI nascosti 1'!$L$14*'DATI nascosti 1'!$P$11,IF(C249&gt;=(-'DATI nascosti 1'!$L$10*10^-3),'DATI nascosti 1'!$P$11*'DATI nascosti 1'!$L$16*C249,-'DATI nascosti 1'!$L$14*'DATI nascosti 1'!$P$11))</f>
        <v>-288840.6289127905</v>
      </c>
      <c r="N249" s="71">
        <f t="shared" si="14"/>
        <v>-5043519.1925654486</v>
      </c>
      <c r="O249" s="71">
        <f>IF(F249&lt;='DATI nascosti 1'!$C$8,-L249*('DATI nascosti 1'!$C$8/2-(J249*F249))-K249*('DATI nascosti 1'!$C$13/2)+M249*('DATI nascosti 1'!$C$13/2),-L249*('DATI nascosti 1'!$C$8/2-(J249*'DATI nascosti 1'!$C$8))-K249*('DATI nascosti 1'!$C$13/2)+M249*('DATI nascosti 1'!$C$13/2))</f>
        <v>227748895.33676285</v>
      </c>
      <c r="P249" s="69">
        <f>-TABULATI!N249/10^3</f>
        <v>5043.519192565449</v>
      </c>
      <c r="Q249" s="69">
        <f>TABULATI!O249/10^6</f>
        <v>227.74889533676284</v>
      </c>
      <c r="R249" s="72">
        <f>-N249/('DATI nascosti 1'!$C$6*'DATI nascosti 1'!$C$13*'DATI nascosti 1'!$H$10*'DATI nascosti 1'!$H$16)</f>
        <v>1.2136249589656758</v>
      </c>
      <c r="S249" s="72">
        <f>O249/('DATI nascosti 1'!$H$16*'DATI nascosti 1'!$C$6*'DATI nascosti 1'!$C$13^2*'DATI nascosti 1'!$H$10)</f>
        <v>4.7448787229147887E-2</v>
      </c>
      <c r="T249" s="70">
        <f t="shared" si="15"/>
        <v>-45.156742076541114</v>
      </c>
      <c r="U249" s="67" t="str">
        <f>IF(T249&gt;=0, IF(T249&lt;='DATI nascosti 1'!$C$8/6, "SI", "NO"),IF(T249&gt; -'DATI nascosti 1'!$C$8/6, "SI", "NO"))</f>
        <v>SI</v>
      </c>
      <c r="V249" s="67" t="str">
        <f>IF(Foglio3!G250&lt;1,IF(Foglio3!G250&gt;-1,"ROTTURA BILANCIATA",""),"")</f>
        <v/>
      </c>
    </row>
    <row r="250" spans="1:22" ht="18.75" x14ac:dyDescent="0.25">
      <c r="A250" s="20"/>
      <c r="B250" s="68">
        <f t="shared" si="20"/>
        <v>-2.8000000000000013E-3</v>
      </c>
      <c r="C250" s="68">
        <f>(F250-'DATI nascosti 1'!$C$13)/(F250-'DATI nascosti 1'!$C$8+('DATI nascosti 1'!$H$14*10^-3)*'DATI nascosti 1'!$C$8/('DATI nascosti 1'!$H$12*10^-3))*('DATI nascosti 1'!$H$14*10^-3)</f>
        <v>-1.0033333333333318E-3</v>
      </c>
      <c r="D250" s="68">
        <f>(F250-'DATI nascosti 1'!$C$10)/(F250-'DATI nascosti 1'!$C$8+('DATI nascosti 1'!$H$14*10^-3)*'DATI nascosti 1'!$C$8/('DATI nascosti 1'!$H$12*10^-3))*('DATI nascosti 1'!$H$14*10^-3)</f>
        <v>-2.7300000000000011E-3</v>
      </c>
      <c r="E250" s="68">
        <f>(F250-'DATI nascosti 1'!$C$8)/(F250-'DATI nascosti 1'!$C$8+('DATI nascosti 1'!$H$14*10^-3)*'DATI nascosti 1'!$C$8/('DATI nascosti 1'!$H$12*10^-3))*('DATI nascosti 1'!$H$14*10^-3)</f>
        <v>-9.3333333333333181E-4</v>
      </c>
      <c r="F250" s="69">
        <f>('DATI nascosti 1'!$C$8*('DATI nascosti 1'!$H$14*10^-3)*B250/(('DATI nascosti 1'!$H$14*10^-3)-B250))*(1/('DATI nascosti 1'!$H$12*10^-3)-1/('DATI nascosti 1'!$H$14*10^-3))</f>
        <v>1799.9999999999982</v>
      </c>
      <c r="G250" s="70">
        <f>IF(E250&gt;0,$G$239,(IF(E250&lt;('DATI nascosti 1'!$H$14*10^-3),'DATI nascosti 1'!$H$10*(-'DATI nascosti 1'!$H$12), $G$239-((2*'DATI nascosti 1'!$H$10/(-'DATI nascosti 1'!$H$14)*((-E250*10^3)^2)/2)-('DATI nascosti 1'!$H$10/(-'DATI nascosti 1'!$H$14)^2*(-E250*10^3)^3/3))+(-E250*10^3*'DATI nascosti 1'!$H$10))))</f>
        <v>47.957973827160444</v>
      </c>
      <c r="H250" s="70">
        <f>IF(E250&gt;0,H249,(IF(E250&lt;('DATI nascosti 1'!$H$14*10^-3),'DATI nascosti 1'!$H$10/2*(-'DATI nascosti 1'!$H$12)^2,$H$239-((2*'DATI nascosti 1'!$H$10/(-'DATI nascosti 1'!$H$14)*((-E250*10^3)^3)/3)-('DATI nascosti 1'!$H$10/(-'DATI nascosti 1'!$H$14)^2*(-E250*10^3)^4/4))+'DATI nascosti 1'!$H$10/2*((-E250*10^3)^2))))</f>
        <v>84.711318592592463</v>
      </c>
      <c r="I250" s="70">
        <f>G250/('DATI nascosti 1'!$H$10*(-'DATI nascosti 1'!$H$12))</f>
        <v>0.97110405643738895</v>
      </c>
      <c r="J250" s="70">
        <f>1-(H250/G250)/(-'DATI nascosti 1'!$H$12)</f>
        <v>0.49532409415740108</v>
      </c>
      <c r="K250" s="71">
        <f>IF(D250&gt;=('DATI nascosti 1'!$L$10*10^-3),'DATI nascosti 1'!$L$14*'DATI nascosti 1'!$P$12,IF(D250&gt;=(-'DATI nascosti 1'!$L$10*10^-3),'DATI nascosti 1'!$L$16*D250*'DATI nascosti 1'!$P$12,-'DATI nascosti 1'!$L$14*'DATI nascosti 1'!$P$12))</f>
        <v>-614659.43222408998</v>
      </c>
      <c r="L250" s="71">
        <f>IF(F250&lt;'DATI nascosti 1'!$C$8,( -'DATI nascosti 1'!$H$16*'DATI nascosti 1'!$C$6*I250*'DATI nascosti 1'!$H$10*F250),( -'DATI nascosti 1'!$H$16*'DATI nascosti 1'!$C$6*I250*'DATI nascosti 1'!$H$10*'DATI nascosti 1'!$C$8))</f>
        <v>-4192897.1403174563</v>
      </c>
      <c r="M250" s="71">
        <f>IF(C250&gt;=('DATI nascosti 1'!$L$10*10^-3),'DATI nascosti 1'!$L$14*'DATI nascosti 1'!$P$11,IF(C250&gt;=(-'DATI nascosti 1'!$L$10*10^-3),'DATI nascosti 1'!$P$11*'DATI nascosti 1'!$L$16*C250,-'DATI nascosti 1'!$L$14*'DATI nascosti 1'!$P$11))</f>
        <v>-329790.53315410123</v>
      </c>
      <c r="N250" s="71">
        <f t="shared" si="14"/>
        <v>-5137347.1056956472</v>
      </c>
      <c r="O250" s="71">
        <f>IF(F250&lt;='DATI nascosti 1'!$C$8,-L250*('DATI nascosti 1'!$C$8/2-(J250*F250))-K250*('DATI nascosti 1'!$C$13/2)+M250*('DATI nascosti 1'!$C$13/2),-L250*('DATI nascosti 1'!$C$8/2-(J250*'DATI nascosti 1'!$C$8))-K250*('DATI nascosti 1'!$C$13/2)+M250*('DATI nascosti 1'!$C$13/2))</f>
        <v>188038499.89591047</v>
      </c>
      <c r="P250" s="69">
        <f>-TABULATI!N250/10^3</f>
        <v>5137.3471056956469</v>
      </c>
      <c r="Q250" s="69">
        <f>TABULATI!O250/10^6</f>
        <v>188.03849989591046</v>
      </c>
      <c r="R250" s="72">
        <f>-N250/('DATI nascosti 1'!$C$6*'DATI nascosti 1'!$C$13*'DATI nascosti 1'!$H$10*'DATI nascosti 1'!$H$16)</f>
        <v>1.2362028243161891</v>
      </c>
      <c r="S250" s="72">
        <f>O250/('DATI nascosti 1'!$H$16*'DATI nascosti 1'!$C$6*'DATI nascosti 1'!$C$13^2*'DATI nascosti 1'!$H$10)</f>
        <v>3.9175596260330126E-2</v>
      </c>
      <c r="T250" s="70">
        <f t="shared" si="15"/>
        <v>-36.602257162541527</v>
      </c>
      <c r="U250" s="67" t="str">
        <f>IF(T250&gt;=0, IF(T250&lt;='DATI nascosti 1'!$C$8/6, "SI", "NO"),IF(T250&gt; -'DATI nascosti 1'!$C$8/6, "SI", "NO"))</f>
        <v>SI</v>
      </c>
      <c r="V250" s="67" t="str">
        <f>IF(Foglio3!G251&lt;1,IF(Foglio3!G251&gt;-1,"ROTTURA BILANCIATA",""),"")</f>
        <v/>
      </c>
    </row>
    <row r="251" spans="1:22" ht="18.75" x14ac:dyDescent="0.25">
      <c r="A251" s="20"/>
      <c r="B251" s="68">
        <f t="shared" si="20"/>
        <v>-2.7000000000000014E-3</v>
      </c>
      <c r="C251" s="68">
        <f>(F251-'DATI nascosti 1'!$C$13)/(F251-'DATI nascosti 1'!$C$8+('DATI nascosti 1'!$H$14*10^-3)*'DATI nascosti 1'!$C$8/('DATI nascosti 1'!$H$12*10^-3))*('DATI nascosti 1'!$H$14*10^-3)</f>
        <v>-1.1279166666666651E-3</v>
      </c>
      <c r="D251" s="68">
        <f>(F251-'DATI nascosti 1'!$C$10)/(F251-'DATI nascosti 1'!$C$8+('DATI nascosti 1'!$H$14*10^-3)*'DATI nascosti 1'!$C$8/('DATI nascosti 1'!$H$12*10^-3))*('DATI nascosti 1'!$H$14*10^-3)</f>
        <v>-2.6387500000000018E-3</v>
      </c>
      <c r="E251" s="68">
        <f>(F251-'DATI nascosti 1'!$C$8)/(F251-'DATI nascosti 1'!$C$8+('DATI nascosti 1'!$H$14*10^-3)*'DATI nascosti 1'!$C$8/('DATI nascosti 1'!$H$12*10^-3))*('DATI nascosti 1'!$H$14*10^-3)</f>
        <v>-1.066666666666665E-3</v>
      </c>
      <c r="F251" s="69">
        <f>('DATI nascosti 1'!$C$8*('DATI nascosti 1'!$H$14*10^-3)*B251/(('DATI nascosti 1'!$H$14*10^-3)-B251))*(1/('DATI nascosti 1'!$H$12*10^-3)-1/('DATI nascosti 1'!$H$14*10^-3))</f>
        <v>1983.6734693877522</v>
      </c>
      <c r="G251" s="70">
        <f>IF(E251&gt;0,$G$239,(IF(E251&lt;('DATI nascosti 1'!$H$14*10^-3),'DATI nascosti 1'!$H$10*(-'DATI nascosti 1'!$H$12), $G$239-((2*'DATI nascosti 1'!$H$10/(-'DATI nascosti 1'!$H$14)*((-E251*10^3)^2)/2)-('DATI nascosti 1'!$H$10/(-'DATI nascosti 1'!$H$14)^2*(-E251*10^3)^3/3))+(-E251*10^3*'DATI nascosti 1'!$H$10))))</f>
        <v>48.429003950617243</v>
      </c>
      <c r="H251" s="70">
        <f>IF(E251&gt;0,H250,(IF(E251&lt;('DATI nascosti 1'!$H$14*10^-3),'DATI nascosti 1'!$H$10/2*(-'DATI nascosti 1'!$H$12)^2,$H$239-((2*'DATI nascosti 1'!$H$10/(-'DATI nascosti 1'!$H$14)*((-E251*10^3)^3)/3)-('DATI nascosti 1'!$H$10/(-'DATI nascosti 1'!$H$14)^2*(-E251*10^3)^4/4))+'DATI nascosti 1'!$H$10/2*((-E251*10^3)^2))))</f>
        <v>85.180955135802336</v>
      </c>
      <c r="I251" s="70">
        <f>G251/('DATI nascosti 1'!$H$10*(-'DATI nascosti 1'!$H$12))</f>
        <v>0.98064197530864139</v>
      </c>
      <c r="J251" s="70">
        <f>1-(H251/G251)/(-'DATI nascosti 1'!$H$12)</f>
        <v>0.49746198005841513</v>
      </c>
      <c r="K251" s="71">
        <f>IF(D251&gt;=('DATI nascosti 1'!$L$10*10^-3),'DATI nascosti 1'!$L$14*'DATI nascosti 1'!$P$12,IF(D251&gt;=(-'DATI nascosti 1'!$L$10*10^-3),'DATI nascosti 1'!$L$16*D251*'DATI nascosti 1'!$P$12,-'DATI nascosti 1'!$L$14*'DATI nascosti 1'!$P$12))</f>
        <v>-614659.43222408998</v>
      </c>
      <c r="L251" s="71">
        <f>IF(F251&lt;'DATI nascosti 1'!$C$8,( -'DATI nascosti 1'!$H$16*'DATI nascosti 1'!$C$6*I251*'DATI nascosti 1'!$H$10*F251),( -'DATI nascosti 1'!$H$16*'DATI nascosti 1'!$C$6*I251*'DATI nascosti 1'!$H$10*'DATI nascosti 1'!$C$8))</f>
        <v>-4234078.6311111078</v>
      </c>
      <c r="M251" s="71">
        <f>IF(C251&gt;=('DATI nascosti 1'!$L$10*10^-3),'DATI nascosti 1'!$L$14*'DATI nascosti 1'!$P$11,IF(C251&gt;=(-'DATI nascosti 1'!$L$10*10^-3),'DATI nascosti 1'!$P$11*'DATI nascosti 1'!$L$16*C251,-'DATI nascosti 1'!$L$14*'DATI nascosti 1'!$P$11))</f>
        <v>-370740.43739541201</v>
      </c>
      <c r="N251" s="71">
        <f t="shared" si="14"/>
        <v>-5219478.5007306095</v>
      </c>
      <c r="O251" s="71">
        <f>IF(F251&lt;='DATI nascosti 1'!$C$8,-L251*('DATI nascosti 1'!$C$8/2-(J251*F251))-K251*('DATI nascosti 1'!$C$13/2)+M251*('DATI nascosti 1'!$C$13/2),-L251*('DATI nascosti 1'!$C$8/2-(J251*'DATI nascosti 1'!$C$8))-K251*('DATI nascosti 1'!$C$13/2)+M251*('DATI nascosti 1'!$C$13/2))</f>
        <v>153758630.71355942</v>
      </c>
      <c r="P251" s="69">
        <f>-TABULATI!N251/10^3</f>
        <v>5219.4785007306091</v>
      </c>
      <c r="Q251" s="69">
        <f>TABULATI!O251/10^6</f>
        <v>153.75863071355943</v>
      </c>
      <c r="R251" s="72">
        <f>-N251/('DATI nascosti 1'!$C$6*'DATI nascosti 1'!$C$13*'DATI nascosti 1'!$H$10*'DATI nascosti 1'!$H$16)</f>
        <v>1.2559661497093058</v>
      </c>
      <c r="S251" s="72">
        <f>O251/('DATI nascosti 1'!$H$16*'DATI nascosti 1'!$C$6*'DATI nascosti 1'!$C$13^2*'DATI nascosti 1'!$H$10)</f>
        <v>3.203379117420093E-2</v>
      </c>
      <c r="T251" s="70">
        <f t="shared" si="15"/>
        <v>-29.458619418019765</v>
      </c>
      <c r="U251" s="67" t="str">
        <f>IF(T251&gt;=0, IF(T251&lt;='DATI nascosti 1'!$C$8/6, "SI", "NO"),IF(T251&gt; -'DATI nascosti 1'!$C$8/6, "SI", "NO"))</f>
        <v>SI</v>
      </c>
      <c r="V251" s="67" t="str">
        <f>IF(Foglio3!G252&lt;1,IF(Foglio3!G252&gt;-1,"ROTTURA BILANCIATA",""),"")</f>
        <v/>
      </c>
    </row>
    <row r="252" spans="1:22" ht="18.75" x14ac:dyDescent="0.25">
      <c r="A252" s="20"/>
      <c r="B252" s="68">
        <f t="shared" si="20"/>
        <v>-2.6000000000000016E-3</v>
      </c>
      <c r="C252" s="68">
        <f>(F252-'DATI nascosti 1'!$C$13)/(F252-'DATI nascosti 1'!$C$8+('DATI nascosti 1'!$H$14*10^-3)*'DATI nascosti 1'!$C$8/('DATI nascosti 1'!$H$12*10^-3))*('DATI nascosti 1'!$H$14*10^-3)</f>
        <v>-1.252499999999998E-3</v>
      </c>
      <c r="D252" s="68">
        <f>(F252-'DATI nascosti 1'!$C$10)/(F252-'DATI nascosti 1'!$C$8+('DATI nascosti 1'!$H$14*10^-3)*'DATI nascosti 1'!$C$8/('DATI nascosti 1'!$H$12*10^-3))*('DATI nascosti 1'!$H$14*10^-3)</f>
        <v>-2.5475000000000012E-3</v>
      </c>
      <c r="E252" s="68">
        <f>(F252-'DATI nascosti 1'!$C$8)/(F252-'DATI nascosti 1'!$C$8+('DATI nascosti 1'!$H$14*10^-3)*'DATI nascosti 1'!$C$8/('DATI nascosti 1'!$H$12*10^-3))*('DATI nascosti 1'!$H$14*10^-3)</f>
        <v>-1.1999999999999977E-3</v>
      </c>
      <c r="F252" s="69">
        <f>('DATI nascosti 1'!$C$8*('DATI nascosti 1'!$H$14*10^-3)*B252/(('DATI nascosti 1'!$H$14*10^-3)-B252))*(1/('DATI nascosti 1'!$H$12*10^-3)-1/('DATI nascosti 1'!$H$14*10^-3))</f>
        <v>2228.5714285714239</v>
      </c>
      <c r="G252" s="70">
        <f>IF(E252&gt;0,$G$239,(IF(E252&lt;('DATI nascosti 1'!$H$14*10^-3),'DATI nascosti 1'!$H$10*(-'DATI nascosti 1'!$H$12), $G$239-((2*'DATI nascosti 1'!$H$10/(-'DATI nascosti 1'!$H$14)*((-E252*10^3)^2)/2)-('DATI nascosti 1'!$H$10/(-'DATI nascosti 1'!$H$14)^2*(-E252*10^3)^3/3))+(-E252*10^3*'DATI nascosti 1'!$H$10))))</f>
        <v>48.782973333333288</v>
      </c>
      <c r="H252" s="70">
        <f>IF(E252&gt;0,H251,(IF(E252&lt;('DATI nascosti 1'!$H$14*10^-3),'DATI nascosti 1'!$H$10/2*(-'DATI nascosti 1'!$H$12)^2,$H$239-((2*'DATI nascosti 1'!$H$10/(-'DATI nascosti 1'!$H$14)*((-E252*10^3)^3)/3)-('DATI nascosti 1'!$H$10/(-'DATI nascosti 1'!$H$14)^2*(-E252*10^3)^4/4))+'DATI nascosti 1'!$H$10/2*((-E252*10^3)^2))))</f>
        <v>85.580912666666521</v>
      </c>
      <c r="I252" s="70">
        <f>G252/('DATI nascosti 1'!$H$10*(-'DATI nascosti 1'!$H$12))</f>
        <v>0.98780952380952303</v>
      </c>
      <c r="J252" s="70">
        <f>1-(H252/G252)/(-'DATI nascosti 1'!$H$12)</f>
        <v>0.4987659082144239</v>
      </c>
      <c r="K252" s="71">
        <f>IF(D252&gt;=('DATI nascosti 1'!$L$10*10^-3),'DATI nascosti 1'!$L$14*'DATI nascosti 1'!$P$12,IF(D252&gt;=(-'DATI nascosti 1'!$L$10*10^-3),'DATI nascosti 1'!$L$16*D252*'DATI nascosti 1'!$P$12,-'DATI nascosti 1'!$L$14*'DATI nascosti 1'!$P$12))</f>
        <v>-614659.43222408998</v>
      </c>
      <c r="L252" s="71">
        <f>IF(F252&lt;'DATI nascosti 1'!$C$8,( -'DATI nascosti 1'!$H$16*'DATI nascosti 1'!$C$6*I252*'DATI nascosti 1'!$H$10*F252),( -'DATI nascosti 1'!$H$16*'DATI nascosti 1'!$C$6*I252*'DATI nascosti 1'!$H$10*'DATI nascosti 1'!$C$8))</f>
        <v>-4265025.6685714247</v>
      </c>
      <c r="M252" s="71">
        <f>IF(C252&gt;=('DATI nascosti 1'!$L$10*10^-3),'DATI nascosti 1'!$L$14*'DATI nascosti 1'!$P$11,IF(C252&gt;=(-'DATI nascosti 1'!$L$10*10^-3),'DATI nascosti 1'!$P$11*'DATI nascosti 1'!$L$16*C252,-'DATI nascosti 1'!$L$14*'DATI nascosti 1'!$P$11))</f>
        <v>-411690.34163672267</v>
      </c>
      <c r="N252" s="71">
        <f t="shared" si="14"/>
        <v>-5291375.4424322378</v>
      </c>
      <c r="O252" s="71">
        <f>IF(F252&lt;='DATI nascosti 1'!$C$8,-L252*('DATI nascosti 1'!$C$8/2-(J252*F252))-K252*('DATI nascosti 1'!$C$13/2)+M252*('DATI nascosti 1'!$C$13/2),-L252*('DATI nascosti 1'!$C$8/2-(J252*'DATI nascosti 1'!$C$8))-K252*('DATI nascosti 1'!$C$13/2)+M252*('DATI nascosti 1'!$C$13/2))</f>
        <v>123530769.58563074</v>
      </c>
      <c r="P252" s="69">
        <f>-TABULATI!N252/10^3</f>
        <v>5291.3754424322378</v>
      </c>
      <c r="Q252" s="69">
        <f>TABULATI!O252/10^6</f>
        <v>123.53076958563075</v>
      </c>
      <c r="R252" s="72">
        <f>-N252/('DATI nascosti 1'!$C$6*'DATI nascosti 1'!$C$13*'DATI nascosti 1'!$H$10*'DATI nascosti 1'!$H$16)</f>
        <v>1.2732667526396997</v>
      </c>
      <c r="S252" s="72">
        <f>O252/('DATI nascosti 1'!$H$16*'DATI nascosti 1'!$C$6*'DATI nascosti 1'!$C$13^2*'DATI nascosti 1'!$H$10)</f>
        <v>2.5736174015924422E-2</v>
      </c>
      <c r="T252" s="74">
        <f t="shared" si="15"/>
        <v>-23.345682219980311</v>
      </c>
      <c r="U252" s="67" t="str">
        <f>IF(T252&gt;=0, IF(T252&lt;='DATI nascosti 1'!$C$8/6, "SI", "NO"),IF(T252&gt; -'DATI nascosti 1'!$C$8/6, "SI", "NO"))</f>
        <v>SI</v>
      </c>
      <c r="V252" s="67" t="str">
        <f>IF(Foglio3!G253&lt;1,IF(Foglio3!G253&gt;-1,"ROTTURA BILANCIATA",""),"")</f>
        <v/>
      </c>
    </row>
    <row r="253" spans="1:22" ht="18.75" x14ac:dyDescent="0.25">
      <c r="A253" s="20"/>
      <c r="B253" s="68">
        <f t="shared" si="20"/>
        <v>-2.5000000000000018E-3</v>
      </c>
      <c r="C253" s="68">
        <f>(F253-'DATI nascosti 1'!$C$13)/(F253-'DATI nascosti 1'!$C$8+('DATI nascosti 1'!$H$14*10^-3)*'DATI nascosti 1'!$C$8/('DATI nascosti 1'!$H$12*10^-3))*('DATI nascosti 1'!$H$14*10^-3)</f>
        <v>-1.3770833333333313E-3</v>
      </c>
      <c r="D253" s="68">
        <f>(F253-'DATI nascosti 1'!$C$10)/(F253-'DATI nascosti 1'!$C$8+('DATI nascosti 1'!$H$14*10^-3)*'DATI nascosti 1'!$C$8/('DATI nascosti 1'!$H$12*10^-3))*('DATI nascosti 1'!$H$14*10^-3)</f>
        <v>-2.4562500000000018E-3</v>
      </c>
      <c r="E253" s="68">
        <f>(F253-'DATI nascosti 1'!$C$8)/(F253-'DATI nascosti 1'!$C$8+('DATI nascosti 1'!$H$14*10^-3)*'DATI nascosti 1'!$C$8/('DATI nascosti 1'!$H$12*10^-3))*('DATI nascosti 1'!$H$14*10^-3)</f>
        <v>-1.3333333333333311E-3</v>
      </c>
      <c r="F253" s="69">
        <f>('DATI nascosti 1'!$C$8*('DATI nascosti 1'!$H$14*10^-3)*B253/(('DATI nascosti 1'!$H$14*10^-3)-B253))*(1/('DATI nascosti 1'!$H$12*10^-3)-1/('DATI nascosti 1'!$H$14*10^-3))</f>
        <v>2571.4285714285643</v>
      </c>
      <c r="G253" s="70">
        <f>IF(E253&gt;0,$G$239,(IF(E253&lt;('DATI nascosti 1'!$H$14*10^-3),'DATI nascosti 1'!$H$10*(-'DATI nascosti 1'!$H$12), $G$239-((2*'DATI nascosti 1'!$H$10/(-'DATI nascosti 1'!$H$14)*((-E253*10^3)^2)/2)-('DATI nascosti 1'!$H$10/(-'DATI nascosti 1'!$H$14)^2*(-E253*10^3)^3/3))+(-E253*10^3*'DATI nascosti 1'!$H$10))))</f>
        <v>49.036604938271566</v>
      </c>
      <c r="H253" s="70">
        <f>IF(E253&gt;0,H252,(IF(E253&lt;('DATI nascosti 1'!$H$14*10^-3),'DATI nascosti 1'!$H$10/2*(-'DATI nascosti 1'!$H$12)^2,$H$239-((2*'DATI nascosti 1'!$H$10/(-'DATI nascosti 1'!$H$14)*((-E253*10^3)^3)/3)-('DATI nascosti 1'!$H$10/(-'DATI nascosti 1'!$H$14)^2*(-E253*10^3)^4/4))+'DATI nascosti 1'!$H$10/2*((-E253*10^3)^2))))</f>
        <v>85.901157407407268</v>
      </c>
      <c r="I253" s="70">
        <f>G253/('DATI nascosti 1'!$H$10*(-'DATI nascosti 1'!$H$12))</f>
        <v>0.99294532627865906</v>
      </c>
      <c r="J253" s="70">
        <f>1-(H253/G253)/(-'DATI nascosti 1'!$H$12)</f>
        <v>0.49949251459020594</v>
      </c>
      <c r="K253" s="71">
        <f>IF(D253&gt;=('DATI nascosti 1'!$L$10*10^-3),'DATI nascosti 1'!$L$14*'DATI nascosti 1'!$P$12,IF(D253&gt;=(-'DATI nascosti 1'!$L$10*10^-3),'DATI nascosti 1'!$L$16*D253*'DATI nascosti 1'!$P$12,-'DATI nascosti 1'!$L$14*'DATI nascosti 1'!$P$12))</f>
        <v>-614659.43222408998</v>
      </c>
      <c r="L253" s="71">
        <f>IF(F253&lt;'DATI nascosti 1'!$C$8,( -'DATI nascosti 1'!$H$16*'DATI nascosti 1'!$C$6*I253*'DATI nascosti 1'!$H$10*F253),( -'DATI nascosti 1'!$H$16*'DATI nascosti 1'!$C$6*I253*'DATI nascosti 1'!$H$10*'DATI nascosti 1'!$C$8))</f>
        <v>-4287200.3174603144</v>
      </c>
      <c r="M253" s="71">
        <f>IF(C253&gt;=('DATI nascosti 1'!$L$10*10^-3),'DATI nascosti 1'!$L$14*'DATI nascosti 1'!$P$11,IF(C253&gt;=(-'DATI nascosti 1'!$L$10*10^-3),'DATI nascosti 1'!$P$11*'DATI nascosti 1'!$L$16*C253,-'DATI nascosti 1'!$L$14*'DATI nascosti 1'!$P$11))</f>
        <v>-452640.24587803346</v>
      </c>
      <c r="N253" s="71">
        <f t="shared" si="14"/>
        <v>-5354499.9955624379</v>
      </c>
      <c r="O253" s="71">
        <f>IF(F253&lt;='DATI nascosti 1'!$C$8,-L253*('DATI nascosti 1'!$C$8/2-(J253*F253))-K253*('DATI nascosti 1'!$C$13/2)+M253*('DATI nascosti 1'!$C$13/2),-L253*('DATI nascosti 1'!$C$8/2-(J253*'DATI nascosti 1'!$C$8))-K253*('DATI nascosti 1'!$C$13/2)+M253*('DATI nascosti 1'!$C$13/2))</f>
        <v>96176910.046818167</v>
      </c>
      <c r="P253" s="69">
        <f>-TABULATI!N253/10^3</f>
        <v>5354.499995562438</v>
      </c>
      <c r="Q253" s="69">
        <f>TABULATI!O253/10^6</f>
        <v>96.176910046818165</v>
      </c>
      <c r="R253" s="72">
        <f>-N253/('DATI nascosti 1'!$C$6*'DATI nascosti 1'!$C$13*'DATI nascosti 1'!$H$10*'DATI nascosti 1'!$H$16)</f>
        <v>1.2884564506020462</v>
      </c>
      <c r="S253" s="72">
        <f>O253/('DATI nascosti 1'!$H$16*'DATI nascosti 1'!$C$6*'DATI nascosti 1'!$C$13^2*'DATI nascosti 1'!$H$10)</f>
        <v>2.0037321078640341E-2</v>
      </c>
      <c r="T253" s="74">
        <f t="shared" si="15"/>
        <v>-17.961884419931859</v>
      </c>
      <c r="U253" s="67" t="str">
        <f>IF(T253&gt;=0, IF(T253&lt;='DATI nascosti 1'!$C$8/6, "SI", "NO"),IF(T253&gt; -'DATI nascosti 1'!$C$8/6, "SI", "NO"))</f>
        <v>SI</v>
      </c>
      <c r="V253" s="67" t="str">
        <f>IF(Foglio3!G254&lt;1,IF(Foglio3!G254&gt;-1,"ROTTURA BILANCIATA",""),"")</f>
        <v/>
      </c>
    </row>
    <row r="254" spans="1:22" ht="18.75" x14ac:dyDescent="0.25">
      <c r="A254" s="20"/>
      <c r="B254" s="68">
        <f t="shared" si="20"/>
        <v>-2.400000000000002E-3</v>
      </c>
      <c r="C254" s="68">
        <f>(F254-'DATI nascosti 1'!$C$13)/(F254-'DATI nascosti 1'!$C$8+('DATI nascosti 1'!$H$14*10^-3)*'DATI nascosti 1'!$C$8/('DATI nascosti 1'!$H$12*10^-3))*('DATI nascosti 1'!$H$14*10^-3)</f>
        <v>-1.5016666666666644E-3</v>
      </c>
      <c r="D254" s="68">
        <f>(F254-'DATI nascosti 1'!$C$10)/(F254-'DATI nascosti 1'!$C$8+('DATI nascosti 1'!$H$14*10^-3)*'DATI nascosti 1'!$C$8/('DATI nascosti 1'!$H$12*10^-3))*('DATI nascosti 1'!$H$14*10^-3)</f>
        <v>-2.3650000000000016E-3</v>
      </c>
      <c r="E254" s="68">
        <f>(F254-'DATI nascosti 1'!$C$8)/(F254-'DATI nascosti 1'!$C$8+('DATI nascosti 1'!$H$14*10^-3)*'DATI nascosti 1'!$C$8/('DATI nascosti 1'!$H$12*10^-3))*('DATI nascosti 1'!$H$14*10^-3)</f>
        <v>-1.4666666666666641E-3</v>
      </c>
      <c r="F254" s="69">
        <f>('DATI nascosti 1'!$C$8*('DATI nascosti 1'!$H$14*10^-3)*B254/(('DATI nascosti 1'!$H$14*10^-3)-B254))*(1/('DATI nascosti 1'!$H$12*10^-3)-1/('DATI nascosti 1'!$H$14*10^-3))</f>
        <v>3085.7142857142735</v>
      </c>
      <c r="G254" s="70">
        <f>IF(E254&gt;0,$G$239,(IF(E254&lt;('DATI nascosti 1'!$H$14*10^-3),'DATI nascosti 1'!$H$10*(-'DATI nascosti 1'!$H$12), $G$239-((2*'DATI nascosti 1'!$H$10/(-'DATI nascosti 1'!$H$14)*((-E254*10^3)^2)/2)-('DATI nascosti 1'!$H$10/(-'DATI nascosti 1'!$H$14)^2*(-E254*10^3)^3/3))+(-E254*10^3*'DATI nascosti 1'!$H$10))))</f>
        <v>49.206621728395021</v>
      </c>
      <c r="H254" s="70">
        <f>IF(E254&gt;0,H253,(IF(E254&lt;('DATI nascosti 1'!$H$14*10^-3),'DATI nascosti 1'!$H$10/2*(-'DATI nascosti 1'!$H$12)^2,$H$239-((2*'DATI nascosti 1'!$H$10/(-'DATI nascosti 1'!$H$14)*((-E254*10^3)^3)/3)-('DATI nascosti 1'!$H$10/(-'DATI nascosti 1'!$H$14)^2*(-E254*10^3)^4/4))+'DATI nascosti 1'!$H$10/2*((-E254*10^3)^2))))</f>
        <v>86.138344765431981</v>
      </c>
      <c r="I254" s="70">
        <f>G254/('DATI nascosti 1'!$H$10*(-'DATI nascosti 1'!$H$12))</f>
        <v>0.99638800705467312</v>
      </c>
      <c r="J254" s="70">
        <f>1-(H254/G254)/(-'DATI nascosti 1'!$H$12)</f>
        <v>0.4998446391400132</v>
      </c>
      <c r="K254" s="71">
        <f>IF(D254&gt;=('DATI nascosti 1'!$L$10*10^-3),'DATI nascosti 1'!$L$14*'DATI nascosti 1'!$P$12,IF(D254&gt;=(-'DATI nascosti 1'!$L$10*10^-3),'DATI nascosti 1'!$L$16*D254*'DATI nascosti 1'!$P$12,-'DATI nascosti 1'!$L$14*'DATI nascosti 1'!$P$12))</f>
        <v>-614659.43222408998</v>
      </c>
      <c r="L254" s="71">
        <f>IF(F254&lt;'DATI nascosti 1'!$C$8,( -'DATI nascosti 1'!$H$16*'DATI nascosti 1'!$C$6*I254*'DATI nascosti 1'!$H$10*F254),( -'DATI nascosti 1'!$H$16*'DATI nascosti 1'!$C$6*I254*'DATI nascosti 1'!$H$10*'DATI nascosti 1'!$C$8))</f>
        <v>-4302064.6425396791</v>
      </c>
      <c r="M254" s="71">
        <f>IF(C254&gt;=('DATI nascosti 1'!$L$10*10^-3),'DATI nascosti 1'!$L$14*'DATI nascosti 1'!$P$11,IF(C254&gt;=(-'DATI nascosti 1'!$L$10*10^-3),'DATI nascosti 1'!$P$11*'DATI nascosti 1'!$L$16*C254,-'DATI nascosti 1'!$L$14*'DATI nascosti 1'!$P$11))</f>
        <v>-493590.15011934418</v>
      </c>
      <c r="N254" s="71">
        <f t="shared" si="14"/>
        <v>-5410314.2248831131</v>
      </c>
      <c r="O254" s="71">
        <f>IF(F254&lt;='DATI nascosti 1'!$C$8,-L254*('DATI nascosti 1'!$C$8/2-(J254*F254))-K254*('DATI nascosti 1'!$C$13/2)+M254*('DATI nascosti 1'!$C$13/2),-L254*('DATI nascosti 1'!$C$8/2-(J254*'DATI nascosti 1'!$C$8))-K254*('DATI nascosti 1'!$C$13/2)+M254*('DATI nascosti 1'!$C$13/2))</f>
        <v>70719557.370591223</v>
      </c>
      <c r="P254" s="69">
        <f>-TABULATI!N254/10^3</f>
        <v>5410.3142248831127</v>
      </c>
      <c r="Q254" s="69">
        <f>TABULATI!O254/10^6</f>
        <v>70.719557370591218</v>
      </c>
      <c r="R254" s="72">
        <f>-N254/('DATI nascosti 1'!$C$6*'DATI nascosti 1'!$C$13*'DATI nascosti 1'!$H$10*'DATI nascosti 1'!$H$16)</f>
        <v>1.3018870610910189</v>
      </c>
      <c r="S254" s="72">
        <f>O254/('DATI nascosti 1'!$H$16*'DATI nascosti 1'!$C$6*'DATI nascosti 1'!$C$13^2*'DATI nascosti 1'!$H$10)</f>
        <v>1.4733582903464699E-2</v>
      </c>
      <c r="T254" s="74">
        <f t="shared" si="15"/>
        <v>-13.071247700427064</v>
      </c>
      <c r="U254" s="67" t="str">
        <f>IF(T254&gt;=0, IF(T254&lt;='DATI nascosti 1'!$C$8/6, "SI", "NO"),IF(T254&gt; -'DATI nascosti 1'!$C$8/6, "SI", "NO"))</f>
        <v>SI</v>
      </c>
      <c r="V254" s="67" t="str">
        <f>IF(Foglio3!G255&lt;1,IF(Foglio3!G255&gt;-1,"ROTTURA BILANCIATA",""),"")</f>
        <v/>
      </c>
    </row>
    <row r="255" spans="1:22" ht="18.75" x14ac:dyDescent="0.25">
      <c r="A255" s="20"/>
      <c r="B255" s="68">
        <f t="shared" si="20"/>
        <v>-2.3000000000000021E-3</v>
      </c>
      <c r="C255" s="68">
        <f>(F255-'DATI nascosti 1'!$C$13)/(F255-'DATI nascosti 1'!$C$8+('DATI nascosti 1'!$H$14*10^-3)*'DATI nascosti 1'!$C$8/('DATI nascosti 1'!$H$12*10^-3))*('DATI nascosti 1'!$H$14*10^-3)</f>
        <v>-1.6262499999999973E-3</v>
      </c>
      <c r="D255" s="68">
        <f>(F255-'DATI nascosti 1'!$C$10)/(F255-'DATI nascosti 1'!$C$8+('DATI nascosti 1'!$H$14*10^-3)*'DATI nascosti 1'!$C$8/('DATI nascosti 1'!$H$12*10^-3))*('DATI nascosti 1'!$H$14*10^-3)</f>
        <v>-2.2737500000000019E-3</v>
      </c>
      <c r="E255" s="68">
        <f>(F255-'DATI nascosti 1'!$C$8)/(F255-'DATI nascosti 1'!$C$8+('DATI nascosti 1'!$H$14*10^-3)*'DATI nascosti 1'!$C$8/('DATI nascosti 1'!$H$12*10^-3))*('DATI nascosti 1'!$H$14*10^-3)</f>
        <v>-1.5999999999999973E-3</v>
      </c>
      <c r="F255" s="69">
        <f>('DATI nascosti 1'!$C$8*('DATI nascosti 1'!$H$14*10^-3)*B255/(('DATI nascosti 1'!$H$14*10^-3)-B255))*(1/('DATI nascosti 1'!$H$12*10^-3)-1/('DATI nascosti 1'!$H$14*10^-3))</f>
        <v>3942.857142857119</v>
      </c>
      <c r="G255" s="70">
        <f>IF(E255&gt;0,$G$239,(IF(E255&lt;('DATI nascosti 1'!$H$14*10^-3),'DATI nascosti 1'!$H$10*(-'DATI nascosti 1'!$H$12), $G$239-((2*'DATI nascosti 1'!$H$10/(-'DATI nascosti 1'!$H$14)*((-E255*10^3)^2)/2)-('DATI nascosti 1'!$H$10/(-'DATI nascosti 1'!$H$14)^2*(-E255*10^3)^3/3))+(-E255*10^3*'DATI nascosti 1'!$H$10))))</f>
        <v>49.309746666666626</v>
      </c>
      <c r="H255" s="70">
        <f>IF(E255&gt;0,H254,(IF(E255&lt;('DATI nascosti 1'!$H$14*10^-3),'DATI nascosti 1'!$H$10/2*(-'DATI nascosti 1'!$H$12)^2,$H$239-((2*'DATI nascosti 1'!$H$10/(-'DATI nascosti 1'!$H$14)*((-E255*10^3)^3)/3)-('DATI nascosti 1'!$H$10/(-'DATI nascosti 1'!$H$14)^2*(-E255*10^3)^4/4))+'DATI nascosti 1'!$H$10/2*((-E255*10^3)^2))))</f>
        <v>86.295819333333213</v>
      </c>
      <c r="I255" s="70">
        <f>G255/('DATI nascosti 1'!$H$10*(-'DATI nascosti 1'!$H$12))</f>
        <v>0.99847619047618985</v>
      </c>
      <c r="J255" s="70">
        <f>1-(H255/G255)/(-'DATI nascosti 1'!$H$12)</f>
        <v>0.49997819807052957</v>
      </c>
      <c r="K255" s="71">
        <f>IF(D255&gt;=('DATI nascosti 1'!$L$10*10^-3),'DATI nascosti 1'!$L$14*'DATI nascosti 1'!$P$12,IF(D255&gt;=(-'DATI nascosti 1'!$L$10*10^-3),'DATI nascosti 1'!$L$16*D255*'DATI nascosti 1'!$P$12,-'DATI nascosti 1'!$L$14*'DATI nascosti 1'!$P$12))</f>
        <v>-614659.43222408998</v>
      </c>
      <c r="L255" s="71">
        <f>IF(F255&lt;'DATI nascosti 1'!$C$8,( -'DATI nascosti 1'!$H$16*'DATI nascosti 1'!$C$6*I255*'DATI nascosti 1'!$H$10*F255),( -'DATI nascosti 1'!$H$16*'DATI nascosti 1'!$C$6*I255*'DATI nascosti 1'!$H$10*'DATI nascosti 1'!$C$8))</f>
        <v>-4311080.7085714247</v>
      </c>
      <c r="M255" s="71">
        <f>IF(C255&gt;=('DATI nascosti 1'!$L$10*10^-3),'DATI nascosti 1'!$L$14*'DATI nascosti 1'!$P$11,IF(C255&gt;=(-'DATI nascosti 1'!$L$10*10^-3),'DATI nascosti 1'!$P$11*'DATI nascosti 1'!$L$16*C255,-'DATI nascosti 1'!$L$14*'DATI nascosti 1'!$P$11))</f>
        <v>-534540.0543606549</v>
      </c>
      <c r="N255" s="71">
        <f t="shared" si="14"/>
        <v>-5460280.1951561701</v>
      </c>
      <c r="O255" s="71">
        <f>IF(F255&lt;='DATI nascosti 1'!$C$8,-L255*('DATI nascosti 1'!$C$8/2-(J255*F255))-K255*('DATI nascosti 1'!$C$13/2)+M255*('DATI nascosti 1'!$C$13/2),-L255*('DATI nascosti 1'!$C$8/2-(J255*'DATI nascosti 1'!$C$8))-K255*('DATI nascosti 1'!$C$13/2)+M255*('DATI nascosti 1'!$C$13/2))</f>
        <v>46381728.569193482</v>
      </c>
      <c r="P255" s="69">
        <f>-TABULATI!N255/10^3</f>
        <v>5460.2801951561696</v>
      </c>
      <c r="Q255" s="69">
        <f>TABULATI!O255/10^6</f>
        <v>46.381728569193484</v>
      </c>
      <c r="R255" s="72">
        <f>-N255/('DATI nascosti 1'!$C$6*'DATI nascosti 1'!$C$13*'DATI nascosti 1'!$H$10*'DATI nascosti 1'!$H$16)</f>
        <v>1.3139104016012935</v>
      </c>
      <c r="S255" s="72">
        <f>O255/('DATI nascosti 1'!$H$16*'DATI nascosti 1'!$C$6*'DATI nascosti 1'!$C$13^2*'DATI nascosti 1'!$H$10)</f>
        <v>9.6630842794894079E-3</v>
      </c>
      <c r="T255" s="74">
        <f t="shared" si="15"/>
        <v>-8.4943861691088394</v>
      </c>
      <c r="U255" s="67" t="str">
        <f>IF(T255&gt;=0, IF(T255&lt;='DATI nascosti 1'!$C$8/6, "SI", "NO"),IF(T255&gt; -'DATI nascosti 1'!$C$8/6, "SI", "NO"))</f>
        <v>SI</v>
      </c>
      <c r="V255" s="67" t="str">
        <f>IF(Foglio3!G256&lt;1,IF(Foglio3!G256&gt;-1,"ROTTURA BILANCIATA",""),"")</f>
        <v/>
      </c>
    </row>
    <row r="256" spans="1:22" ht="18.75" x14ac:dyDescent="0.25">
      <c r="A256" s="20"/>
      <c r="B256" s="68">
        <f t="shared" si="20"/>
        <v>-2.2000000000000023E-3</v>
      </c>
      <c r="C256" s="68">
        <f>(F256-'DATI nascosti 1'!$C$13)/(F256-'DATI nascosti 1'!$C$8+('DATI nascosti 1'!$H$14*10^-3)*'DATI nascosti 1'!$C$8/('DATI nascosti 1'!$H$12*10^-3))*('DATI nascosti 1'!$H$14*10^-3)</f>
        <v>-1.7508333333333306E-3</v>
      </c>
      <c r="D256" s="68">
        <f>(F256-'DATI nascosti 1'!$C$10)/(F256-'DATI nascosti 1'!$C$8+('DATI nascosti 1'!$H$14*10^-3)*'DATI nascosti 1'!$C$8/('DATI nascosti 1'!$H$12*10^-3))*('DATI nascosti 1'!$H$14*10^-3)</f>
        <v>-2.1825000000000026E-3</v>
      </c>
      <c r="E256" s="68">
        <f>(F256-'DATI nascosti 1'!$C$8)/(F256-'DATI nascosti 1'!$C$8+('DATI nascosti 1'!$H$14*10^-3)*'DATI nascosti 1'!$C$8/('DATI nascosti 1'!$H$12*10^-3))*('DATI nascosti 1'!$H$14*10^-3)</f>
        <v>-1.7333333333333304E-3</v>
      </c>
      <c r="F256" s="69">
        <f>('DATI nascosti 1'!$C$8*('DATI nascosti 1'!$H$14*10^-3)*B256/(('DATI nascosti 1'!$H$14*10^-3)-B256))*(1/('DATI nascosti 1'!$H$12*10^-3)-1/('DATI nascosti 1'!$H$14*10^-3))</f>
        <v>5657.1428571427987</v>
      </c>
      <c r="G256" s="70">
        <f>IF(E256&gt;0,$G$239,(IF(E256&lt;('DATI nascosti 1'!$H$14*10^-3),'DATI nascosti 1'!$H$10*(-'DATI nascosti 1'!$H$12), $G$239-((2*'DATI nascosti 1'!$H$10/(-'DATI nascosti 1'!$H$14)*((-E256*10^3)^2)/2)-('DATI nascosti 1'!$H$10/(-'DATI nascosti 1'!$H$14)^2*(-E256*10^3)^3/3))+(-E256*10^3*'DATI nascosti 1'!$H$10))))</f>
        <v>49.362702716049341</v>
      </c>
      <c r="H256" s="70">
        <f>IF(E256&gt;0,H255,(IF(E256&lt;('DATI nascosti 1'!$H$14*10^-3),'DATI nascosti 1'!$H$10/2*(-'DATI nascosti 1'!$H$12)^2,$H$239-((2*'DATI nascosti 1'!$H$10/(-'DATI nascosti 1'!$H$14)*((-E256*10^3)^3)/3)-('DATI nascosti 1'!$H$10/(-'DATI nascosti 1'!$H$14)^2*(-E256*10^3)^4/4))+'DATI nascosti 1'!$H$10/2*((-E256*10^3)^2))))</f>
        <v>86.383614888888758</v>
      </c>
      <c r="I256" s="70">
        <f>G256/('DATI nascosti 1'!$H$10*(-'DATI nascosti 1'!$H$12))</f>
        <v>0.99954850088183356</v>
      </c>
      <c r="J256" s="70">
        <f>1-(H256/G256)/(-'DATI nascosti 1'!$H$12)</f>
        <v>0.50000645290088175</v>
      </c>
      <c r="K256" s="71">
        <f>IF(D256&gt;=('DATI nascosti 1'!$L$10*10^-3),'DATI nascosti 1'!$L$14*'DATI nascosti 1'!$P$12,IF(D256&gt;=(-'DATI nascosti 1'!$L$10*10^-3),'DATI nascosti 1'!$L$16*D256*'DATI nascosti 1'!$P$12,-'DATI nascosti 1'!$L$14*'DATI nascosti 1'!$P$12))</f>
        <v>-614659.43222408998</v>
      </c>
      <c r="L256" s="71">
        <f>IF(F256&lt;'DATI nascosti 1'!$C$8,( -'DATI nascosti 1'!$H$16*'DATI nascosti 1'!$C$6*I256*'DATI nascosti 1'!$H$10*F256),( -'DATI nascosti 1'!$H$16*'DATI nascosti 1'!$C$6*I256*'DATI nascosti 1'!$H$10*'DATI nascosti 1'!$C$8))</f>
        <v>-4315710.5803174563</v>
      </c>
      <c r="M256" s="71">
        <f>IF(C256&gt;=('DATI nascosti 1'!$L$10*10^-3),'DATI nascosti 1'!$L$14*'DATI nascosti 1'!$P$11,IF(C256&gt;=(-'DATI nascosti 1'!$L$10*10^-3),'DATI nascosti 1'!$P$11*'DATI nascosti 1'!$L$16*C256,-'DATI nascosti 1'!$L$14*'DATI nascosti 1'!$P$11))</f>
        <v>-575489.95860196569</v>
      </c>
      <c r="N256" s="71">
        <f t="shared" si="14"/>
        <v>-5505859.9711435121</v>
      </c>
      <c r="O256" s="71">
        <f>IF(F256&lt;='DATI nascosti 1'!$C$8,-L256*('DATI nascosti 1'!$C$8/2-(J256*F256))-K256*('DATI nascosti 1'!$C$13/2)+M256*('DATI nascosti 1'!$C$13/2),-L256*('DATI nascosti 1'!$C$8/2-(J256*'DATI nascosti 1'!$C$8))-K256*('DATI nascosti 1'!$C$13/2)+M256*('DATI nascosti 1'!$C$13/2))</f>
        <v>22586952.393645763</v>
      </c>
      <c r="P256" s="69">
        <f>-TABULATI!N256/10^3</f>
        <v>5505.8599711435118</v>
      </c>
      <c r="Q256" s="69">
        <f>TABULATI!O256/10^6</f>
        <v>22.586952393645763</v>
      </c>
      <c r="R256" s="72">
        <f>-N256/('DATI nascosti 1'!$C$6*'DATI nascosti 1'!$C$13*'DATI nascosti 1'!$H$10*'DATI nascosti 1'!$H$16)</f>
        <v>1.3248782896275437</v>
      </c>
      <c r="S256" s="72">
        <f>O256/('DATI nascosti 1'!$H$16*'DATI nascosti 1'!$C$6*'DATI nascosti 1'!$C$13^2*'DATI nascosti 1'!$H$10)</f>
        <v>4.7057242437829492E-3</v>
      </c>
      <c r="T256" s="74">
        <f t="shared" si="15"/>
        <v>-4.102347773467744</v>
      </c>
      <c r="U256" s="67" t="str">
        <f>IF(T256&gt;=0, IF(T256&lt;='DATI nascosti 1'!$C$8/6, "SI", "NO"),IF(T256&gt; -'DATI nascosti 1'!$C$8/6, "SI", "NO"))</f>
        <v>SI</v>
      </c>
      <c r="V256" s="67" t="str">
        <f>IF(Foglio3!G257&lt;1,IF(Foglio3!G257&gt;-1,"ROTTURA BILANCIATA",""),"")</f>
        <v/>
      </c>
    </row>
    <row r="257" spans="1:22" ht="18.75" x14ac:dyDescent="0.25">
      <c r="A257" s="20"/>
      <c r="B257" s="68">
        <f t="shared" si="20"/>
        <v>-2.1000000000000025E-3</v>
      </c>
      <c r="C257" s="68">
        <f>(F257-'DATI nascosti 1'!$C$13)/(F257-'DATI nascosti 1'!$C$8+('DATI nascosti 1'!$H$14*10^-3)*'DATI nascosti 1'!$C$8/('DATI nascosti 1'!$H$12*10^-3))*('DATI nascosti 1'!$H$14*10^-3)</f>
        <v>-1.8754166666666635E-3</v>
      </c>
      <c r="D257" s="68">
        <f>(F257-'DATI nascosti 1'!$C$10)/(F257-'DATI nascosti 1'!$C$8+('DATI nascosti 1'!$H$14*10^-3)*'DATI nascosti 1'!$C$8/('DATI nascosti 1'!$H$12*10^-3))*('DATI nascosti 1'!$H$14*10^-3)</f>
        <v>-2.0912500000000024E-3</v>
      </c>
      <c r="E257" s="68">
        <f>(F257-'DATI nascosti 1'!$C$8)/(F257-'DATI nascosti 1'!$C$8+('DATI nascosti 1'!$H$14*10^-3)*'DATI nascosti 1'!$C$8/('DATI nascosti 1'!$H$12*10^-3))*('DATI nascosti 1'!$H$14*10^-3)</f>
        <v>-1.8666666666666634E-3</v>
      </c>
      <c r="F257" s="69">
        <f>('DATI nascosti 1'!$C$8*('DATI nascosti 1'!$H$14*10^-3)*B257/(('DATI nascosti 1'!$H$14*10^-3)-B257))*(1/('DATI nascosti 1'!$H$12*10^-3)-1/('DATI nascosti 1'!$H$14*10^-3))</f>
        <v>10799.999999999747</v>
      </c>
      <c r="G257" s="70">
        <f>IF(E257&gt;0,$G$239,(IF(E257&lt;('DATI nascosti 1'!$H$14*10^-3),'DATI nascosti 1'!$H$10*(-'DATI nascosti 1'!$H$12), $G$239-((2*'DATI nascosti 1'!$H$10/(-'DATI nascosti 1'!$H$14)*((-E257*10^3)^2)/2)-('DATI nascosti 1'!$H$10/(-'DATI nascosti 1'!$H$14)^2*(-E257*10^3)^3/3))+(-E257*10^3*'DATI nascosti 1'!$H$10))))</f>
        <v>49.382212839506138</v>
      </c>
      <c r="H257" s="70">
        <f>IF(E257&gt;0,H256,(IF(E257&lt;('DATI nascosti 1'!$H$14*10^-3),'DATI nascosti 1'!$H$10/2*(-'DATI nascosti 1'!$H$12)^2,$H$239-((2*'DATI nascosti 1'!$H$10/(-'DATI nascosti 1'!$H$14)*((-E257*10^3)^3)/3)-('DATI nascosti 1'!$H$10/(-'DATI nascosti 1'!$H$14)^2*(-E257*10^3)^4/4))+'DATI nascosti 1'!$H$10/2*((-E257*10^3)^2))))</f>
        <v>86.418454395061588</v>
      </c>
      <c r="I257" s="70">
        <f>G257/('DATI nascosti 1'!$H$10*(-'DATI nascosti 1'!$H$12))</f>
        <v>0.99994356261022876</v>
      </c>
      <c r="J257" s="70">
        <f>1-(H257/G257)/(-'DATI nascosti 1'!$H$12)</f>
        <v>0.50000241888179175</v>
      </c>
      <c r="K257" s="71">
        <f>IF(D257&gt;=('DATI nascosti 1'!$L$10*10^-3),'DATI nascosti 1'!$L$14*'DATI nascosti 1'!$P$12,IF(D257&gt;=(-'DATI nascosti 1'!$L$10*10^-3),'DATI nascosti 1'!$L$16*D257*'DATI nascosti 1'!$P$12,-'DATI nascosti 1'!$L$14*'DATI nascosti 1'!$P$12))</f>
        <v>-614659.43222408998</v>
      </c>
      <c r="L257" s="71">
        <f>IF(F257&lt;'DATI nascosti 1'!$C$8,( -'DATI nascosti 1'!$H$16*'DATI nascosti 1'!$C$6*I257*'DATI nascosti 1'!$H$10*F257),( -'DATI nascosti 1'!$H$16*'DATI nascosti 1'!$C$6*I257*'DATI nascosti 1'!$H$10*'DATI nascosti 1'!$C$8))</f>
        <v>-4317416.3225396797</v>
      </c>
      <c r="M257" s="71">
        <f>IF(C257&gt;=('DATI nascosti 1'!$L$10*10^-3),'DATI nascosti 1'!$L$14*'DATI nascosti 1'!$P$11,IF(C257&gt;=(-'DATI nascosti 1'!$L$10*10^-3),'DATI nascosti 1'!$P$11*'DATI nascosti 1'!$L$16*C257,-'DATI nascosti 1'!$L$14*'DATI nascosti 1'!$P$11))</f>
        <v>-614659.43222408998</v>
      </c>
      <c r="N257" s="71">
        <f t="shared" si="14"/>
        <v>-5546735.1869878601</v>
      </c>
      <c r="O257" s="71">
        <f>IF(F257&lt;='DATI nascosti 1'!$C$8,-L257*('DATI nascosti 1'!$C$8/2-(J257*F257))-K257*('DATI nascosti 1'!$C$13/2)+M257*('DATI nascosti 1'!$C$13/2),-L257*('DATI nascosti 1'!$C$8/2-(J257*'DATI nascosti 1'!$C$8))-K257*('DATI nascosti 1'!$C$13/2)+M257*('DATI nascosti 1'!$C$13/2))</f>
        <v>-12531.983676016331</v>
      </c>
      <c r="P257" s="69">
        <f>-TABULATI!N257/10^3</f>
        <v>5546.7351869878603</v>
      </c>
      <c r="Q257" s="69">
        <f>TABULATI!O257/10^6</f>
        <v>-1.2531983676016331E-2</v>
      </c>
      <c r="R257" s="72">
        <f>-N257/('DATI nascosti 1'!$C$6*'DATI nascosti 1'!$C$13*'DATI nascosti 1'!$H$10*'DATI nascosti 1'!$H$16)</f>
        <v>1.3347141166082233</v>
      </c>
      <c r="S257" s="72">
        <f>O257/('DATI nascosti 1'!$H$16*'DATI nascosti 1'!$C$6*'DATI nascosti 1'!$C$13^2*'DATI nascosti 1'!$H$10)</f>
        <v>-2.6108904990437059E-6</v>
      </c>
      <c r="T257" s="74">
        <f t="shared" si="15"/>
        <v>2.259344146339496E-3</v>
      </c>
      <c r="U257" s="67" t="str">
        <f>IF(T257&gt;=0, IF(T257&lt;='DATI nascosti 1'!$C$8/6, "SI", "NO"),IF(T257&gt; -'DATI nascosti 1'!$C$8/6, "SI", "NO"))</f>
        <v>SI</v>
      </c>
      <c r="V257" s="67" t="str">
        <f>IF(Foglio3!G258&lt;1,IF(Foglio3!G258&gt;-1,"ROTTURA BILANCIATA",""),"")</f>
        <v/>
      </c>
    </row>
    <row r="258" spans="1:22" ht="18.75" x14ac:dyDescent="0.25">
      <c r="A258" s="20"/>
      <c r="B258" s="68">
        <f t="shared" si="20"/>
        <v>-2.0000000000000026E-3</v>
      </c>
      <c r="C258" s="68">
        <f>(F258-'DATI nascosti 1'!$C$13)/(F258-'DATI nascosti 1'!$C$8+('DATI nascosti 1'!$H$14*10^-3)*'DATI nascosti 1'!$C$8/('DATI nascosti 1'!$H$12*10^-3))*('DATI nascosti 1'!$H$14*10^-3)</f>
        <v>-1.9999999999999966E-3</v>
      </c>
      <c r="D258" s="68">
        <f>(F258-'DATI nascosti 1'!$C$10)/(F258-'DATI nascosti 1'!$C$8+('DATI nascosti 1'!$H$14*10^-3)*'DATI nascosti 1'!$C$8/('DATI nascosti 1'!$H$12*10^-3))*('DATI nascosti 1'!$H$14*10^-3)</f>
        <v>-2.0000000000000022E-3</v>
      </c>
      <c r="E258" s="68">
        <f>(F258-'DATI nascosti 1'!$C$8)/(F258-'DATI nascosti 1'!$C$8+('DATI nascosti 1'!$H$14*10^-3)*'DATI nascosti 1'!$C$8/('DATI nascosti 1'!$H$12*10^-3))*('DATI nascosti 1'!$H$14*10^-3)</f>
        <v>-1.9999999999999966E-3</v>
      </c>
      <c r="F258" s="69">
        <f>('DATI nascosti 1'!$C$8*('DATI nascosti 1'!$H$14*10^-3)*B258/(('DATI nascosti 1'!$H$14*10^-3)-B258))*(1/('DATI nascosti 1'!$H$12*10^-3)-1/('DATI nascosti 1'!$H$14*10^-3))</f>
        <v>3.9528737300806234E+17</v>
      </c>
      <c r="G258" s="70">
        <f>IF(E258&gt;0,$G$239,(IF(E258&lt;('DATI nascosti 1'!$H$14*10^-3),'DATI nascosti 1'!$H$10*(-'DATI nascosti 1'!$H$12), $G$239-((2*'DATI nascosti 1'!$H$10/(-'DATI nascosti 1'!$H$14)*((-E258*10^3)^2)/2)-('DATI nascosti 1'!$H$10/(-'DATI nascosti 1'!$H$14)^2*(-E258*10^3)^3/3))+(-E258*10^3*'DATI nascosti 1'!$H$10))))</f>
        <v>49.384999999999962</v>
      </c>
      <c r="H258" s="70">
        <f>IF(E258&gt;0,H257,(IF(E258&lt;('DATI nascosti 1'!$H$14*10^-3),'DATI nascosti 1'!$H$10/2*(-'DATI nascosti 1'!$H$12)^2,$H$239-((2*'DATI nascosti 1'!$H$10/(-'DATI nascosti 1'!$H$14)*((-E258*10^3)^3)/3)-('DATI nascosti 1'!$H$10/(-'DATI nascosti 1'!$H$14)^2*(-E258*10^3)^4/4))+'DATI nascosti 1'!$H$10/2*((-E258*10^3)^2))))</f>
        <v>86.42374999999987</v>
      </c>
      <c r="I258" s="70">
        <f>G258/('DATI nascosti 1'!$H$10*(-'DATI nascosti 1'!$H$12))</f>
        <v>0.99999999999999944</v>
      </c>
      <c r="J258" s="70">
        <f>1-(H258/G258)/(-'DATI nascosti 1'!$H$12)</f>
        <v>0.50000000000000044</v>
      </c>
      <c r="K258" s="71">
        <f>IF(D258&gt;=('DATI nascosti 1'!$L$10*10^-3),'DATI nascosti 1'!$L$14*'DATI nascosti 1'!$P$12,IF(D258&gt;=(-'DATI nascosti 1'!$L$10*10^-3),'DATI nascosti 1'!$L$16*D258*'DATI nascosti 1'!$P$12,-'DATI nascosti 1'!$L$14*'DATI nascosti 1'!$P$12))</f>
        <v>-614659.43222408998</v>
      </c>
      <c r="L258" s="71">
        <f>IF(F258&lt;'DATI nascosti 1'!$C$8,( -'DATI nascosti 1'!$H$16*'DATI nascosti 1'!$C$6*I258*'DATI nascosti 1'!$H$10*F258),( -'DATI nascosti 1'!$H$16*'DATI nascosti 1'!$C$6*I258*'DATI nascosti 1'!$H$10*'DATI nascosti 1'!$C$8))</f>
        <v>-4317659.9999999972</v>
      </c>
      <c r="M258" s="71">
        <f>IF(C258&gt;=('DATI nascosti 1'!$L$10*10^-3),'DATI nascosti 1'!$L$14*'DATI nascosti 1'!$P$11,IF(C258&gt;=(-'DATI nascosti 1'!$L$10*10^-3),'DATI nascosti 1'!$P$11*'DATI nascosti 1'!$L$16*C258,-'DATI nascosti 1'!$L$14*'DATI nascosti 1'!$P$11))</f>
        <v>-614659.43222408998</v>
      </c>
      <c r="N258" s="71">
        <f t="shared" ref="N258" si="21">K258+L258+M258</f>
        <v>-5546978.8644481776</v>
      </c>
      <c r="O258" s="71">
        <f>IF(F258&lt;='DATI nascosti 1'!$C$8,-L258*('DATI nascosti 1'!$C$8/2-(J258*F258))-K258*('DATI nascosti 1'!$C$13/2)+M258*('DATI nascosti 1'!$C$13/2),-L258*('DATI nascosti 1'!$C$8/2-(J258*'DATI nascosti 1'!$C$8))-K258*('DATI nascosti 1'!$C$13/2)+M258*('DATI nascosti 1'!$C$13/2))</f>
        <v>-2.4437904357910156E-6</v>
      </c>
      <c r="P258" s="69">
        <f>-TABULATI!N258/10^3</f>
        <v>5546.9788644481778</v>
      </c>
      <c r="Q258" s="69">
        <f>TABULATI!O258/10^6</f>
        <v>-2.4437904357910157E-12</v>
      </c>
      <c r="R258" s="72">
        <f>-N258/('DATI nascosti 1'!$C$6*'DATI nascosti 1'!$C$13*'DATI nascosti 1'!$H$10*'DATI nascosti 1'!$H$16)</f>
        <v>1.3347727528573357</v>
      </c>
      <c r="S258" s="72">
        <f>O258/('DATI nascosti 1'!$H$16*'DATI nascosti 1'!$C$6*'DATI nascosti 1'!$C$13^2*'DATI nascosti 1'!$H$10)</f>
        <v>-5.09134818190959E-16</v>
      </c>
      <c r="T258" s="74">
        <f t="shared" si="15"/>
        <v>4.4056242064555402E-13</v>
      </c>
      <c r="U258" s="67" t="str">
        <f>IF(T258&gt;=0, IF(T258&lt;='DATI nascosti 1'!$C$8/6, "SI", "NO"),IF(T258&gt; -'DATI nascosti 1'!$C$8/6, "SI", "NO"))</f>
        <v>SI</v>
      </c>
      <c r="V258" s="67" t="str">
        <f>IF(Foglio3!G259&lt;1,IF(Foglio3!G259&gt;-1,"ROTTURA BILANCIATA",""),"")</f>
        <v/>
      </c>
    </row>
  </sheetData>
  <sheetProtection password="C2CA" sheet="1" objects="1" scenarios="1"/>
  <mergeCells count="4">
    <mergeCell ref="A139:A140"/>
    <mergeCell ref="A103:A104"/>
    <mergeCell ref="A2:A3"/>
    <mergeCell ref="A244:A245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8"/>
  <sheetViews>
    <sheetView topLeftCell="G1" zoomScale="60" zoomScaleNormal="60" workbookViewId="0">
      <pane ySplit="1" topLeftCell="A2" activePane="bottomLeft" state="frozen"/>
      <selection activeCell="Q9" sqref="Q9"/>
      <selection pane="bottomLeft" activeCell="AA11" sqref="AA11"/>
    </sheetView>
  </sheetViews>
  <sheetFormatPr defaultRowHeight="15" x14ac:dyDescent="0.25"/>
  <cols>
    <col min="1" max="1" width="17" customWidth="1"/>
    <col min="2" max="14" width="14.7109375" customWidth="1"/>
    <col min="15" max="17" width="19.7109375" customWidth="1"/>
    <col min="18" max="21" width="14.7109375" customWidth="1"/>
    <col min="22" max="22" width="24.42578125" customWidth="1"/>
  </cols>
  <sheetData>
    <row r="1" spans="1:22" ht="21.75" thickBot="1" x14ac:dyDescent="0.3">
      <c r="A1" s="20"/>
      <c r="B1" s="129" t="s">
        <v>27</v>
      </c>
      <c r="C1" s="129" t="s">
        <v>25</v>
      </c>
      <c r="D1" s="129" t="s">
        <v>26</v>
      </c>
      <c r="E1" s="130" t="s">
        <v>36</v>
      </c>
      <c r="F1" s="131" t="s">
        <v>18</v>
      </c>
      <c r="G1" s="127" t="s">
        <v>30</v>
      </c>
      <c r="H1" s="127" t="s">
        <v>35</v>
      </c>
      <c r="I1" s="127" t="s">
        <v>11</v>
      </c>
      <c r="J1" s="127" t="s">
        <v>12</v>
      </c>
      <c r="K1" s="128" t="s">
        <v>21</v>
      </c>
      <c r="L1" s="128" t="s">
        <v>20</v>
      </c>
      <c r="M1" s="128" t="s">
        <v>40</v>
      </c>
      <c r="N1" s="143" t="s">
        <v>98</v>
      </c>
      <c r="O1" s="143" t="s">
        <v>278</v>
      </c>
      <c r="P1" s="144" t="s">
        <v>97</v>
      </c>
      <c r="Q1" s="144" t="s">
        <v>99</v>
      </c>
      <c r="R1" s="145" t="s">
        <v>24</v>
      </c>
      <c r="S1" s="145" t="s">
        <v>23</v>
      </c>
      <c r="T1" s="127" t="s">
        <v>22</v>
      </c>
      <c r="U1" s="127" t="s">
        <v>53</v>
      </c>
      <c r="V1" s="127" t="s">
        <v>64</v>
      </c>
    </row>
    <row r="2" spans="1:22" ht="26.25" customHeight="1" x14ac:dyDescent="0.25">
      <c r="A2" s="350" t="s">
        <v>37</v>
      </c>
      <c r="B2" s="121" t="s">
        <v>39</v>
      </c>
      <c r="C2" s="119">
        <f>'DATI nascosti 2'!$L$8*10^-3</f>
        <v>6.7500000000000004E-2</v>
      </c>
      <c r="D2" s="119">
        <f>'DATI nascosti 2'!$L$8*10^-3</f>
        <v>6.7500000000000004E-2</v>
      </c>
      <c r="E2" s="121" t="s">
        <v>39</v>
      </c>
      <c r="F2" s="122" t="e">
        <f>(D2*'DATI nascosti 2'!$C$13-C2*'DATI nascosti 2'!$C$10)/(D2-C2)</f>
        <v>#DIV/0!</v>
      </c>
      <c r="G2" s="123">
        <v>0</v>
      </c>
      <c r="H2" s="123">
        <v>0</v>
      </c>
      <c r="I2" s="123">
        <v>0</v>
      </c>
      <c r="J2" s="123">
        <v>0</v>
      </c>
      <c r="K2" s="124">
        <f>IF(D2&gt;=('DATI nascosti 2'!$L$10*10^-3),'DATI nascosti 2'!$L$14*'DATI nascosti 2'!$P$12,IF(D2&gt;=(-'DATI nascosti 2'!$L$10*10^-3),'DATI nascosti 2'!$L$16*D2*'DATI nascosti 2'!$P$12,-'DATI nascosti 2'!$L$14*'DATI nascosti 2'!$P$12))</f>
        <v>614659.43222408998</v>
      </c>
      <c r="L2" s="124">
        <v>0</v>
      </c>
      <c r="M2" s="124">
        <f>IF(C2&gt;=('DATI nascosti 2'!$L$10*10^-3),'DATI nascosti 2'!$L$14*'DATI nascosti 2'!$P$11,IF(C2&gt;=(-'DATI nascosti 2'!$L$10*10^-3),'DATI nascosti 2'!$P$11*'DATI nascosti 2'!$L$16*C2,-'DATI nascosti 2'!$L$14*'DATI nascosti 2'!$P$11))</f>
        <v>614659.43222408998</v>
      </c>
      <c r="N2" s="141">
        <f t="shared" ref="N2:N65" si="0">K2+L2+M2</f>
        <v>1229318.86444818</v>
      </c>
      <c r="O2" s="141">
        <f>-K2*('DATI nascosti 2'!$C$13/2)+M2*('DATI nascosti 2'!$C$13/2)</f>
        <v>0</v>
      </c>
      <c r="P2" s="140">
        <f>-'T2'!N2/10^3</f>
        <v>-1229.31886444818</v>
      </c>
      <c r="Q2" s="140">
        <f>'T2'!O2/10^6</f>
        <v>0</v>
      </c>
      <c r="R2" s="142">
        <f>-N2/('DATI nascosti 2'!$C$6*'DATI nascosti 2'!$C$13*'DATI nascosti 2'!$H$10*'DATI nascosti 2'!$H$16)</f>
        <v>-0.29581171389629707</v>
      </c>
      <c r="S2" s="142">
        <f>O2/('DATI nascosti 2'!$H$16*'DATI nascosti 2'!$C$6*'DATI nascosti 2'!$C$13^2*'DATI nascosti 2'!$H$10)</f>
        <v>0</v>
      </c>
      <c r="T2" s="126">
        <f t="shared" ref="T2:T65" si="1">O2/N2</f>
        <v>0</v>
      </c>
      <c r="U2" s="121" t="str">
        <f>IF(T2&gt;=0, IF(T2&lt;='DATI nascosti 2'!$C$8/6, "SI", "NO"),IF(T2&gt; -'DATI nascosti 2'!$C$8/6, "SI", "NO"))</f>
        <v>SI</v>
      </c>
      <c r="V2" s="121" t="str">
        <f>IF(Foglio3!G3&lt;1,IF(Foglio3!G3&gt;-1,"ROTTURA BILANCIATA",""),"")</f>
        <v/>
      </c>
    </row>
    <row r="3" spans="1:22" ht="18.75" x14ac:dyDescent="0.25">
      <c r="A3" s="350"/>
      <c r="B3" s="67" t="s">
        <v>39</v>
      </c>
      <c r="C3" s="68">
        <f>'DATI nascosti 2'!$L$8*10^-3</f>
        <v>6.7500000000000004E-2</v>
      </c>
      <c r="D3" s="68">
        <f>D2-(C3-('DATI nascosti 2'!$C$10/'DATI nascosti 2'!$C$13*C3))/100</f>
        <v>6.6851298701298703E-2</v>
      </c>
      <c r="E3" s="67" t="s">
        <v>39</v>
      </c>
      <c r="F3" s="69">
        <f>(D3*'DATI nascosti 2'!$C$13-C3*'DATI nascosti 2'!$C$10)/(D3-C3)</f>
        <v>-114344.99999999955</v>
      </c>
      <c r="G3" s="70">
        <v>0</v>
      </c>
      <c r="H3" s="70">
        <v>0</v>
      </c>
      <c r="I3" s="70">
        <v>0</v>
      </c>
      <c r="J3" s="70">
        <v>0</v>
      </c>
      <c r="K3" s="71">
        <f>IF(D3&gt;=('DATI nascosti 2'!$L$10*10^-3),'DATI nascosti 2'!$L$14*'DATI nascosti 2'!$P$12,IF(D3&gt;=(-'DATI nascosti 2'!$L$10*10^-3),'DATI nascosti 2'!$L$16*D3*'DATI nascosti 2'!$P$12,-'DATI nascosti 2'!$L$14*'DATI nascosti 2'!$P$12))</f>
        <v>614659.43222408998</v>
      </c>
      <c r="L3" s="71">
        <v>0</v>
      </c>
      <c r="M3" s="71">
        <f>IF(C3&gt;=('DATI nascosti 2'!$L$10*10^-3),'DATI nascosti 2'!$L$14*'DATI nascosti 2'!$P$11,IF(C3&gt;=(-'DATI nascosti 2'!$L$10*10^-3),'DATI nascosti 2'!$P$11*'DATI nascosti 2'!$L$16*C3,-'DATI nascosti 2'!$L$14*'DATI nascosti 2'!$P$11))</f>
        <v>614659.43222408998</v>
      </c>
      <c r="N3" s="71">
        <f t="shared" si="0"/>
        <v>1229318.86444818</v>
      </c>
      <c r="O3" s="71">
        <f>-K3*('DATI nascosti 2'!$C$13/2)+M3*('DATI nascosti 2'!$C$13/2)</f>
        <v>0</v>
      </c>
      <c r="P3" s="69">
        <f>-'T2'!N3/10^3</f>
        <v>-1229.31886444818</v>
      </c>
      <c r="Q3" s="69">
        <f>'T2'!O3/10^6</f>
        <v>0</v>
      </c>
      <c r="R3" s="72">
        <f>-N3/('DATI nascosti 2'!$C$6*'DATI nascosti 2'!$C$13*'DATI nascosti 2'!$H$10*'DATI nascosti 2'!$H$16)</f>
        <v>-0.29581171389629707</v>
      </c>
      <c r="S3" s="72">
        <f>O3/('DATI nascosti 2'!$H$16*'DATI nascosti 2'!$C$6*'DATI nascosti 2'!$C$13^2*'DATI nascosti 2'!$H$10)</f>
        <v>0</v>
      </c>
      <c r="T3" s="73">
        <f t="shared" si="1"/>
        <v>0</v>
      </c>
      <c r="U3" s="67" t="str">
        <f>IF(T3&gt;=0, IF(T3&lt;='DATI nascosti 2'!$C$8/6, "SI", "NO"),IF(T3&gt; -'DATI nascosti 2'!$C$8/6, "SI", "NO"))</f>
        <v>SI</v>
      </c>
      <c r="V3" s="67" t="str">
        <f>IF(Foglio3!G4&lt;1,IF(Foglio3!G4&gt;-1,"ROTTURA BILANCIATA",""),"")</f>
        <v/>
      </c>
    </row>
    <row r="4" spans="1:22" ht="18.75" x14ac:dyDescent="0.25">
      <c r="A4" s="20"/>
      <c r="B4" s="67" t="s">
        <v>39</v>
      </c>
      <c r="C4" s="68">
        <f>'DATI nascosti 2'!$L$8*10^-3</f>
        <v>6.7500000000000004E-2</v>
      </c>
      <c r="D4" s="68">
        <f>D3-(C4-('DATI nascosti 2'!$C$10/'DATI nascosti 2'!$C$13*C4))/100</f>
        <v>6.6202597402597402E-2</v>
      </c>
      <c r="E4" s="67" t="s">
        <v>39</v>
      </c>
      <c r="F4" s="69">
        <f>(D4*'DATI nascosti 2'!$C$13-C4*'DATI nascosti 2'!$C$10)/(D4-C4)</f>
        <v>-56594.999999999774</v>
      </c>
      <c r="G4" s="70">
        <v>0</v>
      </c>
      <c r="H4" s="70">
        <v>0</v>
      </c>
      <c r="I4" s="70">
        <v>0</v>
      </c>
      <c r="J4" s="70">
        <v>0</v>
      </c>
      <c r="K4" s="71">
        <f>IF(D4&gt;=('DATI nascosti 2'!$L$10*10^-3),'DATI nascosti 2'!$L$14*'DATI nascosti 2'!$P$12,IF(D4&gt;=(-'DATI nascosti 2'!$L$10*10^-3),'DATI nascosti 2'!$L$16*D4*'DATI nascosti 2'!$P$12,-'DATI nascosti 2'!$L$14*'DATI nascosti 2'!$P$12))</f>
        <v>614659.43222408998</v>
      </c>
      <c r="L4" s="71">
        <v>0</v>
      </c>
      <c r="M4" s="71">
        <f>IF(C4&gt;=('DATI nascosti 2'!$L$10*10^-3),'DATI nascosti 2'!$L$14*'DATI nascosti 2'!$P$11,IF(C4&gt;=(-'DATI nascosti 2'!$L$10*10^-3),'DATI nascosti 2'!$P$11*'DATI nascosti 2'!$L$16*C4,-'DATI nascosti 2'!$L$14*'DATI nascosti 2'!$P$11))</f>
        <v>614659.43222408998</v>
      </c>
      <c r="N4" s="71">
        <f t="shared" si="0"/>
        <v>1229318.86444818</v>
      </c>
      <c r="O4" s="71">
        <f>-K4*('DATI nascosti 2'!$C$13/2)+M4*('DATI nascosti 2'!$C$13/2)</f>
        <v>0</v>
      </c>
      <c r="P4" s="69">
        <f>-'T2'!N4/10^3</f>
        <v>-1229.31886444818</v>
      </c>
      <c r="Q4" s="69">
        <f>'T2'!O4/10^6</f>
        <v>0</v>
      </c>
      <c r="R4" s="72">
        <f>-N4/('DATI nascosti 2'!$C$6*'DATI nascosti 2'!$C$13*'DATI nascosti 2'!$H$10*'DATI nascosti 2'!$H$16)</f>
        <v>-0.29581171389629707</v>
      </c>
      <c r="S4" s="72">
        <f>O4/('DATI nascosti 2'!$H$16*'DATI nascosti 2'!$C$6*'DATI nascosti 2'!$C$13^2*'DATI nascosti 2'!$H$10)</f>
        <v>0</v>
      </c>
      <c r="T4" s="73">
        <f t="shared" si="1"/>
        <v>0</v>
      </c>
      <c r="U4" s="67" t="str">
        <f>IF(T4&gt;=0, IF(T4&lt;='DATI nascosti 2'!$C$8/6, "SI", "NO"),IF(T4&gt; -'DATI nascosti 2'!$C$8/6, "SI", "NO"))</f>
        <v>SI</v>
      </c>
      <c r="V4" s="67" t="str">
        <f>IF(Foglio3!G5&lt;1,IF(Foglio3!G5&gt;-1,"ROTTURA BILANCIATA",""),"")</f>
        <v/>
      </c>
    </row>
    <row r="5" spans="1:22" ht="18.75" x14ac:dyDescent="0.25">
      <c r="A5" s="20"/>
      <c r="B5" s="67" t="s">
        <v>39</v>
      </c>
      <c r="C5" s="68">
        <f>'DATI nascosti 2'!$L$8*10^-3</f>
        <v>6.7500000000000004E-2</v>
      </c>
      <c r="D5" s="68">
        <f>D4-(C5-('DATI nascosti 2'!$C$10/'DATI nascosti 2'!$C$13*C5))/100</f>
        <v>6.55538961038961E-2</v>
      </c>
      <c r="E5" s="67" t="s">
        <v>39</v>
      </c>
      <c r="F5" s="69">
        <f>(D5*'DATI nascosti 2'!$C$13-C5*'DATI nascosti 2'!$C$10)/(D5-C5)</f>
        <v>-37344.999999999847</v>
      </c>
      <c r="G5" s="70">
        <v>0</v>
      </c>
      <c r="H5" s="70">
        <v>0</v>
      </c>
      <c r="I5" s="70">
        <v>0</v>
      </c>
      <c r="J5" s="70">
        <v>0</v>
      </c>
      <c r="K5" s="71">
        <f>IF(D5&gt;=('DATI nascosti 2'!$L$10*10^-3),'DATI nascosti 2'!$L$14*'DATI nascosti 2'!$P$12,IF(D5&gt;=(-'DATI nascosti 2'!$L$10*10^-3),'DATI nascosti 2'!$L$16*D5*'DATI nascosti 2'!$P$12,-'DATI nascosti 2'!$L$14*'DATI nascosti 2'!$P$12))</f>
        <v>614659.43222408998</v>
      </c>
      <c r="L5" s="71">
        <v>0</v>
      </c>
      <c r="M5" s="71">
        <f>IF(C5&gt;=('DATI nascosti 2'!$L$10*10^-3),'DATI nascosti 2'!$L$14*'DATI nascosti 2'!$P$11,IF(C5&gt;=(-'DATI nascosti 2'!$L$10*10^-3),'DATI nascosti 2'!$P$11*'DATI nascosti 2'!$L$16*C5,-'DATI nascosti 2'!$L$14*'DATI nascosti 2'!$P$11))</f>
        <v>614659.43222408998</v>
      </c>
      <c r="N5" s="71">
        <f t="shared" si="0"/>
        <v>1229318.86444818</v>
      </c>
      <c r="O5" s="71">
        <f>-K5*('DATI nascosti 2'!$C$13/2)+M5*('DATI nascosti 2'!$C$13/2)</f>
        <v>0</v>
      </c>
      <c r="P5" s="69">
        <f>-'T2'!N5/10^3</f>
        <v>-1229.31886444818</v>
      </c>
      <c r="Q5" s="69">
        <f>'T2'!O5/10^6</f>
        <v>0</v>
      </c>
      <c r="R5" s="72">
        <f>-N5/('DATI nascosti 2'!$C$6*'DATI nascosti 2'!$C$13*'DATI nascosti 2'!$H$10*'DATI nascosti 2'!$H$16)</f>
        <v>-0.29581171389629707</v>
      </c>
      <c r="S5" s="72">
        <f>O5/('DATI nascosti 2'!$H$16*'DATI nascosti 2'!$C$6*'DATI nascosti 2'!$C$13^2*'DATI nascosti 2'!$H$10)</f>
        <v>0</v>
      </c>
      <c r="T5" s="73">
        <f t="shared" si="1"/>
        <v>0</v>
      </c>
      <c r="U5" s="67" t="str">
        <f>IF(T5&gt;=0, IF(T5&lt;='DATI nascosti 2'!$C$8/6, "SI", "NO"),IF(T5&gt; -'DATI nascosti 2'!$C$8/6, "SI", "NO"))</f>
        <v>SI</v>
      </c>
      <c r="V5" s="67" t="str">
        <f>IF(Foglio3!G6&lt;1,IF(Foglio3!G6&gt;-1,"ROTTURA BILANCIATA",""),"")</f>
        <v/>
      </c>
    </row>
    <row r="6" spans="1:22" ht="18.75" x14ac:dyDescent="0.25">
      <c r="A6" s="20"/>
      <c r="B6" s="67" t="s">
        <v>39</v>
      </c>
      <c r="C6" s="68">
        <f>'DATI nascosti 2'!$L$8*10^-3</f>
        <v>6.7500000000000004E-2</v>
      </c>
      <c r="D6" s="68">
        <f>D5-(C6-('DATI nascosti 2'!$C$10/'DATI nascosti 2'!$C$13*C6))/100</f>
        <v>6.4905194805194799E-2</v>
      </c>
      <c r="E6" s="67" t="s">
        <v>39</v>
      </c>
      <c r="F6" s="69">
        <f>(D6*'DATI nascosti 2'!$C$13-C6*'DATI nascosti 2'!$C$10)/(D6-C6)</f>
        <v>-27719.999999999887</v>
      </c>
      <c r="G6" s="70">
        <v>0</v>
      </c>
      <c r="H6" s="70">
        <v>0</v>
      </c>
      <c r="I6" s="70">
        <v>0</v>
      </c>
      <c r="J6" s="70">
        <v>0</v>
      </c>
      <c r="K6" s="71">
        <f>IF(D6&gt;=('DATI nascosti 2'!$L$10*10^-3),'DATI nascosti 2'!$L$14*'DATI nascosti 2'!$P$12,IF(D6&gt;=(-'DATI nascosti 2'!$L$10*10^-3),'DATI nascosti 2'!$L$16*D6*'DATI nascosti 2'!$P$12,-'DATI nascosti 2'!$L$14*'DATI nascosti 2'!$P$12))</f>
        <v>614659.43222408998</v>
      </c>
      <c r="L6" s="71">
        <v>0</v>
      </c>
      <c r="M6" s="71">
        <f>IF(C6&gt;=('DATI nascosti 2'!$L$10*10^-3),'DATI nascosti 2'!$L$14*'DATI nascosti 2'!$P$11,IF(C6&gt;=(-'DATI nascosti 2'!$L$10*10^-3),'DATI nascosti 2'!$P$11*'DATI nascosti 2'!$L$16*C6,-'DATI nascosti 2'!$L$14*'DATI nascosti 2'!$P$11))</f>
        <v>614659.43222408998</v>
      </c>
      <c r="N6" s="71">
        <f t="shared" si="0"/>
        <v>1229318.86444818</v>
      </c>
      <c r="O6" s="71">
        <f>-K6*('DATI nascosti 2'!$C$13/2)+M6*('DATI nascosti 2'!$C$13/2)</f>
        <v>0</v>
      </c>
      <c r="P6" s="69">
        <f>-'T2'!N6/10^3</f>
        <v>-1229.31886444818</v>
      </c>
      <c r="Q6" s="69">
        <f>'T2'!O6/10^6</f>
        <v>0</v>
      </c>
      <c r="R6" s="72">
        <f>-N6/('DATI nascosti 2'!$C$6*'DATI nascosti 2'!$C$13*'DATI nascosti 2'!$H$10*'DATI nascosti 2'!$H$16)</f>
        <v>-0.29581171389629707</v>
      </c>
      <c r="S6" s="72">
        <f>O6/('DATI nascosti 2'!$H$16*'DATI nascosti 2'!$C$6*'DATI nascosti 2'!$C$13^2*'DATI nascosti 2'!$H$10)</f>
        <v>0</v>
      </c>
      <c r="T6" s="73">
        <f t="shared" si="1"/>
        <v>0</v>
      </c>
      <c r="U6" s="67" t="str">
        <f>IF(T6&gt;=0, IF(T6&lt;='DATI nascosti 2'!$C$8/6, "SI", "NO"),IF(T6&gt; -'DATI nascosti 2'!$C$8/6, "SI", "NO"))</f>
        <v>SI</v>
      </c>
      <c r="V6" s="67" t="str">
        <f>IF(Foglio3!G7&lt;1,IF(Foglio3!G7&gt;-1,"ROTTURA BILANCIATA",""),"")</f>
        <v/>
      </c>
    </row>
    <row r="7" spans="1:22" ht="18.75" x14ac:dyDescent="0.25">
      <c r="A7" s="20"/>
      <c r="B7" s="67" t="s">
        <v>39</v>
      </c>
      <c r="C7" s="68">
        <f>'DATI nascosti 2'!$L$8*10^-3</f>
        <v>6.7500000000000004E-2</v>
      </c>
      <c r="D7" s="68">
        <f>D6-(C7-('DATI nascosti 2'!$C$10/'DATI nascosti 2'!$C$13*C7))/100</f>
        <v>6.4256493506493498E-2</v>
      </c>
      <c r="E7" s="67" t="s">
        <v>39</v>
      </c>
      <c r="F7" s="69">
        <f>(D7*'DATI nascosti 2'!$C$13-C7*'DATI nascosti 2'!$C$10)/(D7-C7)</f>
        <v>-21944.999999999909</v>
      </c>
      <c r="G7" s="70">
        <v>0</v>
      </c>
      <c r="H7" s="70">
        <v>0</v>
      </c>
      <c r="I7" s="70">
        <v>0</v>
      </c>
      <c r="J7" s="70">
        <v>0</v>
      </c>
      <c r="K7" s="71">
        <f>IF(D7&gt;=('DATI nascosti 2'!$L$10*10^-3),'DATI nascosti 2'!$L$14*'DATI nascosti 2'!$P$12,IF(D7&gt;=(-'DATI nascosti 2'!$L$10*10^-3),'DATI nascosti 2'!$L$16*D7*'DATI nascosti 2'!$P$12,-'DATI nascosti 2'!$L$14*'DATI nascosti 2'!$P$12))</f>
        <v>614659.43222408998</v>
      </c>
      <c r="L7" s="71">
        <v>0</v>
      </c>
      <c r="M7" s="71">
        <f>IF(C7&gt;=('DATI nascosti 2'!$L$10*10^-3),'DATI nascosti 2'!$L$14*'DATI nascosti 2'!$P$11,IF(C7&gt;=(-'DATI nascosti 2'!$L$10*10^-3),'DATI nascosti 2'!$P$11*'DATI nascosti 2'!$L$16*C7,-'DATI nascosti 2'!$L$14*'DATI nascosti 2'!$P$11))</f>
        <v>614659.43222408998</v>
      </c>
      <c r="N7" s="71">
        <f t="shared" si="0"/>
        <v>1229318.86444818</v>
      </c>
      <c r="O7" s="71">
        <f>-K7*('DATI nascosti 2'!$C$13/2)+M7*('DATI nascosti 2'!$C$13/2)</f>
        <v>0</v>
      </c>
      <c r="P7" s="69">
        <f>-'T2'!N7/10^3</f>
        <v>-1229.31886444818</v>
      </c>
      <c r="Q7" s="69">
        <f>'T2'!O7/10^6</f>
        <v>0</v>
      </c>
      <c r="R7" s="72">
        <f>-N7/('DATI nascosti 2'!$C$6*'DATI nascosti 2'!$C$13*'DATI nascosti 2'!$H$10*'DATI nascosti 2'!$H$16)</f>
        <v>-0.29581171389629707</v>
      </c>
      <c r="S7" s="72">
        <f>O7/('DATI nascosti 2'!$H$16*'DATI nascosti 2'!$C$6*'DATI nascosti 2'!$C$13^2*'DATI nascosti 2'!$H$10)</f>
        <v>0</v>
      </c>
      <c r="T7" s="73">
        <f t="shared" si="1"/>
        <v>0</v>
      </c>
      <c r="U7" s="67" t="str">
        <f>IF(T7&gt;=0, IF(T7&lt;='DATI nascosti 2'!$C$8/6, "SI", "NO"),IF(T7&gt; -'DATI nascosti 2'!$C$8/6, "SI", "NO"))</f>
        <v>SI</v>
      </c>
      <c r="V7" s="67" t="str">
        <f>IF(Foglio3!G8&lt;1,IF(Foglio3!G8&gt;-1,"ROTTURA BILANCIATA",""),"")</f>
        <v/>
      </c>
    </row>
    <row r="8" spans="1:22" ht="18.75" x14ac:dyDescent="0.25">
      <c r="A8" s="20"/>
      <c r="B8" s="67" t="s">
        <v>39</v>
      </c>
      <c r="C8" s="68">
        <f>'DATI nascosti 2'!$L$8*10^-3</f>
        <v>6.7500000000000004E-2</v>
      </c>
      <c r="D8" s="68">
        <f>D7-(C8-('DATI nascosti 2'!$C$10/'DATI nascosti 2'!$C$13*C8))/100</f>
        <v>6.3607792207792196E-2</v>
      </c>
      <c r="E8" s="67" t="s">
        <v>39</v>
      </c>
      <c r="F8" s="69">
        <f>(D8*'DATI nascosti 2'!$C$13-C8*'DATI nascosti 2'!$C$10)/(D8-C8)</f>
        <v>-18094.999999999924</v>
      </c>
      <c r="G8" s="70">
        <v>0</v>
      </c>
      <c r="H8" s="70">
        <v>0</v>
      </c>
      <c r="I8" s="70">
        <v>0</v>
      </c>
      <c r="J8" s="70">
        <v>0</v>
      </c>
      <c r="K8" s="71">
        <f>IF(D8&gt;=('DATI nascosti 2'!$L$10*10^-3),'DATI nascosti 2'!$L$14*'DATI nascosti 2'!$P$12,IF(D8&gt;=(-'DATI nascosti 2'!$L$10*10^-3),'DATI nascosti 2'!$L$16*D8*'DATI nascosti 2'!$P$12,-'DATI nascosti 2'!$L$14*'DATI nascosti 2'!$P$12))</f>
        <v>614659.43222408998</v>
      </c>
      <c r="L8" s="71">
        <v>0</v>
      </c>
      <c r="M8" s="71">
        <f>IF(C8&gt;=('DATI nascosti 2'!$L$10*10^-3),'DATI nascosti 2'!$L$14*'DATI nascosti 2'!$P$11,IF(C8&gt;=(-'DATI nascosti 2'!$L$10*10^-3),'DATI nascosti 2'!$P$11*'DATI nascosti 2'!$L$16*C8,-'DATI nascosti 2'!$L$14*'DATI nascosti 2'!$P$11))</f>
        <v>614659.43222408998</v>
      </c>
      <c r="N8" s="71">
        <f t="shared" si="0"/>
        <v>1229318.86444818</v>
      </c>
      <c r="O8" s="71">
        <f>-K8*('DATI nascosti 2'!$C$13/2)+M8*('DATI nascosti 2'!$C$13/2)</f>
        <v>0</v>
      </c>
      <c r="P8" s="69">
        <f>-'T2'!N8/10^3</f>
        <v>-1229.31886444818</v>
      </c>
      <c r="Q8" s="69">
        <f>'T2'!O8/10^6</f>
        <v>0</v>
      </c>
      <c r="R8" s="72">
        <f>-N8/('DATI nascosti 2'!$C$6*'DATI nascosti 2'!$C$13*'DATI nascosti 2'!$H$10*'DATI nascosti 2'!$H$16)</f>
        <v>-0.29581171389629707</v>
      </c>
      <c r="S8" s="72">
        <f>O8/('DATI nascosti 2'!$H$16*'DATI nascosti 2'!$C$6*'DATI nascosti 2'!$C$13^2*'DATI nascosti 2'!$H$10)</f>
        <v>0</v>
      </c>
      <c r="T8" s="73">
        <f t="shared" si="1"/>
        <v>0</v>
      </c>
      <c r="U8" s="67" t="str">
        <f>IF(T8&gt;=0, IF(T8&lt;='DATI nascosti 2'!$C$8/6, "SI", "NO"),IF(T8&gt; -'DATI nascosti 2'!$C$8/6, "SI", "NO"))</f>
        <v>SI</v>
      </c>
      <c r="V8" s="67" t="str">
        <f>IF(Foglio3!G9&lt;1,IF(Foglio3!G9&gt;-1,"ROTTURA BILANCIATA",""),"")</f>
        <v/>
      </c>
    </row>
    <row r="9" spans="1:22" ht="18.75" x14ac:dyDescent="0.25">
      <c r="A9" s="20"/>
      <c r="B9" s="67" t="s">
        <v>39</v>
      </c>
      <c r="C9" s="68">
        <f>'DATI nascosti 2'!$L$8*10^-3</f>
        <v>6.7500000000000004E-2</v>
      </c>
      <c r="D9" s="68">
        <f>D8-(C9-('DATI nascosti 2'!$C$10/'DATI nascosti 2'!$C$13*C9))/100</f>
        <v>6.2959090909090895E-2</v>
      </c>
      <c r="E9" s="67" t="s">
        <v>39</v>
      </c>
      <c r="F9" s="69">
        <f>(D9*'DATI nascosti 2'!$C$13-C9*'DATI nascosti 2'!$C$10)/(D9-C9)</f>
        <v>-15344.999999999935</v>
      </c>
      <c r="G9" s="70">
        <v>0</v>
      </c>
      <c r="H9" s="70">
        <v>0</v>
      </c>
      <c r="I9" s="70">
        <v>0</v>
      </c>
      <c r="J9" s="70">
        <v>0</v>
      </c>
      <c r="K9" s="71">
        <f>IF(D9&gt;=('DATI nascosti 2'!$L$10*10^-3),'DATI nascosti 2'!$L$14*'DATI nascosti 2'!$P$12,IF(D9&gt;=(-'DATI nascosti 2'!$L$10*10^-3),'DATI nascosti 2'!$L$16*D9*'DATI nascosti 2'!$P$12,-'DATI nascosti 2'!$L$14*'DATI nascosti 2'!$P$12))</f>
        <v>614659.43222408998</v>
      </c>
      <c r="L9" s="71">
        <v>0</v>
      </c>
      <c r="M9" s="71">
        <f>IF(C9&gt;=('DATI nascosti 2'!$L$10*10^-3),'DATI nascosti 2'!$L$14*'DATI nascosti 2'!$P$11,IF(C9&gt;=(-'DATI nascosti 2'!$L$10*10^-3),'DATI nascosti 2'!$P$11*'DATI nascosti 2'!$L$16*C9,-'DATI nascosti 2'!$L$14*'DATI nascosti 2'!$P$11))</f>
        <v>614659.43222408998</v>
      </c>
      <c r="N9" s="71">
        <f t="shared" si="0"/>
        <v>1229318.86444818</v>
      </c>
      <c r="O9" s="71">
        <f>-K9*('DATI nascosti 2'!$C$13/2)+M9*('DATI nascosti 2'!$C$13/2)</f>
        <v>0</v>
      </c>
      <c r="P9" s="69">
        <f>-'T2'!N9/10^3</f>
        <v>-1229.31886444818</v>
      </c>
      <c r="Q9" s="69">
        <f>'T2'!O9/10^6</f>
        <v>0</v>
      </c>
      <c r="R9" s="72">
        <f>-N9/('DATI nascosti 2'!$C$6*'DATI nascosti 2'!$C$13*'DATI nascosti 2'!$H$10*'DATI nascosti 2'!$H$16)</f>
        <v>-0.29581171389629707</v>
      </c>
      <c r="S9" s="72">
        <f>O9/('DATI nascosti 2'!$H$16*'DATI nascosti 2'!$C$6*'DATI nascosti 2'!$C$13^2*'DATI nascosti 2'!$H$10)</f>
        <v>0</v>
      </c>
      <c r="T9" s="73">
        <f t="shared" si="1"/>
        <v>0</v>
      </c>
      <c r="U9" s="67" t="str">
        <f>IF(T9&gt;=0, IF(T9&lt;='DATI nascosti 2'!$C$8/6, "SI", "NO"),IF(T9&gt; -'DATI nascosti 2'!$C$8/6, "SI", "NO"))</f>
        <v>SI</v>
      </c>
      <c r="V9" s="67" t="str">
        <f>IF(Foglio3!G10&lt;1,IF(Foglio3!G10&gt;-1,"ROTTURA BILANCIATA",""),"")</f>
        <v/>
      </c>
    </row>
    <row r="10" spans="1:22" ht="18.75" x14ac:dyDescent="0.25">
      <c r="A10" s="20"/>
      <c r="B10" s="67" t="s">
        <v>39</v>
      </c>
      <c r="C10" s="68">
        <f>'DATI nascosti 2'!$L$8*10^-3</f>
        <v>6.7500000000000004E-2</v>
      </c>
      <c r="D10" s="68">
        <f>D9-(C10-('DATI nascosti 2'!$C$10/'DATI nascosti 2'!$C$13*C10))/100</f>
        <v>6.2310389610389594E-2</v>
      </c>
      <c r="E10" s="67" t="s">
        <v>39</v>
      </c>
      <c r="F10" s="69">
        <f>(D10*'DATI nascosti 2'!$C$13-C10*'DATI nascosti 2'!$C$10)/(D10-C10)</f>
        <v>-13282.499999999944</v>
      </c>
      <c r="G10" s="70">
        <v>0</v>
      </c>
      <c r="H10" s="70">
        <v>0</v>
      </c>
      <c r="I10" s="70">
        <v>0</v>
      </c>
      <c r="J10" s="70">
        <v>0</v>
      </c>
      <c r="K10" s="71">
        <f>IF(D10&gt;=('DATI nascosti 2'!$L$10*10^-3),'DATI nascosti 2'!$L$14*'DATI nascosti 2'!$P$12,IF(D10&gt;=(-'DATI nascosti 2'!$L$10*10^-3),'DATI nascosti 2'!$L$16*D10*'DATI nascosti 2'!$P$12,-'DATI nascosti 2'!$L$14*'DATI nascosti 2'!$P$12))</f>
        <v>614659.43222408998</v>
      </c>
      <c r="L10" s="71">
        <v>0</v>
      </c>
      <c r="M10" s="71">
        <f>IF(C10&gt;=('DATI nascosti 2'!$L$10*10^-3),'DATI nascosti 2'!$L$14*'DATI nascosti 2'!$P$11,IF(C10&gt;=(-'DATI nascosti 2'!$L$10*10^-3),'DATI nascosti 2'!$P$11*'DATI nascosti 2'!$L$16*C10,-'DATI nascosti 2'!$L$14*'DATI nascosti 2'!$P$11))</f>
        <v>614659.43222408998</v>
      </c>
      <c r="N10" s="71">
        <f t="shared" si="0"/>
        <v>1229318.86444818</v>
      </c>
      <c r="O10" s="71">
        <f>-K10*('DATI nascosti 2'!$C$13/2)+M10*('DATI nascosti 2'!$C$13/2)</f>
        <v>0</v>
      </c>
      <c r="P10" s="69">
        <f>-'T2'!N10/10^3</f>
        <v>-1229.31886444818</v>
      </c>
      <c r="Q10" s="69">
        <f>'T2'!O10/10^6</f>
        <v>0</v>
      </c>
      <c r="R10" s="72">
        <f>-N10/('DATI nascosti 2'!$C$6*'DATI nascosti 2'!$C$13*'DATI nascosti 2'!$H$10*'DATI nascosti 2'!$H$16)</f>
        <v>-0.29581171389629707</v>
      </c>
      <c r="S10" s="72">
        <f>O10/('DATI nascosti 2'!$H$16*'DATI nascosti 2'!$C$6*'DATI nascosti 2'!$C$13^2*'DATI nascosti 2'!$H$10)</f>
        <v>0</v>
      </c>
      <c r="T10" s="73">
        <f t="shared" si="1"/>
        <v>0</v>
      </c>
      <c r="U10" s="67" t="str">
        <f>IF(T10&gt;=0, IF(T10&lt;='DATI nascosti 2'!$C$8/6, "SI", "NO"),IF(T10&gt; -'DATI nascosti 2'!$C$8/6, "SI", "NO"))</f>
        <v>SI</v>
      </c>
      <c r="V10" s="67" t="str">
        <f>IF(Foglio3!G11&lt;1,IF(Foglio3!G11&gt;-1,"ROTTURA BILANCIATA",""),"")</f>
        <v/>
      </c>
    </row>
    <row r="11" spans="1:22" ht="18.75" x14ac:dyDescent="0.25">
      <c r="A11" s="20"/>
      <c r="B11" s="67" t="s">
        <v>39</v>
      </c>
      <c r="C11" s="68">
        <f>'DATI nascosti 2'!$L$8*10^-3</f>
        <v>6.7500000000000004E-2</v>
      </c>
      <c r="D11" s="68">
        <f>D10-(C11-('DATI nascosti 2'!$C$10/'DATI nascosti 2'!$C$13*C11))/100</f>
        <v>6.1661688311688292E-2</v>
      </c>
      <c r="E11" s="67" t="s">
        <v>39</v>
      </c>
      <c r="F11" s="69">
        <f>(D11*'DATI nascosti 2'!$C$13-C11*'DATI nascosti 2'!$C$10)/(D11-C11)</f>
        <v>-11678.333333333283</v>
      </c>
      <c r="G11" s="70">
        <v>0</v>
      </c>
      <c r="H11" s="70">
        <v>0</v>
      </c>
      <c r="I11" s="70">
        <v>0</v>
      </c>
      <c r="J11" s="70">
        <v>0</v>
      </c>
      <c r="K11" s="71">
        <f>IF(D11&gt;=('DATI nascosti 2'!$L$10*10^-3),'DATI nascosti 2'!$L$14*'DATI nascosti 2'!$P$12,IF(D11&gt;=(-'DATI nascosti 2'!$L$10*10^-3),'DATI nascosti 2'!$L$16*D11*'DATI nascosti 2'!$P$12,-'DATI nascosti 2'!$L$14*'DATI nascosti 2'!$P$12))</f>
        <v>614659.43222408998</v>
      </c>
      <c r="L11" s="71">
        <v>0</v>
      </c>
      <c r="M11" s="71">
        <f>IF(C11&gt;=('DATI nascosti 2'!$L$10*10^-3),'DATI nascosti 2'!$L$14*'DATI nascosti 2'!$P$11,IF(C11&gt;=(-'DATI nascosti 2'!$L$10*10^-3),'DATI nascosti 2'!$P$11*'DATI nascosti 2'!$L$16*C11,-'DATI nascosti 2'!$L$14*'DATI nascosti 2'!$P$11))</f>
        <v>614659.43222408998</v>
      </c>
      <c r="N11" s="71">
        <f t="shared" si="0"/>
        <v>1229318.86444818</v>
      </c>
      <c r="O11" s="71">
        <f>-K11*('DATI nascosti 2'!$C$13/2)+M11*('DATI nascosti 2'!$C$13/2)</f>
        <v>0</v>
      </c>
      <c r="P11" s="69">
        <f>-'T2'!N11/10^3</f>
        <v>-1229.31886444818</v>
      </c>
      <c r="Q11" s="69">
        <f>'T2'!O11/10^6</f>
        <v>0</v>
      </c>
      <c r="R11" s="72">
        <f>-N11/('DATI nascosti 2'!$C$6*'DATI nascosti 2'!$C$13*'DATI nascosti 2'!$H$10*'DATI nascosti 2'!$H$16)</f>
        <v>-0.29581171389629707</v>
      </c>
      <c r="S11" s="72">
        <f>O11/('DATI nascosti 2'!$H$16*'DATI nascosti 2'!$C$6*'DATI nascosti 2'!$C$13^2*'DATI nascosti 2'!$H$10)</f>
        <v>0</v>
      </c>
      <c r="T11" s="73">
        <f t="shared" si="1"/>
        <v>0</v>
      </c>
      <c r="U11" s="67" t="str">
        <f>IF(T11&gt;=0, IF(T11&lt;='DATI nascosti 2'!$C$8/6, "SI", "NO"),IF(T11&gt; -'DATI nascosti 2'!$C$8/6, "SI", "NO"))</f>
        <v>SI</v>
      </c>
      <c r="V11" s="67" t="str">
        <f>IF(Foglio3!G12&lt;1,IF(Foglio3!G12&gt;-1,"ROTTURA BILANCIATA",""),"")</f>
        <v/>
      </c>
    </row>
    <row r="12" spans="1:22" ht="18.75" x14ac:dyDescent="0.25">
      <c r="A12" s="20"/>
      <c r="B12" s="67" t="s">
        <v>39</v>
      </c>
      <c r="C12" s="68">
        <f>'DATI nascosti 2'!$L$8*10^-3</f>
        <v>6.7500000000000004E-2</v>
      </c>
      <c r="D12" s="68">
        <f>D11-(C12-('DATI nascosti 2'!$C$10/'DATI nascosti 2'!$C$13*C12))/100</f>
        <v>6.1012987012986991E-2</v>
      </c>
      <c r="E12" s="67" t="s">
        <v>39</v>
      </c>
      <c r="F12" s="69">
        <f>(D12*'DATI nascosti 2'!$C$13-C12*'DATI nascosti 2'!$C$10)/(D12-C12)</f>
        <v>-10394.999999999955</v>
      </c>
      <c r="G12" s="70">
        <v>0</v>
      </c>
      <c r="H12" s="70">
        <v>0</v>
      </c>
      <c r="I12" s="70">
        <v>0</v>
      </c>
      <c r="J12" s="70">
        <v>0</v>
      </c>
      <c r="K12" s="71">
        <f>IF(D12&gt;=('DATI nascosti 2'!$L$10*10^-3),'DATI nascosti 2'!$L$14*'DATI nascosti 2'!$P$12,IF(D12&gt;=(-'DATI nascosti 2'!$L$10*10^-3),'DATI nascosti 2'!$L$16*D12*'DATI nascosti 2'!$P$12,-'DATI nascosti 2'!$L$14*'DATI nascosti 2'!$P$12))</f>
        <v>614659.43222408998</v>
      </c>
      <c r="L12" s="71">
        <v>0</v>
      </c>
      <c r="M12" s="71">
        <f>IF(C12&gt;=('DATI nascosti 2'!$L$10*10^-3),'DATI nascosti 2'!$L$14*'DATI nascosti 2'!$P$11,IF(C12&gt;=(-'DATI nascosti 2'!$L$10*10^-3),'DATI nascosti 2'!$P$11*'DATI nascosti 2'!$L$16*C12,-'DATI nascosti 2'!$L$14*'DATI nascosti 2'!$P$11))</f>
        <v>614659.43222408998</v>
      </c>
      <c r="N12" s="71">
        <f t="shared" si="0"/>
        <v>1229318.86444818</v>
      </c>
      <c r="O12" s="71">
        <f>-K12*('DATI nascosti 2'!$C$13/2)+M12*('DATI nascosti 2'!$C$13/2)</f>
        <v>0</v>
      </c>
      <c r="P12" s="69">
        <f>-'T2'!N12/10^3</f>
        <v>-1229.31886444818</v>
      </c>
      <c r="Q12" s="69">
        <f>'T2'!O12/10^6</f>
        <v>0</v>
      </c>
      <c r="R12" s="72">
        <f>-N12/('DATI nascosti 2'!$C$6*'DATI nascosti 2'!$C$13*'DATI nascosti 2'!$H$10*'DATI nascosti 2'!$H$16)</f>
        <v>-0.29581171389629707</v>
      </c>
      <c r="S12" s="72">
        <f>O12/('DATI nascosti 2'!$H$16*'DATI nascosti 2'!$C$6*'DATI nascosti 2'!$C$13^2*'DATI nascosti 2'!$H$10)</f>
        <v>0</v>
      </c>
      <c r="T12" s="73">
        <f t="shared" si="1"/>
        <v>0</v>
      </c>
      <c r="U12" s="67" t="str">
        <f>IF(T12&gt;=0, IF(T12&lt;='DATI nascosti 2'!$C$8/6, "SI", "NO"),IF(T12&gt; -'DATI nascosti 2'!$C$8/6, "SI", "NO"))</f>
        <v>SI</v>
      </c>
      <c r="V12" s="67" t="str">
        <f>IF(Foglio3!G13&lt;1,IF(Foglio3!G13&gt;-1,"ROTTURA BILANCIATA",""),"")</f>
        <v/>
      </c>
    </row>
    <row r="13" spans="1:22" ht="18.75" x14ac:dyDescent="0.25">
      <c r="A13" s="20"/>
      <c r="B13" s="67" t="s">
        <v>39</v>
      </c>
      <c r="C13" s="68">
        <f>'DATI nascosti 2'!$L$8*10^-3</f>
        <v>6.7500000000000004E-2</v>
      </c>
      <c r="D13" s="68">
        <f>D12-(C13-('DATI nascosti 2'!$C$10/'DATI nascosti 2'!$C$13*C13))/100</f>
        <v>6.036428571428569E-2</v>
      </c>
      <c r="E13" s="67" t="s">
        <v>39</v>
      </c>
      <c r="F13" s="69">
        <f>(D13*'DATI nascosti 2'!$C$13-C13*'DATI nascosti 2'!$C$10)/(D13-C13)</f>
        <v>-9344.9999999999582</v>
      </c>
      <c r="G13" s="70">
        <v>0</v>
      </c>
      <c r="H13" s="70">
        <v>0</v>
      </c>
      <c r="I13" s="70">
        <v>0</v>
      </c>
      <c r="J13" s="70">
        <v>0</v>
      </c>
      <c r="K13" s="71">
        <f>IF(D13&gt;=('DATI nascosti 2'!$L$10*10^-3),'DATI nascosti 2'!$L$14*'DATI nascosti 2'!$P$12,IF(D13&gt;=(-'DATI nascosti 2'!$L$10*10^-3),'DATI nascosti 2'!$L$16*D13*'DATI nascosti 2'!$P$12,-'DATI nascosti 2'!$L$14*'DATI nascosti 2'!$P$12))</f>
        <v>614659.43222408998</v>
      </c>
      <c r="L13" s="71">
        <v>0</v>
      </c>
      <c r="M13" s="71">
        <f>IF(C13&gt;=('DATI nascosti 2'!$L$10*10^-3),'DATI nascosti 2'!$L$14*'DATI nascosti 2'!$P$11,IF(C13&gt;=(-'DATI nascosti 2'!$L$10*10^-3),'DATI nascosti 2'!$P$11*'DATI nascosti 2'!$L$16*C13,-'DATI nascosti 2'!$L$14*'DATI nascosti 2'!$P$11))</f>
        <v>614659.43222408998</v>
      </c>
      <c r="N13" s="71">
        <f t="shared" si="0"/>
        <v>1229318.86444818</v>
      </c>
      <c r="O13" s="71">
        <f>-K13*('DATI nascosti 2'!$C$13/2)+M13*('DATI nascosti 2'!$C$13/2)</f>
        <v>0</v>
      </c>
      <c r="P13" s="69">
        <f>-'T2'!N13/10^3</f>
        <v>-1229.31886444818</v>
      </c>
      <c r="Q13" s="69">
        <f>'T2'!O13/10^6</f>
        <v>0</v>
      </c>
      <c r="R13" s="72">
        <f>-N13/('DATI nascosti 2'!$C$6*'DATI nascosti 2'!$C$13*'DATI nascosti 2'!$H$10*'DATI nascosti 2'!$H$16)</f>
        <v>-0.29581171389629707</v>
      </c>
      <c r="S13" s="72">
        <f>O13/('DATI nascosti 2'!$H$16*'DATI nascosti 2'!$C$6*'DATI nascosti 2'!$C$13^2*'DATI nascosti 2'!$H$10)</f>
        <v>0</v>
      </c>
      <c r="T13" s="73">
        <f t="shared" si="1"/>
        <v>0</v>
      </c>
      <c r="U13" s="67" t="str">
        <f>IF(T13&gt;=0, IF(T13&lt;='DATI nascosti 2'!$C$8/6, "SI", "NO"),IF(T13&gt; -'DATI nascosti 2'!$C$8/6, "SI", "NO"))</f>
        <v>SI</v>
      </c>
      <c r="V13" s="67" t="str">
        <f>IF(Foglio3!G14&lt;1,IF(Foglio3!G14&gt;-1,"ROTTURA BILANCIATA",""),"")</f>
        <v/>
      </c>
    </row>
    <row r="14" spans="1:22" ht="18.75" x14ac:dyDescent="0.25">
      <c r="A14" s="20"/>
      <c r="B14" s="67" t="s">
        <v>39</v>
      </c>
      <c r="C14" s="68">
        <f>'DATI nascosti 2'!$L$8*10^-3</f>
        <v>6.7500000000000004E-2</v>
      </c>
      <c r="D14" s="68">
        <f>D13-(C14-('DATI nascosti 2'!$C$10/'DATI nascosti 2'!$C$13*C14))/100</f>
        <v>5.9715584415584388E-2</v>
      </c>
      <c r="E14" s="67" t="s">
        <v>39</v>
      </c>
      <c r="F14" s="69">
        <f>(D14*'DATI nascosti 2'!$C$13-C14*'DATI nascosti 2'!$C$10)/(D14-C14)</f>
        <v>-8469.9999999999618</v>
      </c>
      <c r="G14" s="70">
        <v>0</v>
      </c>
      <c r="H14" s="70">
        <v>0</v>
      </c>
      <c r="I14" s="70">
        <v>0</v>
      </c>
      <c r="J14" s="70">
        <v>0</v>
      </c>
      <c r="K14" s="71">
        <f>IF(D14&gt;=('DATI nascosti 2'!$L$10*10^-3),'DATI nascosti 2'!$L$14*'DATI nascosti 2'!$P$12,IF(D14&gt;=(-'DATI nascosti 2'!$L$10*10^-3),'DATI nascosti 2'!$L$16*D14*'DATI nascosti 2'!$P$12,-'DATI nascosti 2'!$L$14*'DATI nascosti 2'!$P$12))</f>
        <v>614659.43222408998</v>
      </c>
      <c r="L14" s="71">
        <v>0</v>
      </c>
      <c r="M14" s="71">
        <f>IF(C14&gt;=('DATI nascosti 2'!$L$10*10^-3),'DATI nascosti 2'!$L$14*'DATI nascosti 2'!$P$11,IF(C14&gt;=(-'DATI nascosti 2'!$L$10*10^-3),'DATI nascosti 2'!$P$11*'DATI nascosti 2'!$L$16*C14,-'DATI nascosti 2'!$L$14*'DATI nascosti 2'!$P$11))</f>
        <v>614659.43222408998</v>
      </c>
      <c r="N14" s="71">
        <f t="shared" si="0"/>
        <v>1229318.86444818</v>
      </c>
      <c r="O14" s="71">
        <f>-K14*('DATI nascosti 2'!$C$13/2)+M14*('DATI nascosti 2'!$C$13/2)</f>
        <v>0</v>
      </c>
      <c r="P14" s="69">
        <f>-'T2'!N14/10^3</f>
        <v>-1229.31886444818</v>
      </c>
      <c r="Q14" s="69">
        <f>'T2'!O14/10^6</f>
        <v>0</v>
      </c>
      <c r="R14" s="72">
        <f>-N14/('DATI nascosti 2'!$C$6*'DATI nascosti 2'!$C$13*'DATI nascosti 2'!$H$10*'DATI nascosti 2'!$H$16)</f>
        <v>-0.29581171389629707</v>
      </c>
      <c r="S14" s="72">
        <f>O14/('DATI nascosti 2'!$H$16*'DATI nascosti 2'!$C$6*'DATI nascosti 2'!$C$13^2*'DATI nascosti 2'!$H$10)</f>
        <v>0</v>
      </c>
      <c r="T14" s="73">
        <f t="shared" si="1"/>
        <v>0</v>
      </c>
      <c r="U14" s="67" t="str">
        <f>IF(T14&gt;=0, IF(T14&lt;='DATI nascosti 2'!$C$8/6, "SI", "NO"),IF(T14&gt; -'DATI nascosti 2'!$C$8/6, "SI", "NO"))</f>
        <v>SI</v>
      </c>
      <c r="V14" s="67" t="str">
        <f>IF(Foglio3!G15&lt;1,IF(Foglio3!G15&gt;-1,"ROTTURA BILANCIATA",""),"")</f>
        <v/>
      </c>
    </row>
    <row r="15" spans="1:22" ht="18.75" x14ac:dyDescent="0.25">
      <c r="A15" s="20"/>
      <c r="B15" s="67" t="s">
        <v>39</v>
      </c>
      <c r="C15" s="68">
        <f>'DATI nascosti 2'!$L$8*10^-3</f>
        <v>6.7500000000000004E-2</v>
      </c>
      <c r="D15" s="68">
        <f>D14-(C15-('DATI nascosti 2'!$C$10/'DATI nascosti 2'!$C$13*C15))/100</f>
        <v>5.9066883116883087E-2</v>
      </c>
      <c r="E15" s="67" t="s">
        <v>39</v>
      </c>
      <c r="F15" s="69">
        <f>(D15*'DATI nascosti 2'!$C$13-C15*'DATI nascosti 2'!$C$10)/(D15-C15)</f>
        <v>-7729.6153846153493</v>
      </c>
      <c r="G15" s="70">
        <v>0</v>
      </c>
      <c r="H15" s="70">
        <v>0</v>
      </c>
      <c r="I15" s="70">
        <v>0</v>
      </c>
      <c r="J15" s="70">
        <v>0</v>
      </c>
      <c r="K15" s="71">
        <f>IF(D15&gt;=('DATI nascosti 2'!$L$10*10^-3),'DATI nascosti 2'!$L$14*'DATI nascosti 2'!$P$12,IF(D15&gt;=(-'DATI nascosti 2'!$L$10*10^-3),'DATI nascosti 2'!$L$16*D15*'DATI nascosti 2'!$P$12,-'DATI nascosti 2'!$L$14*'DATI nascosti 2'!$P$12))</f>
        <v>614659.43222408998</v>
      </c>
      <c r="L15" s="71">
        <v>0</v>
      </c>
      <c r="M15" s="71">
        <f>IF(C15&gt;=('DATI nascosti 2'!$L$10*10^-3),'DATI nascosti 2'!$L$14*'DATI nascosti 2'!$P$11,IF(C15&gt;=(-'DATI nascosti 2'!$L$10*10^-3),'DATI nascosti 2'!$P$11*'DATI nascosti 2'!$L$16*C15,-'DATI nascosti 2'!$L$14*'DATI nascosti 2'!$P$11))</f>
        <v>614659.43222408998</v>
      </c>
      <c r="N15" s="71">
        <f t="shared" si="0"/>
        <v>1229318.86444818</v>
      </c>
      <c r="O15" s="71">
        <f>-K15*('DATI nascosti 2'!$C$13/2)+M15*('DATI nascosti 2'!$C$13/2)</f>
        <v>0</v>
      </c>
      <c r="P15" s="69">
        <f>-'T2'!N15/10^3</f>
        <v>-1229.31886444818</v>
      </c>
      <c r="Q15" s="69">
        <f>'T2'!O15/10^6</f>
        <v>0</v>
      </c>
      <c r="R15" s="72">
        <f>-N15/('DATI nascosti 2'!$C$6*'DATI nascosti 2'!$C$13*'DATI nascosti 2'!$H$10*'DATI nascosti 2'!$H$16)</f>
        <v>-0.29581171389629707</v>
      </c>
      <c r="S15" s="72">
        <f>O15/('DATI nascosti 2'!$H$16*'DATI nascosti 2'!$C$6*'DATI nascosti 2'!$C$13^2*'DATI nascosti 2'!$H$10)</f>
        <v>0</v>
      </c>
      <c r="T15" s="73">
        <f t="shared" si="1"/>
        <v>0</v>
      </c>
      <c r="U15" s="67" t="str">
        <f>IF(T15&gt;=0, IF(T15&lt;='DATI nascosti 2'!$C$8/6, "SI", "NO"),IF(T15&gt; -'DATI nascosti 2'!$C$8/6, "SI", "NO"))</f>
        <v>SI</v>
      </c>
      <c r="V15" s="67" t="str">
        <f>IF(Foglio3!G16&lt;1,IF(Foglio3!G16&gt;-1,"ROTTURA BILANCIATA",""),"")</f>
        <v/>
      </c>
    </row>
    <row r="16" spans="1:22" ht="18.75" x14ac:dyDescent="0.25">
      <c r="A16" s="20"/>
      <c r="B16" s="67" t="s">
        <v>39</v>
      </c>
      <c r="C16" s="68">
        <f>'DATI nascosti 2'!$L$8*10^-3</f>
        <v>6.7500000000000004E-2</v>
      </c>
      <c r="D16" s="68">
        <f>D15-(C16-('DATI nascosti 2'!$C$10/'DATI nascosti 2'!$C$13*C16))/100</f>
        <v>5.8418181818181786E-2</v>
      </c>
      <c r="E16" s="67" t="s">
        <v>39</v>
      </c>
      <c r="F16" s="69">
        <f>(D16*'DATI nascosti 2'!$C$13-C16*'DATI nascosti 2'!$C$10)/(D16-C16)</f>
        <v>-7094.9999999999673</v>
      </c>
      <c r="G16" s="70">
        <v>0</v>
      </c>
      <c r="H16" s="70">
        <v>0</v>
      </c>
      <c r="I16" s="70">
        <v>0</v>
      </c>
      <c r="J16" s="70">
        <v>0</v>
      </c>
      <c r="K16" s="71">
        <f>IF(D16&gt;=('DATI nascosti 2'!$L$10*10^-3),'DATI nascosti 2'!$L$14*'DATI nascosti 2'!$P$12,IF(D16&gt;=(-'DATI nascosti 2'!$L$10*10^-3),'DATI nascosti 2'!$L$16*D16*'DATI nascosti 2'!$P$12,-'DATI nascosti 2'!$L$14*'DATI nascosti 2'!$P$12))</f>
        <v>614659.43222408998</v>
      </c>
      <c r="L16" s="71">
        <v>0</v>
      </c>
      <c r="M16" s="71">
        <f>IF(C16&gt;=('DATI nascosti 2'!$L$10*10^-3),'DATI nascosti 2'!$L$14*'DATI nascosti 2'!$P$11,IF(C16&gt;=(-'DATI nascosti 2'!$L$10*10^-3),'DATI nascosti 2'!$P$11*'DATI nascosti 2'!$L$16*C16,-'DATI nascosti 2'!$L$14*'DATI nascosti 2'!$P$11))</f>
        <v>614659.43222408998</v>
      </c>
      <c r="N16" s="71">
        <f t="shared" si="0"/>
        <v>1229318.86444818</v>
      </c>
      <c r="O16" s="71">
        <f>-K16*('DATI nascosti 2'!$C$13/2)+M16*('DATI nascosti 2'!$C$13/2)</f>
        <v>0</v>
      </c>
      <c r="P16" s="69">
        <f>-'T2'!N16/10^3</f>
        <v>-1229.31886444818</v>
      </c>
      <c r="Q16" s="69">
        <f>'T2'!O16/10^6</f>
        <v>0</v>
      </c>
      <c r="R16" s="72">
        <f>-N16/('DATI nascosti 2'!$C$6*'DATI nascosti 2'!$C$13*'DATI nascosti 2'!$H$10*'DATI nascosti 2'!$H$16)</f>
        <v>-0.29581171389629707</v>
      </c>
      <c r="S16" s="72">
        <f>O16/('DATI nascosti 2'!$H$16*'DATI nascosti 2'!$C$6*'DATI nascosti 2'!$C$13^2*'DATI nascosti 2'!$H$10)</f>
        <v>0</v>
      </c>
      <c r="T16" s="73">
        <f t="shared" si="1"/>
        <v>0</v>
      </c>
      <c r="U16" s="67" t="str">
        <f>IF(T16&gt;=0, IF(T16&lt;='DATI nascosti 2'!$C$8/6, "SI", "NO"),IF(T16&gt; -'DATI nascosti 2'!$C$8/6, "SI", "NO"))</f>
        <v>SI</v>
      </c>
      <c r="V16" s="67" t="str">
        <f>IF(Foglio3!G17&lt;1,IF(Foglio3!G17&gt;-1,"ROTTURA BILANCIATA",""),"")</f>
        <v/>
      </c>
    </row>
    <row r="17" spans="1:22" ht="18.75" x14ac:dyDescent="0.25">
      <c r="A17" s="20"/>
      <c r="B17" s="67" t="s">
        <v>39</v>
      </c>
      <c r="C17" s="68">
        <f>'DATI nascosti 2'!$L$8*10^-3</f>
        <v>6.7500000000000004E-2</v>
      </c>
      <c r="D17" s="68">
        <f>D16-(C17-('DATI nascosti 2'!$C$10/'DATI nascosti 2'!$C$13*C17))/100</f>
        <v>5.7769480519480484E-2</v>
      </c>
      <c r="E17" s="67" t="s">
        <v>39</v>
      </c>
      <c r="F17" s="69">
        <f>(D17*'DATI nascosti 2'!$C$13-C17*'DATI nascosti 2'!$C$10)/(D17-C17)</f>
        <v>-6544.9999999999682</v>
      </c>
      <c r="G17" s="70">
        <v>0</v>
      </c>
      <c r="H17" s="70">
        <v>0</v>
      </c>
      <c r="I17" s="70">
        <v>0</v>
      </c>
      <c r="J17" s="70">
        <v>0</v>
      </c>
      <c r="K17" s="71">
        <f>IF(D17&gt;=('DATI nascosti 2'!$L$10*10^-3),'DATI nascosti 2'!$L$14*'DATI nascosti 2'!$P$12,IF(D17&gt;=(-'DATI nascosti 2'!$L$10*10^-3),'DATI nascosti 2'!$L$16*D17*'DATI nascosti 2'!$P$12,-'DATI nascosti 2'!$L$14*'DATI nascosti 2'!$P$12))</f>
        <v>614659.43222408998</v>
      </c>
      <c r="L17" s="71">
        <v>0</v>
      </c>
      <c r="M17" s="71">
        <f>IF(C17&gt;=('DATI nascosti 2'!$L$10*10^-3),'DATI nascosti 2'!$L$14*'DATI nascosti 2'!$P$11,IF(C17&gt;=(-'DATI nascosti 2'!$L$10*10^-3),'DATI nascosti 2'!$P$11*'DATI nascosti 2'!$L$16*C17,-'DATI nascosti 2'!$L$14*'DATI nascosti 2'!$P$11))</f>
        <v>614659.43222408998</v>
      </c>
      <c r="N17" s="71">
        <f t="shared" si="0"/>
        <v>1229318.86444818</v>
      </c>
      <c r="O17" s="71">
        <f>-K17*('DATI nascosti 2'!$C$13/2)+M17*('DATI nascosti 2'!$C$13/2)</f>
        <v>0</v>
      </c>
      <c r="P17" s="69">
        <f>-'T2'!N17/10^3</f>
        <v>-1229.31886444818</v>
      </c>
      <c r="Q17" s="69">
        <f>'T2'!O17/10^6</f>
        <v>0</v>
      </c>
      <c r="R17" s="72">
        <f>-N17/('DATI nascosti 2'!$C$6*'DATI nascosti 2'!$C$13*'DATI nascosti 2'!$H$10*'DATI nascosti 2'!$H$16)</f>
        <v>-0.29581171389629707</v>
      </c>
      <c r="S17" s="72">
        <f>O17/('DATI nascosti 2'!$H$16*'DATI nascosti 2'!$C$6*'DATI nascosti 2'!$C$13^2*'DATI nascosti 2'!$H$10)</f>
        <v>0</v>
      </c>
      <c r="T17" s="73">
        <f t="shared" si="1"/>
        <v>0</v>
      </c>
      <c r="U17" s="67" t="str">
        <f>IF(T17&gt;=0, IF(T17&lt;='DATI nascosti 2'!$C$8/6, "SI", "NO"),IF(T17&gt; -'DATI nascosti 2'!$C$8/6, "SI", "NO"))</f>
        <v>SI</v>
      </c>
      <c r="V17" s="67" t="str">
        <f>IF(Foglio3!G18&lt;1,IF(Foglio3!G18&gt;-1,"ROTTURA BILANCIATA",""),"")</f>
        <v/>
      </c>
    </row>
    <row r="18" spans="1:22" ht="18.75" x14ac:dyDescent="0.25">
      <c r="A18" s="20"/>
      <c r="B18" s="67" t="s">
        <v>39</v>
      </c>
      <c r="C18" s="68">
        <f>'DATI nascosti 2'!$L$8*10^-3</f>
        <v>6.7500000000000004E-2</v>
      </c>
      <c r="D18" s="68">
        <f>D17-(C18-('DATI nascosti 2'!$C$10/'DATI nascosti 2'!$C$13*C18))/100</f>
        <v>5.7120779220779183E-2</v>
      </c>
      <c r="E18" s="67" t="s">
        <v>39</v>
      </c>
      <c r="F18" s="69">
        <f>(D18*'DATI nascosti 2'!$C$13-C18*'DATI nascosti 2'!$C$10)/(D18-C18)</f>
        <v>-6063.7499999999718</v>
      </c>
      <c r="G18" s="70">
        <v>0</v>
      </c>
      <c r="H18" s="70">
        <v>0</v>
      </c>
      <c r="I18" s="70">
        <v>0</v>
      </c>
      <c r="J18" s="70">
        <v>0</v>
      </c>
      <c r="K18" s="71">
        <f>IF(D18&gt;=('DATI nascosti 2'!$L$10*10^-3),'DATI nascosti 2'!$L$14*'DATI nascosti 2'!$P$12,IF(D18&gt;=(-'DATI nascosti 2'!$L$10*10^-3),'DATI nascosti 2'!$L$16*D18*'DATI nascosti 2'!$P$12,-'DATI nascosti 2'!$L$14*'DATI nascosti 2'!$P$12))</f>
        <v>614659.43222408998</v>
      </c>
      <c r="L18" s="71">
        <v>0</v>
      </c>
      <c r="M18" s="71">
        <f>IF(C18&gt;=('DATI nascosti 2'!$L$10*10^-3),'DATI nascosti 2'!$L$14*'DATI nascosti 2'!$P$11,IF(C18&gt;=(-'DATI nascosti 2'!$L$10*10^-3),'DATI nascosti 2'!$P$11*'DATI nascosti 2'!$L$16*C18,-'DATI nascosti 2'!$L$14*'DATI nascosti 2'!$P$11))</f>
        <v>614659.43222408998</v>
      </c>
      <c r="N18" s="71">
        <f t="shared" si="0"/>
        <v>1229318.86444818</v>
      </c>
      <c r="O18" s="71">
        <f>-K18*('DATI nascosti 2'!$C$13/2)+M18*('DATI nascosti 2'!$C$13/2)</f>
        <v>0</v>
      </c>
      <c r="P18" s="69">
        <f>-'T2'!N18/10^3</f>
        <v>-1229.31886444818</v>
      </c>
      <c r="Q18" s="69">
        <f>'T2'!O18/10^6</f>
        <v>0</v>
      </c>
      <c r="R18" s="72">
        <f>-N18/('DATI nascosti 2'!$C$6*'DATI nascosti 2'!$C$13*'DATI nascosti 2'!$H$10*'DATI nascosti 2'!$H$16)</f>
        <v>-0.29581171389629707</v>
      </c>
      <c r="S18" s="72">
        <f>O18/('DATI nascosti 2'!$H$16*'DATI nascosti 2'!$C$6*'DATI nascosti 2'!$C$13^2*'DATI nascosti 2'!$H$10)</f>
        <v>0</v>
      </c>
      <c r="T18" s="73">
        <f t="shared" si="1"/>
        <v>0</v>
      </c>
      <c r="U18" s="67" t="str">
        <f>IF(T18&gt;=0, IF(T18&lt;='DATI nascosti 2'!$C$8/6, "SI", "NO"),IF(T18&gt; -'DATI nascosti 2'!$C$8/6, "SI", "NO"))</f>
        <v>SI</v>
      </c>
      <c r="V18" s="67" t="str">
        <f>IF(Foglio3!G19&lt;1,IF(Foglio3!G19&gt;-1,"ROTTURA BILANCIATA",""),"")</f>
        <v/>
      </c>
    </row>
    <row r="19" spans="1:22" ht="18.75" x14ac:dyDescent="0.25">
      <c r="A19" s="20"/>
      <c r="B19" s="67" t="s">
        <v>39</v>
      </c>
      <c r="C19" s="68">
        <f>'DATI nascosti 2'!$L$8*10^-3</f>
        <v>6.7500000000000004E-2</v>
      </c>
      <c r="D19" s="68">
        <f>D18-(C19-('DATI nascosti 2'!$C$10/'DATI nascosti 2'!$C$13*C19))/100</f>
        <v>5.6472077922077882E-2</v>
      </c>
      <c r="E19" s="67" t="s">
        <v>39</v>
      </c>
      <c r="F19" s="69">
        <f>(D19*'DATI nascosti 2'!$C$13-C19*'DATI nascosti 2'!$C$10)/(D19-C19)</f>
        <v>-5639.117647058797</v>
      </c>
      <c r="G19" s="70">
        <v>0</v>
      </c>
      <c r="H19" s="70">
        <v>0</v>
      </c>
      <c r="I19" s="70">
        <v>0</v>
      </c>
      <c r="J19" s="70">
        <v>0</v>
      </c>
      <c r="K19" s="71">
        <f>IF(D19&gt;=('DATI nascosti 2'!$L$10*10^-3),'DATI nascosti 2'!$L$14*'DATI nascosti 2'!$P$12,IF(D19&gt;=(-'DATI nascosti 2'!$L$10*10^-3),'DATI nascosti 2'!$L$16*D19*'DATI nascosti 2'!$P$12,-'DATI nascosti 2'!$L$14*'DATI nascosti 2'!$P$12))</f>
        <v>614659.43222408998</v>
      </c>
      <c r="L19" s="71">
        <v>0</v>
      </c>
      <c r="M19" s="71">
        <f>IF(C19&gt;=('DATI nascosti 2'!$L$10*10^-3),'DATI nascosti 2'!$L$14*'DATI nascosti 2'!$P$11,IF(C19&gt;=(-'DATI nascosti 2'!$L$10*10^-3),'DATI nascosti 2'!$P$11*'DATI nascosti 2'!$L$16*C19,-'DATI nascosti 2'!$L$14*'DATI nascosti 2'!$P$11))</f>
        <v>614659.43222408998</v>
      </c>
      <c r="N19" s="71">
        <f t="shared" si="0"/>
        <v>1229318.86444818</v>
      </c>
      <c r="O19" s="71">
        <f>-K19*('DATI nascosti 2'!$C$13/2)+M19*('DATI nascosti 2'!$C$13/2)</f>
        <v>0</v>
      </c>
      <c r="P19" s="69">
        <f>-'T2'!N19/10^3</f>
        <v>-1229.31886444818</v>
      </c>
      <c r="Q19" s="69">
        <f>'T2'!O19/10^6</f>
        <v>0</v>
      </c>
      <c r="R19" s="72">
        <f>-N19/('DATI nascosti 2'!$C$6*'DATI nascosti 2'!$C$13*'DATI nascosti 2'!$H$10*'DATI nascosti 2'!$H$16)</f>
        <v>-0.29581171389629707</v>
      </c>
      <c r="S19" s="72">
        <f>O19/('DATI nascosti 2'!$H$16*'DATI nascosti 2'!$C$6*'DATI nascosti 2'!$C$13^2*'DATI nascosti 2'!$H$10)</f>
        <v>0</v>
      </c>
      <c r="T19" s="73">
        <f t="shared" si="1"/>
        <v>0</v>
      </c>
      <c r="U19" s="67" t="str">
        <f>IF(T19&gt;=0, IF(T19&lt;='DATI nascosti 2'!$C$8/6, "SI", "NO"),IF(T19&gt; -'DATI nascosti 2'!$C$8/6, "SI", "NO"))</f>
        <v>SI</v>
      </c>
      <c r="V19" s="67" t="str">
        <f>IF(Foglio3!G20&lt;1,IF(Foglio3!G20&gt;-1,"ROTTURA BILANCIATA",""),"")</f>
        <v/>
      </c>
    </row>
    <row r="20" spans="1:22" ht="18.75" x14ac:dyDescent="0.25">
      <c r="A20" s="20"/>
      <c r="B20" s="67" t="s">
        <v>39</v>
      </c>
      <c r="C20" s="68">
        <f>'DATI nascosti 2'!$L$8*10^-3</f>
        <v>6.7500000000000004E-2</v>
      </c>
      <c r="D20" s="68">
        <f>D19-(C20-('DATI nascosti 2'!$C$10/'DATI nascosti 2'!$C$13*C20))/100</f>
        <v>5.582337662337658E-2</v>
      </c>
      <c r="E20" s="67" t="s">
        <v>39</v>
      </c>
      <c r="F20" s="69">
        <f>(D20*'DATI nascosti 2'!$C$13-C20*'DATI nascosti 2'!$C$10)/(D20-C20)</f>
        <v>-5261.6666666666415</v>
      </c>
      <c r="G20" s="70">
        <v>0</v>
      </c>
      <c r="H20" s="70">
        <v>0</v>
      </c>
      <c r="I20" s="70">
        <v>0</v>
      </c>
      <c r="J20" s="70">
        <v>0</v>
      </c>
      <c r="K20" s="71">
        <f>IF(D20&gt;=('DATI nascosti 2'!$L$10*10^-3),'DATI nascosti 2'!$L$14*'DATI nascosti 2'!$P$12,IF(D20&gt;=(-'DATI nascosti 2'!$L$10*10^-3),'DATI nascosti 2'!$L$16*D20*'DATI nascosti 2'!$P$12,-'DATI nascosti 2'!$L$14*'DATI nascosti 2'!$P$12))</f>
        <v>614659.43222408998</v>
      </c>
      <c r="L20" s="71">
        <v>0</v>
      </c>
      <c r="M20" s="71">
        <f>IF(C20&gt;=('DATI nascosti 2'!$L$10*10^-3),'DATI nascosti 2'!$L$14*'DATI nascosti 2'!$P$11,IF(C20&gt;=(-'DATI nascosti 2'!$L$10*10^-3),'DATI nascosti 2'!$P$11*'DATI nascosti 2'!$L$16*C20,-'DATI nascosti 2'!$L$14*'DATI nascosti 2'!$P$11))</f>
        <v>614659.43222408998</v>
      </c>
      <c r="N20" s="71">
        <f t="shared" si="0"/>
        <v>1229318.86444818</v>
      </c>
      <c r="O20" s="71">
        <f>-K20*('DATI nascosti 2'!$C$13/2)+M20*('DATI nascosti 2'!$C$13/2)</f>
        <v>0</v>
      </c>
      <c r="P20" s="69">
        <f>-'T2'!N20/10^3</f>
        <v>-1229.31886444818</v>
      </c>
      <c r="Q20" s="69">
        <f>'T2'!O20/10^6</f>
        <v>0</v>
      </c>
      <c r="R20" s="72">
        <f>-N20/('DATI nascosti 2'!$C$6*'DATI nascosti 2'!$C$13*'DATI nascosti 2'!$H$10*'DATI nascosti 2'!$H$16)</f>
        <v>-0.29581171389629707</v>
      </c>
      <c r="S20" s="72">
        <f>O20/('DATI nascosti 2'!$H$16*'DATI nascosti 2'!$C$6*'DATI nascosti 2'!$C$13^2*'DATI nascosti 2'!$H$10)</f>
        <v>0</v>
      </c>
      <c r="T20" s="73">
        <f t="shared" si="1"/>
        <v>0</v>
      </c>
      <c r="U20" s="67" t="str">
        <f>IF(T20&gt;=0, IF(T20&lt;='DATI nascosti 2'!$C$8/6, "SI", "NO"),IF(T20&gt; -'DATI nascosti 2'!$C$8/6, "SI", "NO"))</f>
        <v>SI</v>
      </c>
      <c r="V20" s="67" t="str">
        <f>IF(Foglio3!G21&lt;1,IF(Foglio3!G21&gt;-1,"ROTTURA BILANCIATA",""),"")</f>
        <v/>
      </c>
    </row>
    <row r="21" spans="1:22" ht="18.75" x14ac:dyDescent="0.25">
      <c r="A21" s="20"/>
      <c r="B21" s="67" t="s">
        <v>39</v>
      </c>
      <c r="C21" s="68">
        <f>'DATI nascosti 2'!$L$8*10^-3</f>
        <v>6.7500000000000004E-2</v>
      </c>
      <c r="D21" s="68">
        <f>D20-(C21-('DATI nascosti 2'!$C$10/'DATI nascosti 2'!$C$13*C21))/100</f>
        <v>5.5174675324675279E-2</v>
      </c>
      <c r="E21" s="67" t="s">
        <v>39</v>
      </c>
      <c r="F21" s="69">
        <f>(D21*'DATI nascosti 2'!$C$13-C21*'DATI nascosti 2'!$C$10)/(D21-C21)</f>
        <v>-4923.9473684210279</v>
      </c>
      <c r="G21" s="70">
        <v>0</v>
      </c>
      <c r="H21" s="70">
        <v>0</v>
      </c>
      <c r="I21" s="70">
        <v>0</v>
      </c>
      <c r="J21" s="70">
        <v>0</v>
      </c>
      <c r="K21" s="71">
        <f>IF(D21&gt;=('DATI nascosti 2'!$L$10*10^-3),'DATI nascosti 2'!$L$14*'DATI nascosti 2'!$P$12,IF(D21&gt;=(-'DATI nascosti 2'!$L$10*10^-3),'DATI nascosti 2'!$L$16*D21*'DATI nascosti 2'!$P$12,-'DATI nascosti 2'!$L$14*'DATI nascosti 2'!$P$12))</f>
        <v>614659.43222408998</v>
      </c>
      <c r="L21" s="71">
        <v>0</v>
      </c>
      <c r="M21" s="71">
        <f>IF(C21&gt;=('DATI nascosti 2'!$L$10*10^-3),'DATI nascosti 2'!$L$14*'DATI nascosti 2'!$P$11,IF(C21&gt;=(-'DATI nascosti 2'!$L$10*10^-3),'DATI nascosti 2'!$P$11*'DATI nascosti 2'!$L$16*C21,-'DATI nascosti 2'!$L$14*'DATI nascosti 2'!$P$11))</f>
        <v>614659.43222408998</v>
      </c>
      <c r="N21" s="71">
        <f t="shared" si="0"/>
        <v>1229318.86444818</v>
      </c>
      <c r="O21" s="71">
        <f>-K21*('DATI nascosti 2'!$C$13/2)+M21*('DATI nascosti 2'!$C$13/2)</f>
        <v>0</v>
      </c>
      <c r="P21" s="69">
        <f>-'T2'!N21/10^3</f>
        <v>-1229.31886444818</v>
      </c>
      <c r="Q21" s="69">
        <f>'T2'!O21/10^6</f>
        <v>0</v>
      </c>
      <c r="R21" s="72">
        <f>-N21/('DATI nascosti 2'!$C$6*'DATI nascosti 2'!$C$13*'DATI nascosti 2'!$H$10*'DATI nascosti 2'!$H$16)</f>
        <v>-0.29581171389629707</v>
      </c>
      <c r="S21" s="72">
        <f>O21/('DATI nascosti 2'!$H$16*'DATI nascosti 2'!$C$6*'DATI nascosti 2'!$C$13^2*'DATI nascosti 2'!$H$10)</f>
        <v>0</v>
      </c>
      <c r="T21" s="73">
        <f t="shared" si="1"/>
        <v>0</v>
      </c>
      <c r="U21" s="67" t="str">
        <f>IF(T21&gt;=0, IF(T21&lt;='DATI nascosti 2'!$C$8/6, "SI", "NO"),IF(T21&gt; -'DATI nascosti 2'!$C$8/6, "SI", "NO"))</f>
        <v>SI</v>
      </c>
      <c r="V21" s="67" t="str">
        <f>IF(Foglio3!G22&lt;1,IF(Foglio3!G22&gt;-1,"ROTTURA BILANCIATA",""),"")</f>
        <v/>
      </c>
    </row>
    <row r="22" spans="1:22" ht="18.75" x14ac:dyDescent="0.25">
      <c r="A22" s="20"/>
      <c r="B22" s="67" t="s">
        <v>39</v>
      </c>
      <c r="C22" s="68">
        <f>'DATI nascosti 2'!$L$8*10^-3</f>
        <v>6.7500000000000004E-2</v>
      </c>
      <c r="D22" s="68">
        <f>D21-(C22-('DATI nascosti 2'!$C$10/'DATI nascosti 2'!$C$13*C22))/100</f>
        <v>5.4525974025973978E-2</v>
      </c>
      <c r="E22" s="67" t="s">
        <v>39</v>
      </c>
      <c r="F22" s="69">
        <f>(D22*'DATI nascosti 2'!$C$13-C22*'DATI nascosti 2'!$C$10)/(D22-C22)</f>
        <v>-4619.9999999999764</v>
      </c>
      <c r="G22" s="70">
        <v>0</v>
      </c>
      <c r="H22" s="70">
        <v>0</v>
      </c>
      <c r="I22" s="70">
        <v>0</v>
      </c>
      <c r="J22" s="70">
        <v>0</v>
      </c>
      <c r="K22" s="71">
        <f>IF(D22&gt;=('DATI nascosti 2'!$L$10*10^-3),'DATI nascosti 2'!$L$14*'DATI nascosti 2'!$P$12,IF(D22&gt;=(-'DATI nascosti 2'!$L$10*10^-3),'DATI nascosti 2'!$L$16*D22*'DATI nascosti 2'!$P$12,-'DATI nascosti 2'!$L$14*'DATI nascosti 2'!$P$12))</f>
        <v>614659.43222408998</v>
      </c>
      <c r="L22" s="71">
        <v>0</v>
      </c>
      <c r="M22" s="71">
        <f>IF(C22&gt;=('DATI nascosti 2'!$L$10*10^-3),'DATI nascosti 2'!$L$14*'DATI nascosti 2'!$P$11,IF(C22&gt;=(-'DATI nascosti 2'!$L$10*10^-3),'DATI nascosti 2'!$P$11*'DATI nascosti 2'!$L$16*C22,-'DATI nascosti 2'!$L$14*'DATI nascosti 2'!$P$11))</f>
        <v>614659.43222408998</v>
      </c>
      <c r="N22" s="71">
        <f t="shared" si="0"/>
        <v>1229318.86444818</v>
      </c>
      <c r="O22" s="71">
        <f>-K22*('DATI nascosti 2'!$C$13/2)+M22*('DATI nascosti 2'!$C$13/2)</f>
        <v>0</v>
      </c>
      <c r="P22" s="69">
        <f>-'T2'!N22/10^3</f>
        <v>-1229.31886444818</v>
      </c>
      <c r="Q22" s="69">
        <f>'T2'!O22/10^6</f>
        <v>0</v>
      </c>
      <c r="R22" s="72">
        <f>-N22/('DATI nascosti 2'!$C$6*'DATI nascosti 2'!$C$13*'DATI nascosti 2'!$H$10*'DATI nascosti 2'!$H$16)</f>
        <v>-0.29581171389629707</v>
      </c>
      <c r="S22" s="72">
        <f>O22/('DATI nascosti 2'!$H$16*'DATI nascosti 2'!$C$6*'DATI nascosti 2'!$C$13^2*'DATI nascosti 2'!$H$10)</f>
        <v>0</v>
      </c>
      <c r="T22" s="73">
        <f t="shared" si="1"/>
        <v>0</v>
      </c>
      <c r="U22" s="67" t="str">
        <f>IF(T22&gt;=0, IF(T22&lt;='DATI nascosti 2'!$C$8/6, "SI", "NO"),IF(T22&gt; -'DATI nascosti 2'!$C$8/6, "SI", "NO"))</f>
        <v>SI</v>
      </c>
      <c r="V22" s="67" t="str">
        <f>IF(Foglio3!G23&lt;1,IF(Foglio3!G23&gt;-1,"ROTTURA BILANCIATA",""),"")</f>
        <v/>
      </c>
    </row>
    <row r="23" spans="1:22" ht="18.75" x14ac:dyDescent="0.25">
      <c r="A23" s="20"/>
      <c r="B23" s="67" t="s">
        <v>39</v>
      </c>
      <c r="C23" s="68">
        <f>'DATI nascosti 2'!$L$8*10^-3</f>
        <v>6.7500000000000004E-2</v>
      </c>
      <c r="D23" s="68">
        <f>D22-(C23-('DATI nascosti 2'!$C$10/'DATI nascosti 2'!$C$13*C23))/100</f>
        <v>5.3877272727272676E-2</v>
      </c>
      <c r="E23" s="67" t="s">
        <v>39</v>
      </c>
      <c r="F23" s="69">
        <f>(D23*'DATI nascosti 2'!$C$13-C23*'DATI nascosti 2'!$C$10)/(D23-C23)</f>
        <v>-4344.9999999999782</v>
      </c>
      <c r="G23" s="70">
        <v>0</v>
      </c>
      <c r="H23" s="70">
        <v>0</v>
      </c>
      <c r="I23" s="70">
        <v>0</v>
      </c>
      <c r="J23" s="70">
        <v>0</v>
      </c>
      <c r="K23" s="71">
        <f>IF(D23&gt;=('DATI nascosti 2'!$L$10*10^-3),'DATI nascosti 2'!$L$14*'DATI nascosti 2'!$P$12,IF(D23&gt;=(-'DATI nascosti 2'!$L$10*10^-3),'DATI nascosti 2'!$L$16*D23*'DATI nascosti 2'!$P$12,-'DATI nascosti 2'!$L$14*'DATI nascosti 2'!$P$12))</f>
        <v>614659.43222408998</v>
      </c>
      <c r="L23" s="71">
        <v>0</v>
      </c>
      <c r="M23" s="71">
        <f>IF(C23&gt;=('DATI nascosti 2'!$L$10*10^-3),'DATI nascosti 2'!$L$14*'DATI nascosti 2'!$P$11,IF(C23&gt;=(-'DATI nascosti 2'!$L$10*10^-3),'DATI nascosti 2'!$P$11*'DATI nascosti 2'!$L$16*C23,-'DATI nascosti 2'!$L$14*'DATI nascosti 2'!$P$11))</f>
        <v>614659.43222408998</v>
      </c>
      <c r="N23" s="71">
        <f t="shared" si="0"/>
        <v>1229318.86444818</v>
      </c>
      <c r="O23" s="71">
        <f>-K23*('DATI nascosti 2'!$C$13/2)+M23*('DATI nascosti 2'!$C$13/2)</f>
        <v>0</v>
      </c>
      <c r="P23" s="69">
        <f>-'T2'!N23/10^3</f>
        <v>-1229.31886444818</v>
      </c>
      <c r="Q23" s="69">
        <f>'T2'!O23/10^6</f>
        <v>0</v>
      </c>
      <c r="R23" s="72">
        <f>-N23/('DATI nascosti 2'!$C$6*'DATI nascosti 2'!$C$13*'DATI nascosti 2'!$H$10*'DATI nascosti 2'!$H$16)</f>
        <v>-0.29581171389629707</v>
      </c>
      <c r="S23" s="72">
        <f>O23/('DATI nascosti 2'!$H$16*'DATI nascosti 2'!$C$6*'DATI nascosti 2'!$C$13^2*'DATI nascosti 2'!$H$10)</f>
        <v>0</v>
      </c>
      <c r="T23" s="73">
        <f t="shared" si="1"/>
        <v>0</v>
      </c>
      <c r="U23" s="67" t="str">
        <f>IF(T23&gt;=0, IF(T23&lt;='DATI nascosti 2'!$C$8/6, "SI", "NO"),IF(T23&gt; -'DATI nascosti 2'!$C$8/6, "SI", "NO"))</f>
        <v>SI</v>
      </c>
      <c r="V23" s="67" t="str">
        <f>IF(Foglio3!G24&lt;1,IF(Foglio3!G24&gt;-1,"ROTTURA BILANCIATA",""),"")</f>
        <v/>
      </c>
    </row>
    <row r="24" spans="1:22" ht="18.75" x14ac:dyDescent="0.25">
      <c r="A24" s="20"/>
      <c r="B24" s="67" t="s">
        <v>39</v>
      </c>
      <c r="C24" s="68">
        <f>'DATI nascosti 2'!$L$8*10^-3</f>
        <v>6.7500000000000004E-2</v>
      </c>
      <c r="D24" s="68">
        <f>D23-(C24-('DATI nascosti 2'!$C$10/'DATI nascosti 2'!$C$13*C24))/100</f>
        <v>5.3228571428571375E-2</v>
      </c>
      <c r="E24" s="67" t="s">
        <v>39</v>
      </c>
      <c r="F24" s="69">
        <f>(D24*'DATI nascosti 2'!$C$13-C24*'DATI nascosti 2'!$C$10)/(D24-C24)</f>
        <v>-4094.9999999999786</v>
      </c>
      <c r="G24" s="70">
        <v>0</v>
      </c>
      <c r="H24" s="70">
        <v>0</v>
      </c>
      <c r="I24" s="70">
        <v>0</v>
      </c>
      <c r="J24" s="70">
        <v>0</v>
      </c>
      <c r="K24" s="71">
        <f>IF(D24&gt;=('DATI nascosti 2'!$L$10*10^-3),'DATI nascosti 2'!$L$14*'DATI nascosti 2'!$P$12,IF(D24&gt;=(-'DATI nascosti 2'!$L$10*10^-3),'DATI nascosti 2'!$L$16*D24*'DATI nascosti 2'!$P$12,-'DATI nascosti 2'!$L$14*'DATI nascosti 2'!$P$12))</f>
        <v>614659.43222408998</v>
      </c>
      <c r="L24" s="71">
        <v>0</v>
      </c>
      <c r="M24" s="71">
        <f>IF(C24&gt;=('DATI nascosti 2'!$L$10*10^-3),'DATI nascosti 2'!$L$14*'DATI nascosti 2'!$P$11,IF(C24&gt;=(-'DATI nascosti 2'!$L$10*10^-3),'DATI nascosti 2'!$P$11*'DATI nascosti 2'!$L$16*C24,-'DATI nascosti 2'!$L$14*'DATI nascosti 2'!$P$11))</f>
        <v>614659.43222408998</v>
      </c>
      <c r="N24" s="71">
        <f t="shared" si="0"/>
        <v>1229318.86444818</v>
      </c>
      <c r="O24" s="71">
        <f>-K24*('DATI nascosti 2'!$C$13/2)+M24*('DATI nascosti 2'!$C$13/2)</f>
        <v>0</v>
      </c>
      <c r="P24" s="69">
        <f>-'T2'!N24/10^3</f>
        <v>-1229.31886444818</v>
      </c>
      <c r="Q24" s="69">
        <f>'T2'!O24/10^6</f>
        <v>0</v>
      </c>
      <c r="R24" s="72">
        <f>-N24/('DATI nascosti 2'!$C$6*'DATI nascosti 2'!$C$13*'DATI nascosti 2'!$H$10*'DATI nascosti 2'!$H$16)</f>
        <v>-0.29581171389629707</v>
      </c>
      <c r="S24" s="72">
        <f>O24/('DATI nascosti 2'!$H$16*'DATI nascosti 2'!$C$6*'DATI nascosti 2'!$C$13^2*'DATI nascosti 2'!$H$10)</f>
        <v>0</v>
      </c>
      <c r="T24" s="73">
        <f t="shared" si="1"/>
        <v>0</v>
      </c>
      <c r="U24" s="67" t="str">
        <f>IF(T24&gt;=0, IF(T24&lt;='DATI nascosti 2'!$C$8/6, "SI", "NO"),IF(T24&gt; -'DATI nascosti 2'!$C$8/6, "SI", "NO"))</f>
        <v>SI</v>
      </c>
      <c r="V24" s="67" t="str">
        <f>IF(Foglio3!G25&lt;1,IF(Foglio3!G25&gt;-1,"ROTTURA BILANCIATA",""),"")</f>
        <v/>
      </c>
    </row>
    <row r="25" spans="1:22" ht="18.75" x14ac:dyDescent="0.25">
      <c r="A25" s="20"/>
      <c r="B25" s="67" t="s">
        <v>39</v>
      </c>
      <c r="C25" s="68">
        <f>'DATI nascosti 2'!$L$8*10^-3</f>
        <v>6.7500000000000004E-2</v>
      </c>
      <c r="D25" s="68">
        <f>D24-(C25-('DATI nascosti 2'!$C$10/'DATI nascosti 2'!$C$13*C25))/100</f>
        <v>5.2579870129870074E-2</v>
      </c>
      <c r="E25" s="67" t="s">
        <v>39</v>
      </c>
      <c r="F25" s="69">
        <f>(D25*'DATI nascosti 2'!$C$13-C25*'DATI nascosti 2'!$C$10)/(D25-C25)</f>
        <v>-3866.739130434762</v>
      </c>
      <c r="G25" s="70">
        <v>0</v>
      </c>
      <c r="H25" s="70">
        <v>0</v>
      </c>
      <c r="I25" s="70">
        <v>0</v>
      </c>
      <c r="J25" s="70">
        <v>0</v>
      </c>
      <c r="K25" s="71">
        <f>IF(D25&gt;=('DATI nascosti 2'!$L$10*10^-3),'DATI nascosti 2'!$L$14*'DATI nascosti 2'!$P$12,IF(D25&gt;=(-'DATI nascosti 2'!$L$10*10^-3),'DATI nascosti 2'!$L$16*D25*'DATI nascosti 2'!$P$12,-'DATI nascosti 2'!$L$14*'DATI nascosti 2'!$P$12))</f>
        <v>614659.43222408998</v>
      </c>
      <c r="L25" s="71">
        <v>0</v>
      </c>
      <c r="M25" s="71">
        <f>IF(C25&gt;=('DATI nascosti 2'!$L$10*10^-3),'DATI nascosti 2'!$L$14*'DATI nascosti 2'!$P$11,IF(C25&gt;=(-'DATI nascosti 2'!$L$10*10^-3),'DATI nascosti 2'!$P$11*'DATI nascosti 2'!$L$16*C25,-'DATI nascosti 2'!$L$14*'DATI nascosti 2'!$P$11))</f>
        <v>614659.43222408998</v>
      </c>
      <c r="N25" s="71">
        <f t="shared" si="0"/>
        <v>1229318.86444818</v>
      </c>
      <c r="O25" s="71">
        <f>-K25*('DATI nascosti 2'!$C$13/2)+M25*('DATI nascosti 2'!$C$13/2)</f>
        <v>0</v>
      </c>
      <c r="P25" s="69">
        <f>-'T2'!N25/10^3</f>
        <v>-1229.31886444818</v>
      </c>
      <c r="Q25" s="69">
        <f>'T2'!O25/10^6</f>
        <v>0</v>
      </c>
      <c r="R25" s="72">
        <f>-N25/('DATI nascosti 2'!$C$6*'DATI nascosti 2'!$C$13*'DATI nascosti 2'!$H$10*'DATI nascosti 2'!$H$16)</f>
        <v>-0.29581171389629707</v>
      </c>
      <c r="S25" s="72">
        <f>O25/('DATI nascosti 2'!$H$16*'DATI nascosti 2'!$C$6*'DATI nascosti 2'!$C$13^2*'DATI nascosti 2'!$H$10)</f>
        <v>0</v>
      </c>
      <c r="T25" s="73">
        <f t="shared" si="1"/>
        <v>0</v>
      </c>
      <c r="U25" s="67" t="str">
        <f>IF(T25&gt;=0, IF(T25&lt;='DATI nascosti 2'!$C$8/6, "SI", "NO"),IF(T25&gt; -'DATI nascosti 2'!$C$8/6, "SI", "NO"))</f>
        <v>SI</v>
      </c>
      <c r="V25" s="67" t="str">
        <f>IF(Foglio3!G26&lt;1,IF(Foglio3!G26&gt;-1,"ROTTURA BILANCIATA",""),"")</f>
        <v/>
      </c>
    </row>
    <row r="26" spans="1:22" ht="18.75" x14ac:dyDescent="0.25">
      <c r="A26" s="20"/>
      <c r="B26" s="67" t="s">
        <v>39</v>
      </c>
      <c r="C26" s="68">
        <f>'DATI nascosti 2'!$L$8*10^-3</f>
        <v>6.7500000000000004E-2</v>
      </c>
      <c r="D26" s="68">
        <f>D25-(C26-('DATI nascosti 2'!$C$10/'DATI nascosti 2'!$C$13*C26))/100</f>
        <v>5.1931168831168772E-2</v>
      </c>
      <c r="E26" s="67" t="s">
        <v>39</v>
      </c>
      <c r="F26" s="69">
        <f>(D26*'DATI nascosti 2'!$C$13-C26*'DATI nascosti 2'!$C$10)/(D26-C26)</f>
        <v>-3657.4999999999809</v>
      </c>
      <c r="G26" s="70">
        <v>0</v>
      </c>
      <c r="H26" s="70">
        <v>0</v>
      </c>
      <c r="I26" s="70">
        <v>0</v>
      </c>
      <c r="J26" s="70">
        <v>0</v>
      </c>
      <c r="K26" s="71">
        <f>IF(D26&gt;=('DATI nascosti 2'!$L$10*10^-3),'DATI nascosti 2'!$L$14*'DATI nascosti 2'!$P$12,IF(D26&gt;=(-'DATI nascosti 2'!$L$10*10^-3),'DATI nascosti 2'!$L$16*D26*'DATI nascosti 2'!$P$12,-'DATI nascosti 2'!$L$14*'DATI nascosti 2'!$P$12))</f>
        <v>614659.43222408998</v>
      </c>
      <c r="L26" s="71">
        <v>0</v>
      </c>
      <c r="M26" s="71">
        <f>IF(C26&gt;=('DATI nascosti 2'!$L$10*10^-3),'DATI nascosti 2'!$L$14*'DATI nascosti 2'!$P$11,IF(C26&gt;=(-'DATI nascosti 2'!$L$10*10^-3),'DATI nascosti 2'!$P$11*'DATI nascosti 2'!$L$16*C26,-'DATI nascosti 2'!$L$14*'DATI nascosti 2'!$P$11))</f>
        <v>614659.43222408998</v>
      </c>
      <c r="N26" s="71">
        <f t="shared" si="0"/>
        <v>1229318.86444818</v>
      </c>
      <c r="O26" s="71">
        <f>-K26*('DATI nascosti 2'!$C$13/2)+M26*('DATI nascosti 2'!$C$13/2)</f>
        <v>0</v>
      </c>
      <c r="P26" s="69">
        <f>-'T2'!N26/10^3</f>
        <v>-1229.31886444818</v>
      </c>
      <c r="Q26" s="69">
        <f>'T2'!O26/10^6</f>
        <v>0</v>
      </c>
      <c r="R26" s="72">
        <f>-N26/('DATI nascosti 2'!$C$6*'DATI nascosti 2'!$C$13*'DATI nascosti 2'!$H$10*'DATI nascosti 2'!$H$16)</f>
        <v>-0.29581171389629707</v>
      </c>
      <c r="S26" s="72">
        <f>O26/('DATI nascosti 2'!$H$16*'DATI nascosti 2'!$C$6*'DATI nascosti 2'!$C$13^2*'DATI nascosti 2'!$H$10)</f>
        <v>0</v>
      </c>
      <c r="T26" s="73">
        <f t="shared" si="1"/>
        <v>0</v>
      </c>
      <c r="U26" s="67" t="str">
        <f>IF(T26&gt;=0, IF(T26&lt;='DATI nascosti 2'!$C$8/6, "SI", "NO"),IF(T26&gt; -'DATI nascosti 2'!$C$8/6, "SI", "NO"))</f>
        <v>SI</v>
      </c>
      <c r="V26" s="67" t="str">
        <f>IF(Foglio3!G27&lt;1,IF(Foglio3!G27&gt;-1,"ROTTURA BILANCIATA",""),"")</f>
        <v/>
      </c>
    </row>
    <row r="27" spans="1:22" ht="18.75" x14ac:dyDescent="0.25">
      <c r="A27" s="20"/>
      <c r="B27" s="67" t="s">
        <v>39</v>
      </c>
      <c r="C27" s="68">
        <f>'DATI nascosti 2'!$L$8*10^-3</f>
        <v>6.7500000000000004E-2</v>
      </c>
      <c r="D27" s="68">
        <f>D26-(C27-('DATI nascosti 2'!$C$10/'DATI nascosti 2'!$C$13*C27))/100</f>
        <v>5.1282467532467471E-2</v>
      </c>
      <c r="E27" s="67" t="s">
        <v>39</v>
      </c>
      <c r="F27" s="69">
        <f>(D27*'DATI nascosti 2'!$C$13-C27*'DATI nascosti 2'!$C$10)/(D27-C27)</f>
        <v>-3464.9999999999818</v>
      </c>
      <c r="G27" s="70">
        <v>0</v>
      </c>
      <c r="H27" s="70">
        <v>0</v>
      </c>
      <c r="I27" s="70">
        <v>0</v>
      </c>
      <c r="J27" s="70">
        <v>0</v>
      </c>
      <c r="K27" s="71">
        <f>IF(D27&gt;=('DATI nascosti 2'!$L$10*10^-3),'DATI nascosti 2'!$L$14*'DATI nascosti 2'!$P$12,IF(D27&gt;=(-'DATI nascosti 2'!$L$10*10^-3),'DATI nascosti 2'!$L$16*D27*'DATI nascosti 2'!$P$12,-'DATI nascosti 2'!$L$14*'DATI nascosti 2'!$P$12))</f>
        <v>614659.43222408998</v>
      </c>
      <c r="L27" s="71">
        <v>0</v>
      </c>
      <c r="M27" s="71">
        <f>IF(C27&gt;=('DATI nascosti 2'!$L$10*10^-3),'DATI nascosti 2'!$L$14*'DATI nascosti 2'!$P$11,IF(C27&gt;=(-'DATI nascosti 2'!$L$10*10^-3),'DATI nascosti 2'!$P$11*'DATI nascosti 2'!$L$16*C27,-'DATI nascosti 2'!$L$14*'DATI nascosti 2'!$P$11))</f>
        <v>614659.43222408998</v>
      </c>
      <c r="N27" s="71">
        <f t="shared" si="0"/>
        <v>1229318.86444818</v>
      </c>
      <c r="O27" s="71">
        <f>-K27*('DATI nascosti 2'!$C$13/2)+M27*('DATI nascosti 2'!$C$13/2)</f>
        <v>0</v>
      </c>
      <c r="P27" s="69">
        <f>-'T2'!N27/10^3</f>
        <v>-1229.31886444818</v>
      </c>
      <c r="Q27" s="69">
        <f>'T2'!O27/10^6</f>
        <v>0</v>
      </c>
      <c r="R27" s="72">
        <f>-N27/('DATI nascosti 2'!$C$6*'DATI nascosti 2'!$C$13*'DATI nascosti 2'!$H$10*'DATI nascosti 2'!$H$16)</f>
        <v>-0.29581171389629707</v>
      </c>
      <c r="S27" s="72">
        <f>O27/('DATI nascosti 2'!$H$16*'DATI nascosti 2'!$C$6*'DATI nascosti 2'!$C$13^2*'DATI nascosti 2'!$H$10)</f>
        <v>0</v>
      </c>
      <c r="T27" s="73">
        <f t="shared" si="1"/>
        <v>0</v>
      </c>
      <c r="U27" s="67" t="str">
        <f>IF(T27&gt;=0, IF(T27&lt;='DATI nascosti 2'!$C$8/6, "SI", "NO"),IF(T27&gt; -'DATI nascosti 2'!$C$8/6, "SI", "NO"))</f>
        <v>SI</v>
      </c>
      <c r="V27" s="67" t="str">
        <f>IF(Foglio3!G28&lt;1,IF(Foglio3!G28&gt;-1,"ROTTURA BILANCIATA",""),"")</f>
        <v/>
      </c>
    </row>
    <row r="28" spans="1:22" ht="18.75" x14ac:dyDescent="0.25">
      <c r="A28" s="20"/>
      <c r="B28" s="67" t="s">
        <v>39</v>
      </c>
      <c r="C28" s="68">
        <f>'DATI nascosti 2'!$L$8*10^-3</f>
        <v>6.7500000000000004E-2</v>
      </c>
      <c r="D28" s="68">
        <f>D27-(C28-('DATI nascosti 2'!$C$10/'DATI nascosti 2'!$C$13*C28))/100</f>
        <v>5.063376623376617E-2</v>
      </c>
      <c r="E28" s="67" t="s">
        <v>39</v>
      </c>
      <c r="F28" s="69">
        <f>(D28*'DATI nascosti 2'!$C$13-C28*'DATI nascosti 2'!$C$10)/(D28-C28)</f>
        <v>-3287.3076923076746</v>
      </c>
      <c r="G28" s="70">
        <v>0</v>
      </c>
      <c r="H28" s="70">
        <v>0</v>
      </c>
      <c r="I28" s="70">
        <v>0</v>
      </c>
      <c r="J28" s="70">
        <v>0</v>
      </c>
      <c r="K28" s="71">
        <f>IF(D28&gt;=('DATI nascosti 2'!$L$10*10^-3),'DATI nascosti 2'!$L$14*'DATI nascosti 2'!$P$12,IF(D28&gt;=(-'DATI nascosti 2'!$L$10*10^-3),'DATI nascosti 2'!$L$16*D28*'DATI nascosti 2'!$P$12,-'DATI nascosti 2'!$L$14*'DATI nascosti 2'!$P$12))</f>
        <v>614659.43222408998</v>
      </c>
      <c r="L28" s="71">
        <v>0</v>
      </c>
      <c r="M28" s="71">
        <f>IF(C28&gt;=('DATI nascosti 2'!$L$10*10^-3),'DATI nascosti 2'!$L$14*'DATI nascosti 2'!$P$11,IF(C28&gt;=(-'DATI nascosti 2'!$L$10*10^-3),'DATI nascosti 2'!$P$11*'DATI nascosti 2'!$L$16*C28,-'DATI nascosti 2'!$L$14*'DATI nascosti 2'!$P$11))</f>
        <v>614659.43222408998</v>
      </c>
      <c r="N28" s="71">
        <f t="shared" si="0"/>
        <v>1229318.86444818</v>
      </c>
      <c r="O28" s="71">
        <f>-K28*('DATI nascosti 2'!$C$13/2)+M28*('DATI nascosti 2'!$C$13/2)</f>
        <v>0</v>
      </c>
      <c r="P28" s="69">
        <f>-'T2'!N28/10^3</f>
        <v>-1229.31886444818</v>
      </c>
      <c r="Q28" s="69">
        <f>'T2'!O28/10^6</f>
        <v>0</v>
      </c>
      <c r="R28" s="72">
        <f>-N28/('DATI nascosti 2'!$C$6*'DATI nascosti 2'!$C$13*'DATI nascosti 2'!$H$10*'DATI nascosti 2'!$H$16)</f>
        <v>-0.29581171389629707</v>
      </c>
      <c r="S28" s="72">
        <f>O28/('DATI nascosti 2'!$H$16*'DATI nascosti 2'!$C$6*'DATI nascosti 2'!$C$13^2*'DATI nascosti 2'!$H$10)</f>
        <v>0</v>
      </c>
      <c r="T28" s="73">
        <f t="shared" si="1"/>
        <v>0</v>
      </c>
      <c r="U28" s="67" t="str">
        <f>IF(T28&gt;=0, IF(T28&lt;='DATI nascosti 2'!$C$8/6, "SI", "NO"),IF(T28&gt; -'DATI nascosti 2'!$C$8/6, "SI", "NO"))</f>
        <v>SI</v>
      </c>
      <c r="V28" s="67" t="str">
        <f>IF(Foglio3!G29&lt;1,IF(Foglio3!G29&gt;-1,"ROTTURA BILANCIATA",""),"")</f>
        <v/>
      </c>
    </row>
    <row r="29" spans="1:22" ht="18.75" x14ac:dyDescent="0.25">
      <c r="A29" s="20"/>
      <c r="B29" s="67" t="s">
        <v>39</v>
      </c>
      <c r="C29" s="68">
        <f>'DATI nascosti 2'!$L$8*10^-3</f>
        <v>6.7500000000000004E-2</v>
      </c>
      <c r="D29" s="68">
        <f>D28-(C29-('DATI nascosti 2'!$C$10/'DATI nascosti 2'!$C$13*C29))/100</f>
        <v>4.9985064935064868E-2</v>
      </c>
      <c r="E29" s="67" t="s">
        <v>39</v>
      </c>
      <c r="F29" s="69">
        <f>(D29*'DATI nascosti 2'!$C$13-C29*'DATI nascosti 2'!$C$10)/(D29-C29)</f>
        <v>-3122.7777777777605</v>
      </c>
      <c r="G29" s="70">
        <v>0</v>
      </c>
      <c r="H29" s="70">
        <v>0</v>
      </c>
      <c r="I29" s="70">
        <v>0</v>
      </c>
      <c r="J29" s="70">
        <v>0</v>
      </c>
      <c r="K29" s="71">
        <f>IF(D29&gt;=('DATI nascosti 2'!$L$10*10^-3),'DATI nascosti 2'!$L$14*'DATI nascosti 2'!$P$12,IF(D29&gt;=(-'DATI nascosti 2'!$L$10*10^-3),'DATI nascosti 2'!$L$16*D29*'DATI nascosti 2'!$P$12,-'DATI nascosti 2'!$L$14*'DATI nascosti 2'!$P$12))</f>
        <v>614659.43222408998</v>
      </c>
      <c r="L29" s="71">
        <v>0</v>
      </c>
      <c r="M29" s="71">
        <f>IF(C29&gt;=('DATI nascosti 2'!$L$10*10^-3),'DATI nascosti 2'!$L$14*'DATI nascosti 2'!$P$11,IF(C29&gt;=(-'DATI nascosti 2'!$L$10*10^-3),'DATI nascosti 2'!$P$11*'DATI nascosti 2'!$L$16*C29,-'DATI nascosti 2'!$L$14*'DATI nascosti 2'!$P$11))</f>
        <v>614659.43222408998</v>
      </c>
      <c r="N29" s="71">
        <f t="shared" si="0"/>
        <v>1229318.86444818</v>
      </c>
      <c r="O29" s="71">
        <f>-K29*('DATI nascosti 2'!$C$13/2)+M29*('DATI nascosti 2'!$C$13/2)</f>
        <v>0</v>
      </c>
      <c r="P29" s="69">
        <f>-'T2'!N29/10^3</f>
        <v>-1229.31886444818</v>
      </c>
      <c r="Q29" s="69">
        <f>'T2'!O29/10^6</f>
        <v>0</v>
      </c>
      <c r="R29" s="72">
        <f>-N29/('DATI nascosti 2'!$C$6*'DATI nascosti 2'!$C$13*'DATI nascosti 2'!$H$10*'DATI nascosti 2'!$H$16)</f>
        <v>-0.29581171389629707</v>
      </c>
      <c r="S29" s="72">
        <f>O29/('DATI nascosti 2'!$H$16*'DATI nascosti 2'!$C$6*'DATI nascosti 2'!$C$13^2*'DATI nascosti 2'!$H$10)</f>
        <v>0</v>
      </c>
      <c r="T29" s="73">
        <f t="shared" si="1"/>
        <v>0</v>
      </c>
      <c r="U29" s="67" t="str">
        <f>IF(T29&gt;=0, IF(T29&lt;='DATI nascosti 2'!$C$8/6, "SI", "NO"),IF(T29&gt; -'DATI nascosti 2'!$C$8/6, "SI", "NO"))</f>
        <v>SI</v>
      </c>
      <c r="V29" s="67" t="str">
        <f>IF(Foglio3!G30&lt;1,IF(Foglio3!G30&gt;-1,"ROTTURA BILANCIATA",""),"")</f>
        <v/>
      </c>
    </row>
    <row r="30" spans="1:22" ht="18.75" x14ac:dyDescent="0.25">
      <c r="A30" s="20"/>
      <c r="B30" s="67" t="s">
        <v>39</v>
      </c>
      <c r="C30" s="68">
        <f>'DATI nascosti 2'!$L$8*10^-3</f>
        <v>6.7500000000000004E-2</v>
      </c>
      <c r="D30" s="68">
        <f>D29-(C30-('DATI nascosti 2'!$C$10/'DATI nascosti 2'!$C$13*C30))/100</f>
        <v>4.9336363636363567E-2</v>
      </c>
      <c r="E30" s="67" t="s">
        <v>39</v>
      </c>
      <c r="F30" s="69">
        <f>(D30*'DATI nascosti 2'!$C$13-C30*'DATI nascosti 2'!$C$10)/(D30-C30)</f>
        <v>-2969.9999999999836</v>
      </c>
      <c r="G30" s="70">
        <v>0</v>
      </c>
      <c r="H30" s="70">
        <v>0</v>
      </c>
      <c r="I30" s="70">
        <v>0</v>
      </c>
      <c r="J30" s="70">
        <v>0</v>
      </c>
      <c r="K30" s="71">
        <f>IF(D30&gt;=('DATI nascosti 2'!$L$10*10^-3),'DATI nascosti 2'!$L$14*'DATI nascosti 2'!$P$12,IF(D30&gt;=(-'DATI nascosti 2'!$L$10*10^-3),'DATI nascosti 2'!$L$16*D30*'DATI nascosti 2'!$P$12,-'DATI nascosti 2'!$L$14*'DATI nascosti 2'!$P$12))</f>
        <v>614659.43222408998</v>
      </c>
      <c r="L30" s="71">
        <v>0</v>
      </c>
      <c r="M30" s="71">
        <f>IF(C30&gt;=('DATI nascosti 2'!$L$10*10^-3),'DATI nascosti 2'!$L$14*'DATI nascosti 2'!$P$11,IF(C30&gt;=(-'DATI nascosti 2'!$L$10*10^-3),'DATI nascosti 2'!$P$11*'DATI nascosti 2'!$L$16*C30,-'DATI nascosti 2'!$L$14*'DATI nascosti 2'!$P$11))</f>
        <v>614659.43222408998</v>
      </c>
      <c r="N30" s="71">
        <f t="shared" si="0"/>
        <v>1229318.86444818</v>
      </c>
      <c r="O30" s="71">
        <f>-K30*('DATI nascosti 2'!$C$13/2)+M30*('DATI nascosti 2'!$C$13/2)</f>
        <v>0</v>
      </c>
      <c r="P30" s="69">
        <f>-'T2'!N30/10^3</f>
        <v>-1229.31886444818</v>
      </c>
      <c r="Q30" s="69">
        <f>'T2'!O30/10^6</f>
        <v>0</v>
      </c>
      <c r="R30" s="72">
        <f>-N30/('DATI nascosti 2'!$C$6*'DATI nascosti 2'!$C$13*'DATI nascosti 2'!$H$10*'DATI nascosti 2'!$H$16)</f>
        <v>-0.29581171389629707</v>
      </c>
      <c r="S30" s="72">
        <f>O30/('DATI nascosti 2'!$H$16*'DATI nascosti 2'!$C$6*'DATI nascosti 2'!$C$13^2*'DATI nascosti 2'!$H$10)</f>
        <v>0</v>
      </c>
      <c r="T30" s="73">
        <f t="shared" si="1"/>
        <v>0</v>
      </c>
      <c r="U30" s="67" t="str">
        <f>IF(T30&gt;=0, IF(T30&lt;='DATI nascosti 2'!$C$8/6, "SI", "NO"),IF(T30&gt; -'DATI nascosti 2'!$C$8/6, "SI", "NO"))</f>
        <v>SI</v>
      </c>
      <c r="V30" s="67" t="str">
        <f>IF(Foglio3!G31&lt;1,IF(Foglio3!G31&gt;-1,"ROTTURA BILANCIATA",""),"")</f>
        <v/>
      </c>
    </row>
    <row r="31" spans="1:22" ht="18.75" x14ac:dyDescent="0.25">
      <c r="A31" s="20"/>
      <c r="B31" s="67" t="s">
        <v>39</v>
      </c>
      <c r="C31" s="68">
        <f>'DATI nascosti 2'!$L$8*10^-3</f>
        <v>6.7500000000000004E-2</v>
      </c>
      <c r="D31" s="68">
        <f>D30-(C31-('DATI nascosti 2'!$C$10/'DATI nascosti 2'!$C$13*C31))/100</f>
        <v>4.8687662337662266E-2</v>
      </c>
      <c r="E31" s="67" t="s">
        <v>39</v>
      </c>
      <c r="F31" s="69">
        <f>(D31*'DATI nascosti 2'!$C$13-C31*'DATI nascosti 2'!$C$10)/(D31-C31)</f>
        <v>-2827.7586206896394</v>
      </c>
      <c r="G31" s="70">
        <v>0</v>
      </c>
      <c r="H31" s="70">
        <v>0</v>
      </c>
      <c r="I31" s="70">
        <v>0</v>
      </c>
      <c r="J31" s="70">
        <v>0</v>
      </c>
      <c r="K31" s="71">
        <f>IF(D31&gt;=('DATI nascosti 2'!$L$10*10^-3),'DATI nascosti 2'!$L$14*'DATI nascosti 2'!$P$12,IF(D31&gt;=(-'DATI nascosti 2'!$L$10*10^-3),'DATI nascosti 2'!$L$16*D31*'DATI nascosti 2'!$P$12,-'DATI nascosti 2'!$L$14*'DATI nascosti 2'!$P$12))</f>
        <v>614659.43222408998</v>
      </c>
      <c r="L31" s="71">
        <v>0</v>
      </c>
      <c r="M31" s="71">
        <f>IF(C31&gt;=('DATI nascosti 2'!$L$10*10^-3),'DATI nascosti 2'!$L$14*'DATI nascosti 2'!$P$11,IF(C31&gt;=(-'DATI nascosti 2'!$L$10*10^-3),'DATI nascosti 2'!$P$11*'DATI nascosti 2'!$L$16*C31,-'DATI nascosti 2'!$L$14*'DATI nascosti 2'!$P$11))</f>
        <v>614659.43222408998</v>
      </c>
      <c r="N31" s="71">
        <f t="shared" si="0"/>
        <v>1229318.86444818</v>
      </c>
      <c r="O31" s="71">
        <f>-K31*('DATI nascosti 2'!$C$13/2)+M31*('DATI nascosti 2'!$C$13/2)</f>
        <v>0</v>
      </c>
      <c r="P31" s="69">
        <f>-'T2'!N31/10^3</f>
        <v>-1229.31886444818</v>
      </c>
      <c r="Q31" s="69">
        <f>'T2'!O31/10^6</f>
        <v>0</v>
      </c>
      <c r="R31" s="72">
        <f>-N31/('DATI nascosti 2'!$C$6*'DATI nascosti 2'!$C$13*'DATI nascosti 2'!$H$10*'DATI nascosti 2'!$H$16)</f>
        <v>-0.29581171389629707</v>
      </c>
      <c r="S31" s="72">
        <f>O31/('DATI nascosti 2'!$H$16*'DATI nascosti 2'!$C$6*'DATI nascosti 2'!$C$13^2*'DATI nascosti 2'!$H$10)</f>
        <v>0</v>
      </c>
      <c r="T31" s="73">
        <f t="shared" si="1"/>
        <v>0</v>
      </c>
      <c r="U31" s="67" t="str">
        <f>IF(T31&gt;=0, IF(T31&lt;='DATI nascosti 2'!$C$8/6, "SI", "NO"),IF(T31&gt; -'DATI nascosti 2'!$C$8/6, "SI", "NO"))</f>
        <v>SI</v>
      </c>
      <c r="V31" s="67" t="str">
        <f>IF(Foglio3!G32&lt;1,IF(Foglio3!G32&gt;-1,"ROTTURA BILANCIATA",""),"")</f>
        <v/>
      </c>
    </row>
    <row r="32" spans="1:22" ht="18.75" x14ac:dyDescent="0.25">
      <c r="A32" s="20"/>
      <c r="B32" s="67" t="s">
        <v>39</v>
      </c>
      <c r="C32" s="68">
        <f>'DATI nascosti 2'!$L$8*10^-3</f>
        <v>6.7500000000000004E-2</v>
      </c>
      <c r="D32" s="68">
        <f>D31-(C32-('DATI nascosti 2'!$C$10/'DATI nascosti 2'!$C$13*C32))/100</f>
        <v>4.8038961038960964E-2</v>
      </c>
      <c r="E32" s="67" t="s">
        <v>39</v>
      </c>
      <c r="F32" s="69">
        <f>(D32*'DATI nascosti 2'!$C$13-C32*'DATI nascosti 2'!$C$10)/(D32-C32)</f>
        <v>-2694.9999999999845</v>
      </c>
      <c r="G32" s="70">
        <v>0</v>
      </c>
      <c r="H32" s="70">
        <v>0</v>
      </c>
      <c r="I32" s="70">
        <v>0</v>
      </c>
      <c r="J32" s="70">
        <v>0</v>
      </c>
      <c r="K32" s="71">
        <f>IF(D32&gt;=('DATI nascosti 2'!$L$10*10^-3),'DATI nascosti 2'!$L$14*'DATI nascosti 2'!$P$12,IF(D32&gt;=(-'DATI nascosti 2'!$L$10*10^-3),'DATI nascosti 2'!$L$16*D32*'DATI nascosti 2'!$P$12,-'DATI nascosti 2'!$L$14*'DATI nascosti 2'!$P$12))</f>
        <v>614659.43222408998</v>
      </c>
      <c r="L32" s="71">
        <v>0</v>
      </c>
      <c r="M32" s="71">
        <f>IF(C32&gt;=('DATI nascosti 2'!$L$10*10^-3),'DATI nascosti 2'!$L$14*'DATI nascosti 2'!$P$11,IF(C32&gt;=(-'DATI nascosti 2'!$L$10*10^-3),'DATI nascosti 2'!$P$11*'DATI nascosti 2'!$L$16*C32,-'DATI nascosti 2'!$L$14*'DATI nascosti 2'!$P$11))</f>
        <v>614659.43222408998</v>
      </c>
      <c r="N32" s="71">
        <f t="shared" si="0"/>
        <v>1229318.86444818</v>
      </c>
      <c r="O32" s="71">
        <f>-K32*('DATI nascosti 2'!$C$13/2)+M32*('DATI nascosti 2'!$C$13/2)</f>
        <v>0</v>
      </c>
      <c r="P32" s="69">
        <f>-'T2'!N32/10^3</f>
        <v>-1229.31886444818</v>
      </c>
      <c r="Q32" s="69">
        <f>'T2'!O32/10^6</f>
        <v>0</v>
      </c>
      <c r="R32" s="72">
        <f>-N32/('DATI nascosti 2'!$C$6*'DATI nascosti 2'!$C$13*'DATI nascosti 2'!$H$10*'DATI nascosti 2'!$H$16)</f>
        <v>-0.29581171389629707</v>
      </c>
      <c r="S32" s="72">
        <f>O32/('DATI nascosti 2'!$H$16*'DATI nascosti 2'!$C$6*'DATI nascosti 2'!$C$13^2*'DATI nascosti 2'!$H$10)</f>
        <v>0</v>
      </c>
      <c r="T32" s="73">
        <f t="shared" si="1"/>
        <v>0</v>
      </c>
      <c r="U32" s="67" t="str">
        <f>IF(T32&gt;=0, IF(T32&lt;='DATI nascosti 2'!$C$8/6, "SI", "NO"),IF(T32&gt; -'DATI nascosti 2'!$C$8/6, "SI", "NO"))</f>
        <v>SI</v>
      </c>
      <c r="V32" s="67" t="str">
        <f>IF(Foglio3!G33&lt;1,IF(Foglio3!G33&gt;-1,"ROTTURA BILANCIATA",""),"")</f>
        <v/>
      </c>
    </row>
    <row r="33" spans="1:22" ht="18.75" x14ac:dyDescent="0.25">
      <c r="A33" s="20"/>
      <c r="B33" s="67" t="s">
        <v>39</v>
      </c>
      <c r="C33" s="68">
        <f>'DATI nascosti 2'!$L$8*10^-3</f>
        <v>6.7500000000000004E-2</v>
      </c>
      <c r="D33" s="68">
        <f>D32-(C33-('DATI nascosti 2'!$C$10/'DATI nascosti 2'!$C$13*C33))/100</f>
        <v>4.7390259740259663E-2</v>
      </c>
      <c r="E33" s="67" t="s">
        <v>39</v>
      </c>
      <c r="F33" s="69">
        <f>(D33*'DATI nascosti 2'!$C$13-C33*'DATI nascosti 2'!$C$10)/(D33-C33)</f>
        <v>-2570.8064516128884</v>
      </c>
      <c r="G33" s="70">
        <v>0</v>
      </c>
      <c r="H33" s="70">
        <v>0</v>
      </c>
      <c r="I33" s="70">
        <v>0</v>
      </c>
      <c r="J33" s="70">
        <v>0</v>
      </c>
      <c r="K33" s="71">
        <f>IF(D33&gt;=('DATI nascosti 2'!$L$10*10^-3),'DATI nascosti 2'!$L$14*'DATI nascosti 2'!$P$12,IF(D33&gt;=(-'DATI nascosti 2'!$L$10*10^-3),'DATI nascosti 2'!$L$16*D33*'DATI nascosti 2'!$P$12,-'DATI nascosti 2'!$L$14*'DATI nascosti 2'!$P$12))</f>
        <v>614659.43222408998</v>
      </c>
      <c r="L33" s="71">
        <v>0</v>
      </c>
      <c r="M33" s="71">
        <f>IF(C33&gt;=('DATI nascosti 2'!$L$10*10^-3),'DATI nascosti 2'!$L$14*'DATI nascosti 2'!$P$11,IF(C33&gt;=(-'DATI nascosti 2'!$L$10*10^-3),'DATI nascosti 2'!$P$11*'DATI nascosti 2'!$L$16*C33,-'DATI nascosti 2'!$L$14*'DATI nascosti 2'!$P$11))</f>
        <v>614659.43222408998</v>
      </c>
      <c r="N33" s="71">
        <f t="shared" si="0"/>
        <v>1229318.86444818</v>
      </c>
      <c r="O33" s="71">
        <f>-K33*('DATI nascosti 2'!$C$13/2)+M33*('DATI nascosti 2'!$C$13/2)</f>
        <v>0</v>
      </c>
      <c r="P33" s="69">
        <f>-'T2'!N33/10^3</f>
        <v>-1229.31886444818</v>
      </c>
      <c r="Q33" s="69">
        <f>'T2'!O33/10^6</f>
        <v>0</v>
      </c>
      <c r="R33" s="72">
        <f>-N33/('DATI nascosti 2'!$C$6*'DATI nascosti 2'!$C$13*'DATI nascosti 2'!$H$10*'DATI nascosti 2'!$H$16)</f>
        <v>-0.29581171389629707</v>
      </c>
      <c r="S33" s="72">
        <f>O33/('DATI nascosti 2'!$H$16*'DATI nascosti 2'!$C$6*'DATI nascosti 2'!$C$13^2*'DATI nascosti 2'!$H$10)</f>
        <v>0</v>
      </c>
      <c r="T33" s="73">
        <f t="shared" si="1"/>
        <v>0</v>
      </c>
      <c r="U33" s="67" t="str">
        <f>IF(T33&gt;=0, IF(T33&lt;='DATI nascosti 2'!$C$8/6, "SI", "NO"),IF(T33&gt; -'DATI nascosti 2'!$C$8/6, "SI", "NO"))</f>
        <v>SI</v>
      </c>
      <c r="V33" s="67" t="str">
        <f>IF(Foglio3!G34&lt;1,IF(Foglio3!G34&gt;-1,"ROTTURA BILANCIATA",""),"")</f>
        <v/>
      </c>
    </row>
    <row r="34" spans="1:22" ht="18.75" x14ac:dyDescent="0.25">
      <c r="A34" s="20"/>
      <c r="B34" s="67" t="s">
        <v>39</v>
      </c>
      <c r="C34" s="68">
        <f>'DATI nascosti 2'!$L$8*10^-3</f>
        <v>6.7500000000000004E-2</v>
      </c>
      <c r="D34" s="68">
        <f>D33-(C34-('DATI nascosti 2'!$C$10/'DATI nascosti 2'!$C$13*C34))/100</f>
        <v>4.6741558441558362E-2</v>
      </c>
      <c r="E34" s="67" t="s">
        <v>39</v>
      </c>
      <c r="F34" s="69">
        <f>(D34*'DATI nascosti 2'!$C$13-C34*'DATI nascosti 2'!$C$10)/(D34-C34)</f>
        <v>-2454.3749999999854</v>
      </c>
      <c r="G34" s="70">
        <v>0</v>
      </c>
      <c r="H34" s="70">
        <v>0</v>
      </c>
      <c r="I34" s="70">
        <v>0</v>
      </c>
      <c r="J34" s="70">
        <v>0</v>
      </c>
      <c r="K34" s="71">
        <f>IF(D34&gt;=('DATI nascosti 2'!$L$10*10^-3),'DATI nascosti 2'!$L$14*'DATI nascosti 2'!$P$12,IF(D34&gt;=(-'DATI nascosti 2'!$L$10*10^-3),'DATI nascosti 2'!$L$16*D34*'DATI nascosti 2'!$P$12,-'DATI nascosti 2'!$L$14*'DATI nascosti 2'!$P$12))</f>
        <v>614659.43222408998</v>
      </c>
      <c r="L34" s="71">
        <v>0</v>
      </c>
      <c r="M34" s="71">
        <f>IF(C34&gt;=('DATI nascosti 2'!$L$10*10^-3),'DATI nascosti 2'!$L$14*'DATI nascosti 2'!$P$11,IF(C34&gt;=(-'DATI nascosti 2'!$L$10*10^-3),'DATI nascosti 2'!$P$11*'DATI nascosti 2'!$L$16*C34,-'DATI nascosti 2'!$L$14*'DATI nascosti 2'!$P$11))</f>
        <v>614659.43222408998</v>
      </c>
      <c r="N34" s="71">
        <f t="shared" si="0"/>
        <v>1229318.86444818</v>
      </c>
      <c r="O34" s="71">
        <f>-K34*('DATI nascosti 2'!$C$13/2)+M34*('DATI nascosti 2'!$C$13/2)</f>
        <v>0</v>
      </c>
      <c r="P34" s="69">
        <f>-'T2'!N34/10^3</f>
        <v>-1229.31886444818</v>
      </c>
      <c r="Q34" s="69">
        <f>'T2'!O34/10^6</f>
        <v>0</v>
      </c>
      <c r="R34" s="72">
        <f>-N34/('DATI nascosti 2'!$C$6*'DATI nascosti 2'!$C$13*'DATI nascosti 2'!$H$10*'DATI nascosti 2'!$H$16)</f>
        <v>-0.29581171389629707</v>
      </c>
      <c r="S34" s="72">
        <f>O34/('DATI nascosti 2'!$H$16*'DATI nascosti 2'!$C$6*'DATI nascosti 2'!$C$13^2*'DATI nascosti 2'!$H$10)</f>
        <v>0</v>
      </c>
      <c r="T34" s="73">
        <f t="shared" si="1"/>
        <v>0</v>
      </c>
      <c r="U34" s="67" t="str">
        <f>IF(T34&gt;=0, IF(T34&lt;='DATI nascosti 2'!$C$8/6, "SI", "NO"),IF(T34&gt; -'DATI nascosti 2'!$C$8/6, "SI", "NO"))</f>
        <v>SI</v>
      </c>
      <c r="V34" s="67" t="str">
        <f>IF(Foglio3!G35&lt;1,IF(Foglio3!G35&gt;-1,"ROTTURA BILANCIATA",""),"")</f>
        <v/>
      </c>
    </row>
    <row r="35" spans="1:22" ht="18.75" x14ac:dyDescent="0.25">
      <c r="A35" s="20"/>
      <c r="B35" s="67" t="s">
        <v>39</v>
      </c>
      <c r="C35" s="68">
        <f>'DATI nascosti 2'!$L$8*10^-3</f>
        <v>6.7500000000000004E-2</v>
      </c>
      <c r="D35" s="68">
        <f>D34-(C35-('DATI nascosti 2'!$C$10/'DATI nascosti 2'!$C$13*C35))/100</f>
        <v>4.609285714285706E-2</v>
      </c>
      <c r="E35" s="67" t="s">
        <v>39</v>
      </c>
      <c r="F35" s="69">
        <f>(D35*'DATI nascosti 2'!$C$13-C35*'DATI nascosti 2'!$C$10)/(D35-C35)</f>
        <v>-2344.9999999999859</v>
      </c>
      <c r="G35" s="70">
        <v>0</v>
      </c>
      <c r="H35" s="70">
        <v>0</v>
      </c>
      <c r="I35" s="70">
        <v>0</v>
      </c>
      <c r="J35" s="70">
        <v>0</v>
      </c>
      <c r="K35" s="71">
        <f>IF(D35&gt;=('DATI nascosti 2'!$L$10*10^-3),'DATI nascosti 2'!$L$14*'DATI nascosti 2'!$P$12,IF(D35&gt;=(-'DATI nascosti 2'!$L$10*10^-3),'DATI nascosti 2'!$L$16*D35*'DATI nascosti 2'!$P$12,-'DATI nascosti 2'!$L$14*'DATI nascosti 2'!$P$12))</f>
        <v>614659.43222408998</v>
      </c>
      <c r="L35" s="71">
        <v>0</v>
      </c>
      <c r="M35" s="71">
        <f>IF(C35&gt;=('DATI nascosti 2'!$L$10*10^-3),'DATI nascosti 2'!$L$14*'DATI nascosti 2'!$P$11,IF(C35&gt;=(-'DATI nascosti 2'!$L$10*10^-3),'DATI nascosti 2'!$P$11*'DATI nascosti 2'!$L$16*C35,-'DATI nascosti 2'!$L$14*'DATI nascosti 2'!$P$11))</f>
        <v>614659.43222408998</v>
      </c>
      <c r="N35" s="71">
        <f t="shared" si="0"/>
        <v>1229318.86444818</v>
      </c>
      <c r="O35" s="71">
        <f>-K35*('DATI nascosti 2'!$C$13/2)+M35*('DATI nascosti 2'!$C$13/2)</f>
        <v>0</v>
      </c>
      <c r="P35" s="69">
        <f>-'T2'!N35/10^3</f>
        <v>-1229.31886444818</v>
      </c>
      <c r="Q35" s="69">
        <f>'T2'!O35/10^6</f>
        <v>0</v>
      </c>
      <c r="R35" s="72">
        <f>-N35/('DATI nascosti 2'!$C$6*'DATI nascosti 2'!$C$13*'DATI nascosti 2'!$H$10*'DATI nascosti 2'!$H$16)</f>
        <v>-0.29581171389629707</v>
      </c>
      <c r="S35" s="72">
        <f>O35/('DATI nascosti 2'!$H$16*'DATI nascosti 2'!$C$6*'DATI nascosti 2'!$C$13^2*'DATI nascosti 2'!$H$10)</f>
        <v>0</v>
      </c>
      <c r="T35" s="73">
        <f t="shared" si="1"/>
        <v>0</v>
      </c>
      <c r="U35" s="67" t="str">
        <f>IF(T35&gt;=0, IF(T35&lt;='DATI nascosti 2'!$C$8/6, "SI", "NO"),IF(T35&gt; -'DATI nascosti 2'!$C$8/6, "SI", "NO"))</f>
        <v>SI</v>
      </c>
      <c r="V35" s="67" t="str">
        <f>IF(Foglio3!G36&lt;1,IF(Foglio3!G36&gt;-1,"ROTTURA BILANCIATA",""),"")</f>
        <v/>
      </c>
    </row>
    <row r="36" spans="1:22" ht="18.75" x14ac:dyDescent="0.25">
      <c r="A36" s="20"/>
      <c r="B36" s="67" t="s">
        <v>39</v>
      </c>
      <c r="C36" s="68">
        <f>'DATI nascosti 2'!$L$8*10^-3</f>
        <v>6.7500000000000004E-2</v>
      </c>
      <c r="D36" s="68">
        <f>D35-(C36-('DATI nascosti 2'!$C$10/'DATI nascosti 2'!$C$13*C36))/100</f>
        <v>4.5444155844155759E-2</v>
      </c>
      <c r="E36" s="67" t="s">
        <v>39</v>
      </c>
      <c r="F36" s="69">
        <f>(D36*'DATI nascosti 2'!$C$13-C36*'DATI nascosti 2'!$C$10)/(D36-C36)</f>
        <v>-2242.0588235293981</v>
      </c>
      <c r="G36" s="70">
        <v>0</v>
      </c>
      <c r="H36" s="70">
        <v>0</v>
      </c>
      <c r="I36" s="70">
        <v>0</v>
      </c>
      <c r="J36" s="70">
        <v>0</v>
      </c>
      <c r="K36" s="71">
        <f>IF(D36&gt;=('DATI nascosti 2'!$L$10*10^-3),'DATI nascosti 2'!$L$14*'DATI nascosti 2'!$P$12,IF(D36&gt;=(-'DATI nascosti 2'!$L$10*10^-3),'DATI nascosti 2'!$L$16*D36*'DATI nascosti 2'!$P$12,-'DATI nascosti 2'!$L$14*'DATI nascosti 2'!$P$12))</f>
        <v>614659.43222408998</v>
      </c>
      <c r="L36" s="71">
        <v>0</v>
      </c>
      <c r="M36" s="71">
        <f>IF(C36&gt;=('DATI nascosti 2'!$L$10*10^-3),'DATI nascosti 2'!$L$14*'DATI nascosti 2'!$P$11,IF(C36&gt;=(-'DATI nascosti 2'!$L$10*10^-3),'DATI nascosti 2'!$P$11*'DATI nascosti 2'!$L$16*C36,-'DATI nascosti 2'!$L$14*'DATI nascosti 2'!$P$11))</f>
        <v>614659.43222408998</v>
      </c>
      <c r="N36" s="71">
        <f t="shared" si="0"/>
        <v>1229318.86444818</v>
      </c>
      <c r="O36" s="71">
        <f>-K36*('DATI nascosti 2'!$C$13/2)+M36*('DATI nascosti 2'!$C$13/2)</f>
        <v>0</v>
      </c>
      <c r="P36" s="69">
        <f>-'T2'!N36/10^3</f>
        <v>-1229.31886444818</v>
      </c>
      <c r="Q36" s="69">
        <f>'T2'!O36/10^6</f>
        <v>0</v>
      </c>
      <c r="R36" s="72">
        <f>-N36/('DATI nascosti 2'!$C$6*'DATI nascosti 2'!$C$13*'DATI nascosti 2'!$H$10*'DATI nascosti 2'!$H$16)</f>
        <v>-0.29581171389629707</v>
      </c>
      <c r="S36" s="72">
        <f>O36/('DATI nascosti 2'!$H$16*'DATI nascosti 2'!$C$6*'DATI nascosti 2'!$C$13^2*'DATI nascosti 2'!$H$10)</f>
        <v>0</v>
      </c>
      <c r="T36" s="73">
        <f t="shared" si="1"/>
        <v>0</v>
      </c>
      <c r="U36" s="67" t="str">
        <f>IF(T36&gt;=0, IF(T36&lt;='DATI nascosti 2'!$C$8/6, "SI", "NO"),IF(T36&gt; -'DATI nascosti 2'!$C$8/6, "SI", "NO"))</f>
        <v>SI</v>
      </c>
      <c r="V36" s="67" t="str">
        <f>IF(Foglio3!G37&lt;1,IF(Foglio3!G37&gt;-1,"ROTTURA BILANCIATA",""),"")</f>
        <v/>
      </c>
    </row>
    <row r="37" spans="1:22" ht="18.75" x14ac:dyDescent="0.25">
      <c r="A37" s="20"/>
      <c r="B37" s="67" t="s">
        <v>39</v>
      </c>
      <c r="C37" s="68">
        <f>'DATI nascosti 2'!$L$8*10^-3</f>
        <v>6.7500000000000004E-2</v>
      </c>
      <c r="D37" s="68">
        <f>D36-(C37-('DATI nascosti 2'!$C$10/'DATI nascosti 2'!$C$13*C37))/100</f>
        <v>4.4795454545454458E-2</v>
      </c>
      <c r="E37" s="67" t="s">
        <v>39</v>
      </c>
      <c r="F37" s="69">
        <f>(D37*'DATI nascosti 2'!$C$13-C37*'DATI nascosti 2'!$C$10)/(D37-C37)</f>
        <v>-2144.9999999999868</v>
      </c>
      <c r="G37" s="70">
        <v>0</v>
      </c>
      <c r="H37" s="70">
        <v>0</v>
      </c>
      <c r="I37" s="70">
        <v>0</v>
      </c>
      <c r="J37" s="70">
        <v>0</v>
      </c>
      <c r="K37" s="71">
        <f>IF(D37&gt;=('DATI nascosti 2'!$L$10*10^-3),'DATI nascosti 2'!$L$14*'DATI nascosti 2'!$P$12,IF(D37&gt;=(-'DATI nascosti 2'!$L$10*10^-3),'DATI nascosti 2'!$L$16*D37*'DATI nascosti 2'!$P$12,-'DATI nascosti 2'!$L$14*'DATI nascosti 2'!$P$12))</f>
        <v>614659.43222408998</v>
      </c>
      <c r="L37" s="71">
        <v>0</v>
      </c>
      <c r="M37" s="71">
        <f>IF(C37&gt;=('DATI nascosti 2'!$L$10*10^-3),'DATI nascosti 2'!$L$14*'DATI nascosti 2'!$P$11,IF(C37&gt;=(-'DATI nascosti 2'!$L$10*10^-3),'DATI nascosti 2'!$P$11*'DATI nascosti 2'!$L$16*C37,-'DATI nascosti 2'!$L$14*'DATI nascosti 2'!$P$11))</f>
        <v>614659.43222408998</v>
      </c>
      <c r="N37" s="71">
        <f t="shared" si="0"/>
        <v>1229318.86444818</v>
      </c>
      <c r="O37" s="71">
        <f>-K37*('DATI nascosti 2'!$C$13/2)+M37*('DATI nascosti 2'!$C$13/2)</f>
        <v>0</v>
      </c>
      <c r="P37" s="69">
        <f>-'T2'!N37/10^3</f>
        <v>-1229.31886444818</v>
      </c>
      <c r="Q37" s="69">
        <f>'T2'!O37/10^6</f>
        <v>0</v>
      </c>
      <c r="R37" s="72">
        <f>-N37/('DATI nascosti 2'!$C$6*'DATI nascosti 2'!$C$13*'DATI nascosti 2'!$H$10*'DATI nascosti 2'!$H$16)</f>
        <v>-0.29581171389629707</v>
      </c>
      <c r="S37" s="72">
        <f>O37/('DATI nascosti 2'!$H$16*'DATI nascosti 2'!$C$6*'DATI nascosti 2'!$C$13^2*'DATI nascosti 2'!$H$10)</f>
        <v>0</v>
      </c>
      <c r="T37" s="73">
        <f t="shared" si="1"/>
        <v>0</v>
      </c>
      <c r="U37" s="67" t="str">
        <f>IF(T37&gt;=0, IF(T37&lt;='DATI nascosti 2'!$C$8/6, "SI", "NO"),IF(T37&gt; -'DATI nascosti 2'!$C$8/6, "SI", "NO"))</f>
        <v>SI</v>
      </c>
      <c r="V37" s="67" t="str">
        <f>IF(Foglio3!G38&lt;1,IF(Foglio3!G38&gt;-1,"ROTTURA BILANCIATA",""),"")</f>
        <v/>
      </c>
    </row>
    <row r="38" spans="1:22" ht="18.75" x14ac:dyDescent="0.25">
      <c r="A38" s="20"/>
      <c r="B38" s="67" t="s">
        <v>39</v>
      </c>
      <c r="C38" s="68">
        <f>'DATI nascosti 2'!$L$8*10^-3</f>
        <v>6.7500000000000004E-2</v>
      </c>
      <c r="D38" s="68">
        <f>D37-(C38-('DATI nascosti 2'!$C$10/'DATI nascosti 2'!$C$13*C38))/100</f>
        <v>4.4146753246753156E-2</v>
      </c>
      <c r="E38" s="67" t="s">
        <v>39</v>
      </c>
      <c r="F38" s="69">
        <f>(D38*'DATI nascosti 2'!$C$13-C38*'DATI nascosti 2'!$C$10)/(D38-C38)</f>
        <v>-2053.3333333333203</v>
      </c>
      <c r="G38" s="70">
        <v>0</v>
      </c>
      <c r="H38" s="70">
        <v>0</v>
      </c>
      <c r="I38" s="70">
        <v>0</v>
      </c>
      <c r="J38" s="70">
        <v>0</v>
      </c>
      <c r="K38" s="71">
        <f>IF(D38&gt;=('DATI nascosti 2'!$L$10*10^-3),'DATI nascosti 2'!$L$14*'DATI nascosti 2'!$P$12,IF(D38&gt;=(-'DATI nascosti 2'!$L$10*10^-3),'DATI nascosti 2'!$L$16*D38*'DATI nascosti 2'!$P$12,-'DATI nascosti 2'!$L$14*'DATI nascosti 2'!$P$12))</f>
        <v>614659.43222408998</v>
      </c>
      <c r="L38" s="71">
        <v>0</v>
      </c>
      <c r="M38" s="71">
        <f>IF(C38&gt;=('DATI nascosti 2'!$L$10*10^-3),'DATI nascosti 2'!$L$14*'DATI nascosti 2'!$P$11,IF(C38&gt;=(-'DATI nascosti 2'!$L$10*10^-3),'DATI nascosti 2'!$P$11*'DATI nascosti 2'!$L$16*C38,-'DATI nascosti 2'!$L$14*'DATI nascosti 2'!$P$11))</f>
        <v>614659.43222408998</v>
      </c>
      <c r="N38" s="71">
        <f t="shared" si="0"/>
        <v>1229318.86444818</v>
      </c>
      <c r="O38" s="71">
        <f>-K38*('DATI nascosti 2'!$C$13/2)+M38*('DATI nascosti 2'!$C$13/2)</f>
        <v>0</v>
      </c>
      <c r="P38" s="69">
        <f>-'T2'!N38/10^3</f>
        <v>-1229.31886444818</v>
      </c>
      <c r="Q38" s="69">
        <f>'T2'!O38/10^6</f>
        <v>0</v>
      </c>
      <c r="R38" s="72">
        <f>-N38/('DATI nascosti 2'!$C$6*'DATI nascosti 2'!$C$13*'DATI nascosti 2'!$H$10*'DATI nascosti 2'!$H$16)</f>
        <v>-0.29581171389629707</v>
      </c>
      <c r="S38" s="72">
        <f>O38/('DATI nascosti 2'!$H$16*'DATI nascosti 2'!$C$6*'DATI nascosti 2'!$C$13^2*'DATI nascosti 2'!$H$10)</f>
        <v>0</v>
      </c>
      <c r="T38" s="73">
        <f t="shared" si="1"/>
        <v>0</v>
      </c>
      <c r="U38" s="67" t="str">
        <f>IF(T38&gt;=0, IF(T38&lt;='DATI nascosti 2'!$C$8/6, "SI", "NO"),IF(T38&gt; -'DATI nascosti 2'!$C$8/6, "SI", "NO"))</f>
        <v>SI</v>
      </c>
      <c r="V38" s="67" t="str">
        <f>IF(Foglio3!G39&lt;1,IF(Foglio3!G39&gt;-1,"ROTTURA BILANCIATA",""),"")</f>
        <v/>
      </c>
    </row>
    <row r="39" spans="1:22" ht="18.75" x14ac:dyDescent="0.25">
      <c r="A39" s="20"/>
      <c r="B39" s="67" t="s">
        <v>39</v>
      </c>
      <c r="C39" s="68">
        <f>'DATI nascosti 2'!$L$8*10^-3</f>
        <v>6.7500000000000004E-2</v>
      </c>
      <c r="D39" s="68">
        <f>D38-(C39-('DATI nascosti 2'!$C$10/'DATI nascosti 2'!$C$13*C39))/100</f>
        <v>4.3498051948051855E-2</v>
      </c>
      <c r="E39" s="67" t="s">
        <v>39</v>
      </c>
      <c r="F39" s="69">
        <f>(D39*'DATI nascosti 2'!$C$13-C39*'DATI nascosti 2'!$C$10)/(D39-C39)</f>
        <v>-1966.6216216216089</v>
      </c>
      <c r="G39" s="70">
        <v>0</v>
      </c>
      <c r="H39" s="70">
        <v>0</v>
      </c>
      <c r="I39" s="70">
        <v>0</v>
      </c>
      <c r="J39" s="70">
        <v>0</v>
      </c>
      <c r="K39" s="71">
        <f>IF(D39&gt;=('DATI nascosti 2'!$L$10*10^-3),'DATI nascosti 2'!$L$14*'DATI nascosti 2'!$P$12,IF(D39&gt;=(-'DATI nascosti 2'!$L$10*10^-3),'DATI nascosti 2'!$L$16*D39*'DATI nascosti 2'!$P$12,-'DATI nascosti 2'!$L$14*'DATI nascosti 2'!$P$12))</f>
        <v>614659.43222408998</v>
      </c>
      <c r="L39" s="71">
        <v>0</v>
      </c>
      <c r="M39" s="71">
        <f>IF(C39&gt;=('DATI nascosti 2'!$L$10*10^-3),'DATI nascosti 2'!$L$14*'DATI nascosti 2'!$P$11,IF(C39&gt;=(-'DATI nascosti 2'!$L$10*10^-3),'DATI nascosti 2'!$P$11*'DATI nascosti 2'!$L$16*C39,-'DATI nascosti 2'!$L$14*'DATI nascosti 2'!$P$11))</f>
        <v>614659.43222408998</v>
      </c>
      <c r="N39" s="71">
        <f t="shared" si="0"/>
        <v>1229318.86444818</v>
      </c>
      <c r="O39" s="71">
        <f>-K39*('DATI nascosti 2'!$C$13/2)+M39*('DATI nascosti 2'!$C$13/2)</f>
        <v>0</v>
      </c>
      <c r="P39" s="69">
        <f>-'T2'!N39/10^3</f>
        <v>-1229.31886444818</v>
      </c>
      <c r="Q39" s="69">
        <f>'T2'!O39/10^6</f>
        <v>0</v>
      </c>
      <c r="R39" s="72">
        <f>-N39/('DATI nascosti 2'!$C$6*'DATI nascosti 2'!$C$13*'DATI nascosti 2'!$H$10*'DATI nascosti 2'!$H$16)</f>
        <v>-0.29581171389629707</v>
      </c>
      <c r="S39" s="72">
        <f>O39/('DATI nascosti 2'!$H$16*'DATI nascosti 2'!$C$6*'DATI nascosti 2'!$C$13^2*'DATI nascosti 2'!$H$10)</f>
        <v>0</v>
      </c>
      <c r="T39" s="73">
        <f t="shared" si="1"/>
        <v>0</v>
      </c>
      <c r="U39" s="67" t="str">
        <f>IF(T39&gt;=0, IF(T39&lt;='DATI nascosti 2'!$C$8/6, "SI", "NO"),IF(T39&gt; -'DATI nascosti 2'!$C$8/6, "SI", "NO"))</f>
        <v>SI</v>
      </c>
      <c r="V39" s="67" t="str">
        <f>IF(Foglio3!G40&lt;1,IF(Foglio3!G40&gt;-1,"ROTTURA BILANCIATA",""),"")</f>
        <v/>
      </c>
    </row>
    <row r="40" spans="1:22" ht="18.75" x14ac:dyDescent="0.25">
      <c r="A40" s="20"/>
      <c r="B40" s="67" t="s">
        <v>39</v>
      </c>
      <c r="C40" s="68">
        <f>'DATI nascosti 2'!$L$8*10^-3</f>
        <v>6.7500000000000004E-2</v>
      </c>
      <c r="D40" s="68">
        <f>D39-(C40-('DATI nascosti 2'!$C$10/'DATI nascosti 2'!$C$13*C40))/100</f>
        <v>4.2849350649350554E-2</v>
      </c>
      <c r="E40" s="67" t="s">
        <v>39</v>
      </c>
      <c r="F40" s="69">
        <f>(D40*'DATI nascosti 2'!$C$13-C40*'DATI nascosti 2'!$C$10)/(D40-C40)</f>
        <v>-1884.4736842105142</v>
      </c>
      <c r="G40" s="70">
        <v>0</v>
      </c>
      <c r="H40" s="70">
        <v>0</v>
      </c>
      <c r="I40" s="70">
        <v>0</v>
      </c>
      <c r="J40" s="70">
        <v>0</v>
      </c>
      <c r="K40" s="71">
        <f>IF(D40&gt;=('DATI nascosti 2'!$L$10*10^-3),'DATI nascosti 2'!$L$14*'DATI nascosti 2'!$P$12,IF(D40&gt;=(-'DATI nascosti 2'!$L$10*10^-3),'DATI nascosti 2'!$L$16*D40*'DATI nascosti 2'!$P$12,-'DATI nascosti 2'!$L$14*'DATI nascosti 2'!$P$12))</f>
        <v>614659.43222408998</v>
      </c>
      <c r="L40" s="71">
        <v>0</v>
      </c>
      <c r="M40" s="71">
        <f>IF(C40&gt;=('DATI nascosti 2'!$L$10*10^-3),'DATI nascosti 2'!$L$14*'DATI nascosti 2'!$P$11,IF(C40&gt;=(-'DATI nascosti 2'!$L$10*10^-3),'DATI nascosti 2'!$P$11*'DATI nascosti 2'!$L$16*C40,-'DATI nascosti 2'!$L$14*'DATI nascosti 2'!$P$11))</f>
        <v>614659.43222408998</v>
      </c>
      <c r="N40" s="71">
        <f t="shared" si="0"/>
        <v>1229318.86444818</v>
      </c>
      <c r="O40" s="71">
        <f>-K40*('DATI nascosti 2'!$C$13/2)+M40*('DATI nascosti 2'!$C$13/2)</f>
        <v>0</v>
      </c>
      <c r="P40" s="69">
        <f>-'T2'!N40/10^3</f>
        <v>-1229.31886444818</v>
      </c>
      <c r="Q40" s="69">
        <f>'T2'!O40/10^6</f>
        <v>0</v>
      </c>
      <c r="R40" s="72">
        <f>-N40/('DATI nascosti 2'!$C$6*'DATI nascosti 2'!$C$13*'DATI nascosti 2'!$H$10*'DATI nascosti 2'!$H$16)</f>
        <v>-0.29581171389629707</v>
      </c>
      <c r="S40" s="72">
        <f>O40/('DATI nascosti 2'!$H$16*'DATI nascosti 2'!$C$6*'DATI nascosti 2'!$C$13^2*'DATI nascosti 2'!$H$10)</f>
        <v>0</v>
      </c>
      <c r="T40" s="73">
        <f t="shared" si="1"/>
        <v>0</v>
      </c>
      <c r="U40" s="67" t="str">
        <f>IF(T40&gt;=0, IF(T40&lt;='DATI nascosti 2'!$C$8/6, "SI", "NO"),IF(T40&gt; -'DATI nascosti 2'!$C$8/6, "SI", "NO"))</f>
        <v>SI</v>
      </c>
      <c r="V40" s="67" t="str">
        <f>IF(Foglio3!G41&lt;1,IF(Foglio3!G41&gt;-1,"ROTTURA BILANCIATA",""),"")</f>
        <v/>
      </c>
    </row>
    <row r="41" spans="1:22" ht="18.75" x14ac:dyDescent="0.25">
      <c r="A41" s="20"/>
      <c r="B41" s="67" t="s">
        <v>39</v>
      </c>
      <c r="C41" s="68">
        <f>'DATI nascosti 2'!$L$8*10^-3</f>
        <v>6.7500000000000004E-2</v>
      </c>
      <c r="D41" s="68">
        <f>D40-(C41-('DATI nascosti 2'!$C$10/'DATI nascosti 2'!$C$13*C41))/100</f>
        <v>4.2200649350649252E-2</v>
      </c>
      <c r="E41" s="67" t="s">
        <v>39</v>
      </c>
      <c r="F41" s="69">
        <f>(D41*'DATI nascosti 2'!$C$13-C41*'DATI nascosti 2'!$C$10)/(D41-C41)</f>
        <v>-1806.5384615384498</v>
      </c>
      <c r="G41" s="70">
        <v>0</v>
      </c>
      <c r="H41" s="70">
        <v>0</v>
      </c>
      <c r="I41" s="70">
        <v>0</v>
      </c>
      <c r="J41" s="70">
        <v>0</v>
      </c>
      <c r="K41" s="71">
        <f>IF(D41&gt;=('DATI nascosti 2'!$L$10*10^-3),'DATI nascosti 2'!$L$14*'DATI nascosti 2'!$P$12,IF(D41&gt;=(-'DATI nascosti 2'!$L$10*10^-3),'DATI nascosti 2'!$L$16*D41*'DATI nascosti 2'!$P$12,-'DATI nascosti 2'!$L$14*'DATI nascosti 2'!$P$12))</f>
        <v>614659.43222408998</v>
      </c>
      <c r="L41" s="71">
        <v>0</v>
      </c>
      <c r="M41" s="71">
        <f>IF(C41&gt;=('DATI nascosti 2'!$L$10*10^-3),'DATI nascosti 2'!$L$14*'DATI nascosti 2'!$P$11,IF(C41&gt;=(-'DATI nascosti 2'!$L$10*10^-3),'DATI nascosti 2'!$P$11*'DATI nascosti 2'!$L$16*C41,-'DATI nascosti 2'!$L$14*'DATI nascosti 2'!$P$11))</f>
        <v>614659.43222408998</v>
      </c>
      <c r="N41" s="71">
        <f t="shared" si="0"/>
        <v>1229318.86444818</v>
      </c>
      <c r="O41" s="71">
        <f>-K41*('DATI nascosti 2'!$C$13/2)+M41*('DATI nascosti 2'!$C$13/2)</f>
        <v>0</v>
      </c>
      <c r="P41" s="69">
        <f>-'T2'!N41/10^3</f>
        <v>-1229.31886444818</v>
      </c>
      <c r="Q41" s="69">
        <f>'T2'!O41/10^6</f>
        <v>0</v>
      </c>
      <c r="R41" s="72">
        <f>-N41/('DATI nascosti 2'!$C$6*'DATI nascosti 2'!$C$13*'DATI nascosti 2'!$H$10*'DATI nascosti 2'!$H$16)</f>
        <v>-0.29581171389629707</v>
      </c>
      <c r="S41" s="72">
        <f>O41/('DATI nascosti 2'!$H$16*'DATI nascosti 2'!$C$6*'DATI nascosti 2'!$C$13^2*'DATI nascosti 2'!$H$10)</f>
        <v>0</v>
      </c>
      <c r="T41" s="73">
        <f t="shared" si="1"/>
        <v>0</v>
      </c>
      <c r="U41" s="67" t="str">
        <f>IF(T41&gt;=0, IF(T41&lt;='DATI nascosti 2'!$C$8/6, "SI", "NO"),IF(T41&gt; -'DATI nascosti 2'!$C$8/6, "SI", "NO"))</f>
        <v>SI</v>
      </c>
      <c r="V41" s="67" t="str">
        <f>IF(Foglio3!G42&lt;1,IF(Foglio3!G42&gt;-1,"ROTTURA BILANCIATA",""),"")</f>
        <v/>
      </c>
    </row>
    <row r="42" spans="1:22" ht="18.75" x14ac:dyDescent="0.25">
      <c r="A42" s="20"/>
      <c r="B42" s="67" t="s">
        <v>39</v>
      </c>
      <c r="C42" s="68">
        <f>'DATI nascosti 2'!$L$8*10^-3</f>
        <v>6.7500000000000004E-2</v>
      </c>
      <c r="D42" s="68">
        <f>D41-(C42-('DATI nascosti 2'!$C$10/'DATI nascosti 2'!$C$13*C42))/100</f>
        <v>4.1551948051947951E-2</v>
      </c>
      <c r="E42" s="67" t="s">
        <v>39</v>
      </c>
      <c r="F42" s="69">
        <f>(D42*'DATI nascosti 2'!$C$13-C42*'DATI nascosti 2'!$C$10)/(D42-C42)</f>
        <v>-1732.4999999999886</v>
      </c>
      <c r="G42" s="70">
        <v>0</v>
      </c>
      <c r="H42" s="70">
        <v>0</v>
      </c>
      <c r="I42" s="70">
        <v>0</v>
      </c>
      <c r="J42" s="70">
        <v>0</v>
      </c>
      <c r="K42" s="71">
        <f>IF(D42&gt;=('DATI nascosti 2'!$L$10*10^-3),'DATI nascosti 2'!$L$14*'DATI nascosti 2'!$P$12,IF(D42&gt;=(-'DATI nascosti 2'!$L$10*10^-3),'DATI nascosti 2'!$L$16*D42*'DATI nascosti 2'!$P$12,-'DATI nascosti 2'!$L$14*'DATI nascosti 2'!$P$12))</f>
        <v>614659.43222408998</v>
      </c>
      <c r="L42" s="71">
        <v>0</v>
      </c>
      <c r="M42" s="71">
        <f>IF(C42&gt;=('DATI nascosti 2'!$L$10*10^-3),'DATI nascosti 2'!$L$14*'DATI nascosti 2'!$P$11,IF(C42&gt;=(-'DATI nascosti 2'!$L$10*10^-3),'DATI nascosti 2'!$P$11*'DATI nascosti 2'!$L$16*C42,-'DATI nascosti 2'!$L$14*'DATI nascosti 2'!$P$11))</f>
        <v>614659.43222408998</v>
      </c>
      <c r="N42" s="71">
        <f t="shared" si="0"/>
        <v>1229318.86444818</v>
      </c>
      <c r="O42" s="71">
        <f>-K42*('DATI nascosti 2'!$C$13/2)+M42*('DATI nascosti 2'!$C$13/2)</f>
        <v>0</v>
      </c>
      <c r="P42" s="69">
        <f>-'T2'!N42/10^3</f>
        <v>-1229.31886444818</v>
      </c>
      <c r="Q42" s="69">
        <f>'T2'!O42/10^6</f>
        <v>0</v>
      </c>
      <c r="R42" s="72">
        <f>-N42/('DATI nascosti 2'!$C$6*'DATI nascosti 2'!$C$13*'DATI nascosti 2'!$H$10*'DATI nascosti 2'!$H$16)</f>
        <v>-0.29581171389629707</v>
      </c>
      <c r="S42" s="72">
        <f>O42/('DATI nascosti 2'!$H$16*'DATI nascosti 2'!$C$6*'DATI nascosti 2'!$C$13^2*'DATI nascosti 2'!$H$10)</f>
        <v>0</v>
      </c>
      <c r="T42" s="73">
        <f t="shared" si="1"/>
        <v>0</v>
      </c>
      <c r="U42" s="67" t="str">
        <f>IF(T42&gt;=0, IF(T42&lt;='DATI nascosti 2'!$C$8/6, "SI", "NO"),IF(T42&gt; -'DATI nascosti 2'!$C$8/6, "SI", "NO"))</f>
        <v>SI</v>
      </c>
      <c r="V42" s="67" t="str">
        <f>IF(Foglio3!G43&lt;1,IF(Foglio3!G43&gt;-1,"ROTTURA BILANCIATA",""),"")</f>
        <v/>
      </c>
    </row>
    <row r="43" spans="1:22" ht="18.75" x14ac:dyDescent="0.25">
      <c r="A43" s="20"/>
      <c r="B43" s="67" t="s">
        <v>39</v>
      </c>
      <c r="C43" s="68">
        <f>'DATI nascosti 2'!$L$8*10^-3</f>
        <v>6.7500000000000004E-2</v>
      </c>
      <c r="D43" s="68">
        <f>D42-(C43-('DATI nascosti 2'!$C$10/'DATI nascosti 2'!$C$13*C43))/100</f>
        <v>4.090324675324665E-2</v>
      </c>
      <c r="E43" s="67" t="s">
        <v>39</v>
      </c>
      <c r="F43" s="69">
        <f>(D43*'DATI nascosti 2'!$C$13-C43*'DATI nascosti 2'!$C$10)/(D43-C43)</f>
        <v>-1662.0731707316961</v>
      </c>
      <c r="G43" s="70">
        <v>0</v>
      </c>
      <c r="H43" s="70">
        <v>0</v>
      </c>
      <c r="I43" s="70">
        <v>0</v>
      </c>
      <c r="J43" s="70">
        <v>0</v>
      </c>
      <c r="K43" s="71">
        <f>IF(D43&gt;=('DATI nascosti 2'!$L$10*10^-3),'DATI nascosti 2'!$L$14*'DATI nascosti 2'!$P$12,IF(D43&gt;=(-'DATI nascosti 2'!$L$10*10^-3),'DATI nascosti 2'!$L$16*D43*'DATI nascosti 2'!$P$12,-'DATI nascosti 2'!$L$14*'DATI nascosti 2'!$P$12))</f>
        <v>614659.43222408998</v>
      </c>
      <c r="L43" s="71">
        <v>0</v>
      </c>
      <c r="M43" s="71">
        <f>IF(C43&gt;=('DATI nascosti 2'!$L$10*10^-3),'DATI nascosti 2'!$L$14*'DATI nascosti 2'!$P$11,IF(C43&gt;=(-'DATI nascosti 2'!$L$10*10^-3),'DATI nascosti 2'!$P$11*'DATI nascosti 2'!$L$16*C43,-'DATI nascosti 2'!$L$14*'DATI nascosti 2'!$P$11))</f>
        <v>614659.43222408998</v>
      </c>
      <c r="N43" s="71">
        <f t="shared" si="0"/>
        <v>1229318.86444818</v>
      </c>
      <c r="O43" s="71">
        <f>-K43*('DATI nascosti 2'!$C$13/2)+M43*('DATI nascosti 2'!$C$13/2)</f>
        <v>0</v>
      </c>
      <c r="P43" s="69">
        <f>-'T2'!N43/10^3</f>
        <v>-1229.31886444818</v>
      </c>
      <c r="Q43" s="69">
        <f>'T2'!O43/10^6</f>
        <v>0</v>
      </c>
      <c r="R43" s="72">
        <f>-N43/('DATI nascosti 2'!$C$6*'DATI nascosti 2'!$C$13*'DATI nascosti 2'!$H$10*'DATI nascosti 2'!$H$16)</f>
        <v>-0.29581171389629707</v>
      </c>
      <c r="S43" s="72">
        <f>O43/('DATI nascosti 2'!$H$16*'DATI nascosti 2'!$C$6*'DATI nascosti 2'!$C$13^2*'DATI nascosti 2'!$H$10)</f>
        <v>0</v>
      </c>
      <c r="T43" s="73">
        <f t="shared" si="1"/>
        <v>0</v>
      </c>
      <c r="U43" s="67" t="str">
        <f>IF(T43&gt;=0, IF(T43&lt;='DATI nascosti 2'!$C$8/6, "SI", "NO"),IF(T43&gt; -'DATI nascosti 2'!$C$8/6, "SI", "NO"))</f>
        <v>SI</v>
      </c>
      <c r="V43" s="67" t="str">
        <f>IF(Foglio3!G44&lt;1,IF(Foglio3!G44&gt;-1,"ROTTURA BILANCIATA",""),"")</f>
        <v/>
      </c>
    </row>
    <row r="44" spans="1:22" ht="18.75" x14ac:dyDescent="0.25">
      <c r="A44" s="20"/>
      <c r="B44" s="67" t="s">
        <v>39</v>
      </c>
      <c r="C44" s="68">
        <f>'DATI nascosti 2'!$L$8*10^-3</f>
        <v>6.7500000000000004E-2</v>
      </c>
      <c r="D44" s="68">
        <f>D43-(C44-('DATI nascosti 2'!$C$10/'DATI nascosti 2'!$C$13*C44))/100</f>
        <v>4.0254545454545348E-2</v>
      </c>
      <c r="E44" s="67" t="s">
        <v>39</v>
      </c>
      <c r="F44" s="69">
        <f>(D44*'DATI nascosti 2'!$C$13-C44*'DATI nascosti 2'!$C$10)/(D44-C44)</f>
        <v>-1594.9999999999891</v>
      </c>
      <c r="G44" s="70">
        <v>0</v>
      </c>
      <c r="H44" s="70">
        <v>0</v>
      </c>
      <c r="I44" s="70">
        <v>0</v>
      </c>
      <c r="J44" s="70">
        <v>0</v>
      </c>
      <c r="K44" s="71">
        <f>IF(D44&gt;=('DATI nascosti 2'!$L$10*10^-3),'DATI nascosti 2'!$L$14*'DATI nascosti 2'!$P$12,IF(D44&gt;=(-'DATI nascosti 2'!$L$10*10^-3),'DATI nascosti 2'!$L$16*D44*'DATI nascosti 2'!$P$12,-'DATI nascosti 2'!$L$14*'DATI nascosti 2'!$P$12))</f>
        <v>614659.43222408998</v>
      </c>
      <c r="L44" s="71">
        <v>0</v>
      </c>
      <c r="M44" s="71">
        <f>IF(C44&gt;=('DATI nascosti 2'!$L$10*10^-3),'DATI nascosti 2'!$L$14*'DATI nascosti 2'!$P$11,IF(C44&gt;=(-'DATI nascosti 2'!$L$10*10^-3),'DATI nascosti 2'!$P$11*'DATI nascosti 2'!$L$16*C44,-'DATI nascosti 2'!$L$14*'DATI nascosti 2'!$P$11))</f>
        <v>614659.43222408998</v>
      </c>
      <c r="N44" s="71">
        <f t="shared" si="0"/>
        <v>1229318.86444818</v>
      </c>
      <c r="O44" s="71">
        <f>-K44*('DATI nascosti 2'!$C$13/2)+M44*('DATI nascosti 2'!$C$13/2)</f>
        <v>0</v>
      </c>
      <c r="P44" s="69">
        <f>-'T2'!N44/10^3</f>
        <v>-1229.31886444818</v>
      </c>
      <c r="Q44" s="69">
        <f>'T2'!O44/10^6</f>
        <v>0</v>
      </c>
      <c r="R44" s="72">
        <f>-N44/('DATI nascosti 2'!$C$6*'DATI nascosti 2'!$C$13*'DATI nascosti 2'!$H$10*'DATI nascosti 2'!$H$16)</f>
        <v>-0.29581171389629707</v>
      </c>
      <c r="S44" s="72">
        <f>O44/('DATI nascosti 2'!$H$16*'DATI nascosti 2'!$C$6*'DATI nascosti 2'!$C$13^2*'DATI nascosti 2'!$H$10)</f>
        <v>0</v>
      </c>
      <c r="T44" s="73">
        <f t="shared" si="1"/>
        <v>0</v>
      </c>
      <c r="U44" s="67" t="str">
        <f>IF(T44&gt;=0, IF(T44&lt;='DATI nascosti 2'!$C$8/6, "SI", "NO"),IF(T44&gt; -'DATI nascosti 2'!$C$8/6, "SI", "NO"))</f>
        <v>SI</v>
      </c>
      <c r="V44" s="67" t="str">
        <f>IF(Foglio3!G45&lt;1,IF(Foglio3!G45&gt;-1,"ROTTURA BILANCIATA",""),"")</f>
        <v/>
      </c>
    </row>
    <row r="45" spans="1:22" ht="18.75" x14ac:dyDescent="0.25">
      <c r="A45" s="20"/>
      <c r="B45" s="67" t="s">
        <v>39</v>
      </c>
      <c r="C45" s="68">
        <f>'DATI nascosti 2'!$L$8*10^-3</f>
        <v>6.7500000000000004E-2</v>
      </c>
      <c r="D45" s="68">
        <f>D44-(C45-('DATI nascosti 2'!$C$10/'DATI nascosti 2'!$C$13*C45))/100</f>
        <v>3.9605844155844047E-2</v>
      </c>
      <c r="E45" s="67" t="s">
        <v>39</v>
      </c>
      <c r="F45" s="69">
        <f>(D45*'DATI nascosti 2'!$C$13-C45*'DATI nascosti 2'!$C$10)/(D45-C45)</f>
        <v>-1531.0465116278963</v>
      </c>
      <c r="G45" s="70">
        <v>0</v>
      </c>
      <c r="H45" s="70">
        <v>0</v>
      </c>
      <c r="I45" s="70">
        <v>0</v>
      </c>
      <c r="J45" s="70">
        <v>0</v>
      </c>
      <c r="K45" s="71">
        <f>IF(D45&gt;=('DATI nascosti 2'!$L$10*10^-3),'DATI nascosti 2'!$L$14*'DATI nascosti 2'!$P$12,IF(D45&gt;=(-'DATI nascosti 2'!$L$10*10^-3),'DATI nascosti 2'!$L$16*D45*'DATI nascosti 2'!$P$12,-'DATI nascosti 2'!$L$14*'DATI nascosti 2'!$P$12))</f>
        <v>614659.43222408998</v>
      </c>
      <c r="L45" s="71">
        <v>0</v>
      </c>
      <c r="M45" s="71">
        <f>IF(C45&gt;=('DATI nascosti 2'!$L$10*10^-3),'DATI nascosti 2'!$L$14*'DATI nascosti 2'!$P$11,IF(C45&gt;=(-'DATI nascosti 2'!$L$10*10^-3),'DATI nascosti 2'!$P$11*'DATI nascosti 2'!$L$16*C45,-'DATI nascosti 2'!$L$14*'DATI nascosti 2'!$P$11))</f>
        <v>614659.43222408998</v>
      </c>
      <c r="N45" s="71">
        <f t="shared" si="0"/>
        <v>1229318.86444818</v>
      </c>
      <c r="O45" s="71">
        <f>-K45*('DATI nascosti 2'!$C$13/2)+M45*('DATI nascosti 2'!$C$13/2)</f>
        <v>0</v>
      </c>
      <c r="P45" s="69">
        <f>-'T2'!N45/10^3</f>
        <v>-1229.31886444818</v>
      </c>
      <c r="Q45" s="69">
        <f>'T2'!O45/10^6</f>
        <v>0</v>
      </c>
      <c r="R45" s="72">
        <f>-N45/('DATI nascosti 2'!$C$6*'DATI nascosti 2'!$C$13*'DATI nascosti 2'!$H$10*'DATI nascosti 2'!$H$16)</f>
        <v>-0.29581171389629707</v>
      </c>
      <c r="S45" s="72">
        <f>O45/('DATI nascosti 2'!$H$16*'DATI nascosti 2'!$C$6*'DATI nascosti 2'!$C$13^2*'DATI nascosti 2'!$H$10)</f>
        <v>0</v>
      </c>
      <c r="T45" s="73">
        <f t="shared" si="1"/>
        <v>0</v>
      </c>
      <c r="U45" s="67" t="str">
        <f>IF(T45&gt;=0, IF(T45&lt;='DATI nascosti 2'!$C$8/6, "SI", "NO"),IF(T45&gt; -'DATI nascosti 2'!$C$8/6, "SI", "NO"))</f>
        <v>SI</v>
      </c>
      <c r="V45" s="67" t="str">
        <f>IF(Foglio3!G46&lt;1,IF(Foglio3!G46&gt;-1,"ROTTURA BILANCIATA",""),"")</f>
        <v/>
      </c>
    </row>
    <row r="46" spans="1:22" ht="18.75" x14ac:dyDescent="0.25">
      <c r="A46" s="20"/>
      <c r="B46" s="67" t="s">
        <v>39</v>
      </c>
      <c r="C46" s="68">
        <f>'DATI nascosti 2'!$L$8*10^-3</f>
        <v>6.7500000000000004E-2</v>
      </c>
      <c r="D46" s="68">
        <f>D45-(C46-('DATI nascosti 2'!$C$10/'DATI nascosti 2'!$C$13*C46))/100</f>
        <v>3.8957142857142746E-2</v>
      </c>
      <c r="E46" s="67" t="s">
        <v>39</v>
      </c>
      <c r="F46" s="69">
        <f>(D46*'DATI nascosti 2'!$C$13-C46*'DATI nascosti 2'!$C$10)/(D46-C46)</f>
        <v>-1469.9999999999895</v>
      </c>
      <c r="G46" s="70">
        <v>0</v>
      </c>
      <c r="H46" s="70">
        <v>0</v>
      </c>
      <c r="I46" s="70">
        <v>0</v>
      </c>
      <c r="J46" s="70">
        <v>0</v>
      </c>
      <c r="K46" s="71">
        <f>IF(D46&gt;=('DATI nascosti 2'!$L$10*10^-3),'DATI nascosti 2'!$L$14*'DATI nascosti 2'!$P$12,IF(D46&gt;=(-'DATI nascosti 2'!$L$10*10^-3),'DATI nascosti 2'!$L$16*D46*'DATI nascosti 2'!$P$12,-'DATI nascosti 2'!$L$14*'DATI nascosti 2'!$P$12))</f>
        <v>614659.43222408998</v>
      </c>
      <c r="L46" s="71">
        <v>0</v>
      </c>
      <c r="M46" s="71">
        <f>IF(C46&gt;=('DATI nascosti 2'!$L$10*10^-3),'DATI nascosti 2'!$L$14*'DATI nascosti 2'!$P$11,IF(C46&gt;=(-'DATI nascosti 2'!$L$10*10^-3),'DATI nascosti 2'!$P$11*'DATI nascosti 2'!$L$16*C46,-'DATI nascosti 2'!$L$14*'DATI nascosti 2'!$P$11))</f>
        <v>614659.43222408998</v>
      </c>
      <c r="N46" s="71">
        <f t="shared" si="0"/>
        <v>1229318.86444818</v>
      </c>
      <c r="O46" s="71">
        <f>-K46*('DATI nascosti 2'!$C$13/2)+M46*('DATI nascosti 2'!$C$13/2)</f>
        <v>0</v>
      </c>
      <c r="P46" s="69">
        <f>-'T2'!N46/10^3</f>
        <v>-1229.31886444818</v>
      </c>
      <c r="Q46" s="69">
        <f>'T2'!O46/10^6</f>
        <v>0</v>
      </c>
      <c r="R46" s="72">
        <f>-N46/('DATI nascosti 2'!$C$6*'DATI nascosti 2'!$C$13*'DATI nascosti 2'!$H$10*'DATI nascosti 2'!$H$16)</f>
        <v>-0.29581171389629707</v>
      </c>
      <c r="S46" s="72">
        <f>O46/('DATI nascosti 2'!$H$16*'DATI nascosti 2'!$C$6*'DATI nascosti 2'!$C$13^2*'DATI nascosti 2'!$H$10)</f>
        <v>0</v>
      </c>
      <c r="T46" s="73">
        <f t="shared" si="1"/>
        <v>0</v>
      </c>
      <c r="U46" s="67" t="str">
        <f>IF(T46&gt;=0, IF(T46&lt;='DATI nascosti 2'!$C$8/6, "SI", "NO"),IF(T46&gt; -'DATI nascosti 2'!$C$8/6, "SI", "NO"))</f>
        <v>SI</v>
      </c>
      <c r="V46" s="67" t="str">
        <f>IF(Foglio3!G47&lt;1,IF(Foglio3!G47&gt;-1,"ROTTURA BILANCIATA",""),"")</f>
        <v/>
      </c>
    </row>
    <row r="47" spans="1:22" ht="18.75" x14ac:dyDescent="0.25">
      <c r="A47" s="20"/>
      <c r="B47" s="67" t="s">
        <v>39</v>
      </c>
      <c r="C47" s="68">
        <f>'DATI nascosti 2'!$L$8*10^-3</f>
        <v>6.7500000000000004E-2</v>
      </c>
      <c r="D47" s="68">
        <f>D46-(C47-('DATI nascosti 2'!$C$10/'DATI nascosti 2'!$C$13*C47))/100</f>
        <v>3.8308441558441444E-2</v>
      </c>
      <c r="E47" s="67" t="s">
        <v>39</v>
      </c>
      <c r="F47" s="69">
        <f>(D47*'DATI nascosti 2'!$C$13-C47*'DATI nascosti 2'!$C$10)/(D47-C47)</f>
        <v>-1411.6666666666563</v>
      </c>
      <c r="G47" s="70">
        <v>0</v>
      </c>
      <c r="H47" s="70">
        <v>0</v>
      </c>
      <c r="I47" s="70">
        <v>0</v>
      </c>
      <c r="J47" s="70">
        <v>0</v>
      </c>
      <c r="K47" s="71">
        <f>IF(D47&gt;=('DATI nascosti 2'!$L$10*10^-3),'DATI nascosti 2'!$L$14*'DATI nascosti 2'!$P$12,IF(D47&gt;=(-'DATI nascosti 2'!$L$10*10^-3),'DATI nascosti 2'!$L$16*D47*'DATI nascosti 2'!$P$12,-'DATI nascosti 2'!$L$14*'DATI nascosti 2'!$P$12))</f>
        <v>614659.43222408998</v>
      </c>
      <c r="L47" s="71">
        <v>0</v>
      </c>
      <c r="M47" s="71">
        <f>IF(C47&gt;=('DATI nascosti 2'!$L$10*10^-3),'DATI nascosti 2'!$L$14*'DATI nascosti 2'!$P$11,IF(C47&gt;=(-'DATI nascosti 2'!$L$10*10^-3),'DATI nascosti 2'!$P$11*'DATI nascosti 2'!$L$16*C47,-'DATI nascosti 2'!$L$14*'DATI nascosti 2'!$P$11))</f>
        <v>614659.43222408998</v>
      </c>
      <c r="N47" s="71">
        <f t="shared" si="0"/>
        <v>1229318.86444818</v>
      </c>
      <c r="O47" s="71">
        <f>-K47*('DATI nascosti 2'!$C$13/2)+M47*('DATI nascosti 2'!$C$13/2)</f>
        <v>0</v>
      </c>
      <c r="P47" s="69">
        <f>-'T2'!N47/10^3</f>
        <v>-1229.31886444818</v>
      </c>
      <c r="Q47" s="69">
        <f>'T2'!O47/10^6</f>
        <v>0</v>
      </c>
      <c r="R47" s="72">
        <f>-N47/('DATI nascosti 2'!$C$6*'DATI nascosti 2'!$C$13*'DATI nascosti 2'!$H$10*'DATI nascosti 2'!$H$16)</f>
        <v>-0.29581171389629707</v>
      </c>
      <c r="S47" s="72">
        <f>O47/('DATI nascosti 2'!$H$16*'DATI nascosti 2'!$C$6*'DATI nascosti 2'!$C$13^2*'DATI nascosti 2'!$H$10)</f>
        <v>0</v>
      </c>
      <c r="T47" s="73">
        <f t="shared" si="1"/>
        <v>0</v>
      </c>
      <c r="U47" s="67" t="str">
        <f>IF(T47&gt;=0, IF(T47&lt;='DATI nascosti 2'!$C$8/6, "SI", "NO"),IF(T47&gt; -'DATI nascosti 2'!$C$8/6, "SI", "NO"))</f>
        <v>SI</v>
      </c>
      <c r="V47" s="67" t="str">
        <f>IF(Foglio3!G48&lt;1,IF(Foglio3!G48&gt;-1,"ROTTURA BILANCIATA",""),"")</f>
        <v/>
      </c>
    </row>
    <row r="48" spans="1:22" ht="18.75" x14ac:dyDescent="0.25">
      <c r="A48" s="20"/>
      <c r="B48" s="67" t="s">
        <v>39</v>
      </c>
      <c r="C48" s="68">
        <f>'DATI nascosti 2'!$L$8*10^-3</f>
        <v>6.7500000000000004E-2</v>
      </c>
      <c r="D48" s="68">
        <f>D47-(C48-('DATI nascosti 2'!$C$10/'DATI nascosti 2'!$C$13*C48))/100</f>
        <v>3.7659740259740143E-2</v>
      </c>
      <c r="E48" s="67" t="s">
        <v>39</v>
      </c>
      <c r="F48" s="69">
        <f>(D48*'DATI nascosti 2'!$C$13-C48*'DATI nascosti 2'!$C$10)/(D48-C48)</f>
        <v>-1355.8695652173813</v>
      </c>
      <c r="G48" s="70">
        <v>0</v>
      </c>
      <c r="H48" s="70">
        <v>0</v>
      </c>
      <c r="I48" s="70">
        <v>0</v>
      </c>
      <c r="J48" s="70">
        <v>0</v>
      </c>
      <c r="K48" s="71">
        <f>IF(D48&gt;=('DATI nascosti 2'!$L$10*10^-3),'DATI nascosti 2'!$L$14*'DATI nascosti 2'!$P$12,IF(D48&gt;=(-'DATI nascosti 2'!$L$10*10^-3),'DATI nascosti 2'!$L$16*D48*'DATI nascosti 2'!$P$12,-'DATI nascosti 2'!$L$14*'DATI nascosti 2'!$P$12))</f>
        <v>614659.43222408998</v>
      </c>
      <c r="L48" s="71">
        <v>0</v>
      </c>
      <c r="M48" s="71">
        <f>IF(C48&gt;=('DATI nascosti 2'!$L$10*10^-3),'DATI nascosti 2'!$L$14*'DATI nascosti 2'!$P$11,IF(C48&gt;=(-'DATI nascosti 2'!$L$10*10^-3),'DATI nascosti 2'!$P$11*'DATI nascosti 2'!$L$16*C48,-'DATI nascosti 2'!$L$14*'DATI nascosti 2'!$P$11))</f>
        <v>614659.43222408998</v>
      </c>
      <c r="N48" s="71">
        <f t="shared" si="0"/>
        <v>1229318.86444818</v>
      </c>
      <c r="O48" s="71">
        <f>-K48*('DATI nascosti 2'!$C$13/2)+M48*('DATI nascosti 2'!$C$13/2)</f>
        <v>0</v>
      </c>
      <c r="P48" s="69">
        <f>-'T2'!N48/10^3</f>
        <v>-1229.31886444818</v>
      </c>
      <c r="Q48" s="69">
        <f>'T2'!O48/10^6</f>
        <v>0</v>
      </c>
      <c r="R48" s="72">
        <f>-N48/('DATI nascosti 2'!$C$6*'DATI nascosti 2'!$C$13*'DATI nascosti 2'!$H$10*'DATI nascosti 2'!$H$16)</f>
        <v>-0.29581171389629707</v>
      </c>
      <c r="S48" s="72">
        <f>O48/('DATI nascosti 2'!$H$16*'DATI nascosti 2'!$C$6*'DATI nascosti 2'!$C$13^2*'DATI nascosti 2'!$H$10)</f>
        <v>0</v>
      </c>
      <c r="T48" s="73">
        <f t="shared" si="1"/>
        <v>0</v>
      </c>
      <c r="U48" s="67" t="str">
        <f>IF(T48&gt;=0, IF(T48&lt;='DATI nascosti 2'!$C$8/6, "SI", "NO"),IF(T48&gt; -'DATI nascosti 2'!$C$8/6, "SI", "NO"))</f>
        <v>SI</v>
      </c>
      <c r="V48" s="67" t="str">
        <f>IF(Foglio3!G49&lt;1,IF(Foglio3!G49&gt;-1,"ROTTURA BILANCIATA",""),"")</f>
        <v/>
      </c>
    </row>
    <row r="49" spans="1:22" ht="18.75" x14ac:dyDescent="0.25">
      <c r="A49" s="20"/>
      <c r="B49" s="67" t="s">
        <v>39</v>
      </c>
      <c r="C49" s="68">
        <f>'DATI nascosti 2'!$L$8*10^-3</f>
        <v>6.7500000000000004E-2</v>
      </c>
      <c r="D49" s="68">
        <f>D48-(C49-('DATI nascosti 2'!$C$10/'DATI nascosti 2'!$C$13*C49))/100</f>
        <v>3.7011038961038842E-2</v>
      </c>
      <c r="E49" s="67" t="s">
        <v>39</v>
      </c>
      <c r="F49" s="69">
        <f>(D49*'DATI nascosti 2'!$C$13-C49*'DATI nascosti 2'!$C$10)/(D49-C49)</f>
        <v>-1302.4468085106284</v>
      </c>
      <c r="G49" s="70">
        <v>0</v>
      </c>
      <c r="H49" s="70">
        <v>0</v>
      </c>
      <c r="I49" s="70">
        <v>0</v>
      </c>
      <c r="J49" s="70">
        <v>0</v>
      </c>
      <c r="K49" s="71">
        <f>IF(D49&gt;=('DATI nascosti 2'!$L$10*10^-3),'DATI nascosti 2'!$L$14*'DATI nascosti 2'!$P$12,IF(D49&gt;=(-'DATI nascosti 2'!$L$10*10^-3),'DATI nascosti 2'!$L$16*D49*'DATI nascosti 2'!$P$12,-'DATI nascosti 2'!$L$14*'DATI nascosti 2'!$P$12))</f>
        <v>614659.43222408998</v>
      </c>
      <c r="L49" s="71">
        <v>0</v>
      </c>
      <c r="M49" s="71">
        <f>IF(C49&gt;=('DATI nascosti 2'!$L$10*10^-3),'DATI nascosti 2'!$L$14*'DATI nascosti 2'!$P$11,IF(C49&gt;=(-'DATI nascosti 2'!$L$10*10^-3),'DATI nascosti 2'!$P$11*'DATI nascosti 2'!$L$16*C49,-'DATI nascosti 2'!$L$14*'DATI nascosti 2'!$P$11))</f>
        <v>614659.43222408998</v>
      </c>
      <c r="N49" s="71">
        <f t="shared" si="0"/>
        <v>1229318.86444818</v>
      </c>
      <c r="O49" s="71">
        <f>-K49*('DATI nascosti 2'!$C$13/2)+M49*('DATI nascosti 2'!$C$13/2)</f>
        <v>0</v>
      </c>
      <c r="P49" s="69">
        <f>-'T2'!N49/10^3</f>
        <v>-1229.31886444818</v>
      </c>
      <c r="Q49" s="69">
        <f>'T2'!O49/10^6</f>
        <v>0</v>
      </c>
      <c r="R49" s="72">
        <f>-N49/('DATI nascosti 2'!$C$6*'DATI nascosti 2'!$C$13*'DATI nascosti 2'!$H$10*'DATI nascosti 2'!$H$16)</f>
        <v>-0.29581171389629707</v>
      </c>
      <c r="S49" s="72">
        <f>O49/('DATI nascosti 2'!$H$16*'DATI nascosti 2'!$C$6*'DATI nascosti 2'!$C$13^2*'DATI nascosti 2'!$H$10)</f>
        <v>0</v>
      </c>
      <c r="T49" s="73">
        <f t="shared" si="1"/>
        <v>0</v>
      </c>
      <c r="U49" s="67" t="str">
        <f>IF(T49&gt;=0, IF(T49&lt;='DATI nascosti 2'!$C$8/6, "SI", "NO"),IF(T49&gt; -'DATI nascosti 2'!$C$8/6, "SI", "NO"))</f>
        <v>SI</v>
      </c>
      <c r="V49" s="67" t="str">
        <f>IF(Foglio3!G50&lt;1,IF(Foglio3!G50&gt;-1,"ROTTURA BILANCIATA",""),"")</f>
        <v/>
      </c>
    </row>
    <row r="50" spans="1:22" ht="18.75" x14ac:dyDescent="0.25">
      <c r="A50" s="20"/>
      <c r="B50" s="67" t="s">
        <v>39</v>
      </c>
      <c r="C50" s="68">
        <f>'DATI nascosti 2'!$L$8*10^-3</f>
        <v>6.7500000000000004E-2</v>
      </c>
      <c r="D50" s="68">
        <f>D49-(C50-('DATI nascosti 2'!$C$10/'DATI nascosti 2'!$C$13*C50))/100</f>
        <v>3.6362337662337541E-2</v>
      </c>
      <c r="E50" s="67" t="s">
        <v>39</v>
      </c>
      <c r="F50" s="69">
        <f>(D50*'DATI nascosti 2'!$C$13-C50*'DATI nascosti 2'!$C$10)/(D50-C50)</f>
        <v>-1251.2499999999902</v>
      </c>
      <c r="G50" s="70">
        <v>0</v>
      </c>
      <c r="H50" s="70">
        <v>0</v>
      </c>
      <c r="I50" s="70">
        <v>0</v>
      </c>
      <c r="J50" s="70">
        <v>0</v>
      </c>
      <c r="K50" s="71">
        <f>IF(D50&gt;=('DATI nascosti 2'!$L$10*10^-3),'DATI nascosti 2'!$L$14*'DATI nascosti 2'!$P$12,IF(D50&gt;=(-'DATI nascosti 2'!$L$10*10^-3),'DATI nascosti 2'!$L$16*D50*'DATI nascosti 2'!$P$12,-'DATI nascosti 2'!$L$14*'DATI nascosti 2'!$P$12))</f>
        <v>614659.43222408998</v>
      </c>
      <c r="L50" s="71">
        <v>0</v>
      </c>
      <c r="M50" s="71">
        <f>IF(C50&gt;=('DATI nascosti 2'!$L$10*10^-3),'DATI nascosti 2'!$L$14*'DATI nascosti 2'!$P$11,IF(C50&gt;=(-'DATI nascosti 2'!$L$10*10^-3),'DATI nascosti 2'!$P$11*'DATI nascosti 2'!$L$16*C50,-'DATI nascosti 2'!$L$14*'DATI nascosti 2'!$P$11))</f>
        <v>614659.43222408998</v>
      </c>
      <c r="N50" s="71">
        <f t="shared" si="0"/>
        <v>1229318.86444818</v>
      </c>
      <c r="O50" s="71">
        <f>-K50*('DATI nascosti 2'!$C$13/2)+M50*('DATI nascosti 2'!$C$13/2)</f>
        <v>0</v>
      </c>
      <c r="P50" s="69">
        <f>-'T2'!N50/10^3</f>
        <v>-1229.31886444818</v>
      </c>
      <c r="Q50" s="69">
        <f>'T2'!O50/10^6</f>
        <v>0</v>
      </c>
      <c r="R50" s="72">
        <f>-N50/('DATI nascosti 2'!$C$6*'DATI nascosti 2'!$C$13*'DATI nascosti 2'!$H$10*'DATI nascosti 2'!$H$16)</f>
        <v>-0.29581171389629707</v>
      </c>
      <c r="S50" s="72">
        <f>O50/('DATI nascosti 2'!$H$16*'DATI nascosti 2'!$C$6*'DATI nascosti 2'!$C$13^2*'DATI nascosti 2'!$H$10)</f>
        <v>0</v>
      </c>
      <c r="T50" s="73">
        <f t="shared" si="1"/>
        <v>0</v>
      </c>
      <c r="U50" s="67" t="str">
        <f>IF(T50&gt;=0, IF(T50&lt;='DATI nascosti 2'!$C$8/6, "SI", "NO"),IF(T50&gt; -'DATI nascosti 2'!$C$8/6, "SI", "NO"))</f>
        <v>SI</v>
      </c>
      <c r="V50" s="67" t="str">
        <f>IF(Foglio3!G51&lt;1,IF(Foglio3!G51&gt;-1,"ROTTURA BILANCIATA",""),"")</f>
        <v/>
      </c>
    </row>
    <row r="51" spans="1:22" ht="18.75" x14ac:dyDescent="0.25">
      <c r="A51" s="20"/>
      <c r="B51" s="67" t="s">
        <v>39</v>
      </c>
      <c r="C51" s="68">
        <f>'DATI nascosti 2'!$L$8*10^-3</f>
        <v>6.7500000000000004E-2</v>
      </c>
      <c r="D51" s="68">
        <f>D50-(C51-('DATI nascosti 2'!$C$10/'DATI nascosti 2'!$C$13*C51))/100</f>
        <v>3.5713636363636239E-2</v>
      </c>
      <c r="E51" s="67" t="s">
        <v>39</v>
      </c>
      <c r="F51" s="69">
        <f>(D51*'DATI nascosti 2'!$C$13-C51*'DATI nascosti 2'!$C$10)/(D51-C51)</f>
        <v>-1202.1428571428476</v>
      </c>
      <c r="G51" s="70">
        <v>0</v>
      </c>
      <c r="H51" s="70">
        <v>0</v>
      </c>
      <c r="I51" s="70">
        <v>0</v>
      </c>
      <c r="J51" s="70">
        <v>0</v>
      </c>
      <c r="K51" s="71">
        <f>IF(D51&gt;=('DATI nascosti 2'!$L$10*10^-3),'DATI nascosti 2'!$L$14*'DATI nascosti 2'!$P$12,IF(D51&gt;=(-'DATI nascosti 2'!$L$10*10^-3),'DATI nascosti 2'!$L$16*D51*'DATI nascosti 2'!$P$12,-'DATI nascosti 2'!$L$14*'DATI nascosti 2'!$P$12))</f>
        <v>614659.43222408998</v>
      </c>
      <c r="L51" s="71">
        <v>0</v>
      </c>
      <c r="M51" s="71">
        <f>IF(C51&gt;=('DATI nascosti 2'!$L$10*10^-3),'DATI nascosti 2'!$L$14*'DATI nascosti 2'!$P$11,IF(C51&gt;=(-'DATI nascosti 2'!$L$10*10^-3),'DATI nascosti 2'!$P$11*'DATI nascosti 2'!$L$16*C51,-'DATI nascosti 2'!$L$14*'DATI nascosti 2'!$P$11))</f>
        <v>614659.43222408998</v>
      </c>
      <c r="N51" s="71">
        <f t="shared" si="0"/>
        <v>1229318.86444818</v>
      </c>
      <c r="O51" s="71">
        <f>-K51*('DATI nascosti 2'!$C$13/2)+M51*('DATI nascosti 2'!$C$13/2)</f>
        <v>0</v>
      </c>
      <c r="P51" s="69">
        <f>-'T2'!N51/10^3</f>
        <v>-1229.31886444818</v>
      </c>
      <c r="Q51" s="69">
        <f>'T2'!O51/10^6</f>
        <v>0</v>
      </c>
      <c r="R51" s="72">
        <f>-N51/('DATI nascosti 2'!$C$6*'DATI nascosti 2'!$C$13*'DATI nascosti 2'!$H$10*'DATI nascosti 2'!$H$16)</f>
        <v>-0.29581171389629707</v>
      </c>
      <c r="S51" s="72">
        <f>O51/('DATI nascosti 2'!$H$16*'DATI nascosti 2'!$C$6*'DATI nascosti 2'!$C$13^2*'DATI nascosti 2'!$H$10)</f>
        <v>0</v>
      </c>
      <c r="T51" s="73">
        <f t="shared" si="1"/>
        <v>0</v>
      </c>
      <c r="U51" s="67" t="str">
        <f>IF(T51&gt;=0, IF(T51&lt;='DATI nascosti 2'!$C$8/6, "SI", "NO"),IF(T51&gt; -'DATI nascosti 2'!$C$8/6, "SI", "NO"))</f>
        <v>SI</v>
      </c>
      <c r="V51" s="67" t="str">
        <f>IF(Foglio3!G52&lt;1,IF(Foglio3!G52&gt;-1,"ROTTURA BILANCIATA",""),"")</f>
        <v/>
      </c>
    </row>
    <row r="52" spans="1:22" ht="18.75" x14ac:dyDescent="0.25">
      <c r="A52" s="20"/>
      <c r="B52" s="67" t="s">
        <v>39</v>
      </c>
      <c r="C52" s="68">
        <f>'DATI nascosti 2'!$L$8*10^-3</f>
        <v>6.7500000000000004E-2</v>
      </c>
      <c r="D52" s="68">
        <f>D51-(C52-('DATI nascosti 2'!$C$10/'DATI nascosti 2'!$C$13*C52))/100</f>
        <v>3.5064935064934938E-2</v>
      </c>
      <c r="E52" s="67" t="s">
        <v>39</v>
      </c>
      <c r="F52" s="69">
        <f>(D52*'DATI nascosti 2'!$C$13-C52*'DATI nascosti 2'!$C$10)/(D52-C52)</f>
        <v>-1154.9999999999907</v>
      </c>
      <c r="G52" s="70">
        <v>0</v>
      </c>
      <c r="H52" s="70">
        <v>0</v>
      </c>
      <c r="I52" s="70">
        <v>0</v>
      </c>
      <c r="J52" s="70">
        <v>0</v>
      </c>
      <c r="K52" s="71">
        <f>IF(D52&gt;=('DATI nascosti 2'!$L$10*10^-3),'DATI nascosti 2'!$L$14*'DATI nascosti 2'!$P$12,IF(D52&gt;=(-'DATI nascosti 2'!$L$10*10^-3),'DATI nascosti 2'!$L$16*D52*'DATI nascosti 2'!$P$12,-'DATI nascosti 2'!$L$14*'DATI nascosti 2'!$P$12))</f>
        <v>614659.43222408998</v>
      </c>
      <c r="L52" s="71">
        <v>0</v>
      </c>
      <c r="M52" s="71">
        <f>IF(C52&gt;=('DATI nascosti 2'!$L$10*10^-3),'DATI nascosti 2'!$L$14*'DATI nascosti 2'!$P$11,IF(C52&gt;=(-'DATI nascosti 2'!$L$10*10^-3),'DATI nascosti 2'!$P$11*'DATI nascosti 2'!$L$16*C52,-'DATI nascosti 2'!$L$14*'DATI nascosti 2'!$P$11))</f>
        <v>614659.43222408998</v>
      </c>
      <c r="N52" s="71">
        <f t="shared" si="0"/>
        <v>1229318.86444818</v>
      </c>
      <c r="O52" s="71">
        <f>-K52*('DATI nascosti 2'!$C$13/2)+M52*('DATI nascosti 2'!$C$13/2)</f>
        <v>0</v>
      </c>
      <c r="P52" s="69">
        <f>-'T2'!N52/10^3</f>
        <v>-1229.31886444818</v>
      </c>
      <c r="Q52" s="69">
        <f>'T2'!O52/10^6</f>
        <v>0</v>
      </c>
      <c r="R52" s="72">
        <f>-N52/('DATI nascosti 2'!$C$6*'DATI nascosti 2'!$C$13*'DATI nascosti 2'!$H$10*'DATI nascosti 2'!$H$16)</f>
        <v>-0.29581171389629707</v>
      </c>
      <c r="S52" s="72">
        <f>O52/('DATI nascosti 2'!$H$16*'DATI nascosti 2'!$C$6*'DATI nascosti 2'!$C$13^2*'DATI nascosti 2'!$H$10)</f>
        <v>0</v>
      </c>
      <c r="T52" s="73">
        <f t="shared" si="1"/>
        <v>0</v>
      </c>
      <c r="U52" s="67" t="str">
        <f>IF(T52&gt;=0, IF(T52&lt;='DATI nascosti 2'!$C$8/6, "SI", "NO"),IF(T52&gt; -'DATI nascosti 2'!$C$8/6, "SI", "NO"))</f>
        <v>SI</v>
      </c>
      <c r="V52" s="67" t="str">
        <f>IF(Foglio3!G53&lt;1,IF(Foglio3!G53&gt;-1,"ROTTURA BILANCIATA",""),"")</f>
        <v/>
      </c>
    </row>
    <row r="53" spans="1:22" ht="18.75" x14ac:dyDescent="0.25">
      <c r="A53" s="20"/>
      <c r="B53" s="67" t="s">
        <v>39</v>
      </c>
      <c r="C53" s="68">
        <f>'DATI nascosti 2'!$L$8*10^-3</f>
        <v>6.7500000000000004E-2</v>
      </c>
      <c r="D53" s="68">
        <f>D52-(C53-('DATI nascosti 2'!$C$10/'DATI nascosti 2'!$C$13*C53))/100</f>
        <v>3.4416233766233637E-2</v>
      </c>
      <c r="E53" s="67" t="s">
        <v>39</v>
      </c>
      <c r="F53" s="69">
        <f>(D53*'DATI nascosti 2'!$C$13-C53*'DATI nascosti 2'!$C$10)/(D53-C53)</f>
        <v>-1109.7058823529321</v>
      </c>
      <c r="G53" s="70">
        <v>0</v>
      </c>
      <c r="H53" s="70">
        <v>0</v>
      </c>
      <c r="I53" s="70">
        <v>0</v>
      </c>
      <c r="J53" s="70">
        <v>0</v>
      </c>
      <c r="K53" s="71">
        <f>IF(D53&gt;=('DATI nascosti 2'!$L$10*10^-3),'DATI nascosti 2'!$L$14*'DATI nascosti 2'!$P$12,IF(D53&gt;=(-'DATI nascosti 2'!$L$10*10^-3),'DATI nascosti 2'!$L$16*D53*'DATI nascosti 2'!$P$12,-'DATI nascosti 2'!$L$14*'DATI nascosti 2'!$P$12))</f>
        <v>614659.43222408998</v>
      </c>
      <c r="L53" s="71">
        <v>0</v>
      </c>
      <c r="M53" s="71">
        <f>IF(C53&gt;=('DATI nascosti 2'!$L$10*10^-3),'DATI nascosti 2'!$L$14*'DATI nascosti 2'!$P$11,IF(C53&gt;=(-'DATI nascosti 2'!$L$10*10^-3),'DATI nascosti 2'!$P$11*'DATI nascosti 2'!$L$16*C53,-'DATI nascosti 2'!$L$14*'DATI nascosti 2'!$P$11))</f>
        <v>614659.43222408998</v>
      </c>
      <c r="N53" s="71">
        <f t="shared" si="0"/>
        <v>1229318.86444818</v>
      </c>
      <c r="O53" s="71">
        <f>-K53*('DATI nascosti 2'!$C$13/2)+M53*('DATI nascosti 2'!$C$13/2)</f>
        <v>0</v>
      </c>
      <c r="P53" s="69">
        <f>-'T2'!N53/10^3</f>
        <v>-1229.31886444818</v>
      </c>
      <c r="Q53" s="69">
        <f>'T2'!O53/10^6</f>
        <v>0</v>
      </c>
      <c r="R53" s="72">
        <f>-N53/('DATI nascosti 2'!$C$6*'DATI nascosti 2'!$C$13*'DATI nascosti 2'!$H$10*'DATI nascosti 2'!$H$16)</f>
        <v>-0.29581171389629707</v>
      </c>
      <c r="S53" s="72">
        <f>O53/('DATI nascosti 2'!$H$16*'DATI nascosti 2'!$C$6*'DATI nascosti 2'!$C$13^2*'DATI nascosti 2'!$H$10)</f>
        <v>0</v>
      </c>
      <c r="T53" s="73">
        <f t="shared" si="1"/>
        <v>0</v>
      </c>
      <c r="U53" s="67" t="str">
        <f>IF(T53&gt;=0, IF(T53&lt;='DATI nascosti 2'!$C$8/6, "SI", "NO"),IF(T53&gt; -'DATI nascosti 2'!$C$8/6, "SI", "NO"))</f>
        <v>SI</v>
      </c>
      <c r="V53" s="67" t="str">
        <f>IF(Foglio3!G54&lt;1,IF(Foglio3!G54&gt;-1,"ROTTURA BILANCIATA",""),"")</f>
        <v/>
      </c>
    </row>
    <row r="54" spans="1:22" ht="18.75" x14ac:dyDescent="0.25">
      <c r="A54" s="20"/>
      <c r="B54" s="67" t="s">
        <v>39</v>
      </c>
      <c r="C54" s="68">
        <f>'DATI nascosti 2'!$L$8*10^-3</f>
        <v>6.7500000000000004E-2</v>
      </c>
      <c r="D54" s="68">
        <f>D53-(C54-('DATI nascosti 2'!$C$10/'DATI nascosti 2'!$C$13*C54))/100</f>
        <v>3.3767532467532335E-2</v>
      </c>
      <c r="E54" s="67" t="s">
        <v>39</v>
      </c>
      <c r="F54" s="69">
        <f>(D54*'DATI nascosti 2'!$C$13-C54*'DATI nascosti 2'!$C$10)/(D54-C54)</f>
        <v>-1066.1538461538371</v>
      </c>
      <c r="G54" s="70">
        <v>0</v>
      </c>
      <c r="H54" s="70">
        <v>0</v>
      </c>
      <c r="I54" s="70">
        <v>0</v>
      </c>
      <c r="J54" s="70">
        <v>0</v>
      </c>
      <c r="K54" s="71">
        <f>IF(D54&gt;=('DATI nascosti 2'!$L$10*10^-3),'DATI nascosti 2'!$L$14*'DATI nascosti 2'!$P$12,IF(D54&gt;=(-'DATI nascosti 2'!$L$10*10^-3),'DATI nascosti 2'!$L$16*D54*'DATI nascosti 2'!$P$12,-'DATI nascosti 2'!$L$14*'DATI nascosti 2'!$P$12))</f>
        <v>614659.43222408998</v>
      </c>
      <c r="L54" s="71">
        <v>0</v>
      </c>
      <c r="M54" s="71">
        <f>IF(C54&gt;=('DATI nascosti 2'!$L$10*10^-3),'DATI nascosti 2'!$L$14*'DATI nascosti 2'!$P$11,IF(C54&gt;=(-'DATI nascosti 2'!$L$10*10^-3),'DATI nascosti 2'!$P$11*'DATI nascosti 2'!$L$16*C54,-'DATI nascosti 2'!$L$14*'DATI nascosti 2'!$P$11))</f>
        <v>614659.43222408998</v>
      </c>
      <c r="N54" s="71">
        <f t="shared" si="0"/>
        <v>1229318.86444818</v>
      </c>
      <c r="O54" s="71">
        <f>-K54*('DATI nascosti 2'!$C$13/2)+M54*('DATI nascosti 2'!$C$13/2)</f>
        <v>0</v>
      </c>
      <c r="P54" s="69">
        <f>-'T2'!N54/10^3</f>
        <v>-1229.31886444818</v>
      </c>
      <c r="Q54" s="69">
        <f>'T2'!O54/10^6</f>
        <v>0</v>
      </c>
      <c r="R54" s="72">
        <f>-N54/('DATI nascosti 2'!$C$6*'DATI nascosti 2'!$C$13*'DATI nascosti 2'!$H$10*'DATI nascosti 2'!$H$16)</f>
        <v>-0.29581171389629707</v>
      </c>
      <c r="S54" s="72">
        <f>O54/('DATI nascosti 2'!$H$16*'DATI nascosti 2'!$C$6*'DATI nascosti 2'!$C$13^2*'DATI nascosti 2'!$H$10)</f>
        <v>0</v>
      </c>
      <c r="T54" s="73">
        <f t="shared" si="1"/>
        <v>0</v>
      </c>
      <c r="U54" s="67" t="str">
        <f>IF(T54&gt;=0, IF(T54&lt;='DATI nascosti 2'!$C$8/6, "SI", "NO"),IF(T54&gt; -'DATI nascosti 2'!$C$8/6, "SI", "NO"))</f>
        <v>SI</v>
      </c>
      <c r="V54" s="67" t="str">
        <f>IF(Foglio3!G55&lt;1,IF(Foglio3!G55&gt;-1,"ROTTURA BILANCIATA",""),"")</f>
        <v/>
      </c>
    </row>
    <row r="55" spans="1:22" ht="18.75" x14ac:dyDescent="0.25">
      <c r="A55" s="20"/>
      <c r="B55" s="67" t="s">
        <v>39</v>
      </c>
      <c r="C55" s="68">
        <f>'DATI nascosti 2'!$L$8*10^-3</f>
        <v>6.7500000000000004E-2</v>
      </c>
      <c r="D55" s="68">
        <f>D54-(C55-('DATI nascosti 2'!$C$10/'DATI nascosti 2'!$C$13*C55))/100</f>
        <v>3.3118831168831034E-2</v>
      </c>
      <c r="E55" s="67" t="s">
        <v>39</v>
      </c>
      <c r="F55" s="69">
        <f>(D55*'DATI nascosti 2'!$C$13-C55*'DATI nascosti 2'!$C$10)/(D55-C55)</f>
        <v>-1024.2452830188593</v>
      </c>
      <c r="G55" s="70">
        <v>0</v>
      </c>
      <c r="H55" s="70">
        <v>0</v>
      </c>
      <c r="I55" s="70">
        <v>0</v>
      </c>
      <c r="J55" s="70">
        <v>0</v>
      </c>
      <c r="K55" s="71">
        <f>IF(D55&gt;=('DATI nascosti 2'!$L$10*10^-3),'DATI nascosti 2'!$L$14*'DATI nascosti 2'!$P$12,IF(D55&gt;=(-'DATI nascosti 2'!$L$10*10^-3),'DATI nascosti 2'!$L$16*D55*'DATI nascosti 2'!$P$12,-'DATI nascosti 2'!$L$14*'DATI nascosti 2'!$P$12))</f>
        <v>614659.43222408998</v>
      </c>
      <c r="L55" s="71">
        <v>0</v>
      </c>
      <c r="M55" s="71">
        <f>IF(C55&gt;=('DATI nascosti 2'!$L$10*10^-3),'DATI nascosti 2'!$L$14*'DATI nascosti 2'!$P$11,IF(C55&gt;=(-'DATI nascosti 2'!$L$10*10^-3),'DATI nascosti 2'!$P$11*'DATI nascosti 2'!$L$16*C55,-'DATI nascosti 2'!$L$14*'DATI nascosti 2'!$P$11))</f>
        <v>614659.43222408998</v>
      </c>
      <c r="N55" s="71">
        <f t="shared" si="0"/>
        <v>1229318.86444818</v>
      </c>
      <c r="O55" s="71">
        <f>-K55*('DATI nascosti 2'!$C$13/2)+M55*('DATI nascosti 2'!$C$13/2)</f>
        <v>0</v>
      </c>
      <c r="P55" s="69">
        <f>-'T2'!N55/10^3</f>
        <v>-1229.31886444818</v>
      </c>
      <c r="Q55" s="69">
        <f>'T2'!O55/10^6</f>
        <v>0</v>
      </c>
      <c r="R55" s="72">
        <f>-N55/('DATI nascosti 2'!$C$6*'DATI nascosti 2'!$C$13*'DATI nascosti 2'!$H$10*'DATI nascosti 2'!$H$16)</f>
        <v>-0.29581171389629707</v>
      </c>
      <c r="S55" s="72">
        <f>O55/('DATI nascosti 2'!$H$16*'DATI nascosti 2'!$C$6*'DATI nascosti 2'!$C$13^2*'DATI nascosti 2'!$H$10)</f>
        <v>0</v>
      </c>
      <c r="T55" s="73">
        <f t="shared" si="1"/>
        <v>0</v>
      </c>
      <c r="U55" s="67" t="str">
        <f>IF(T55&gt;=0, IF(T55&lt;='DATI nascosti 2'!$C$8/6, "SI", "NO"),IF(T55&gt; -'DATI nascosti 2'!$C$8/6, "SI", "NO"))</f>
        <v>SI</v>
      </c>
      <c r="V55" s="67" t="str">
        <f>IF(Foglio3!G56&lt;1,IF(Foglio3!G56&gt;-1,"ROTTURA BILANCIATA",""),"")</f>
        <v/>
      </c>
    </row>
    <row r="56" spans="1:22" ht="18.75" x14ac:dyDescent="0.25">
      <c r="A56" s="20"/>
      <c r="B56" s="67" t="s">
        <v>39</v>
      </c>
      <c r="C56" s="68">
        <f>'DATI nascosti 2'!$L$8*10^-3</f>
        <v>6.7500000000000004E-2</v>
      </c>
      <c r="D56" s="68">
        <f>D55-(C56-('DATI nascosti 2'!$C$10/'DATI nascosti 2'!$C$13*C56))/100</f>
        <v>3.2470129870129733E-2</v>
      </c>
      <c r="E56" s="67" t="s">
        <v>39</v>
      </c>
      <c r="F56" s="69">
        <f>(D56*'DATI nascosti 2'!$C$13-C56*'DATI nascosti 2'!$C$10)/(D56-C56)</f>
        <v>-983.88888888888039</v>
      </c>
      <c r="G56" s="70">
        <v>0</v>
      </c>
      <c r="H56" s="70">
        <v>0</v>
      </c>
      <c r="I56" s="70">
        <v>0</v>
      </c>
      <c r="J56" s="70">
        <v>0</v>
      </c>
      <c r="K56" s="71">
        <f>IF(D56&gt;=('DATI nascosti 2'!$L$10*10^-3),'DATI nascosti 2'!$L$14*'DATI nascosti 2'!$P$12,IF(D56&gt;=(-'DATI nascosti 2'!$L$10*10^-3),'DATI nascosti 2'!$L$16*D56*'DATI nascosti 2'!$P$12,-'DATI nascosti 2'!$L$14*'DATI nascosti 2'!$P$12))</f>
        <v>614659.43222408998</v>
      </c>
      <c r="L56" s="71">
        <v>0</v>
      </c>
      <c r="M56" s="71">
        <f>IF(C56&gt;=('DATI nascosti 2'!$L$10*10^-3),'DATI nascosti 2'!$L$14*'DATI nascosti 2'!$P$11,IF(C56&gt;=(-'DATI nascosti 2'!$L$10*10^-3),'DATI nascosti 2'!$P$11*'DATI nascosti 2'!$L$16*C56,-'DATI nascosti 2'!$L$14*'DATI nascosti 2'!$P$11))</f>
        <v>614659.43222408998</v>
      </c>
      <c r="N56" s="71">
        <f t="shared" si="0"/>
        <v>1229318.86444818</v>
      </c>
      <c r="O56" s="71">
        <f>-K56*('DATI nascosti 2'!$C$13/2)+M56*('DATI nascosti 2'!$C$13/2)</f>
        <v>0</v>
      </c>
      <c r="P56" s="69">
        <f>-'T2'!N56/10^3</f>
        <v>-1229.31886444818</v>
      </c>
      <c r="Q56" s="69">
        <f>'T2'!O56/10^6</f>
        <v>0</v>
      </c>
      <c r="R56" s="72">
        <f>-N56/('DATI nascosti 2'!$C$6*'DATI nascosti 2'!$C$13*'DATI nascosti 2'!$H$10*'DATI nascosti 2'!$H$16)</f>
        <v>-0.29581171389629707</v>
      </c>
      <c r="S56" s="72">
        <f>O56/('DATI nascosti 2'!$H$16*'DATI nascosti 2'!$C$6*'DATI nascosti 2'!$C$13^2*'DATI nascosti 2'!$H$10)</f>
        <v>0</v>
      </c>
      <c r="T56" s="73">
        <f t="shared" si="1"/>
        <v>0</v>
      </c>
      <c r="U56" s="67" t="str">
        <f>IF(T56&gt;=0, IF(T56&lt;='DATI nascosti 2'!$C$8/6, "SI", "NO"),IF(T56&gt; -'DATI nascosti 2'!$C$8/6, "SI", "NO"))</f>
        <v>SI</v>
      </c>
      <c r="V56" s="67" t="str">
        <f>IF(Foglio3!G57&lt;1,IF(Foglio3!G57&gt;-1,"ROTTURA BILANCIATA",""),"")</f>
        <v/>
      </c>
    </row>
    <row r="57" spans="1:22" ht="18.75" x14ac:dyDescent="0.25">
      <c r="A57" s="20"/>
      <c r="B57" s="67" t="s">
        <v>39</v>
      </c>
      <c r="C57" s="68">
        <f>'DATI nascosti 2'!$L$8*10^-3</f>
        <v>6.7500000000000004E-2</v>
      </c>
      <c r="D57" s="68">
        <f>D56-(C57-('DATI nascosti 2'!$C$10/'DATI nascosti 2'!$C$13*C57))/100</f>
        <v>3.1821428571428431E-2</v>
      </c>
      <c r="E57" s="67" t="s">
        <v>39</v>
      </c>
      <c r="F57" s="69">
        <f>(D57*'DATI nascosti 2'!$C$13-C57*'DATI nascosti 2'!$C$10)/(D57-C57)</f>
        <v>-944.9999999999917</v>
      </c>
      <c r="G57" s="70">
        <v>0</v>
      </c>
      <c r="H57" s="70">
        <v>0</v>
      </c>
      <c r="I57" s="70">
        <v>0</v>
      </c>
      <c r="J57" s="70">
        <v>0</v>
      </c>
      <c r="K57" s="71">
        <f>IF(D57&gt;=('DATI nascosti 2'!$L$10*10^-3),'DATI nascosti 2'!$L$14*'DATI nascosti 2'!$P$12,IF(D57&gt;=(-'DATI nascosti 2'!$L$10*10^-3),'DATI nascosti 2'!$L$16*D57*'DATI nascosti 2'!$P$12,-'DATI nascosti 2'!$L$14*'DATI nascosti 2'!$P$12))</f>
        <v>614659.43222408998</v>
      </c>
      <c r="L57" s="71">
        <v>0</v>
      </c>
      <c r="M57" s="71">
        <f>IF(C57&gt;=('DATI nascosti 2'!$L$10*10^-3),'DATI nascosti 2'!$L$14*'DATI nascosti 2'!$P$11,IF(C57&gt;=(-'DATI nascosti 2'!$L$10*10^-3),'DATI nascosti 2'!$P$11*'DATI nascosti 2'!$L$16*C57,-'DATI nascosti 2'!$L$14*'DATI nascosti 2'!$P$11))</f>
        <v>614659.43222408998</v>
      </c>
      <c r="N57" s="71">
        <f t="shared" si="0"/>
        <v>1229318.86444818</v>
      </c>
      <c r="O57" s="71">
        <f>-K57*('DATI nascosti 2'!$C$13/2)+M57*('DATI nascosti 2'!$C$13/2)</f>
        <v>0</v>
      </c>
      <c r="P57" s="69">
        <f>-'T2'!N57/10^3</f>
        <v>-1229.31886444818</v>
      </c>
      <c r="Q57" s="69">
        <f>'T2'!O57/10^6</f>
        <v>0</v>
      </c>
      <c r="R57" s="72">
        <f>-N57/('DATI nascosti 2'!$C$6*'DATI nascosti 2'!$C$13*'DATI nascosti 2'!$H$10*'DATI nascosti 2'!$H$16)</f>
        <v>-0.29581171389629707</v>
      </c>
      <c r="S57" s="72">
        <f>O57/('DATI nascosti 2'!$H$16*'DATI nascosti 2'!$C$6*'DATI nascosti 2'!$C$13^2*'DATI nascosti 2'!$H$10)</f>
        <v>0</v>
      </c>
      <c r="T57" s="73">
        <f t="shared" si="1"/>
        <v>0</v>
      </c>
      <c r="U57" s="67" t="str">
        <f>IF(T57&gt;=0, IF(T57&lt;='DATI nascosti 2'!$C$8/6, "SI", "NO"),IF(T57&gt; -'DATI nascosti 2'!$C$8/6, "SI", "NO"))</f>
        <v>SI</v>
      </c>
      <c r="V57" s="67" t="str">
        <f>IF(Foglio3!G58&lt;1,IF(Foglio3!G58&gt;-1,"ROTTURA BILANCIATA",""),"")</f>
        <v/>
      </c>
    </row>
    <row r="58" spans="1:22" ht="18.75" x14ac:dyDescent="0.25">
      <c r="A58" s="20"/>
      <c r="B58" s="67" t="s">
        <v>39</v>
      </c>
      <c r="C58" s="68">
        <f>'DATI nascosti 2'!$L$8*10^-3</f>
        <v>6.7500000000000004E-2</v>
      </c>
      <c r="D58" s="68">
        <f>D57-(C58-('DATI nascosti 2'!$C$10/'DATI nascosti 2'!$C$13*C58))/100</f>
        <v>3.1172727272727133E-2</v>
      </c>
      <c r="E58" s="67" t="s">
        <v>39</v>
      </c>
      <c r="F58" s="69">
        <f>(D58*'DATI nascosti 2'!$C$13-C58*'DATI nascosti 2'!$C$10)/(D58-C58)</f>
        <v>-907.49999999999181</v>
      </c>
      <c r="G58" s="70">
        <v>0</v>
      </c>
      <c r="H58" s="70">
        <v>0</v>
      </c>
      <c r="I58" s="70">
        <v>0</v>
      </c>
      <c r="J58" s="70">
        <v>0</v>
      </c>
      <c r="K58" s="71">
        <f>IF(D58&gt;=('DATI nascosti 2'!$L$10*10^-3),'DATI nascosti 2'!$L$14*'DATI nascosti 2'!$P$12,IF(D58&gt;=(-'DATI nascosti 2'!$L$10*10^-3),'DATI nascosti 2'!$L$16*D58*'DATI nascosti 2'!$P$12,-'DATI nascosti 2'!$L$14*'DATI nascosti 2'!$P$12))</f>
        <v>614659.43222408998</v>
      </c>
      <c r="L58" s="71">
        <v>0</v>
      </c>
      <c r="M58" s="71">
        <f>IF(C58&gt;=('DATI nascosti 2'!$L$10*10^-3),'DATI nascosti 2'!$L$14*'DATI nascosti 2'!$P$11,IF(C58&gt;=(-'DATI nascosti 2'!$L$10*10^-3),'DATI nascosti 2'!$P$11*'DATI nascosti 2'!$L$16*C58,-'DATI nascosti 2'!$L$14*'DATI nascosti 2'!$P$11))</f>
        <v>614659.43222408998</v>
      </c>
      <c r="N58" s="71">
        <f t="shared" si="0"/>
        <v>1229318.86444818</v>
      </c>
      <c r="O58" s="71">
        <f>-K58*('DATI nascosti 2'!$C$13/2)+M58*('DATI nascosti 2'!$C$13/2)</f>
        <v>0</v>
      </c>
      <c r="P58" s="69">
        <f>-'T2'!N58/10^3</f>
        <v>-1229.31886444818</v>
      </c>
      <c r="Q58" s="69">
        <f>'T2'!O58/10^6</f>
        <v>0</v>
      </c>
      <c r="R58" s="72">
        <f>-N58/('DATI nascosti 2'!$C$6*'DATI nascosti 2'!$C$13*'DATI nascosti 2'!$H$10*'DATI nascosti 2'!$H$16)</f>
        <v>-0.29581171389629707</v>
      </c>
      <c r="S58" s="72">
        <f>O58/('DATI nascosti 2'!$H$16*'DATI nascosti 2'!$C$6*'DATI nascosti 2'!$C$13^2*'DATI nascosti 2'!$H$10)</f>
        <v>0</v>
      </c>
      <c r="T58" s="73">
        <f t="shared" si="1"/>
        <v>0</v>
      </c>
      <c r="U58" s="67" t="str">
        <f>IF(T58&gt;=0, IF(T58&lt;='DATI nascosti 2'!$C$8/6, "SI", "NO"),IF(T58&gt; -'DATI nascosti 2'!$C$8/6, "SI", "NO"))</f>
        <v>SI</v>
      </c>
      <c r="V58" s="67" t="str">
        <f>IF(Foglio3!G59&lt;1,IF(Foglio3!G59&gt;-1,"ROTTURA BILANCIATA",""),"")</f>
        <v/>
      </c>
    </row>
    <row r="59" spans="1:22" ht="18.75" x14ac:dyDescent="0.25">
      <c r="A59" s="20"/>
      <c r="B59" s="67" t="s">
        <v>39</v>
      </c>
      <c r="C59" s="68">
        <f>'DATI nascosti 2'!$L$8*10^-3</f>
        <v>6.7500000000000004E-2</v>
      </c>
      <c r="D59" s="68">
        <f>D58-(C59-('DATI nascosti 2'!$C$10/'DATI nascosti 2'!$C$13*C59))/100</f>
        <v>3.0524025974025835E-2</v>
      </c>
      <c r="E59" s="67" t="s">
        <v>39</v>
      </c>
      <c r="F59" s="69">
        <f>(D59*'DATI nascosti 2'!$C$13-C59*'DATI nascosti 2'!$C$10)/(D59-C59)</f>
        <v>-871.31578947367643</v>
      </c>
      <c r="G59" s="70">
        <v>0</v>
      </c>
      <c r="H59" s="70">
        <v>0</v>
      </c>
      <c r="I59" s="70">
        <v>0</v>
      </c>
      <c r="J59" s="70">
        <v>0</v>
      </c>
      <c r="K59" s="71">
        <f>IF(D59&gt;=('DATI nascosti 2'!$L$10*10^-3),'DATI nascosti 2'!$L$14*'DATI nascosti 2'!$P$12,IF(D59&gt;=(-'DATI nascosti 2'!$L$10*10^-3),'DATI nascosti 2'!$L$16*D59*'DATI nascosti 2'!$P$12,-'DATI nascosti 2'!$L$14*'DATI nascosti 2'!$P$12))</f>
        <v>614659.43222408998</v>
      </c>
      <c r="L59" s="71">
        <v>0</v>
      </c>
      <c r="M59" s="71">
        <f>IF(C59&gt;=('DATI nascosti 2'!$L$10*10^-3),'DATI nascosti 2'!$L$14*'DATI nascosti 2'!$P$11,IF(C59&gt;=(-'DATI nascosti 2'!$L$10*10^-3),'DATI nascosti 2'!$P$11*'DATI nascosti 2'!$L$16*C59,-'DATI nascosti 2'!$L$14*'DATI nascosti 2'!$P$11))</f>
        <v>614659.43222408998</v>
      </c>
      <c r="N59" s="71">
        <f t="shared" si="0"/>
        <v>1229318.86444818</v>
      </c>
      <c r="O59" s="71">
        <f>-K59*('DATI nascosti 2'!$C$13/2)+M59*('DATI nascosti 2'!$C$13/2)</f>
        <v>0</v>
      </c>
      <c r="P59" s="69">
        <f>-'T2'!N59/10^3</f>
        <v>-1229.31886444818</v>
      </c>
      <c r="Q59" s="69">
        <f>'T2'!O59/10^6</f>
        <v>0</v>
      </c>
      <c r="R59" s="72">
        <f>-N59/('DATI nascosti 2'!$C$6*'DATI nascosti 2'!$C$13*'DATI nascosti 2'!$H$10*'DATI nascosti 2'!$H$16)</f>
        <v>-0.29581171389629707</v>
      </c>
      <c r="S59" s="72">
        <f>O59/('DATI nascosti 2'!$H$16*'DATI nascosti 2'!$C$6*'DATI nascosti 2'!$C$13^2*'DATI nascosti 2'!$H$10)</f>
        <v>0</v>
      </c>
      <c r="T59" s="73">
        <f t="shared" si="1"/>
        <v>0</v>
      </c>
      <c r="U59" s="67" t="str">
        <f>IF(T59&gt;=0, IF(T59&lt;='DATI nascosti 2'!$C$8/6, "SI", "NO"),IF(T59&gt; -'DATI nascosti 2'!$C$8/6, "SI", "NO"))</f>
        <v>SI</v>
      </c>
      <c r="V59" s="67" t="str">
        <f>IF(Foglio3!G60&lt;1,IF(Foglio3!G60&gt;-1,"ROTTURA BILANCIATA",""),"")</f>
        <v/>
      </c>
    </row>
    <row r="60" spans="1:22" ht="18.75" x14ac:dyDescent="0.25">
      <c r="A60" s="20"/>
      <c r="B60" s="67" t="s">
        <v>39</v>
      </c>
      <c r="C60" s="68">
        <f>'DATI nascosti 2'!$L$8*10^-3</f>
        <v>6.7500000000000004E-2</v>
      </c>
      <c r="D60" s="68">
        <f>D59-(C60-('DATI nascosti 2'!$C$10/'DATI nascosti 2'!$C$13*C60))/100</f>
        <v>2.9875324675324538E-2</v>
      </c>
      <c r="E60" s="67" t="s">
        <v>39</v>
      </c>
      <c r="F60" s="69">
        <f>(D60*'DATI nascosti 2'!$C$13-C60*'DATI nascosti 2'!$C$10)/(D60-C60)</f>
        <v>-836.37931034482028</v>
      </c>
      <c r="G60" s="70">
        <v>0</v>
      </c>
      <c r="H60" s="70">
        <v>0</v>
      </c>
      <c r="I60" s="70">
        <v>0</v>
      </c>
      <c r="J60" s="70">
        <v>0</v>
      </c>
      <c r="K60" s="71">
        <f>IF(D60&gt;=('DATI nascosti 2'!$L$10*10^-3),'DATI nascosti 2'!$L$14*'DATI nascosti 2'!$P$12,IF(D60&gt;=(-'DATI nascosti 2'!$L$10*10^-3),'DATI nascosti 2'!$L$16*D60*'DATI nascosti 2'!$P$12,-'DATI nascosti 2'!$L$14*'DATI nascosti 2'!$P$12))</f>
        <v>614659.43222408998</v>
      </c>
      <c r="L60" s="71">
        <v>0</v>
      </c>
      <c r="M60" s="71">
        <f>IF(C60&gt;=('DATI nascosti 2'!$L$10*10^-3),'DATI nascosti 2'!$L$14*'DATI nascosti 2'!$P$11,IF(C60&gt;=(-'DATI nascosti 2'!$L$10*10^-3),'DATI nascosti 2'!$P$11*'DATI nascosti 2'!$L$16*C60,-'DATI nascosti 2'!$L$14*'DATI nascosti 2'!$P$11))</f>
        <v>614659.43222408998</v>
      </c>
      <c r="N60" s="71">
        <f t="shared" si="0"/>
        <v>1229318.86444818</v>
      </c>
      <c r="O60" s="71">
        <f>-K60*('DATI nascosti 2'!$C$13/2)+M60*('DATI nascosti 2'!$C$13/2)</f>
        <v>0</v>
      </c>
      <c r="P60" s="69">
        <f>-'T2'!N60/10^3</f>
        <v>-1229.31886444818</v>
      </c>
      <c r="Q60" s="69">
        <f>'T2'!O60/10^6</f>
        <v>0</v>
      </c>
      <c r="R60" s="72">
        <f>-N60/('DATI nascosti 2'!$C$6*'DATI nascosti 2'!$C$13*'DATI nascosti 2'!$H$10*'DATI nascosti 2'!$H$16)</f>
        <v>-0.29581171389629707</v>
      </c>
      <c r="S60" s="72">
        <f>O60/('DATI nascosti 2'!$H$16*'DATI nascosti 2'!$C$6*'DATI nascosti 2'!$C$13^2*'DATI nascosti 2'!$H$10)</f>
        <v>0</v>
      </c>
      <c r="T60" s="73">
        <f t="shared" si="1"/>
        <v>0</v>
      </c>
      <c r="U60" s="67" t="str">
        <f>IF(T60&gt;=0, IF(T60&lt;='DATI nascosti 2'!$C$8/6, "SI", "NO"),IF(T60&gt; -'DATI nascosti 2'!$C$8/6, "SI", "NO"))</f>
        <v>SI</v>
      </c>
      <c r="V60" s="67" t="str">
        <f>IF(Foglio3!G61&lt;1,IF(Foglio3!G61&gt;-1,"ROTTURA BILANCIATA",""),"")</f>
        <v/>
      </c>
    </row>
    <row r="61" spans="1:22" ht="18.75" x14ac:dyDescent="0.25">
      <c r="A61" s="20"/>
      <c r="B61" s="67" t="s">
        <v>39</v>
      </c>
      <c r="C61" s="68">
        <f>'DATI nascosti 2'!$L$8*10^-3</f>
        <v>6.7500000000000004E-2</v>
      </c>
      <c r="D61" s="68">
        <f>D60-(C61-('DATI nascosti 2'!$C$10/'DATI nascosti 2'!$C$13*C61))/100</f>
        <v>2.922662337662324E-2</v>
      </c>
      <c r="E61" s="67" t="s">
        <v>39</v>
      </c>
      <c r="F61" s="69">
        <f>(D61*'DATI nascosti 2'!$C$13-C61*'DATI nascosti 2'!$C$10)/(D61-C61)</f>
        <v>-802.6271186440606</v>
      </c>
      <c r="G61" s="70">
        <v>0</v>
      </c>
      <c r="H61" s="70">
        <v>0</v>
      </c>
      <c r="I61" s="70">
        <v>0</v>
      </c>
      <c r="J61" s="70">
        <v>0</v>
      </c>
      <c r="K61" s="71">
        <f>IF(D61&gt;=('DATI nascosti 2'!$L$10*10^-3),'DATI nascosti 2'!$L$14*'DATI nascosti 2'!$P$12,IF(D61&gt;=(-'DATI nascosti 2'!$L$10*10^-3),'DATI nascosti 2'!$L$16*D61*'DATI nascosti 2'!$P$12,-'DATI nascosti 2'!$L$14*'DATI nascosti 2'!$P$12))</f>
        <v>614659.43222408998</v>
      </c>
      <c r="L61" s="71">
        <v>0</v>
      </c>
      <c r="M61" s="71">
        <f>IF(C61&gt;=('DATI nascosti 2'!$L$10*10^-3),'DATI nascosti 2'!$L$14*'DATI nascosti 2'!$P$11,IF(C61&gt;=(-'DATI nascosti 2'!$L$10*10^-3),'DATI nascosti 2'!$P$11*'DATI nascosti 2'!$L$16*C61,-'DATI nascosti 2'!$L$14*'DATI nascosti 2'!$P$11))</f>
        <v>614659.43222408998</v>
      </c>
      <c r="N61" s="71">
        <f t="shared" si="0"/>
        <v>1229318.86444818</v>
      </c>
      <c r="O61" s="71">
        <f>-K61*('DATI nascosti 2'!$C$13/2)+M61*('DATI nascosti 2'!$C$13/2)</f>
        <v>0</v>
      </c>
      <c r="P61" s="69">
        <f>-'T2'!N61/10^3</f>
        <v>-1229.31886444818</v>
      </c>
      <c r="Q61" s="69">
        <f>'T2'!O61/10^6</f>
        <v>0</v>
      </c>
      <c r="R61" s="72">
        <f>-N61/('DATI nascosti 2'!$C$6*'DATI nascosti 2'!$C$13*'DATI nascosti 2'!$H$10*'DATI nascosti 2'!$H$16)</f>
        <v>-0.29581171389629707</v>
      </c>
      <c r="S61" s="72">
        <f>O61/('DATI nascosti 2'!$H$16*'DATI nascosti 2'!$C$6*'DATI nascosti 2'!$C$13^2*'DATI nascosti 2'!$H$10)</f>
        <v>0</v>
      </c>
      <c r="T61" s="73">
        <f t="shared" si="1"/>
        <v>0</v>
      </c>
      <c r="U61" s="67" t="str">
        <f>IF(T61&gt;=0, IF(T61&lt;='DATI nascosti 2'!$C$8/6, "SI", "NO"),IF(T61&gt; -'DATI nascosti 2'!$C$8/6, "SI", "NO"))</f>
        <v>SI</v>
      </c>
      <c r="V61" s="67" t="str">
        <f>IF(Foglio3!G62&lt;1,IF(Foglio3!G62&gt;-1,"ROTTURA BILANCIATA",""),"")</f>
        <v/>
      </c>
    </row>
    <row r="62" spans="1:22" ht="18.75" x14ac:dyDescent="0.25">
      <c r="A62" s="20"/>
      <c r="B62" s="67" t="s">
        <v>39</v>
      </c>
      <c r="C62" s="68">
        <f>'DATI nascosti 2'!$L$8*10^-3</f>
        <v>6.7500000000000004E-2</v>
      </c>
      <c r="D62" s="68">
        <f>D61-(C62-('DATI nascosti 2'!$C$10/'DATI nascosti 2'!$C$13*C62))/100</f>
        <v>2.8577922077921942E-2</v>
      </c>
      <c r="E62" s="67" t="s">
        <v>39</v>
      </c>
      <c r="F62" s="69">
        <f>(D62*'DATI nascosti 2'!$C$13-C62*'DATI nascosti 2'!$C$10)/(D62-C62)</f>
        <v>-769.99999999999307</v>
      </c>
      <c r="G62" s="70">
        <v>0</v>
      </c>
      <c r="H62" s="70">
        <v>0</v>
      </c>
      <c r="I62" s="70">
        <v>0</v>
      </c>
      <c r="J62" s="70">
        <v>0</v>
      </c>
      <c r="K62" s="71">
        <f>IF(D62&gt;=('DATI nascosti 2'!$L$10*10^-3),'DATI nascosti 2'!$L$14*'DATI nascosti 2'!$P$12,IF(D62&gt;=(-'DATI nascosti 2'!$L$10*10^-3),'DATI nascosti 2'!$L$16*D62*'DATI nascosti 2'!$P$12,-'DATI nascosti 2'!$L$14*'DATI nascosti 2'!$P$12))</f>
        <v>614659.43222408998</v>
      </c>
      <c r="L62" s="71">
        <v>0</v>
      </c>
      <c r="M62" s="71">
        <f>IF(C62&gt;=('DATI nascosti 2'!$L$10*10^-3),'DATI nascosti 2'!$L$14*'DATI nascosti 2'!$P$11,IF(C62&gt;=(-'DATI nascosti 2'!$L$10*10^-3),'DATI nascosti 2'!$P$11*'DATI nascosti 2'!$L$16*C62,-'DATI nascosti 2'!$L$14*'DATI nascosti 2'!$P$11))</f>
        <v>614659.43222408998</v>
      </c>
      <c r="N62" s="71">
        <f t="shared" si="0"/>
        <v>1229318.86444818</v>
      </c>
      <c r="O62" s="71">
        <f>-K62*('DATI nascosti 2'!$C$13/2)+M62*('DATI nascosti 2'!$C$13/2)</f>
        <v>0</v>
      </c>
      <c r="P62" s="69">
        <f>-'T2'!N62/10^3</f>
        <v>-1229.31886444818</v>
      </c>
      <c r="Q62" s="69">
        <f>'T2'!O62/10^6</f>
        <v>0</v>
      </c>
      <c r="R62" s="72">
        <f>-N62/('DATI nascosti 2'!$C$6*'DATI nascosti 2'!$C$13*'DATI nascosti 2'!$H$10*'DATI nascosti 2'!$H$16)</f>
        <v>-0.29581171389629707</v>
      </c>
      <c r="S62" s="72">
        <f>O62/('DATI nascosti 2'!$H$16*'DATI nascosti 2'!$C$6*'DATI nascosti 2'!$C$13^2*'DATI nascosti 2'!$H$10)</f>
        <v>0</v>
      </c>
      <c r="T62" s="73">
        <f t="shared" si="1"/>
        <v>0</v>
      </c>
      <c r="U62" s="67" t="str">
        <f>IF(T62&gt;=0, IF(T62&lt;='DATI nascosti 2'!$C$8/6, "SI", "NO"),IF(T62&gt; -'DATI nascosti 2'!$C$8/6, "SI", "NO"))</f>
        <v>SI</v>
      </c>
      <c r="V62" s="67" t="str">
        <f>IF(Foglio3!G63&lt;1,IF(Foglio3!G63&gt;-1,"ROTTURA BILANCIATA",""),"")</f>
        <v/>
      </c>
    </row>
    <row r="63" spans="1:22" ht="18.75" x14ac:dyDescent="0.25">
      <c r="A63" s="20"/>
      <c r="B63" s="67" t="s">
        <v>39</v>
      </c>
      <c r="C63" s="68">
        <f>'DATI nascosti 2'!$L$8*10^-3</f>
        <v>6.7500000000000004E-2</v>
      </c>
      <c r="D63" s="68">
        <f>D62-(C63-('DATI nascosti 2'!$C$10/'DATI nascosti 2'!$C$13*C63))/100</f>
        <v>2.7929220779220644E-2</v>
      </c>
      <c r="E63" s="67" t="s">
        <v>39</v>
      </c>
      <c r="F63" s="69">
        <f>(D63*'DATI nascosti 2'!$C$13-C63*'DATI nascosti 2'!$C$10)/(D63-C63)</f>
        <v>-738.44262295081296</v>
      </c>
      <c r="G63" s="70">
        <v>0</v>
      </c>
      <c r="H63" s="70">
        <v>0</v>
      </c>
      <c r="I63" s="70">
        <v>0</v>
      </c>
      <c r="J63" s="70">
        <v>0</v>
      </c>
      <c r="K63" s="71">
        <f>IF(D63&gt;=('DATI nascosti 2'!$L$10*10^-3),'DATI nascosti 2'!$L$14*'DATI nascosti 2'!$P$12,IF(D63&gt;=(-'DATI nascosti 2'!$L$10*10^-3),'DATI nascosti 2'!$L$16*D63*'DATI nascosti 2'!$P$12,-'DATI nascosti 2'!$L$14*'DATI nascosti 2'!$P$12))</f>
        <v>614659.43222408998</v>
      </c>
      <c r="L63" s="71">
        <v>0</v>
      </c>
      <c r="M63" s="71">
        <f>IF(C63&gt;=('DATI nascosti 2'!$L$10*10^-3),'DATI nascosti 2'!$L$14*'DATI nascosti 2'!$P$11,IF(C63&gt;=(-'DATI nascosti 2'!$L$10*10^-3),'DATI nascosti 2'!$P$11*'DATI nascosti 2'!$L$16*C63,-'DATI nascosti 2'!$L$14*'DATI nascosti 2'!$P$11))</f>
        <v>614659.43222408998</v>
      </c>
      <c r="N63" s="71">
        <f t="shared" si="0"/>
        <v>1229318.86444818</v>
      </c>
      <c r="O63" s="71">
        <f>-K63*('DATI nascosti 2'!$C$13/2)+M63*('DATI nascosti 2'!$C$13/2)</f>
        <v>0</v>
      </c>
      <c r="P63" s="69">
        <f>-'T2'!N63/10^3</f>
        <v>-1229.31886444818</v>
      </c>
      <c r="Q63" s="69">
        <f>'T2'!O63/10^6</f>
        <v>0</v>
      </c>
      <c r="R63" s="72">
        <f>-N63/('DATI nascosti 2'!$C$6*'DATI nascosti 2'!$C$13*'DATI nascosti 2'!$H$10*'DATI nascosti 2'!$H$16)</f>
        <v>-0.29581171389629707</v>
      </c>
      <c r="S63" s="72">
        <f>O63/('DATI nascosti 2'!$H$16*'DATI nascosti 2'!$C$6*'DATI nascosti 2'!$C$13^2*'DATI nascosti 2'!$H$10)</f>
        <v>0</v>
      </c>
      <c r="T63" s="73">
        <f t="shared" si="1"/>
        <v>0</v>
      </c>
      <c r="U63" s="67" t="str">
        <f>IF(T63&gt;=0, IF(T63&lt;='DATI nascosti 2'!$C$8/6, "SI", "NO"),IF(T63&gt; -'DATI nascosti 2'!$C$8/6, "SI", "NO"))</f>
        <v>SI</v>
      </c>
      <c r="V63" s="67" t="str">
        <f>IF(Foglio3!G64&lt;1,IF(Foglio3!G64&gt;-1,"ROTTURA BILANCIATA",""),"")</f>
        <v/>
      </c>
    </row>
    <row r="64" spans="1:22" ht="18.75" x14ac:dyDescent="0.25">
      <c r="A64" s="20"/>
      <c r="B64" s="67" t="s">
        <v>39</v>
      </c>
      <c r="C64" s="68">
        <f>'DATI nascosti 2'!$L$8*10^-3</f>
        <v>6.7500000000000004E-2</v>
      </c>
      <c r="D64" s="68">
        <f>D63-(C64-('DATI nascosti 2'!$C$10/'DATI nascosti 2'!$C$13*C64))/100</f>
        <v>2.7280519480519346E-2</v>
      </c>
      <c r="E64" s="67" t="s">
        <v>39</v>
      </c>
      <c r="F64" s="69">
        <f>(D64*'DATI nascosti 2'!$C$13-C64*'DATI nascosti 2'!$C$10)/(D64-C64)</f>
        <v>-707.90322580644533</v>
      </c>
      <c r="G64" s="70">
        <v>0</v>
      </c>
      <c r="H64" s="70">
        <v>0</v>
      </c>
      <c r="I64" s="70">
        <v>0</v>
      </c>
      <c r="J64" s="70">
        <v>0</v>
      </c>
      <c r="K64" s="71">
        <f>IF(D64&gt;=('DATI nascosti 2'!$L$10*10^-3),'DATI nascosti 2'!$L$14*'DATI nascosti 2'!$P$12,IF(D64&gt;=(-'DATI nascosti 2'!$L$10*10^-3),'DATI nascosti 2'!$L$16*D64*'DATI nascosti 2'!$P$12,-'DATI nascosti 2'!$L$14*'DATI nascosti 2'!$P$12))</f>
        <v>614659.43222408998</v>
      </c>
      <c r="L64" s="71">
        <v>0</v>
      </c>
      <c r="M64" s="71">
        <f>IF(C64&gt;=('DATI nascosti 2'!$L$10*10^-3),'DATI nascosti 2'!$L$14*'DATI nascosti 2'!$P$11,IF(C64&gt;=(-'DATI nascosti 2'!$L$10*10^-3),'DATI nascosti 2'!$P$11*'DATI nascosti 2'!$L$16*C64,-'DATI nascosti 2'!$L$14*'DATI nascosti 2'!$P$11))</f>
        <v>614659.43222408998</v>
      </c>
      <c r="N64" s="71">
        <f t="shared" si="0"/>
        <v>1229318.86444818</v>
      </c>
      <c r="O64" s="71">
        <f>-K64*('DATI nascosti 2'!$C$13/2)+M64*('DATI nascosti 2'!$C$13/2)</f>
        <v>0</v>
      </c>
      <c r="P64" s="69">
        <f>-'T2'!N64/10^3</f>
        <v>-1229.31886444818</v>
      </c>
      <c r="Q64" s="69">
        <f>'T2'!O64/10^6</f>
        <v>0</v>
      </c>
      <c r="R64" s="72">
        <f>-N64/('DATI nascosti 2'!$C$6*'DATI nascosti 2'!$C$13*'DATI nascosti 2'!$H$10*'DATI nascosti 2'!$H$16)</f>
        <v>-0.29581171389629707</v>
      </c>
      <c r="S64" s="72">
        <f>O64/('DATI nascosti 2'!$H$16*'DATI nascosti 2'!$C$6*'DATI nascosti 2'!$C$13^2*'DATI nascosti 2'!$H$10)</f>
        <v>0</v>
      </c>
      <c r="T64" s="73">
        <f t="shared" si="1"/>
        <v>0</v>
      </c>
      <c r="U64" s="67" t="str">
        <f>IF(T64&gt;=0, IF(T64&lt;='DATI nascosti 2'!$C$8/6, "SI", "NO"),IF(T64&gt; -'DATI nascosti 2'!$C$8/6, "SI", "NO"))</f>
        <v>SI</v>
      </c>
      <c r="V64" s="67" t="str">
        <f>IF(Foglio3!G65&lt;1,IF(Foglio3!G65&gt;-1,"ROTTURA BILANCIATA",""),"")</f>
        <v/>
      </c>
    </row>
    <row r="65" spans="1:22" ht="18.75" x14ac:dyDescent="0.25">
      <c r="A65" s="20"/>
      <c r="B65" s="67" t="s">
        <v>39</v>
      </c>
      <c r="C65" s="68">
        <f>'DATI nascosti 2'!$L$8*10^-3</f>
        <v>6.7500000000000004E-2</v>
      </c>
      <c r="D65" s="68">
        <f>D64-(C65-('DATI nascosti 2'!$C$10/'DATI nascosti 2'!$C$13*C65))/100</f>
        <v>2.6631818181818048E-2</v>
      </c>
      <c r="E65" s="67" t="s">
        <v>39</v>
      </c>
      <c r="F65" s="69">
        <f>(D65*'DATI nascosti 2'!$C$13-C65*'DATI nascosti 2'!$C$10)/(D65-C65)</f>
        <v>-678.33333333332723</v>
      </c>
      <c r="G65" s="70">
        <v>0</v>
      </c>
      <c r="H65" s="70">
        <v>0</v>
      </c>
      <c r="I65" s="70">
        <v>0</v>
      </c>
      <c r="J65" s="70">
        <v>0</v>
      </c>
      <c r="K65" s="71">
        <f>IF(D65&gt;=('DATI nascosti 2'!$L$10*10^-3),'DATI nascosti 2'!$L$14*'DATI nascosti 2'!$P$12,IF(D65&gt;=(-'DATI nascosti 2'!$L$10*10^-3),'DATI nascosti 2'!$L$16*D65*'DATI nascosti 2'!$P$12,-'DATI nascosti 2'!$L$14*'DATI nascosti 2'!$P$12))</f>
        <v>614659.43222408998</v>
      </c>
      <c r="L65" s="71">
        <v>0</v>
      </c>
      <c r="M65" s="71">
        <f>IF(C65&gt;=('DATI nascosti 2'!$L$10*10^-3),'DATI nascosti 2'!$L$14*'DATI nascosti 2'!$P$11,IF(C65&gt;=(-'DATI nascosti 2'!$L$10*10^-3),'DATI nascosti 2'!$P$11*'DATI nascosti 2'!$L$16*C65,-'DATI nascosti 2'!$L$14*'DATI nascosti 2'!$P$11))</f>
        <v>614659.43222408998</v>
      </c>
      <c r="N65" s="71">
        <f t="shared" si="0"/>
        <v>1229318.86444818</v>
      </c>
      <c r="O65" s="71">
        <f>-K65*('DATI nascosti 2'!$C$13/2)+M65*('DATI nascosti 2'!$C$13/2)</f>
        <v>0</v>
      </c>
      <c r="P65" s="69">
        <f>-'T2'!N65/10^3</f>
        <v>-1229.31886444818</v>
      </c>
      <c r="Q65" s="69">
        <f>'T2'!O65/10^6</f>
        <v>0</v>
      </c>
      <c r="R65" s="72">
        <f>-N65/('DATI nascosti 2'!$C$6*'DATI nascosti 2'!$C$13*'DATI nascosti 2'!$H$10*'DATI nascosti 2'!$H$16)</f>
        <v>-0.29581171389629707</v>
      </c>
      <c r="S65" s="72">
        <f>O65/('DATI nascosti 2'!$H$16*'DATI nascosti 2'!$C$6*'DATI nascosti 2'!$C$13^2*'DATI nascosti 2'!$H$10)</f>
        <v>0</v>
      </c>
      <c r="T65" s="73">
        <f t="shared" si="1"/>
        <v>0</v>
      </c>
      <c r="U65" s="67" t="str">
        <f>IF(T65&gt;=0, IF(T65&lt;='DATI nascosti 2'!$C$8/6, "SI", "NO"),IF(T65&gt; -'DATI nascosti 2'!$C$8/6, "SI", "NO"))</f>
        <v>SI</v>
      </c>
      <c r="V65" s="67" t="str">
        <f>IF(Foglio3!G66&lt;1,IF(Foglio3!G66&gt;-1,"ROTTURA BILANCIATA",""),"")</f>
        <v/>
      </c>
    </row>
    <row r="66" spans="1:22" ht="18.75" x14ac:dyDescent="0.25">
      <c r="A66" s="20"/>
      <c r="B66" s="67" t="s">
        <v>39</v>
      </c>
      <c r="C66" s="68">
        <f>'DATI nascosti 2'!$L$8*10^-3</f>
        <v>6.7500000000000004E-2</v>
      </c>
      <c r="D66" s="68">
        <f>D65-(C66-('DATI nascosti 2'!$C$10/'DATI nascosti 2'!$C$13*C66))/100</f>
        <v>2.598311688311675E-2</v>
      </c>
      <c r="E66" s="67" t="s">
        <v>39</v>
      </c>
      <c r="F66" s="69">
        <f>(D66*'DATI nascosti 2'!$C$13-C66*'DATI nascosti 2'!$C$10)/(D66-C66)</f>
        <v>-649.68749999999409</v>
      </c>
      <c r="G66" s="70">
        <v>0</v>
      </c>
      <c r="H66" s="70">
        <v>0</v>
      </c>
      <c r="I66" s="70">
        <v>0</v>
      </c>
      <c r="J66" s="70">
        <v>0</v>
      </c>
      <c r="K66" s="71">
        <f>IF(D66&gt;=('DATI nascosti 2'!$L$10*10^-3),'DATI nascosti 2'!$L$14*'DATI nascosti 2'!$P$12,IF(D66&gt;=(-'DATI nascosti 2'!$L$10*10^-3),'DATI nascosti 2'!$L$16*D66*'DATI nascosti 2'!$P$12,-'DATI nascosti 2'!$L$14*'DATI nascosti 2'!$P$12))</f>
        <v>614659.43222408998</v>
      </c>
      <c r="L66" s="71">
        <v>0</v>
      </c>
      <c r="M66" s="71">
        <f>IF(C66&gt;=('DATI nascosti 2'!$L$10*10^-3),'DATI nascosti 2'!$L$14*'DATI nascosti 2'!$P$11,IF(C66&gt;=(-'DATI nascosti 2'!$L$10*10^-3),'DATI nascosti 2'!$P$11*'DATI nascosti 2'!$L$16*C66,-'DATI nascosti 2'!$L$14*'DATI nascosti 2'!$P$11))</f>
        <v>614659.43222408998</v>
      </c>
      <c r="N66" s="71">
        <f t="shared" ref="N66:N129" si="2">K66+L66+M66</f>
        <v>1229318.86444818</v>
      </c>
      <c r="O66" s="71">
        <f>-K66*('DATI nascosti 2'!$C$13/2)+M66*('DATI nascosti 2'!$C$13/2)</f>
        <v>0</v>
      </c>
      <c r="P66" s="69">
        <f>-'T2'!N66/10^3</f>
        <v>-1229.31886444818</v>
      </c>
      <c r="Q66" s="69">
        <f>'T2'!O66/10^6</f>
        <v>0</v>
      </c>
      <c r="R66" s="72">
        <f>-N66/('DATI nascosti 2'!$C$6*'DATI nascosti 2'!$C$13*'DATI nascosti 2'!$H$10*'DATI nascosti 2'!$H$16)</f>
        <v>-0.29581171389629707</v>
      </c>
      <c r="S66" s="72">
        <f>O66/('DATI nascosti 2'!$H$16*'DATI nascosti 2'!$C$6*'DATI nascosti 2'!$C$13^2*'DATI nascosti 2'!$H$10)</f>
        <v>0</v>
      </c>
      <c r="T66" s="73">
        <f t="shared" ref="T66:T129" si="3">O66/N66</f>
        <v>0</v>
      </c>
      <c r="U66" s="67" t="str">
        <f>IF(T66&gt;=0, IF(T66&lt;='DATI nascosti 2'!$C$8/6, "SI", "NO"),IF(T66&gt; -'DATI nascosti 2'!$C$8/6, "SI", "NO"))</f>
        <v>SI</v>
      </c>
      <c r="V66" s="67" t="str">
        <f>IF(Foglio3!G67&lt;1,IF(Foglio3!G67&gt;-1,"ROTTURA BILANCIATA",""),"")</f>
        <v/>
      </c>
    </row>
    <row r="67" spans="1:22" ht="18.75" x14ac:dyDescent="0.25">
      <c r="A67" s="20"/>
      <c r="B67" s="67" t="s">
        <v>39</v>
      </c>
      <c r="C67" s="68">
        <f>'DATI nascosti 2'!$L$8*10^-3</f>
        <v>6.7500000000000004E-2</v>
      </c>
      <c r="D67" s="68">
        <f>D66-(C67-('DATI nascosti 2'!$C$10/'DATI nascosti 2'!$C$13*C67))/100</f>
        <v>2.5334415584415453E-2</v>
      </c>
      <c r="E67" s="67" t="s">
        <v>39</v>
      </c>
      <c r="F67" s="69">
        <f>(D67*'DATI nascosti 2'!$C$13-C67*'DATI nascosti 2'!$C$10)/(D67-C67)</f>
        <v>-621.92307692307122</v>
      </c>
      <c r="G67" s="70">
        <v>0</v>
      </c>
      <c r="H67" s="70">
        <v>0</v>
      </c>
      <c r="I67" s="70">
        <v>0</v>
      </c>
      <c r="J67" s="70">
        <v>0</v>
      </c>
      <c r="K67" s="71">
        <f>IF(D67&gt;=('DATI nascosti 2'!$L$10*10^-3),'DATI nascosti 2'!$L$14*'DATI nascosti 2'!$P$12,IF(D67&gt;=(-'DATI nascosti 2'!$L$10*10^-3),'DATI nascosti 2'!$L$16*D67*'DATI nascosti 2'!$P$12,-'DATI nascosti 2'!$L$14*'DATI nascosti 2'!$P$12))</f>
        <v>614659.43222408998</v>
      </c>
      <c r="L67" s="71">
        <v>0</v>
      </c>
      <c r="M67" s="71">
        <f>IF(C67&gt;=('DATI nascosti 2'!$L$10*10^-3),'DATI nascosti 2'!$L$14*'DATI nascosti 2'!$P$11,IF(C67&gt;=(-'DATI nascosti 2'!$L$10*10^-3),'DATI nascosti 2'!$P$11*'DATI nascosti 2'!$L$16*C67,-'DATI nascosti 2'!$L$14*'DATI nascosti 2'!$P$11))</f>
        <v>614659.43222408998</v>
      </c>
      <c r="N67" s="71">
        <f t="shared" si="2"/>
        <v>1229318.86444818</v>
      </c>
      <c r="O67" s="71">
        <f>-K67*('DATI nascosti 2'!$C$13/2)+M67*('DATI nascosti 2'!$C$13/2)</f>
        <v>0</v>
      </c>
      <c r="P67" s="69">
        <f>-'T2'!N67/10^3</f>
        <v>-1229.31886444818</v>
      </c>
      <c r="Q67" s="69">
        <f>'T2'!O67/10^6</f>
        <v>0</v>
      </c>
      <c r="R67" s="72">
        <f>-N67/('DATI nascosti 2'!$C$6*'DATI nascosti 2'!$C$13*'DATI nascosti 2'!$H$10*'DATI nascosti 2'!$H$16)</f>
        <v>-0.29581171389629707</v>
      </c>
      <c r="S67" s="72">
        <f>O67/('DATI nascosti 2'!$H$16*'DATI nascosti 2'!$C$6*'DATI nascosti 2'!$C$13^2*'DATI nascosti 2'!$H$10)</f>
        <v>0</v>
      </c>
      <c r="T67" s="73">
        <f t="shared" si="3"/>
        <v>0</v>
      </c>
      <c r="U67" s="67" t="str">
        <f>IF(T67&gt;=0, IF(T67&lt;='DATI nascosti 2'!$C$8/6, "SI", "NO"),IF(T67&gt; -'DATI nascosti 2'!$C$8/6, "SI", "NO"))</f>
        <v>SI</v>
      </c>
      <c r="V67" s="67" t="str">
        <f>IF(Foglio3!G68&lt;1,IF(Foglio3!G68&gt;-1,"ROTTURA BILANCIATA",""),"")</f>
        <v/>
      </c>
    </row>
    <row r="68" spans="1:22" ht="18.75" x14ac:dyDescent="0.25">
      <c r="A68" s="20"/>
      <c r="B68" s="67" t="s">
        <v>39</v>
      </c>
      <c r="C68" s="68">
        <f>'DATI nascosti 2'!$L$8*10^-3</f>
        <v>6.7500000000000004E-2</v>
      </c>
      <c r="D68" s="68">
        <f>D67-(C68-('DATI nascosti 2'!$C$10/'DATI nascosti 2'!$C$13*C68))/100</f>
        <v>2.4685714285714155E-2</v>
      </c>
      <c r="E68" s="67" t="s">
        <v>39</v>
      </c>
      <c r="F68" s="69">
        <f>(D68*'DATI nascosti 2'!$C$13-C68*'DATI nascosti 2'!$C$10)/(D68-C68)</f>
        <v>-594.99999999999454</v>
      </c>
      <c r="G68" s="70">
        <v>0</v>
      </c>
      <c r="H68" s="70">
        <v>0</v>
      </c>
      <c r="I68" s="70">
        <v>0</v>
      </c>
      <c r="J68" s="70">
        <v>0</v>
      </c>
      <c r="K68" s="71">
        <f>IF(D68&gt;=('DATI nascosti 2'!$L$10*10^-3),'DATI nascosti 2'!$L$14*'DATI nascosti 2'!$P$12,IF(D68&gt;=(-'DATI nascosti 2'!$L$10*10^-3),'DATI nascosti 2'!$L$16*D68*'DATI nascosti 2'!$P$12,-'DATI nascosti 2'!$L$14*'DATI nascosti 2'!$P$12))</f>
        <v>614659.43222408998</v>
      </c>
      <c r="L68" s="71">
        <v>0</v>
      </c>
      <c r="M68" s="71">
        <f>IF(C68&gt;=('DATI nascosti 2'!$L$10*10^-3),'DATI nascosti 2'!$L$14*'DATI nascosti 2'!$P$11,IF(C68&gt;=(-'DATI nascosti 2'!$L$10*10^-3),'DATI nascosti 2'!$P$11*'DATI nascosti 2'!$L$16*C68,-'DATI nascosti 2'!$L$14*'DATI nascosti 2'!$P$11))</f>
        <v>614659.43222408998</v>
      </c>
      <c r="N68" s="71">
        <f t="shared" si="2"/>
        <v>1229318.86444818</v>
      </c>
      <c r="O68" s="71">
        <f>-K68*('DATI nascosti 2'!$C$13/2)+M68*('DATI nascosti 2'!$C$13/2)</f>
        <v>0</v>
      </c>
      <c r="P68" s="69">
        <f>-'T2'!N68/10^3</f>
        <v>-1229.31886444818</v>
      </c>
      <c r="Q68" s="69">
        <f>'T2'!O68/10^6</f>
        <v>0</v>
      </c>
      <c r="R68" s="72">
        <f>-N68/('DATI nascosti 2'!$C$6*'DATI nascosti 2'!$C$13*'DATI nascosti 2'!$H$10*'DATI nascosti 2'!$H$16)</f>
        <v>-0.29581171389629707</v>
      </c>
      <c r="S68" s="72">
        <f>O68/('DATI nascosti 2'!$H$16*'DATI nascosti 2'!$C$6*'DATI nascosti 2'!$C$13^2*'DATI nascosti 2'!$H$10)</f>
        <v>0</v>
      </c>
      <c r="T68" s="73">
        <f t="shared" si="3"/>
        <v>0</v>
      </c>
      <c r="U68" s="67" t="str">
        <f>IF(T68&gt;=0, IF(T68&lt;='DATI nascosti 2'!$C$8/6, "SI", "NO"),IF(T68&gt; -'DATI nascosti 2'!$C$8/6, "SI", "NO"))</f>
        <v>SI</v>
      </c>
      <c r="V68" s="67" t="str">
        <f>IF(Foglio3!G69&lt;1,IF(Foglio3!G69&gt;-1,"ROTTURA BILANCIATA",""),"")</f>
        <v/>
      </c>
    </row>
    <row r="69" spans="1:22" ht="18.75" x14ac:dyDescent="0.25">
      <c r="A69" s="20"/>
      <c r="B69" s="67" t="s">
        <v>39</v>
      </c>
      <c r="C69" s="68">
        <f>'DATI nascosti 2'!$L$8*10^-3</f>
        <v>6.7500000000000004E-2</v>
      </c>
      <c r="D69" s="68">
        <f>D68-(C69-('DATI nascosti 2'!$C$10/'DATI nascosti 2'!$C$13*C69))/100</f>
        <v>2.4037012987012857E-2</v>
      </c>
      <c r="E69" s="67" t="s">
        <v>39</v>
      </c>
      <c r="F69" s="69">
        <f>(D69*'DATI nascosti 2'!$C$13-C69*'DATI nascosti 2'!$C$10)/(D69-C69)</f>
        <v>-568.88059701492011</v>
      </c>
      <c r="G69" s="70">
        <v>0</v>
      </c>
      <c r="H69" s="70">
        <v>0</v>
      </c>
      <c r="I69" s="70">
        <v>0</v>
      </c>
      <c r="J69" s="70">
        <v>0</v>
      </c>
      <c r="K69" s="71">
        <f>IF(D69&gt;=('DATI nascosti 2'!$L$10*10^-3),'DATI nascosti 2'!$L$14*'DATI nascosti 2'!$P$12,IF(D69&gt;=(-'DATI nascosti 2'!$L$10*10^-3),'DATI nascosti 2'!$L$16*D69*'DATI nascosti 2'!$P$12,-'DATI nascosti 2'!$L$14*'DATI nascosti 2'!$P$12))</f>
        <v>614659.43222408998</v>
      </c>
      <c r="L69" s="71">
        <v>0</v>
      </c>
      <c r="M69" s="71">
        <f>IF(C69&gt;=('DATI nascosti 2'!$L$10*10^-3),'DATI nascosti 2'!$L$14*'DATI nascosti 2'!$P$11,IF(C69&gt;=(-'DATI nascosti 2'!$L$10*10^-3),'DATI nascosti 2'!$P$11*'DATI nascosti 2'!$L$16*C69,-'DATI nascosti 2'!$L$14*'DATI nascosti 2'!$P$11))</f>
        <v>614659.43222408998</v>
      </c>
      <c r="N69" s="71">
        <f t="shared" si="2"/>
        <v>1229318.86444818</v>
      </c>
      <c r="O69" s="71">
        <f>-K69*('DATI nascosti 2'!$C$13/2)+M69*('DATI nascosti 2'!$C$13/2)</f>
        <v>0</v>
      </c>
      <c r="P69" s="69">
        <f>-'T2'!N69/10^3</f>
        <v>-1229.31886444818</v>
      </c>
      <c r="Q69" s="69">
        <f>'T2'!O69/10^6</f>
        <v>0</v>
      </c>
      <c r="R69" s="72">
        <f>-N69/('DATI nascosti 2'!$C$6*'DATI nascosti 2'!$C$13*'DATI nascosti 2'!$H$10*'DATI nascosti 2'!$H$16)</f>
        <v>-0.29581171389629707</v>
      </c>
      <c r="S69" s="72">
        <f>O69/('DATI nascosti 2'!$H$16*'DATI nascosti 2'!$C$6*'DATI nascosti 2'!$C$13^2*'DATI nascosti 2'!$H$10)</f>
        <v>0</v>
      </c>
      <c r="T69" s="73">
        <f t="shared" si="3"/>
        <v>0</v>
      </c>
      <c r="U69" s="67" t="str">
        <f>IF(T69&gt;=0, IF(T69&lt;='DATI nascosti 2'!$C$8/6, "SI", "NO"),IF(T69&gt; -'DATI nascosti 2'!$C$8/6, "SI", "NO"))</f>
        <v>SI</v>
      </c>
      <c r="V69" s="67" t="str">
        <f>IF(Foglio3!G70&lt;1,IF(Foglio3!G70&gt;-1,"ROTTURA BILANCIATA",""),"")</f>
        <v/>
      </c>
    </row>
    <row r="70" spans="1:22" ht="18.75" x14ac:dyDescent="0.25">
      <c r="A70" s="20"/>
      <c r="B70" s="67" t="s">
        <v>39</v>
      </c>
      <c r="C70" s="68">
        <f>'DATI nascosti 2'!$L$8*10^-3</f>
        <v>6.7500000000000004E-2</v>
      </c>
      <c r="D70" s="68">
        <f>D69-(C70-('DATI nascosti 2'!$C$10/'DATI nascosti 2'!$C$13*C70))/100</f>
        <v>2.3388311688311559E-2</v>
      </c>
      <c r="E70" s="67" t="s">
        <v>39</v>
      </c>
      <c r="F70" s="69">
        <f>(D70*'DATI nascosti 2'!$C$13-C70*'DATI nascosti 2'!$C$10)/(D70-C70)</f>
        <v>-543.52941176470074</v>
      </c>
      <c r="G70" s="70">
        <v>0</v>
      </c>
      <c r="H70" s="70">
        <v>0</v>
      </c>
      <c r="I70" s="70">
        <v>0</v>
      </c>
      <c r="J70" s="70">
        <v>0</v>
      </c>
      <c r="K70" s="71">
        <f>IF(D70&gt;=('DATI nascosti 2'!$L$10*10^-3),'DATI nascosti 2'!$L$14*'DATI nascosti 2'!$P$12,IF(D70&gt;=(-'DATI nascosti 2'!$L$10*10^-3),'DATI nascosti 2'!$L$16*D70*'DATI nascosti 2'!$P$12,-'DATI nascosti 2'!$L$14*'DATI nascosti 2'!$P$12))</f>
        <v>614659.43222408998</v>
      </c>
      <c r="L70" s="71">
        <v>0</v>
      </c>
      <c r="M70" s="71">
        <f>IF(C70&gt;=('DATI nascosti 2'!$L$10*10^-3),'DATI nascosti 2'!$L$14*'DATI nascosti 2'!$P$11,IF(C70&gt;=(-'DATI nascosti 2'!$L$10*10^-3),'DATI nascosti 2'!$P$11*'DATI nascosti 2'!$L$16*C70,-'DATI nascosti 2'!$L$14*'DATI nascosti 2'!$P$11))</f>
        <v>614659.43222408998</v>
      </c>
      <c r="N70" s="71">
        <f t="shared" si="2"/>
        <v>1229318.86444818</v>
      </c>
      <c r="O70" s="71">
        <f>-K70*('DATI nascosti 2'!$C$13/2)+M70*('DATI nascosti 2'!$C$13/2)</f>
        <v>0</v>
      </c>
      <c r="P70" s="69">
        <f>-'T2'!N70/10^3</f>
        <v>-1229.31886444818</v>
      </c>
      <c r="Q70" s="69">
        <f>'T2'!O70/10^6</f>
        <v>0</v>
      </c>
      <c r="R70" s="72">
        <f>-N70/('DATI nascosti 2'!$C$6*'DATI nascosti 2'!$C$13*'DATI nascosti 2'!$H$10*'DATI nascosti 2'!$H$16)</f>
        <v>-0.29581171389629707</v>
      </c>
      <c r="S70" s="72">
        <f>O70/('DATI nascosti 2'!$H$16*'DATI nascosti 2'!$C$6*'DATI nascosti 2'!$C$13^2*'DATI nascosti 2'!$H$10)</f>
        <v>0</v>
      </c>
      <c r="T70" s="73">
        <f t="shared" si="3"/>
        <v>0</v>
      </c>
      <c r="U70" s="67" t="str">
        <f>IF(T70&gt;=0, IF(T70&lt;='DATI nascosti 2'!$C$8/6, "SI", "NO"),IF(T70&gt; -'DATI nascosti 2'!$C$8/6, "SI", "NO"))</f>
        <v>SI</v>
      </c>
      <c r="V70" s="67" t="str">
        <f>IF(Foglio3!G71&lt;1,IF(Foglio3!G71&gt;-1,"ROTTURA BILANCIATA",""),"")</f>
        <v/>
      </c>
    </row>
    <row r="71" spans="1:22" ht="18.75" x14ac:dyDescent="0.25">
      <c r="A71" s="20"/>
      <c r="B71" s="67" t="s">
        <v>39</v>
      </c>
      <c r="C71" s="68">
        <f>'DATI nascosti 2'!$L$8*10^-3</f>
        <v>6.7500000000000004E-2</v>
      </c>
      <c r="D71" s="68">
        <f>D70-(C71-('DATI nascosti 2'!$C$10/'DATI nascosti 2'!$C$13*C71))/100</f>
        <v>2.2739610389610261E-2</v>
      </c>
      <c r="E71" s="67" t="s">
        <v>39</v>
      </c>
      <c r="F71" s="69">
        <f>(D71*'DATI nascosti 2'!$C$13-C71*'DATI nascosti 2'!$C$10)/(D71-C71)</f>
        <v>-518.91304347825599</v>
      </c>
      <c r="G71" s="70">
        <v>0</v>
      </c>
      <c r="H71" s="70">
        <v>0</v>
      </c>
      <c r="I71" s="70">
        <v>0</v>
      </c>
      <c r="J71" s="70">
        <v>0</v>
      </c>
      <c r="K71" s="71">
        <f>IF(D71&gt;=('DATI nascosti 2'!$L$10*10^-3),'DATI nascosti 2'!$L$14*'DATI nascosti 2'!$P$12,IF(D71&gt;=(-'DATI nascosti 2'!$L$10*10^-3),'DATI nascosti 2'!$L$16*D71*'DATI nascosti 2'!$P$12,-'DATI nascosti 2'!$L$14*'DATI nascosti 2'!$P$12))</f>
        <v>614659.43222408998</v>
      </c>
      <c r="L71" s="71">
        <v>0</v>
      </c>
      <c r="M71" s="71">
        <f>IF(C71&gt;=('DATI nascosti 2'!$L$10*10^-3),'DATI nascosti 2'!$L$14*'DATI nascosti 2'!$P$11,IF(C71&gt;=(-'DATI nascosti 2'!$L$10*10^-3),'DATI nascosti 2'!$P$11*'DATI nascosti 2'!$L$16*C71,-'DATI nascosti 2'!$L$14*'DATI nascosti 2'!$P$11))</f>
        <v>614659.43222408998</v>
      </c>
      <c r="N71" s="71">
        <f t="shared" si="2"/>
        <v>1229318.86444818</v>
      </c>
      <c r="O71" s="71">
        <f>-K71*('DATI nascosti 2'!$C$13/2)+M71*('DATI nascosti 2'!$C$13/2)</f>
        <v>0</v>
      </c>
      <c r="P71" s="69">
        <f>-'T2'!N71/10^3</f>
        <v>-1229.31886444818</v>
      </c>
      <c r="Q71" s="69">
        <f>'T2'!O71/10^6</f>
        <v>0</v>
      </c>
      <c r="R71" s="72">
        <f>-N71/('DATI nascosti 2'!$C$6*'DATI nascosti 2'!$C$13*'DATI nascosti 2'!$H$10*'DATI nascosti 2'!$H$16)</f>
        <v>-0.29581171389629707</v>
      </c>
      <c r="S71" s="72">
        <f>O71/('DATI nascosti 2'!$H$16*'DATI nascosti 2'!$C$6*'DATI nascosti 2'!$C$13^2*'DATI nascosti 2'!$H$10)</f>
        <v>0</v>
      </c>
      <c r="T71" s="73">
        <f t="shared" si="3"/>
        <v>0</v>
      </c>
      <c r="U71" s="67" t="str">
        <f>IF(T71&gt;=0, IF(T71&lt;='DATI nascosti 2'!$C$8/6, "SI", "NO"),IF(T71&gt; -'DATI nascosti 2'!$C$8/6, "SI", "NO"))</f>
        <v>SI</v>
      </c>
      <c r="V71" s="67" t="str">
        <f>IF(Foglio3!G72&lt;1,IF(Foglio3!G72&gt;-1,"ROTTURA BILANCIATA",""),"")</f>
        <v/>
      </c>
    </row>
    <row r="72" spans="1:22" ht="18.75" x14ac:dyDescent="0.25">
      <c r="A72" s="20"/>
      <c r="B72" s="67" t="s">
        <v>39</v>
      </c>
      <c r="C72" s="68">
        <f>'DATI nascosti 2'!$L$8*10^-3</f>
        <v>6.7500000000000004E-2</v>
      </c>
      <c r="D72" s="68">
        <f>D71-(C72-('DATI nascosti 2'!$C$10/'DATI nascosti 2'!$C$13*C72))/100</f>
        <v>2.2090909090908963E-2</v>
      </c>
      <c r="E72" s="67" t="s">
        <v>39</v>
      </c>
      <c r="F72" s="69">
        <f>(D72*'DATI nascosti 2'!$C$13-C72*'DATI nascosti 2'!$C$10)/(D72-C72)</f>
        <v>-494.99999999999528</v>
      </c>
      <c r="G72" s="70">
        <v>0</v>
      </c>
      <c r="H72" s="70">
        <v>0</v>
      </c>
      <c r="I72" s="70">
        <v>0</v>
      </c>
      <c r="J72" s="70">
        <v>0</v>
      </c>
      <c r="K72" s="71">
        <f>IF(D72&gt;=('DATI nascosti 2'!$L$10*10^-3),'DATI nascosti 2'!$L$14*'DATI nascosti 2'!$P$12,IF(D72&gt;=(-'DATI nascosti 2'!$L$10*10^-3),'DATI nascosti 2'!$L$16*D72*'DATI nascosti 2'!$P$12,-'DATI nascosti 2'!$L$14*'DATI nascosti 2'!$P$12))</f>
        <v>614659.43222408998</v>
      </c>
      <c r="L72" s="71">
        <v>0</v>
      </c>
      <c r="M72" s="71">
        <f>IF(C72&gt;=('DATI nascosti 2'!$L$10*10^-3),'DATI nascosti 2'!$L$14*'DATI nascosti 2'!$P$11,IF(C72&gt;=(-'DATI nascosti 2'!$L$10*10^-3),'DATI nascosti 2'!$P$11*'DATI nascosti 2'!$L$16*C72,-'DATI nascosti 2'!$L$14*'DATI nascosti 2'!$P$11))</f>
        <v>614659.43222408998</v>
      </c>
      <c r="N72" s="71">
        <f t="shared" si="2"/>
        <v>1229318.86444818</v>
      </c>
      <c r="O72" s="71">
        <f>-K72*('DATI nascosti 2'!$C$13/2)+M72*('DATI nascosti 2'!$C$13/2)</f>
        <v>0</v>
      </c>
      <c r="P72" s="69">
        <f>-'T2'!N72/10^3</f>
        <v>-1229.31886444818</v>
      </c>
      <c r="Q72" s="69">
        <f>'T2'!O72/10^6</f>
        <v>0</v>
      </c>
      <c r="R72" s="72">
        <f>-N72/('DATI nascosti 2'!$C$6*'DATI nascosti 2'!$C$13*'DATI nascosti 2'!$H$10*'DATI nascosti 2'!$H$16)</f>
        <v>-0.29581171389629707</v>
      </c>
      <c r="S72" s="72">
        <f>O72/('DATI nascosti 2'!$H$16*'DATI nascosti 2'!$C$6*'DATI nascosti 2'!$C$13^2*'DATI nascosti 2'!$H$10)</f>
        <v>0</v>
      </c>
      <c r="T72" s="73">
        <f t="shared" si="3"/>
        <v>0</v>
      </c>
      <c r="U72" s="67" t="str">
        <f>IF(T72&gt;=0, IF(T72&lt;='DATI nascosti 2'!$C$8/6, "SI", "NO"),IF(T72&gt; -'DATI nascosti 2'!$C$8/6, "SI", "NO"))</f>
        <v>SI</v>
      </c>
      <c r="V72" s="67" t="str">
        <f>IF(Foglio3!G73&lt;1,IF(Foglio3!G73&gt;-1,"ROTTURA BILANCIATA",""),"")</f>
        <v/>
      </c>
    </row>
    <row r="73" spans="1:22" ht="18.75" x14ac:dyDescent="0.25">
      <c r="A73" s="20"/>
      <c r="B73" s="67" t="s">
        <v>39</v>
      </c>
      <c r="C73" s="68">
        <f>'DATI nascosti 2'!$L$8*10^-3</f>
        <v>6.7500000000000004E-2</v>
      </c>
      <c r="D73" s="68">
        <f>D72-(C73-('DATI nascosti 2'!$C$10/'DATI nascosti 2'!$C$13*C73))/100</f>
        <v>2.1442207792207665E-2</v>
      </c>
      <c r="E73" s="67" t="s">
        <v>39</v>
      </c>
      <c r="F73" s="69">
        <f>(D73*'DATI nascosti 2'!$C$13-C73*'DATI nascosti 2'!$C$10)/(D73-C73)</f>
        <v>-471.76056338027718</v>
      </c>
      <c r="G73" s="70">
        <v>0</v>
      </c>
      <c r="H73" s="70">
        <v>0</v>
      </c>
      <c r="I73" s="70">
        <v>0</v>
      </c>
      <c r="J73" s="70">
        <v>0</v>
      </c>
      <c r="K73" s="71">
        <f>IF(D73&gt;=('DATI nascosti 2'!$L$10*10^-3),'DATI nascosti 2'!$L$14*'DATI nascosti 2'!$P$12,IF(D73&gt;=(-'DATI nascosti 2'!$L$10*10^-3),'DATI nascosti 2'!$L$16*D73*'DATI nascosti 2'!$P$12,-'DATI nascosti 2'!$L$14*'DATI nascosti 2'!$P$12))</f>
        <v>614659.43222408998</v>
      </c>
      <c r="L73" s="71">
        <v>0</v>
      </c>
      <c r="M73" s="71">
        <f>IF(C73&gt;=('DATI nascosti 2'!$L$10*10^-3),'DATI nascosti 2'!$L$14*'DATI nascosti 2'!$P$11,IF(C73&gt;=(-'DATI nascosti 2'!$L$10*10^-3),'DATI nascosti 2'!$P$11*'DATI nascosti 2'!$L$16*C73,-'DATI nascosti 2'!$L$14*'DATI nascosti 2'!$P$11))</f>
        <v>614659.43222408998</v>
      </c>
      <c r="N73" s="71">
        <f t="shared" si="2"/>
        <v>1229318.86444818</v>
      </c>
      <c r="O73" s="71">
        <f>-K73*('DATI nascosti 2'!$C$13/2)+M73*('DATI nascosti 2'!$C$13/2)</f>
        <v>0</v>
      </c>
      <c r="P73" s="69">
        <f>-'T2'!N73/10^3</f>
        <v>-1229.31886444818</v>
      </c>
      <c r="Q73" s="69">
        <f>'T2'!O73/10^6</f>
        <v>0</v>
      </c>
      <c r="R73" s="72">
        <f>-N73/('DATI nascosti 2'!$C$6*'DATI nascosti 2'!$C$13*'DATI nascosti 2'!$H$10*'DATI nascosti 2'!$H$16)</f>
        <v>-0.29581171389629707</v>
      </c>
      <c r="S73" s="72">
        <f>O73/('DATI nascosti 2'!$H$16*'DATI nascosti 2'!$C$6*'DATI nascosti 2'!$C$13^2*'DATI nascosti 2'!$H$10)</f>
        <v>0</v>
      </c>
      <c r="T73" s="73">
        <f t="shared" si="3"/>
        <v>0</v>
      </c>
      <c r="U73" s="67" t="str">
        <f>IF(T73&gt;=0, IF(T73&lt;='DATI nascosti 2'!$C$8/6, "SI", "NO"),IF(T73&gt; -'DATI nascosti 2'!$C$8/6, "SI", "NO"))</f>
        <v>SI</v>
      </c>
      <c r="V73" s="67" t="str">
        <f>IF(Foglio3!G74&lt;1,IF(Foglio3!G74&gt;-1,"ROTTURA BILANCIATA",""),"")</f>
        <v/>
      </c>
    </row>
    <row r="74" spans="1:22" ht="18.75" x14ac:dyDescent="0.25">
      <c r="A74" s="20"/>
      <c r="B74" s="67" t="s">
        <v>39</v>
      </c>
      <c r="C74" s="68">
        <f>'DATI nascosti 2'!$L$8*10^-3</f>
        <v>6.7500000000000004E-2</v>
      </c>
      <c r="D74" s="68">
        <f>D73-(C74-('DATI nascosti 2'!$C$10/'DATI nascosti 2'!$C$13*C74))/100</f>
        <v>2.0793506493506368E-2</v>
      </c>
      <c r="E74" s="67" t="s">
        <v>39</v>
      </c>
      <c r="F74" s="69">
        <f>(D74*'DATI nascosti 2'!$C$13-C74*'DATI nascosti 2'!$C$10)/(D74-C74)</f>
        <v>-449.16666666666225</v>
      </c>
      <c r="G74" s="70">
        <v>0</v>
      </c>
      <c r="H74" s="70">
        <v>0</v>
      </c>
      <c r="I74" s="70">
        <v>0</v>
      </c>
      <c r="J74" s="70">
        <v>0</v>
      </c>
      <c r="K74" s="71">
        <f>IF(D74&gt;=('DATI nascosti 2'!$L$10*10^-3),'DATI nascosti 2'!$L$14*'DATI nascosti 2'!$P$12,IF(D74&gt;=(-'DATI nascosti 2'!$L$10*10^-3),'DATI nascosti 2'!$L$16*D74*'DATI nascosti 2'!$P$12,-'DATI nascosti 2'!$L$14*'DATI nascosti 2'!$P$12))</f>
        <v>614659.43222408998</v>
      </c>
      <c r="L74" s="71">
        <v>0</v>
      </c>
      <c r="M74" s="71">
        <f>IF(C74&gt;=('DATI nascosti 2'!$L$10*10^-3),'DATI nascosti 2'!$L$14*'DATI nascosti 2'!$P$11,IF(C74&gt;=(-'DATI nascosti 2'!$L$10*10^-3),'DATI nascosti 2'!$P$11*'DATI nascosti 2'!$L$16*C74,-'DATI nascosti 2'!$L$14*'DATI nascosti 2'!$P$11))</f>
        <v>614659.43222408998</v>
      </c>
      <c r="N74" s="71">
        <f t="shared" si="2"/>
        <v>1229318.86444818</v>
      </c>
      <c r="O74" s="71">
        <f>-K74*('DATI nascosti 2'!$C$13/2)+M74*('DATI nascosti 2'!$C$13/2)</f>
        <v>0</v>
      </c>
      <c r="P74" s="69">
        <f>-'T2'!N74/10^3</f>
        <v>-1229.31886444818</v>
      </c>
      <c r="Q74" s="69">
        <f>'T2'!O74/10^6</f>
        <v>0</v>
      </c>
      <c r="R74" s="72">
        <f>-N74/('DATI nascosti 2'!$C$6*'DATI nascosti 2'!$C$13*'DATI nascosti 2'!$H$10*'DATI nascosti 2'!$H$16)</f>
        <v>-0.29581171389629707</v>
      </c>
      <c r="S74" s="72">
        <f>O74/('DATI nascosti 2'!$H$16*'DATI nascosti 2'!$C$6*'DATI nascosti 2'!$C$13^2*'DATI nascosti 2'!$H$10)</f>
        <v>0</v>
      </c>
      <c r="T74" s="73">
        <f t="shared" si="3"/>
        <v>0</v>
      </c>
      <c r="U74" s="67" t="str">
        <f>IF(T74&gt;=0, IF(T74&lt;='DATI nascosti 2'!$C$8/6, "SI", "NO"),IF(T74&gt; -'DATI nascosti 2'!$C$8/6, "SI", "NO"))</f>
        <v>SI</v>
      </c>
      <c r="V74" s="67" t="str">
        <f>IF(Foglio3!G75&lt;1,IF(Foglio3!G75&gt;-1,"ROTTURA BILANCIATA",""),"")</f>
        <v/>
      </c>
    </row>
    <row r="75" spans="1:22" ht="18.75" x14ac:dyDescent="0.25">
      <c r="A75" s="20"/>
      <c r="B75" s="67" t="s">
        <v>39</v>
      </c>
      <c r="C75" s="68">
        <f>'DATI nascosti 2'!$L$8*10^-3</f>
        <v>6.7500000000000004E-2</v>
      </c>
      <c r="D75" s="68">
        <f>D74-(C75-('DATI nascosti 2'!$C$10/'DATI nascosti 2'!$C$13*C75))/100</f>
        <v>2.014480519480507E-2</v>
      </c>
      <c r="E75" s="67" t="s">
        <v>39</v>
      </c>
      <c r="F75" s="69">
        <f>(D75*'DATI nascosti 2'!$C$13-C75*'DATI nascosti 2'!$C$10)/(D75-C75)</f>
        <v>-427.19178082191354</v>
      </c>
      <c r="G75" s="70">
        <v>0</v>
      </c>
      <c r="H75" s="70">
        <v>0</v>
      </c>
      <c r="I75" s="70">
        <v>0</v>
      </c>
      <c r="J75" s="70">
        <v>0</v>
      </c>
      <c r="K75" s="71">
        <f>IF(D75&gt;=('DATI nascosti 2'!$L$10*10^-3),'DATI nascosti 2'!$L$14*'DATI nascosti 2'!$P$12,IF(D75&gt;=(-'DATI nascosti 2'!$L$10*10^-3),'DATI nascosti 2'!$L$16*D75*'DATI nascosti 2'!$P$12,-'DATI nascosti 2'!$L$14*'DATI nascosti 2'!$P$12))</f>
        <v>614659.43222408998</v>
      </c>
      <c r="L75" s="71">
        <v>0</v>
      </c>
      <c r="M75" s="71">
        <f>IF(C75&gt;=('DATI nascosti 2'!$L$10*10^-3),'DATI nascosti 2'!$L$14*'DATI nascosti 2'!$P$11,IF(C75&gt;=(-'DATI nascosti 2'!$L$10*10^-3),'DATI nascosti 2'!$P$11*'DATI nascosti 2'!$L$16*C75,-'DATI nascosti 2'!$L$14*'DATI nascosti 2'!$P$11))</f>
        <v>614659.43222408998</v>
      </c>
      <c r="N75" s="71">
        <f t="shared" si="2"/>
        <v>1229318.86444818</v>
      </c>
      <c r="O75" s="71">
        <f>-K75*('DATI nascosti 2'!$C$13/2)+M75*('DATI nascosti 2'!$C$13/2)</f>
        <v>0</v>
      </c>
      <c r="P75" s="69">
        <f>-'T2'!N75/10^3</f>
        <v>-1229.31886444818</v>
      </c>
      <c r="Q75" s="69">
        <f>'T2'!O75/10^6</f>
        <v>0</v>
      </c>
      <c r="R75" s="72">
        <f>-N75/('DATI nascosti 2'!$C$6*'DATI nascosti 2'!$C$13*'DATI nascosti 2'!$H$10*'DATI nascosti 2'!$H$16)</f>
        <v>-0.29581171389629707</v>
      </c>
      <c r="S75" s="72">
        <f>O75/('DATI nascosti 2'!$H$16*'DATI nascosti 2'!$C$6*'DATI nascosti 2'!$C$13^2*'DATI nascosti 2'!$H$10)</f>
        <v>0</v>
      </c>
      <c r="T75" s="73">
        <f t="shared" si="3"/>
        <v>0</v>
      </c>
      <c r="U75" s="67" t="str">
        <f>IF(T75&gt;=0, IF(T75&lt;='DATI nascosti 2'!$C$8/6, "SI", "NO"),IF(T75&gt; -'DATI nascosti 2'!$C$8/6, "SI", "NO"))</f>
        <v>SI</v>
      </c>
      <c r="V75" s="67" t="str">
        <f>IF(Foglio3!G76&lt;1,IF(Foglio3!G76&gt;-1,"ROTTURA BILANCIATA",""),"")</f>
        <v/>
      </c>
    </row>
    <row r="76" spans="1:22" ht="18.75" x14ac:dyDescent="0.25">
      <c r="A76" s="20"/>
      <c r="B76" s="67" t="s">
        <v>39</v>
      </c>
      <c r="C76" s="68">
        <f>'DATI nascosti 2'!$L$8*10^-3</f>
        <v>6.7500000000000004E-2</v>
      </c>
      <c r="D76" s="68">
        <f>D75-(C76-('DATI nascosti 2'!$C$10/'DATI nascosti 2'!$C$13*C76))/100</f>
        <v>1.9496103896103772E-2</v>
      </c>
      <c r="E76" s="67" t="s">
        <v>39</v>
      </c>
      <c r="F76" s="69">
        <f>(D76*'DATI nascosti 2'!$C$13-C76*'DATI nascosti 2'!$C$10)/(D76-C76)</f>
        <v>-405.81081081080669</v>
      </c>
      <c r="G76" s="70">
        <v>0</v>
      </c>
      <c r="H76" s="70">
        <v>0</v>
      </c>
      <c r="I76" s="70">
        <v>0</v>
      </c>
      <c r="J76" s="70">
        <v>0</v>
      </c>
      <c r="K76" s="71">
        <f>IF(D76&gt;=('DATI nascosti 2'!$L$10*10^-3),'DATI nascosti 2'!$L$14*'DATI nascosti 2'!$P$12,IF(D76&gt;=(-'DATI nascosti 2'!$L$10*10^-3),'DATI nascosti 2'!$L$16*D76*'DATI nascosti 2'!$P$12,-'DATI nascosti 2'!$L$14*'DATI nascosti 2'!$P$12))</f>
        <v>614659.43222408998</v>
      </c>
      <c r="L76" s="71">
        <v>0</v>
      </c>
      <c r="M76" s="71">
        <f>IF(C76&gt;=('DATI nascosti 2'!$L$10*10^-3),'DATI nascosti 2'!$L$14*'DATI nascosti 2'!$P$11,IF(C76&gt;=(-'DATI nascosti 2'!$L$10*10^-3),'DATI nascosti 2'!$P$11*'DATI nascosti 2'!$L$16*C76,-'DATI nascosti 2'!$L$14*'DATI nascosti 2'!$P$11))</f>
        <v>614659.43222408998</v>
      </c>
      <c r="N76" s="71">
        <f t="shared" si="2"/>
        <v>1229318.86444818</v>
      </c>
      <c r="O76" s="71">
        <f>-K76*('DATI nascosti 2'!$C$13/2)+M76*('DATI nascosti 2'!$C$13/2)</f>
        <v>0</v>
      </c>
      <c r="P76" s="69">
        <f>-'T2'!N76/10^3</f>
        <v>-1229.31886444818</v>
      </c>
      <c r="Q76" s="69">
        <f>'T2'!O76/10^6</f>
        <v>0</v>
      </c>
      <c r="R76" s="72">
        <f>-N76/('DATI nascosti 2'!$C$6*'DATI nascosti 2'!$C$13*'DATI nascosti 2'!$H$10*'DATI nascosti 2'!$H$16)</f>
        <v>-0.29581171389629707</v>
      </c>
      <c r="S76" s="72">
        <f>O76/('DATI nascosti 2'!$H$16*'DATI nascosti 2'!$C$6*'DATI nascosti 2'!$C$13^2*'DATI nascosti 2'!$H$10)</f>
        <v>0</v>
      </c>
      <c r="T76" s="73">
        <f t="shared" si="3"/>
        <v>0</v>
      </c>
      <c r="U76" s="67" t="str">
        <f>IF(T76&gt;=0, IF(T76&lt;='DATI nascosti 2'!$C$8/6, "SI", "NO"),IF(T76&gt; -'DATI nascosti 2'!$C$8/6, "SI", "NO"))</f>
        <v>SI</v>
      </c>
      <c r="V76" s="67" t="str">
        <f>IF(Foglio3!G77&lt;1,IF(Foglio3!G77&gt;-1,"ROTTURA BILANCIATA",""),"")</f>
        <v/>
      </c>
    </row>
    <row r="77" spans="1:22" ht="18.75" x14ac:dyDescent="0.25">
      <c r="A77" s="20"/>
      <c r="B77" s="67" t="s">
        <v>39</v>
      </c>
      <c r="C77" s="68">
        <f>'DATI nascosti 2'!$L$8*10^-3</f>
        <v>6.7500000000000004E-2</v>
      </c>
      <c r="D77" s="68">
        <f>D76-(C77-('DATI nascosti 2'!$C$10/'DATI nascosti 2'!$C$13*C77))/100</f>
        <v>1.8847402597402474E-2</v>
      </c>
      <c r="E77" s="67" t="s">
        <v>39</v>
      </c>
      <c r="F77" s="69">
        <f>(D77*'DATI nascosti 2'!$C$13-C77*'DATI nascosti 2'!$C$10)/(D77-C77)</f>
        <v>-384.99999999999608</v>
      </c>
      <c r="G77" s="70">
        <v>0</v>
      </c>
      <c r="H77" s="70">
        <v>0</v>
      </c>
      <c r="I77" s="70">
        <v>0</v>
      </c>
      <c r="J77" s="70">
        <v>0</v>
      </c>
      <c r="K77" s="71">
        <f>IF(D77&gt;=('DATI nascosti 2'!$L$10*10^-3),'DATI nascosti 2'!$L$14*'DATI nascosti 2'!$P$12,IF(D77&gt;=(-'DATI nascosti 2'!$L$10*10^-3),'DATI nascosti 2'!$L$16*D77*'DATI nascosti 2'!$P$12,-'DATI nascosti 2'!$L$14*'DATI nascosti 2'!$P$12))</f>
        <v>614659.43222408998</v>
      </c>
      <c r="L77" s="71">
        <v>0</v>
      </c>
      <c r="M77" s="71">
        <f>IF(C77&gt;=('DATI nascosti 2'!$L$10*10^-3),'DATI nascosti 2'!$L$14*'DATI nascosti 2'!$P$11,IF(C77&gt;=(-'DATI nascosti 2'!$L$10*10^-3),'DATI nascosti 2'!$P$11*'DATI nascosti 2'!$L$16*C77,-'DATI nascosti 2'!$L$14*'DATI nascosti 2'!$P$11))</f>
        <v>614659.43222408998</v>
      </c>
      <c r="N77" s="71">
        <f t="shared" si="2"/>
        <v>1229318.86444818</v>
      </c>
      <c r="O77" s="71">
        <f>-K77*('DATI nascosti 2'!$C$13/2)+M77*('DATI nascosti 2'!$C$13/2)</f>
        <v>0</v>
      </c>
      <c r="P77" s="69">
        <f>-'T2'!N77/10^3</f>
        <v>-1229.31886444818</v>
      </c>
      <c r="Q77" s="69">
        <f>'T2'!O77/10^6</f>
        <v>0</v>
      </c>
      <c r="R77" s="72">
        <f>-N77/('DATI nascosti 2'!$C$6*'DATI nascosti 2'!$C$13*'DATI nascosti 2'!$H$10*'DATI nascosti 2'!$H$16)</f>
        <v>-0.29581171389629707</v>
      </c>
      <c r="S77" s="72">
        <f>O77/('DATI nascosti 2'!$H$16*'DATI nascosti 2'!$C$6*'DATI nascosti 2'!$C$13^2*'DATI nascosti 2'!$H$10)</f>
        <v>0</v>
      </c>
      <c r="T77" s="73">
        <f t="shared" si="3"/>
        <v>0</v>
      </c>
      <c r="U77" s="67" t="str">
        <f>IF(T77&gt;=0, IF(T77&lt;='DATI nascosti 2'!$C$8/6, "SI", "NO"),IF(T77&gt; -'DATI nascosti 2'!$C$8/6, "SI", "NO"))</f>
        <v>SI</v>
      </c>
      <c r="V77" s="67" t="str">
        <f>IF(Foglio3!G78&lt;1,IF(Foglio3!G78&gt;-1,"ROTTURA BILANCIATA",""),"")</f>
        <v/>
      </c>
    </row>
    <row r="78" spans="1:22" ht="18.75" x14ac:dyDescent="0.25">
      <c r="A78" s="20"/>
      <c r="B78" s="67" t="s">
        <v>39</v>
      </c>
      <c r="C78" s="68">
        <f>'DATI nascosti 2'!$L$8*10^-3</f>
        <v>6.7500000000000004E-2</v>
      </c>
      <c r="D78" s="68">
        <f>D77-(C78-('DATI nascosti 2'!$C$10/'DATI nascosti 2'!$C$13*C78))/100</f>
        <v>1.8198701298701176E-2</v>
      </c>
      <c r="E78" s="67" t="s">
        <v>39</v>
      </c>
      <c r="F78" s="69">
        <f>(D78*'DATI nascosti 2'!$C$13-C78*'DATI nascosti 2'!$C$10)/(D78-C78)</f>
        <v>-364.73684210525931</v>
      </c>
      <c r="G78" s="70">
        <v>0</v>
      </c>
      <c r="H78" s="70">
        <v>0</v>
      </c>
      <c r="I78" s="70">
        <v>0</v>
      </c>
      <c r="J78" s="70">
        <v>0</v>
      </c>
      <c r="K78" s="71">
        <f>IF(D78&gt;=('DATI nascosti 2'!$L$10*10^-3),'DATI nascosti 2'!$L$14*'DATI nascosti 2'!$P$12,IF(D78&gt;=(-'DATI nascosti 2'!$L$10*10^-3),'DATI nascosti 2'!$L$16*D78*'DATI nascosti 2'!$P$12,-'DATI nascosti 2'!$L$14*'DATI nascosti 2'!$P$12))</f>
        <v>614659.43222408998</v>
      </c>
      <c r="L78" s="71">
        <v>0</v>
      </c>
      <c r="M78" s="71">
        <f>IF(C78&gt;=('DATI nascosti 2'!$L$10*10^-3),'DATI nascosti 2'!$L$14*'DATI nascosti 2'!$P$11,IF(C78&gt;=(-'DATI nascosti 2'!$L$10*10^-3),'DATI nascosti 2'!$P$11*'DATI nascosti 2'!$L$16*C78,-'DATI nascosti 2'!$L$14*'DATI nascosti 2'!$P$11))</f>
        <v>614659.43222408998</v>
      </c>
      <c r="N78" s="71">
        <f t="shared" si="2"/>
        <v>1229318.86444818</v>
      </c>
      <c r="O78" s="71">
        <f>-K78*('DATI nascosti 2'!$C$13/2)+M78*('DATI nascosti 2'!$C$13/2)</f>
        <v>0</v>
      </c>
      <c r="P78" s="69">
        <f>-'T2'!N78/10^3</f>
        <v>-1229.31886444818</v>
      </c>
      <c r="Q78" s="69">
        <f>'T2'!O78/10^6</f>
        <v>0</v>
      </c>
      <c r="R78" s="72">
        <f>-N78/('DATI nascosti 2'!$C$6*'DATI nascosti 2'!$C$13*'DATI nascosti 2'!$H$10*'DATI nascosti 2'!$H$16)</f>
        <v>-0.29581171389629707</v>
      </c>
      <c r="S78" s="72">
        <f>O78/('DATI nascosti 2'!$H$16*'DATI nascosti 2'!$C$6*'DATI nascosti 2'!$C$13^2*'DATI nascosti 2'!$H$10)</f>
        <v>0</v>
      </c>
      <c r="T78" s="73">
        <f t="shared" si="3"/>
        <v>0</v>
      </c>
      <c r="U78" s="67" t="str">
        <f>IF(T78&gt;=0, IF(T78&lt;='DATI nascosti 2'!$C$8/6, "SI", "NO"),IF(T78&gt; -'DATI nascosti 2'!$C$8/6, "SI", "NO"))</f>
        <v>SI</v>
      </c>
      <c r="V78" s="67" t="str">
        <f>IF(Foglio3!G79&lt;1,IF(Foglio3!G79&gt;-1,"ROTTURA BILANCIATA",""),"")</f>
        <v/>
      </c>
    </row>
    <row r="79" spans="1:22" ht="18.75" x14ac:dyDescent="0.25">
      <c r="A79" s="20"/>
      <c r="B79" s="67" t="s">
        <v>39</v>
      </c>
      <c r="C79" s="68">
        <f>'DATI nascosti 2'!$L$8*10^-3</f>
        <v>6.7500000000000004E-2</v>
      </c>
      <c r="D79" s="68">
        <f>D78-(C79-('DATI nascosti 2'!$C$10/'DATI nascosti 2'!$C$13*C79))/100</f>
        <v>1.7549999999999878E-2</v>
      </c>
      <c r="E79" s="67" t="s">
        <v>39</v>
      </c>
      <c r="F79" s="69">
        <f>(D79*'DATI nascosti 2'!$C$13-C79*'DATI nascosti 2'!$C$10)/(D79-C79)</f>
        <v>-344.99999999999625</v>
      </c>
      <c r="G79" s="70">
        <v>0</v>
      </c>
      <c r="H79" s="70">
        <v>0</v>
      </c>
      <c r="I79" s="70">
        <v>0</v>
      </c>
      <c r="J79" s="70">
        <v>0</v>
      </c>
      <c r="K79" s="71">
        <f>IF(D79&gt;=('DATI nascosti 2'!$L$10*10^-3),'DATI nascosti 2'!$L$14*'DATI nascosti 2'!$P$12,IF(D79&gt;=(-'DATI nascosti 2'!$L$10*10^-3),'DATI nascosti 2'!$L$16*D79*'DATI nascosti 2'!$P$12,-'DATI nascosti 2'!$L$14*'DATI nascosti 2'!$P$12))</f>
        <v>614659.43222408998</v>
      </c>
      <c r="L79" s="71">
        <v>0</v>
      </c>
      <c r="M79" s="71">
        <f>IF(C79&gt;=('DATI nascosti 2'!$L$10*10^-3),'DATI nascosti 2'!$L$14*'DATI nascosti 2'!$P$11,IF(C79&gt;=(-'DATI nascosti 2'!$L$10*10^-3),'DATI nascosti 2'!$P$11*'DATI nascosti 2'!$L$16*C79,-'DATI nascosti 2'!$L$14*'DATI nascosti 2'!$P$11))</f>
        <v>614659.43222408998</v>
      </c>
      <c r="N79" s="71">
        <f t="shared" si="2"/>
        <v>1229318.86444818</v>
      </c>
      <c r="O79" s="71">
        <f>-K79*('DATI nascosti 2'!$C$13/2)+M79*('DATI nascosti 2'!$C$13/2)</f>
        <v>0</v>
      </c>
      <c r="P79" s="69">
        <f>-'T2'!N79/10^3</f>
        <v>-1229.31886444818</v>
      </c>
      <c r="Q79" s="69">
        <f>'T2'!O79/10^6</f>
        <v>0</v>
      </c>
      <c r="R79" s="72">
        <f>-N79/('DATI nascosti 2'!$C$6*'DATI nascosti 2'!$C$13*'DATI nascosti 2'!$H$10*'DATI nascosti 2'!$H$16)</f>
        <v>-0.29581171389629707</v>
      </c>
      <c r="S79" s="72">
        <f>O79/('DATI nascosti 2'!$H$16*'DATI nascosti 2'!$C$6*'DATI nascosti 2'!$C$13^2*'DATI nascosti 2'!$H$10)</f>
        <v>0</v>
      </c>
      <c r="T79" s="73">
        <f t="shared" si="3"/>
        <v>0</v>
      </c>
      <c r="U79" s="67" t="str">
        <f>IF(T79&gt;=0, IF(T79&lt;='DATI nascosti 2'!$C$8/6, "SI", "NO"),IF(T79&gt; -'DATI nascosti 2'!$C$8/6, "SI", "NO"))</f>
        <v>SI</v>
      </c>
      <c r="V79" s="67" t="str">
        <f>IF(Foglio3!G80&lt;1,IF(Foglio3!G80&gt;-1,"ROTTURA BILANCIATA",""),"")</f>
        <v/>
      </c>
    </row>
    <row r="80" spans="1:22" ht="18.75" x14ac:dyDescent="0.25">
      <c r="A80" s="20"/>
      <c r="B80" s="67" t="s">
        <v>39</v>
      </c>
      <c r="C80" s="68">
        <f>'DATI nascosti 2'!$L$8*10^-3</f>
        <v>6.7500000000000004E-2</v>
      </c>
      <c r="D80" s="68">
        <f>D79-(C80-('DATI nascosti 2'!$C$10/'DATI nascosti 2'!$C$13*C80))/100</f>
        <v>1.690129870129858E-2</v>
      </c>
      <c r="E80" s="67" t="s">
        <v>39</v>
      </c>
      <c r="F80" s="69">
        <f>(D80*'DATI nascosti 2'!$C$13-C80*'DATI nascosti 2'!$C$10)/(D80-C80)</f>
        <v>-325.76923076922714</v>
      </c>
      <c r="G80" s="70">
        <v>0</v>
      </c>
      <c r="H80" s="70">
        <v>0</v>
      </c>
      <c r="I80" s="70">
        <v>0</v>
      </c>
      <c r="J80" s="70">
        <v>0</v>
      </c>
      <c r="K80" s="71">
        <f>IF(D80&gt;=('DATI nascosti 2'!$L$10*10^-3),'DATI nascosti 2'!$L$14*'DATI nascosti 2'!$P$12,IF(D80&gt;=(-'DATI nascosti 2'!$L$10*10^-3),'DATI nascosti 2'!$L$16*D80*'DATI nascosti 2'!$P$12,-'DATI nascosti 2'!$L$14*'DATI nascosti 2'!$P$12))</f>
        <v>614659.43222408998</v>
      </c>
      <c r="L80" s="71">
        <v>0</v>
      </c>
      <c r="M80" s="71">
        <f>IF(C80&gt;=('DATI nascosti 2'!$L$10*10^-3),'DATI nascosti 2'!$L$14*'DATI nascosti 2'!$P$11,IF(C80&gt;=(-'DATI nascosti 2'!$L$10*10^-3),'DATI nascosti 2'!$P$11*'DATI nascosti 2'!$L$16*C80,-'DATI nascosti 2'!$L$14*'DATI nascosti 2'!$P$11))</f>
        <v>614659.43222408998</v>
      </c>
      <c r="N80" s="71">
        <f t="shared" si="2"/>
        <v>1229318.86444818</v>
      </c>
      <c r="O80" s="71">
        <f>-K80*('DATI nascosti 2'!$C$13/2)+M80*('DATI nascosti 2'!$C$13/2)</f>
        <v>0</v>
      </c>
      <c r="P80" s="69">
        <f>-'T2'!N80/10^3</f>
        <v>-1229.31886444818</v>
      </c>
      <c r="Q80" s="69">
        <f>'T2'!O80/10^6</f>
        <v>0</v>
      </c>
      <c r="R80" s="72">
        <f>-N80/('DATI nascosti 2'!$C$6*'DATI nascosti 2'!$C$13*'DATI nascosti 2'!$H$10*'DATI nascosti 2'!$H$16)</f>
        <v>-0.29581171389629707</v>
      </c>
      <c r="S80" s="72">
        <f>O80/('DATI nascosti 2'!$H$16*'DATI nascosti 2'!$C$6*'DATI nascosti 2'!$C$13^2*'DATI nascosti 2'!$H$10)</f>
        <v>0</v>
      </c>
      <c r="T80" s="73">
        <f t="shared" si="3"/>
        <v>0</v>
      </c>
      <c r="U80" s="67" t="str">
        <f>IF(T80&gt;=0, IF(T80&lt;='DATI nascosti 2'!$C$8/6, "SI", "NO"),IF(T80&gt; -'DATI nascosti 2'!$C$8/6, "SI", "NO"))</f>
        <v>SI</v>
      </c>
      <c r="V80" s="67" t="str">
        <f>IF(Foglio3!G81&lt;1,IF(Foglio3!G81&gt;-1,"ROTTURA BILANCIATA",""),"")</f>
        <v/>
      </c>
    </row>
    <row r="81" spans="1:22" ht="18.75" x14ac:dyDescent="0.25">
      <c r="A81" s="20"/>
      <c r="B81" s="67" t="s">
        <v>39</v>
      </c>
      <c r="C81" s="68">
        <f>'DATI nascosti 2'!$L$8*10^-3</f>
        <v>6.7500000000000004E-2</v>
      </c>
      <c r="D81" s="68">
        <f>D80-(C81-('DATI nascosti 2'!$C$10/'DATI nascosti 2'!$C$13*C81))/100</f>
        <v>1.6252597402597282E-2</v>
      </c>
      <c r="E81" s="67" t="s">
        <v>39</v>
      </c>
      <c r="F81" s="69">
        <f>(D81*'DATI nascosti 2'!$C$13-C81*'DATI nascosti 2'!$C$10)/(D81-C81)</f>
        <v>-307.0253164556928</v>
      </c>
      <c r="G81" s="70">
        <v>0</v>
      </c>
      <c r="H81" s="70">
        <v>0</v>
      </c>
      <c r="I81" s="70">
        <v>0</v>
      </c>
      <c r="J81" s="70">
        <v>0</v>
      </c>
      <c r="K81" s="71">
        <f>IF(D81&gt;=('DATI nascosti 2'!$L$10*10^-3),'DATI nascosti 2'!$L$14*'DATI nascosti 2'!$P$12,IF(D81&gt;=(-'DATI nascosti 2'!$L$10*10^-3),'DATI nascosti 2'!$L$16*D81*'DATI nascosti 2'!$P$12,-'DATI nascosti 2'!$L$14*'DATI nascosti 2'!$P$12))</f>
        <v>614659.43222408998</v>
      </c>
      <c r="L81" s="71">
        <v>0</v>
      </c>
      <c r="M81" s="71">
        <f>IF(C81&gt;=('DATI nascosti 2'!$L$10*10^-3),'DATI nascosti 2'!$L$14*'DATI nascosti 2'!$P$11,IF(C81&gt;=(-'DATI nascosti 2'!$L$10*10^-3),'DATI nascosti 2'!$P$11*'DATI nascosti 2'!$L$16*C81,-'DATI nascosti 2'!$L$14*'DATI nascosti 2'!$P$11))</f>
        <v>614659.43222408998</v>
      </c>
      <c r="N81" s="71">
        <f t="shared" si="2"/>
        <v>1229318.86444818</v>
      </c>
      <c r="O81" s="71">
        <f>-K81*('DATI nascosti 2'!$C$13/2)+M81*('DATI nascosti 2'!$C$13/2)</f>
        <v>0</v>
      </c>
      <c r="P81" s="69">
        <f>-'T2'!N81/10^3</f>
        <v>-1229.31886444818</v>
      </c>
      <c r="Q81" s="69">
        <f>'T2'!O81/10^6</f>
        <v>0</v>
      </c>
      <c r="R81" s="72">
        <f>-N81/('DATI nascosti 2'!$C$6*'DATI nascosti 2'!$C$13*'DATI nascosti 2'!$H$10*'DATI nascosti 2'!$H$16)</f>
        <v>-0.29581171389629707</v>
      </c>
      <c r="S81" s="72">
        <f>O81/('DATI nascosti 2'!$H$16*'DATI nascosti 2'!$C$6*'DATI nascosti 2'!$C$13^2*'DATI nascosti 2'!$H$10)</f>
        <v>0</v>
      </c>
      <c r="T81" s="73">
        <f t="shared" si="3"/>
        <v>0</v>
      </c>
      <c r="U81" s="67" t="str">
        <f>IF(T81&gt;=0, IF(T81&lt;='DATI nascosti 2'!$C$8/6, "SI", "NO"),IF(T81&gt; -'DATI nascosti 2'!$C$8/6, "SI", "NO"))</f>
        <v>SI</v>
      </c>
      <c r="V81" s="67" t="str">
        <f>IF(Foglio3!G82&lt;1,IF(Foglio3!G82&gt;-1,"ROTTURA BILANCIATA",""),"")</f>
        <v/>
      </c>
    </row>
    <row r="82" spans="1:22" ht="18.75" x14ac:dyDescent="0.25">
      <c r="A82" s="20"/>
      <c r="B82" s="67" t="s">
        <v>39</v>
      </c>
      <c r="C82" s="68">
        <f>'DATI nascosti 2'!$L$8*10^-3</f>
        <v>6.7500000000000004E-2</v>
      </c>
      <c r="D82" s="68">
        <f>D81-(C82-('DATI nascosti 2'!$C$10/'DATI nascosti 2'!$C$13*C82))/100</f>
        <v>1.5603896103895985E-2</v>
      </c>
      <c r="E82" s="67" t="s">
        <v>39</v>
      </c>
      <c r="F82" s="69">
        <f>(D82*'DATI nascosti 2'!$C$13-C82*'DATI nascosti 2'!$C$10)/(D82-C82)</f>
        <v>-288.74999999999665</v>
      </c>
      <c r="G82" s="70">
        <v>0</v>
      </c>
      <c r="H82" s="70">
        <v>0</v>
      </c>
      <c r="I82" s="70">
        <v>0</v>
      </c>
      <c r="J82" s="70">
        <v>0</v>
      </c>
      <c r="K82" s="71">
        <f>IF(D82&gt;=('DATI nascosti 2'!$L$10*10^-3),'DATI nascosti 2'!$L$14*'DATI nascosti 2'!$P$12,IF(D82&gt;=(-'DATI nascosti 2'!$L$10*10^-3),'DATI nascosti 2'!$L$16*D82*'DATI nascosti 2'!$P$12,-'DATI nascosti 2'!$L$14*'DATI nascosti 2'!$P$12))</f>
        <v>614659.43222408998</v>
      </c>
      <c r="L82" s="71">
        <v>0</v>
      </c>
      <c r="M82" s="71">
        <f>IF(C82&gt;=('DATI nascosti 2'!$L$10*10^-3),'DATI nascosti 2'!$L$14*'DATI nascosti 2'!$P$11,IF(C82&gt;=(-'DATI nascosti 2'!$L$10*10^-3),'DATI nascosti 2'!$P$11*'DATI nascosti 2'!$L$16*C82,-'DATI nascosti 2'!$L$14*'DATI nascosti 2'!$P$11))</f>
        <v>614659.43222408998</v>
      </c>
      <c r="N82" s="71">
        <f t="shared" si="2"/>
        <v>1229318.86444818</v>
      </c>
      <c r="O82" s="71">
        <f>-K82*('DATI nascosti 2'!$C$13/2)+M82*('DATI nascosti 2'!$C$13/2)</f>
        <v>0</v>
      </c>
      <c r="P82" s="69">
        <f>-'T2'!N82/10^3</f>
        <v>-1229.31886444818</v>
      </c>
      <c r="Q82" s="69">
        <f>'T2'!O82/10^6</f>
        <v>0</v>
      </c>
      <c r="R82" s="72">
        <f>-N82/('DATI nascosti 2'!$C$6*'DATI nascosti 2'!$C$13*'DATI nascosti 2'!$H$10*'DATI nascosti 2'!$H$16)</f>
        <v>-0.29581171389629707</v>
      </c>
      <c r="S82" s="72">
        <f>O82/('DATI nascosti 2'!$H$16*'DATI nascosti 2'!$C$6*'DATI nascosti 2'!$C$13^2*'DATI nascosti 2'!$H$10)</f>
        <v>0</v>
      </c>
      <c r="T82" s="73">
        <f t="shared" si="3"/>
        <v>0</v>
      </c>
      <c r="U82" s="67" t="str">
        <f>IF(T82&gt;=0, IF(T82&lt;='DATI nascosti 2'!$C$8/6, "SI", "NO"),IF(T82&gt; -'DATI nascosti 2'!$C$8/6, "SI", "NO"))</f>
        <v>SI</v>
      </c>
      <c r="V82" s="67" t="str">
        <f>IF(Foglio3!G83&lt;1,IF(Foglio3!G83&gt;-1,"ROTTURA BILANCIATA",""),"")</f>
        <v/>
      </c>
    </row>
    <row r="83" spans="1:22" ht="18.75" x14ac:dyDescent="0.25">
      <c r="A83" s="20"/>
      <c r="B83" s="67" t="s">
        <v>39</v>
      </c>
      <c r="C83" s="68">
        <f>'DATI nascosti 2'!$L$8*10^-3</f>
        <v>6.7500000000000004E-2</v>
      </c>
      <c r="D83" s="68">
        <f>D82-(C83-('DATI nascosti 2'!$C$10/'DATI nascosti 2'!$C$13*C83))/100</f>
        <v>1.4955194805194687E-2</v>
      </c>
      <c r="E83" s="67" t="s">
        <v>39</v>
      </c>
      <c r="F83" s="69">
        <f>(D83*'DATI nascosti 2'!$C$13-C83*'DATI nascosti 2'!$C$10)/(D83-C83)</f>
        <v>-270.92592592592268</v>
      </c>
      <c r="G83" s="70">
        <v>0</v>
      </c>
      <c r="H83" s="70">
        <v>0</v>
      </c>
      <c r="I83" s="70">
        <v>0</v>
      </c>
      <c r="J83" s="70">
        <v>0</v>
      </c>
      <c r="K83" s="71">
        <f>IF(D83&gt;=('DATI nascosti 2'!$L$10*10^-3),'DATI nascosti 2'!$L$14*'DATI nascosti 2'!$P$12,IF(D83&gt;=(-'DATI nascosti 2'!$L$10*10^-3),'DATI nascosti 2'!$L$16*D83*'DATI nascosti 2'!$P$12,-'DATI nascosti 2'!$L$14*'DATI nascosti 2'!$P$12))</f>
        <v>614659.43222408998</v>
      </c>
      <c r="L83" s="71">
        <v>0</v>
      </c>
      <c r="M83" s="71">
        <f>IF(C83&gt;=('DATI nascosti 2'!$L$10*10^-3),'DATI nascosti 2'!$L$14*'DATI nascosti 2'!$P$11,IF(C83&gt;=(-'DATI nascosti 2'!$L$10*10^-3),'DATI nascosti 2'!$P$11*'DATI nascosti 2'!$L$16*C83,-'DATI nascosti 2'!$L$14*'DATI nascosti 2'!$P$11))</f>
        <v>614659.43222408998</v>
      </c>
      <c r="N83" s="71">
        <f t="shared" si="2"/>
        <v>1229318.86444818</v>
      </c>
      <c r="O83" s="71">
        <f>-K83*('DATI nascosti 2'!$C$13/2)+M83*('DATI nascosti 2'!$C$13/2)</f>
        <v>0</v>
      </c>
      <c r="P83" s="69">
        <f>-'T2'!N83/10^3</f>
        <v>-1229.31886444818</v>
      </c>
      <c r="Q83" s="69">
        <f>'T2'!O83/10^6</f>
        <v>0</v>
      </c>
      <c r="R83" s="72">
        <f>-N83/('DATI nascosti 2'!$C$6*'DATI nascosti 2'!$C$13*'DATI nascosti 2'!$H$10*'DATI nascosti 2'!$H$16)</f>
        <v>-0.29581171389629707</v>
      </c>
      <c r="S83" s="72">
        <f>O83/('DATI nascosti 2'!$H$16*'DATI nascosti 2'!$C$6*'DATI nascosti 2'!$C$13^2*'DATI nascosti 2'!$H$10)</f>
        <v>0</v>
      </c>
      <c r="T83" s="73">
        <f t="shared" si="3"/>
        <v>0</v>
      </c>
      <c r="U83" s="67" t="str">
        <f>IF(T83&gt;=0, IF(T83&lt;='DATI nascosti 2'!$C$8/6, "SI", "NO"),IF(T83&gt; -'DATI nascosti 2'!$C$8/6, "SI", "NO"))</f>
        <v>SI</v>
      </c>
      <c r="V83" s="67" t="str">
        <f>IF(Foglio3!G84&lt;1,IF(Foglio3!G84&gt;-1,"ROTTURA BILANCIATA",""),"")</f>
        <v/>
      </c>
    </row>
    <row r="84" spans="1:22" ht="18.75" x14ac:dyDescent="0.25">
      <c r="A84" s="20"/>
      <c r="B84" s="67" t="s">
        <v>39</v>
      </c>
      <c r="C84" s="68">
        <f>'DATI nascosti 2'!$L$8*10^-3</f>
        <v>6.7500000000000004E-2</v>
      </c>
      <c r="D84" s="68">
        <f>D83-(C84-('DATI nascosti 2'!$C$10/'DATI nascosti 2'!$C$13*C84))/100</f>
        <v>1.4306493506493389E-2</v>
      </c>
      <c r="E84" s="67" t="s">
        <v>39</v>
      </c>
      <c r="F84" s="69">
        <f>(D84*'DATI nascosti 2'!$C$13-C84*'DATI nascosti 2'!$C$10)/(D84-C84)</f>
        <v>-253.53658536585058</v>
      </c>
      <c r="G84" s="70">
        <v>0</v>
      </c>
      <c r="H84" s="70">
        <v>0</v>
      </c>
      <c r="I84" s="70">
        <v>0</v>
      </c>
      <c r="J84" s="70">
        <v>0</v>
      </c>
      <c r="K84" s="71">
        <f>IF(D84&gt;=('DATI nascosti 2'!$L$10*10^-3),'DATI nascosti 2'!$L$14*'DATI nascosti 2'!$P$12,IF(D84&gt;=(-'DATI nascosti 2'!$L$10*10^-3),'DATI nascosti 2'!$L$16*D84*'DATI nascosti 2'!$P$12,-'DATI nascosti 2'!$L$14*'DATI nascosti 2'!$P$12))</f>
        <v>614659.43222408998</v>
      </c>
      <c r="L84" s="71">
        <v>0</v>
      </c>
      <c r="M84" s="71">
        <f>IF(C84&gt;=('DATI nascosti 2'!$L$10*10^-3),'DATI nascosti 2'!$L$14*'DATI nascosti 2'!$P$11,IF(C84&gt;=(-'DATI nascosti 2'!$L$10*10^-3),'DATI nascosti 2'!$P$11*'DATI nascosti 2'!$L$16*C84,-'DATI nascosti 2'!$L$14*'DATI nascosti 2'!$P$11))</f>
        <v>614659.43222408998</v>
      </c>
      <c r="N84" s="71">
        <f t="shared" si="2"/>
        <v>1229318.86444818</v>
      </c>
      <c r="O84" s="71">
        <f>-K84*('DATI nascosti 2'!$C$13/2)+M84*('DATI nascosti 2'!$C$13/2)</f>
        <v>0</v>
      </c>
      <c r="P84" s="69">
        <f>-'T2'!N84/10^3</f>
        <v>-1229.31886444818</v>
      </c>
      <c r="Q84" s="69">
        <f>'T2'!O84/10^6</f>
        <v>0</v>
      </c>
      <c r="R84" s="72">
        <f>-N84/('DATI nascosti 2'!$C$6*'DATI nascosti 2'!$C$13*'DATI nascosti 2'!$H$10*'DATI nascosti 2'!$H$16)</f>
        <v>-0.29581171389629707</v>
      </c>
      <c r="S84" s="72">
        <f>O84/('DATI nascosti 2'!$H$16*'DATI nascosti 2'!$C$6*'DATI nascosti 2'!$C$13^2*'DATI nascosti 2'!$H$10)</f>
        <v>0</v>
      </c>
      <c r="T84" s="73">
        <f t="shared" si="3"/>
        <v>0</v>
      </c>
      <c r="U84" s="67" t="str">
        <f>IF(T84&gt;=0, IF(T84&lt;='DATI nascosti 2'!$C$8/6, "SI", "NO"),IF(T84&gt; -'DATI nascosti 2'!$C$8/6, "SI", "NO"))</f>
        <v>SI</v>
      </c>
      <c r="V84" s="67" t="str">
        <f>IF(Foglio3!G85&lt;1,IF(Foglio3!G85&gt;-1,"ROTTURA BILANCIATA",""),"")</f>
        <v/>
      </c>
    </row>
    <row r="85" spans="1:22" ht="18.75" x14ac:dyDescent="0.25">
      <c r="A85" s="20"/>
      <c r="B85" s="67" t="s">
        <v>39</v>
      </c>
      <c r="C85" s="68">
        <f>'DATI nascosti 2'!$L$8*10^-3</f>
        <v>6.7500000000000004E-2</v>
      </c>
      <c r="D85" s="68">
        <f>D84-(C85-('DATI nascosti 2'!$C$10/'DATI nascosti 2'!$C$13*C85))/100</f>
        <v>1.3657792207792091E-2</v>
      </c>
      <c r="E85" s="67" t="s">
        <v>39</v>
      </c>
      <c r="F85" s="69">
        <f>(D85*'DATI nascosti 2'!$C$13-C85*'DATI nascosti 2'!$C$10)/(D85-C85)</f>
        <v>-236.56626506023795</v>
      </c>
      <c r="G85" s="70">
        <v>0</v>
      </c>
      <c r="H85" s="70">
        <v>0</v>
      </c>
      <c r="I85" s="70">
        <v>0</v>
      </c>
      <c r="J85" s="70">
        <v>0</v>
      </c>
      <c r="K85" s="71">
        <f>IF(D85&gt;=('DATI nascosti 2'!$L$10*10^-3),'DATI nascosti 2'!$L$14*'DATI nascosti 2'!$P$12,IF(D85&gt;=(-'DATI nascosti 2'!$L$10*10^-3),'DATI nascosti 2'!$L$16*D85*'DATI nascosti 2'!$P$12,-'DATI nascosti 2'!$L$14*'DATI nascosti 2'!$P$12))</f>
        <v>614659.43222408998</v>
      </c>
      <c r="L85" s="71">
        <v>0</v>
      </c>
      <c r="M85" s="71">
        <f>IF(C85&gt;=('DATI nascosti 2'!$L$10*10^-3),'DATI nascosti 2'!$L$14*'DATI nascosti 2'!$P$11,IF(C85&gt;=(-'DATI nascosti 2'!$L$10*10^-3),'DATI nascosti 2'!$P$11*'DATI nascosti 2'!$L$16*C85,-'DATI nascosti 2'!$L$14*'DATI nascosti 2'!$P$11))</f>
        <v>614659.43222408998</v>
      </c>
      <c r="N85" s="71">
        <f t="shared" si="2"/>
        <v>1229318.86444818</v>
      </c>
      <c r="O85" s="71">
        <f>-K85*('DATI nascosti 2'!$C$13/2)+M85*('DATI nascosti 2'!$C$13/2)</f>
        <v>0</v>
      </c>
      <c r="P85" s="69">
        <f>-'T2'!N85/10^3</f>
        <v>-1229.31886444818</v>
      </c>
      <c r="Q85" s="69">
        <f>'T2'!O85/10^6</f>
        <v>0</v>
      </c>
      <c r="R85" s="72">
        <f>-N85/('DATI nascosti 2'!$C$6*'DATI nascosti 2'!$C$13*'DATI nascosti 2'!$H$10*'DATI nascosti 2'!$H$16)</f>
        <v>-0.29581171389629707</v>
      </c>
      <c r="S85" s="72">
        <f>O85/('DATI nascosti 2'!$H$16*'DATI nascosti 2'!$C$6*'DATI nascosti 2'!$C$13^2*'DATI nascosti 2'!$H$10)</f>
        <v>0</v>
      </c>
      <c r="T85" s="73">
        <f t="shared" si="3"/>
        <v>0</v>
      </c>
      <c r="U85" s="67" t="str">
        <f>IF(T85&gt;=0, IF(T85&lt;='DATI nascosti 2'!$C$8/6, "SI", "NO"),IF(T85&gt; -'DATI nascosti 2'!$C$8/6, "SI", "NO"))</f>
        <v>SI</v>
      </c>
      <c r="V85" s="67" t="str">
        <f>IF(Foglio3!G86&lt;1,IF(Foglio3!G86&gt;-1,"ROTTURA BILANCIATA",""),"")</f>
        <v/>
      </c>
    </row>
    <row r="86" spans="1:22" ht="18.75" x14ac:dyDescent="0.25">
      <c r="A86" s="20"/>
      <c r="B86" s="67" t="s">
        <v>39</v>
      </c>
      <c r="C86" s="68">
        <f>'DATI nascosti 2'!$L$8*10^-3</f>
        <v>6.7500000000000004E-2</v>
      </c>
      <c r="D86" s="68">
        <f>D85-(C86-('DATI nascosti 2'!$C$10/'DATI nascosti 2'!$C$13*C86))/100</f>
        <v>1.3009090909090793E-2</v>
      </c>
      <c r="E86" s="67" t="s">
        <v>39</v>
      </c>
      <c r="F86" s="69">
        <f>(D86*'DATI nascosti 2'!$C$13-C86*'DATI nascosti 2'!$C$10)/(D86-C86)</f>
        <v>-219.99999999999704</v>
      </c>
      <c r="G86" s="70">
        <v>0</v>
      </c>
      <c r="H86" s="70">
        <v>0</v>
      </c>
      <c r="I86" s="70">
        <v>0</v>
      </c>
      <c r="J86" s="70">
        <v>0</v>
      </c>
      <c r="K86" s="71">
        <f>IF(D86&gt;=('DATI nascosti 2'!$L$10*10^-3),'DATI nascosti 2'!$L$14*'DATI nascosti 2'!$P$12,IF(D86&gt;=(-'DATI nascosti 2'!$L$10*10^-3),'DATI nascosti 2'!$L$16*D86*'DATI nascosti 2'!$P$12,-'DATI nascosti 2'!$L$14*'DATI nascosti 2'!$P$12))</f>
        <v>614659.43222408998</v>
      </c>
      <c r="L86" s="71">
        <v>0</v>
      </c>
      <c r="M86" s="71">
        <f>IF(C86&gt;=('DATI nascosti 2'!$L$10*10^-3),'DATI nascosti 2'!$L$14*'DATI nascosti 2'!$P$11,IF(C86&gt;=(-'DATI nascosti 2'!$L$10*10^-3),'DATI nascosti 2'!$P$11*'DATI nascosti 2'!$L$16*C86,-'DATI nascosti 2'!$L$14*'DATI nascosti 2'!$P$11))</f>
        <v>614659.43222408998</v>
      </c>
      <c r="N86" s="71">
        <f t="shared" si="2"/>
        <v>1229318.86444818</v>
      </c>
      <c r="O86" s="71">
        <f>-K86*('DATI nascosti 2'!$C$13/2)+M86*('DATI nascosti 2'!$C$13/2)</f>
        <v>0</v>
      </c>
      <c r="P86" s="69">
        <f>-'T2'!N86/10^3</f>
        <v>-1229.31886444818</v>
      </c>
      <c r="Q86" s="69">
        <f>'T2'!O86/10^6</f>
        <v>0</v>
      </c>
      <c r="R86" s="72">
        <f>-N86/('DATI nascosti 2'!$C$6*'DATI nascosti 2'!$C$13*'DATI nascosti 2'!$H$10*'DATI nascosti 2'!$H$16)</f>
        <v>-0.29581171389629707</v>
      </c>
      <c r="S86" s="72">
        <f>O86/('DATI nascosti 2'!$H$16*'DATI nascosti 2'!$C$6*'DATI nascosti 2'!$C$13^2*'DATI nascosti 2'!$H$10)</f>
        <v>0</v>
      </c>
      <c r="T86" s="73">
        <f t="shared" si="3"/>
        <v>0</v>
      </c>
      <c r="U86" s="67" t="str">
        <f>IF(T86&gt;=0, IF(T86&lt;='DATI nascosti 2'!$C$8/6, "SI", "NO"),IF(T86&gt; -'DATI nascosti 2'!$C$8/6, "SI", "NO"))</f>
        <v>SI</v>
      </c>
      <c r="V86" s="67" t="str">
        <f>IF(Foglio3!G87&lt;1,IF(Foglio3!G87&gt;-1,"ROTTURA BILANCIATA",""),"")</f>
        <v/>
      </c>
    </row>
    <row r="87" spans="1:22" ht="18.75" x14ac:dyDescent="0.25">
      <c r="A87" s="20"/>
      <c r="B87" s="67" t="s">
        <v>39</v>
      </c>
      <c r="C87" s="68">
        <f>'DATI nascosti 2'!$L$8*10^-3</f>
        <v>6.7500000000000004E-2</v>
      </c>
      <c r="D87" s="68">
        <f>D86-(C87-('DATI nascosti 2'!$C$10/'DATI nascosti 2'!$C$13*C87))/100</f>
        <v>1.2360389610389495E-2</v>
      </c>
      <c r="E87" s="67" t="s">
        <v>39</v>
      </c>
      <c r="F87" s="69">
        <f>(D87*'DATI nascosti 2'!$C$13-C87*'DATI nascosti 2'!$C$10)/(D87-C87)</f>
        <v>-203.82352941176188</v>
      </c>
      <c r="G87" s="70">
        <v>0</v>
      </c>
      <c r="H87" s="70">
        <v>0</v>
      </c>
      <c r="I87" s="70">
        <v>0</v>
      </c>
      <c r="J87" s="70">
        <v>0</v>
      </c>
      <c r="K87" s="71">
        <f>IF(D87&gt;=('DATI nascosti 2'!$L$10*10^-3),'DATI nascosti 2'!$L$14*'DATI nascosti 2'!$P$12,IF(D87&gt;=(-'DATI nascosti 2'!$L$10*10^-3),'DATI nascosti 2'!$L$16*D87*'DATI nascosti 2'!$P$12,-'DATI nascosti 2'!$L$14*'DATI nascosti 2'!$P$12))</f>
        <v>614659.43222408998</v>
      </c>
      <c r="L87" s="71">
        <v>0</v>
      </c>
      <c r="M87" s="71">
        <f>IF(C87&gt;=('DATI nascosti 2'!$L$10*10^-3),'DATI nascosti 2'!$L$14*'DATI nascosti 2'!$P$11,IF(C87&gt;=(-'DATI nascosti 2'!$L$10*10^-3),'DATI nascosti 2'!$P$11*'DATI nascosti 2'!$L$16*C87,-'DATI nascosti 2'!$L$14*'DATI nascosti 2'!$P$11))</f>
        <v>614659.43222408998</v>
      </c>
      <c r="N87" s="71">
        <f t="shared" si="2"/>
        <v>1229318.86444818</v>
      </c>
      <c r="O87" s="71">
        <f>-K87*('DATI nascosti 2'!$C$13/2)+M87*('DATI nascosti 2'!$C$13/2)</f>
        <v>0</v>
      </c>
      <c r="P87" s="69">
        <f>-'T2'!N87/10^3</f>
        <v>-1229.31886444818</v>
      </c>
      <c r="Q87" s="69">
        <f>'T2'!O87/10^6</f>
        <v>0</v>
      </c>
      <c r="R87" s="72">
        <f>-N87/('DATI nascosti 2'!$C$6*'DATI nascosti 2'!$C$13*'DATI nascosti 2'!$H$10*'DATI nascosti 2'!$H$16)</f>
        <v>-0.29581171389629707</v>
      </c>
      <c r="S87" s="72">
        <f>O87/('DATI nascosti 2'!$H$16*'DATI nascosti 2'!$C$6*'DATI nascosti 2'!$C$13^2*'DATI nascosti 2'!$H$10)</f>
        <v>0</v>
      </c>
      <c r="T87" s="73">
        <f t="shared" si="3"/>
        <v>0</v>
      </c>
      <c r="U87" s="67" t="str">
        <f>IF(T87&gt;=0, IF(T87&lt;='DATI nascosti 2'!$C$8/6, "SI", "NO"),IF(T87&gt; -'DATI nascosti 2'!$C$8/6, "SI", "NO"))</f>
        <v>SI</v>
      </c>
      <c r="V87" s="67" t="str">
        <f>IF(Foglio3!G88&lt;1,IF(Foglio3!G88&gt;-1,"ROTTURA BILANCIATA",""),"")</f>
        <v/>
      </c>
    </row>
    <row r="88" spans="1:22" ht="18.75" x14ac:dyDescent="0.25">
      <c r="A88" s="20"/>
      <c r="B88" s="67" t="s">
        <v>39</v>
      </c>
      <c r="C88" s="68">
        <f>'DATI nascosti 2'!$L$8*10^-3</f>
        <v>6.7500000000000004E-2</v>
      </c>
      <c r="D88" s="68">
        <f>D87-(C88-('DATI nascosti 2'!$C$10/'DATI nascosti 2'!$C$13*C88))/100</f>
        <v>1.1711688311688197E-2</v>
      </c>
      <c r="E88" s="67" t="s">
        <v>39</v>
      </c>
      <c r="F88" s="69">
        <f>(D88*'DATI nascosti 2'!$C$13-C88*'DATI nascosti 2'!$C$10)/(D88-C88)</f>
        <v>-188.02325581395073</v>
      </c>
      <c r="G88" s="70">
        <v>0</v>
      </c>
      <c r="H88" s="70">
        <v>0</v>
      </c>
      <c r="I88" s="70">
        <v>0</v>
      </c>
      <c r="J88" s="70">
        <v>0</v>
      </c>
      <c r="K88" s="71">
        <f>IF(D88&gt;=('DATI nascosti 2'!$L$10*10^-3),'DATI nascosti 2'!$L$14*'DATI nascosti 2'!$P$12,IF(D88&gt;=(-'DATI nascosti 2'!$L$10*10^-3),'DATI nascosti 2'!$L$16*D88*'DATI nascosti 2'!$P$12,-'DATI nascosti 2'!$L$14*'DATI nascosti 2'!$P$12))</f>
        <v>614659.43222408998</v>
      </c>
      <c r="L88" s="71">
        <v>0</v>
      </c>
      <c r="M88" s="71">
        <f>IF(C88&gt;=('DATI nascosti 2'!$L$10*10^-3),'DATI nascosti 2'!$L$14*'DATI nascosti 2'!$P$11,IF(C88&gt;=(-'DATI nascosti 2'!$L$10*10^-3),'DATI nascosti 2'!$P$11*'DATI nascosti 2'!$L$16*C88,-'DATI nascosti 2'!$L$14*'DATI nascosti 2'!$P$11))</f>
        <v>614659.43222408998</v>
      </c>
      <c r="N88" s="71">
        <f t="shared" si="2"/>
        <v>1229318.86444818</v>
      </c>
      <c r="O88" s="71">
        <f>-K88*('DATI nascosti 2'!$C$13/2)+M88*('DATI nascosti 2'!$C$13/2)</f>
        <v>0</v>
      </c>
      <c r="P88" s="69">
        <f>-'T2'!N88/10^3</f>
        <v>-1229.31886444818</v>
      </c>
      <c r="Q88" s="69">
        <f>'T2'!O88/10^6</f>
        <v>0</v>
      </c>
      <c r="R88" s="72">
        <f>-N88/('DATI nascosti 2'!$C$6*'DATI nascosti 2'!$C$13*'DATI nascosti 2'!$H$10*'DATI nascosti 2'!$H$16)</f>
        <v>-0.29581171389629707</v>
      </c>
      <c r="S88" s="72">
        <f>O88/('DATI nascosti 2'!$H$16*'DATI nascosti 2'!$C$6*'DATI nascosti 2'!$C$13^2*'DATI nascosti 2'!$H$10)</f>
        <v>0</v>
      </c>
      <c r="T88" s="73">
        <f t="shared" si="3"/>
        <v>0</v>
      </c>
      <c r="U88" s="67" t="str">
        <f>IF(T88&gt;=0, IF(T88&lt;='DATI nascosti 2'!$C$8/6, "SI", "NO"),IF(T88&gt; -'DATI nascosti 2'!$C$8/6, "SI", "NO"))</f>
        <v>SI</v>
      </c>
      <c r="V88" s="67" t="str">
        <f>IF(Foglio3!G89&lt;1,IF(Foglio3!G89&gt;-1,"ROTTURA BILANCIATA",""),"")</f>
        <v/>
      </c>
    </row>
    <row r="89" spans="1:22" ht="18.75" x14ac:dyDescent="0.25">
      <c r="A89" s="20"/>
      <c r="B89" s="67" t="s">
        <v>39</v>
      </c>
      <c r="C89" s="68">
        <f>'DATI nascosti 2'!$L$8*10^-3</f>
        <v>6.7500000000000004E-2</v>
      </c>
      <c r="D89" s="68">
        <f>D88-(C89-('DATI nascosti 2'!$C$10/'DATI nascosti 2'!$C$13*C89))/100</f>
        <v>1.10629870129869E-2</v>
      </c>
      <c r="E89" s="67" t="s">
        <v>39</v>
      </c>
      <c r="F89" s="69">
        <f>(D89*'DATI nascosti 2'!$C$13-C89*'DATI nascosti 2'!$C$10)/(D89-C89)</f>
        <v>-172.58620689654907</v>
      </c>
      <c r="G89" s="70">
        <v>0</v>
      </c>
      <c r="H89" s="70">
        <v>0</v>
      </c>
      <c r="I89" s="70">
        <v>0</v>
      </c>
      <c r="J89" s="70">
        <v>0</v>
      </c>
      <c r="K89" s="71">
        <f>IF(D89&gt;=('DATI nascosti 2'!$L$10*10^-3),'DATI nascosti 2'!$L$14*'DATI nascosti 2'!$P$12,IF(D89&gt;=(-'DATI nascosti 2'!$L$10*10^-3),'DATI nascosti 2'!$L$16*D89*'DATI nascosti 2'!$P$12,-'DATI nascosti 2'!$L$14*'DATI nascosti 2'!$P$12))</f>
        <v>614659.43222408998</v>
      </c>
      <c r="L89" s="71">
        <v>0</v>
      </c>
      <c r="M89" s="71">
        <f>IF(C89&gt;=('DATI nascosti 2'!$L$10*10^-3),'DATI nascosti 2'!$L$14*'DATI nascosti 2'!$P$11,IF(C89&gt;=(-'DATI nascosti 2'!$L$10*10^-3),'DATI nascosti 2'!$P$11*'DATI nascosti 2'!$L$16*C89,-'DATI nascosti 2'!$L$14*'DATI nascosti 2'!$P$11))</f>
        <v>614659.43222408998</v>
      </c>
      <c r="N89" s="71">
        <f t="shared" si="2"/>
        <v>1229318.86444818</v>
      </c>
      <c r="O89" s="71">
        <f>-K89*('DATI nascosti 2'!$C$13/2)+M89*('DATI nascosti 2'!$C$13/2)</f>
        <v>0</v>
      </c>
      <c r="P89" s="69">
        <f>-'T2'!N89/10^3</f>
        <v>-1229.31886444818</v>
      </c>
      <c r="Q89" s="69">
        <f>'T2'!O89/10^6</f>
        <v>0</v>
      </c>
      <c r="R89" s="72">
        <f>-N89/('DATI nascosti 2'!$C$6*'DATI nascosti 2'!$C$13*'DATI nascosti 2'!$H$10*'DATI nascosti 2'!$H$16)</f>
        <v>-0.29581171389629707</v>
      </c>
      <c r="S89" s="72">
        <f>O89/('DATI nascosti 2'!$H$16*'DATI nascosti 2'!$C$6*'DATI nascosti 2'!$C$13^2*'DATI nascosti 2'!$H$10)</f>
        <v>0</v>
      </c>
      <c r="T89" s="73">
        <f t="shared" si="3"/>
        <v>0</v>
      </c>
      <c r="U89" s="67" t="str">
        <f>IF(T89&gt;=0, IF(T89&lt;='DATI nascosti 2'!$C$8/6, "SI", "NO"),IF(T89&gt; -'DATI nascosti 2'!$C$8/6, "SI", "NO"))</f>
        <v>SI</v>
      </c>
      <c r="V89" s="67" t="str">
        <f>IF(Foglio3!G90&lt;1,IF(Foglio3!G90&gt;-1,"ROTTURA BILANCIATA",""),"")</f>
        <v/>
      </c>
    </row>
    <row r="90" spans="1:22" ht="18.75" x14ac:dyDescent="0.25">
      <c r="A90" s="20"/>
      <c r="B90" s="67" t="s">
        <v>39</v>
      </c>
      <c r="C90" s="68">
        <f>'DATI nascosti 2'!$L$8*10^-3</f>
        <v>6.7500000000000004E-2</v>
      </c>
      <c r="D90" s="68">
        <f>D89-(C90-('DATI nascosti 2'!$C$10/'DATI nascosti 2'!$C$13*C90))/100</f>
        <v>1.0414285714285602E-2</v>
      </c>
      <c r="E90" s="67" t="s">
        <v>39</v>
      </c>
      <c r="F90" s="69">
        <f>(D90*'DATI nascosti 2'!$C$13-C90*'DATI nascosti 2'!$C$10)/(D90-C90)</f>
        <v>-157.49999999999739</v>
      </c>
      <c r="G90" s="70">
        <v>0</v>
      </c>
      <c r="H90" s="70">
        <v>0</v>
      </c>
      <c r="I90" s="70">
        <v>0</v>
      </c>
      <c r="J90" s="70">
        <v>0</v>
      </c>
      <c r="K90" s="71">
        <f>IF(D90&gt;=('DATI nascosti 2'!$L$10*10^-3),'DATI nascosti 2'!$L$14*'DATI nascosti 2'!$P$12,IF(D90&gt;=(-'DATI nascosti 2'!$L$10*10^-3),'DATI nascosti 2'!$L$16*D90*'DATI nascosti 2'!$P$12,-'DATI nascosti 2'!$L$14*'DATI nascosti 2'!$P$12))</f>
        <v>614659.43222408998</v>
      </c>
      <c r="L90" s="71">
        <v>0</v>
      </c>
      <c r="M90" s="71">
        <f>IF(C90&gt;=('DATI nascosti 2'!$L$10*10^-3),'DATI nascosti 2'!$L$14*'DATI nascosti 2'!$P$11,IF(C90&gt;=(-'DATI nascosti 2'!$L$10*10^-3),'DATI nascosti 2'!$P$11*'DATI nascosti 2'!$L$16*C90,-'DATI nascosti 2'!$L$14*'DATI nascosti 2'!$P$11))</f>
        <v>614659.43222408998</v>
      </c>
      <c r="N90" s="71">
        <f t="shared" si="2"/>
        <v>1229318.86444818</v>
      </c>
      <c r="O90" s="71">
        <f>-K90*('DATI nascosti 2'!$C$13/2)+M90*('DATI nascosti 2'!$C$13/2)</f>
        <v>0</v>
      </c>
      <c r="P90" s="69">
        <f>-'T2'!N90/10^3</f>
        <v>-1229.31886444818</v>
      </c>
      <c r="Q90" s="69">
        <f>'T2'!O90/10^6</f>
        <v>0</v>
      </c>
      <c r="R90" s="72">
        <f>-N90/('DATI nascosti 2'!$C$6*'DATI nascosti 2'!$C$13*'DATI nascosti 2'!$H$10*'DATI nascosti 2'!$H$16)</f>
        <v>-0.29581171389629707</v>
      </c>
      <c r="S90" s="72">
        <f>O90/('DATI nascosti 2'!$H$16*'DATI nascosti 2'!$C$6*'DATI nascosti 2'!$C$13^2*'DATI nascosti 2'!$H$10)</f>
        <v>0</v>
      </c>
      <c r="T90" s="73">
        <f t="shared" si="3"/>
        <v>0</v>
      </c>
      <c r="U90" s="67" t="str">
        <f>IF(T90&gt;=0, IF(T90&lt;='DATI nascosti 2'!$C$8/6, "SI", "NO"),IF(T90&gt; -'DATI nascosti 2'!$C$8/6, "SI", "NO"))</f>
        <v>SI</v>
      </c>
      <c r="V90" s="67" t="str">
        <f>IF(Foglio3!G91&lt;1,IF(Foglio3!G91&gt;-1,"ROTTURA BILANCIATA",""),"")</f>
        <v/>
      </c>
    </row>
    <row r="91" spans="1:22" ht="18.75" x14ac:dyDescent="0.25">
      <c r="A91" s="20"/>
      <c r="B91" s="67" t="s">
        <v>39</v>
      </c>
      <c r="C91" s="68">
        <f>'DATI nascosti 2'!$L$8*10^-3</f>
        <v>6.7500000000000004E-2</v>
      </c>
      <c r="D91" s="68">
        <f>D90-(C91-('DATI nascosti 2'!$C$10/'DATI nascosti 2'!$C$13*C91))/100</f>
        <v>9.7655844155843038E-3</v>
      </c>
      <c r="E91" s="67" t="s">
        <v>39</v>
      </c>
      <c r="F91" s="69">
        <f>(D91*'DATI nascosti 2'!$C$13-C91*'DATI nascosti 2'!$C$10)/(D91-C91)</f>
        <v>-142.75280898876153</v>
      </c>
      <c r="G91" s="70">
        <v>0</v>
      </c>
      <c r="H91" s="70">
        <v>0</v>
      </c>
      <c r="I91" s="70">
        <v>0</v>
      </c>
      <c r="J91" s="70">
        <v>0</v>
      </c>
      <c r="K91" s="71">
        <f>IF(D91&gt;=('DATI nascosti 2'!$L$10*10^-3),'DATI nascosti 2'!$L$14*'DATI nascosti 2'!$P$12,IF(D91&gt;=(-'DATI nascosti 2'!$L$10*10^-3),'DATI nascosti 2'!$L$16*D91*'DATI nascosti 2'!$P$12,-'DATI nascosti 2'!$L$14*'DATI nascosti 2'!$P$12))</f>
        <v>614659.43222408998</v>
      </c>
      <c r="L91" s="71">
        <v>0</v>
      </c>
      <c r="M91" s="71">
        <f>IF(C91&gt;=('DATI nascosti 2'!$L$10*10^-3),'DATI nascosti 2'!$L$14*'DATI nascosti 2'!$P$11,IF(C91&gt;=(-'DATI nascosti 2'!$L$10*10^-3),'DATI nascosti 2'!$P$11*'DATI nascosti 2'!$L$16*C91,-'DATI nascosti 2'!$L$14*'DATI nascosti 2'!$P$11))</f>
        <v>614659.43222408998</v>
      </c>
      <c r="N91" s="71">
        <f t="shared" si="2"/>
        <v>1229318.86444818</v>
      </c>
      <c r="O91" s="71">
        <f>-K91*('DATI nascosti 2'!$C$13/2)+M91*('DATI nascosti 2'!$C$13/2)</f>
        <v>0</v>
      </c>
      <c r="P91" s="69">
        <f>-'T2'!N91/10^3</f>
        <v>-1229.31886444818</v>
      </c>
      <c r="Q91" s="69">
        <f>'T2'!O91/10^6</f>
        <v>0</v>
      </c>
      <c r="R91" s="72">
        <f>-N91/('DATI nascosti 2'!$C$6*'DATI nascosti 2'!$C$13*'DATI nascosti 2'!$H$10*'DATI nascosti 2'!$H$16)</f>
        <v>-0.29581171389629707</v>
      </c>
      <c r="S91" s="72">
        <f>O91/('DATI nascosti 2'!$H$16*'DATI nascosti 2'!$C$6*'DATI nascosti 2'!$C$13^2*'DATI nascosti 2'!$H$10)</f>
        <v>0</v>
      </c>
      <c r="T91" s="73">
        <f t="shared" si="3"/>
        <v>0</v>
      </c>
      <c r="U91" s="67" t="str">
        <f>IF(T91&gt;=0, IF(T91&lt;='DATI nascosti 2'!$C$8/6, "SI", "NO"),IF(T91&gt; -'DATI nascosti 2'!$C$8/6, "SI", "NO"))</f>
        <v>SI</v>
      </c>
      <c r="V91" s="67" t="str">
        <f>IF(Foglio3!G92&lt;1,IF(Foglio3!G92&gt;-1,"ROTTURA BILANCIATA",""),"")</f>
        <v/>
      </c>
    </row>
    <row r="92" spans="1:22" ht="18.75" x14ac:dyDescent="0.25">
      <c r="A92" s="20"/>
      <c r="B92" s="67" t="s">
        <v>39</v>
      </c>
      <c r="C92" s="68">
        <f>'DATI nascosti 2'!$L$8*10^-3</f>
        <v>6.7500000000000004E-2</v>
      </c>
      <c r="D92" s="68">
        <f>D91-(C92-('DATI nascosti 2'!$C$10/'DATI nascosti 2'!$C$13*C92))/100</f>
        <v>9.116883116883006E-3</v>
      </c>
      <c r="E92" s="67" t="s">
        <v>39</v>
      </c>
      <c r="F92" s="69">
        <f>(D92*'DATI nascosti 2'!$C$13-C92*'DATI nascosti 2'!$C$10)/(D92-C92)</f>
        <v>-128.3333333333309</v>
      </c>
      <c r="G92" s="70">
        <v>0</v>
      </c>
      <c r="H92" s="70">
        <v>0</v>
      </c>
      <c r="I92" s="70">
        <v>0</v>
      </c>
      <c r="J92" s="70">
        <v>0</v>
      </c>
      <c r="K92" s="71">
        <f>IF(D92&gt;=('DATI nascosti 2'!$L$10*10^-3),'DATI nascosti 2'!$L$14*'DATI nascosti 2'!$P$12,IF(D92&gt;=(-'DATI nascosti 2'!$L$10*10^-3),'DATI nascosti 2'!$L$16*D92*'DATI nascosti 2'!$P$12,-'DATI nascosti 2'!$L$14*'DATI nascosti 2'!$P$12))</f>
        <v>614659.43222408998</v>
      </c>
      <c r="L92" s="71">
        <v>0</v>
      </c>
      <c r="M92" s="71">
        <f>IF(C92&gt;=('DATI nascosti 2'!$L$10*10^-3),'DATI nascosti 2'!$L$14*'DATI nascosti 2'!$P$11,IF(C92&gt;=(-'DATI nascosti 2'!$L$10*10^-3),'DATI nascosti 2'!$P$11*'DATI nascosti 2'!$L$16*C92,-'DATI nascosti 2'!$L$14*'DATI nascosti 2'!$P$11))</f>
        <v>614659.43222408998</v>
      </c>
      <c r="N92" s="71">
        <f t="shared" si="2"/>
        <v>1229318.86444818</v>
      </c>
      <c r="O92" s="71">
        <f>-K92*('DATI nascosti 2'!$C$13/2)+M92*('DATI nascosti 2'!$C$13/2)</f>
        <v>0</v>
      </c>
      <c r="P92" s="69">
        <f>-'T2'!N92/10^3</f>
        <v>-1229.31886444818</v>
      </c>
      <c r="Q92" s="69">
        <f>'T2'!O92/10^6</f>
        <v>0</v>
      </c>
      <c r="R92" s="72">
        <f>-N92/('DATI nascosti 2'!$C$6*'DATI nascosti 2'!$C$13*'DATI nascosti 2'!$H$10*'DATI nascosti 2'!$H$16)</f>
        <v>-0.29581171389629707</v>
      </c>
      <c r="S92" s="72">
        <f>O92/('DATI nascosti 2'!$H$16*'DATI nascosti 2'!$C$6*'DATI nascosti 2'!$C$13^2*'DATI nascosti 2'!$H$10)</f>
        <v>0</v>
      </c>
      <c r="T92" s="73">
        <f t="shared" si="3"/>
        <v>0</v>
      </c>
      <c r="U92" s="67" t="str">
        <f>IF(T92&gt;=0, IF(T92&lt;='DATI nascosti 2'!$C$8/6, "SI", "NO"),IF(T92&gt; -'DATI nascosti 2'!$C$8/6, "SI", "NO"))</f>
        <v>SI</v>
      </c>
      <c r="V92" s="67" t="str">
        <f>IF(Foglio3!G93&lt;1,IF(Foglio3!G93&gt;-1,"ROTTURA BILANCIATA",""),"")</f>
        <v/>
      </c>
    </row>
    <row r="93" spans="1:22" ht="18.75" x14ac:dyDescent="0.25">
      <c r="A93" s="20"/>
      <c r="B93" s="67" t="s">
        <v>39</v>
      </c>
      <c r="C93" s="68">
        <f>'DATI nascosti 2'!$L$8*10^-3</f>
        <v>6.7500000000000004E-2</v>
      </c>
      <c r="D93" s="68">
        <f>D92-(C93-('DATI nascosti 2'!$C$10/'DATI nascosti 2'!$C$13*C93))/100</f>
        <v>8.4681818181817081E-3</v>
      </c>
      <c r="E93" s="67" t="s">
        <v>39</v>
      </c>
      <c r="F93" s="69">
        <f>(D93*'DATI nascosti 2'!$C$13-C93*'DATI nascosti 2'!$C$10)/(D93-C93)</f>
        <v>-114.23076923076687</v>
      </c>
      <c r="G93" s="70">
        <v>0</v>
      </c>
      <c r="H93" s="70">
        <v>0</v>
      </c>
      <c r="I93" s="70">
        <v>0</v>
      </c>
      <c r="J93" s="70">
        <v>0</v>
      </c>
      <c r="K93" s="71">
        <f>IF(D93&gt;=('DATI nascosti 2'!$L$10*10^-3),'DATI nascosti 2'!$L$14*'DATI nascosti 2'!$P$12,IF(D93&gt;=(-'DATI nascosti 2'!$L$10*10^-3),'DATI nascosti 2'!$L$16*D93*'DATI nascosti 2'!$P$12,-'DATI nascosti 2'!$L$14*'DATI nascosti 2'!$P$12))</f>
        <v>614659.43222408998</v>
      </c>
      <c r="L93" s="71">
        <v>0</v>
      </c>
      <c r="M93" s="71">
        <f>IF(C93&gt;=('DATI nascosti 2'!$L$10*10^-3),'DATI nascosti 2'!$L$14*'DATI nascosti 2'!$P$11,IF(C93&gt;=(-'DATI nascosti 2'!$L$10*10^-3),'DATI nascosti 2'!$P$11*'DATI nascosti 2'!$L$16*C93,-'DATI nascosti 2'!$L$14*'DATI nascosti 2'!$P$11))</f>
        <v>614659.43222408998</v>
      </c>
      <c r="N93" s="71">
        <f t="shared" si="2"/>
        <v>1229318.86444818</v>
      </c>
      <c r="O93" s="71">
        <f>-K93*('DATI nascosti 2'!$C$13/2)+M93*('DATI nascosti 2'!$C$13/2)</f>
        <v>0</v>
      </c>
      <c r="P93" s="69">
        <f>-'T2'!N93/10^3</f>
        <v>-1229.31886444818</v>
      </c>
      <c r="Q93" s="69">
        <f>'T2'!O93/10^6</f>
        <v>0</v>
      </c>
      <c r="R93" s="72">
        <f>-N93/('DATI nascosti 2'!$C$6*'DATI nascosti 2'!$C$13*'DATI nascosti 2'!$H$10*'DATI nascosti 2'!$H$16)</f>
        <v>-0.29581171389629707</v>
      </c>
      <c r="S93" s="72">
        <f>O93/('DATI nascosti 2'!$H$16*'DATI nascosti 2'!$C$6*'DATI nascosti 2'!$C$13^2*'DATI nascosti 2'!$H$10)</f>
        <v>0</v>
      </c>
      <c r="T93" s="73">
        <f t="shared" si="3"/>
        <v>0</v>
      </c>
      <c r="U93" s="67" t="str">
        <f>IF(T93&gt;=0, IF(T93&lt;='DATI nascosti 2'!$C$8/6, "SI", "NO"),IF(T93&gt; -'DATI nascosti 2'!$C$8/6, "SI", "NO"))</f>
        <v>SI</v>
      </c>
      <c r="V93" s="67" t="str">
        <f>IF(Foglio3!G94&lt;1,IF(Foglio3!G94&gt;-1,"ROTTURA BILANCIATA",""),"")</f>
        <v/>
      </c>
    </row>
    <row r="94" spans="1:22" ht="18.75" x14ac:dyDescent="0.25">
      <c r="A94" s="20"/>
      <c r="B94" s="67" t="s">
        <v>39</v>
      </c>
      <c r="C94" s="68">
        <f>'DATI nascosti 2'!$L$8*10^-3</f>
        <v>6.7500000000000004E-2</v>
      </c>
      <c r="D94" s="68">
        <f>D93-(C94-('DATI nascosti 2'!$C$10/'DATI nascosti 2'!$C$13*C94))/100</f>
        <v>7.8194805194804103E-3</v>
      </c>
      <c r="E94" s="67" t="s">
        <v>39</v>
      </c>
      <c r="F94" s="69">
        <f>(D94*'DATI nascosti 2'!$C$13-C94*'DATI nascosti 2'!$C$10)/(D94-C94)</f>
        <v>-100.43478260869334</v>
      </c>
      <c r="G94" s="70">
        <v>0</v>
      </c>
      <c r="H94" s="70">
        <v>0</v>
      </c>
      <c r="I94" s="70">
        <v>0</v>
      </c>
      <c r="J94" s="70">
        <v>0</v>
      </c>
      <c r="K94" s="71">
        <f>IF(D94&gt;=('DATI nascosti 2'!$L$10*10^-3),'DATI nascosti 2'!$L$14*'DATI nascosti 2'!$P$12,IF(D94&gt;=(-'DATI nascosti 2'!$L$10*10^-3),'DATI nascosti 2'!$L$16*D94*'DATI nascosti 2'!$P$12,-'DATI nascosti 2'!$L$14*'DATI nascosti 2'!$P$12))</f>
        <v>614659.43222408998</v>
      </c>
      <c r="L94" s="71">
        <v>0</v>
      </c>
      <c r="M94" s="71">
        <f>IF(C94&gt;=('DATI nascosti 2'!$L$10*10^-3),'DATI nascosti 2'!$L$14*'DATI nascosti 2'!$P$11,IF(C94&gt;=(-'DATI nascosti 2'!$L$10*10^-3),'DATI nascosti 2'!$P$11*'DATI nascosti 2'!$L$16*C94,-'DATI nascosti 2'!$L$14*'DATI nascosti 2'!$P$11))</f>
        <v>614659.43222408998</v>
      </c>
      <c r="N94" s="71">
        <f t="shared" si="2"/>
        <v>1229318.86444818</v>
      </c>
      <c r="O94" s="71">
        <f>-K94*('DATI nascosti 2'!$C$13/2)+M94*('DATI nascosti 2'!$C$13/2)</f>
        <v>0</v>
      </c>
      <c r="P94" s="69">
        <f>-'T2'!N94/10^3</f>
        <v>-1229.31886444818</v>
      </c>
      <c r="Q94" s="69">
        <f>'T2'!O94/10^6</f>
        <v>0</v>
      </c>
      <c r="R94" s="72">
        <f>-N94/('DATI nascosti 2'!$C$6*'DATI nascosti 2'!$C$13*'DATI nascosti 2'!$H$10*'DATI nascosti 2'!$H$16)</f>
        <v>-0.29581171389629707</v>
      </c>
      <c r="S94" s="72">
        <f>O94/('DATI nascosti 2'!$H$16*'DATI nascosti 2'!$C$6*'DATI nascosti 2'!$C$13^2*'DATI nascosti 2'!$H$10)</f>
        <v>0</v>
      </c>
      <c r="T94" s="73">
        <f t="shared" si="3"/>
        <v>0</v>
      </c>
      <c r="U94" s="67" t="str">
        <f>IF(T94&gt;=0, IF(T94&lt;='DATI nascosti 2'!$C$8/6, "SI", "NO"),IF(T94&gt; -'DATI nascosti 2'!$C$8/6, "SI", "NO"))</f>
        <v>SI</v>
      </c>
      <c r="V94" s="67" t="str">
        <f>IF(Foglio3!G95&lt;1,IF(Foglio3!G95&gt;-1,"ROTTURA BILANCIATA",""),"")</f>
        <v/>
      </c>
    </row>
    <row r="95" spans="1:22" ht="18.75" x14ac:dyDescent="0.25">
      <c r="A95" s="20"/>
      <c r="B95" s="67" t="s">
        <v>39</v>
      </c>
      <c r="C95" s="68">
        <f>'DATI nascosti 2'!$L$8*10^-3</f>
        <v>6.7500000000000004E-2</v>
      </c>
      <c r="D95" s="68">
        <f>D94-(C95-('DATI nascosti 2'!$C$10/'DATI nascosti 2'!$C$13*C95))/100</f>
        <v>7.1707792207791115E-3</v>
      </c>
      <c r="E95" s="67" t="s">
        <v>39</v>
      </c>
      <c r="F95" s="69">
        <f>(D95*'DATI nascosti 2'!$C$13-C95*'DATI nascosti 2'!$C$10)/(D95-C95)</f>
        <v>-86.935483870965484</v>
      </c>
      <c r="G95" s="70">
        <v>0</v>
      </c>
      <c r="H95" s="70">
        <v>0</v>
      </c>
      <c r="I95" s="70">
        <v>0</v>
      </c>
      <c r="J95" s="70">
        <v>0</v>
      </c>
      <c r="K95" s="71">
        <f>IF(D95&gt;=('DATI nascosti 2'!$L$10*10^-3),'DATI nascosti 2'!$L$14*'DATI nascosti 2'!$P$12,IF(D95&gt;=(-'DATI nascosti 2'!$L$10*10^-3),'DATI nascosti 2'!$L$16*D95*'DATI nascosti 2'!$P$12,-'DATI nascosti 2'!$L$14*'DATI nascosti 2'!$P$12))</f>
        <v>614659.43222408998</v>
      </c>
      <c r="L95" s="71">
        <v>0</v>
      </c>
      <c r="M95" s="71">
        <f>IF(C95&gt;=('DATI nascosti 2'!$L$10*10^-3),'DATI nascosti 2'!$L$14*'DATI nascosti 2'!$P$11,IF(C95&gt;=(-'DATI nascosti 2'!$L$10*10^-3),'DATI nascosti 2'!$P$11*'DATI nascosti 2'!$L$16*C95,-'DATI nascosti 2'!$L$14*'DATI nascosti 2'!$P$11))</f>
        <v>614659.43222408998</v>
      </c>
      <c r="N95" s="71">
        <f t="shared" si="2"/>
        <v>1229318.86444818</v>
      </c>
      <c r="O95" s="71">
        <f>-K95*('DATI nascosti 2'!$C$13/2)+M95*('DATI nascosti 2'!$C$13/2)</f>
        <v>0</v>
      </c>
      <c r="P95" s="69">
        <f>-'T2'!N95/10^3</f>
        <v>-1229.31886444818</v>
      </c>
      <c r="Q95" s="69">
        <f>'T2'!O95/10^6</f>
        <v>0</v>
      </c>
      <c r="R95" s="72">
        <f>-N95/('DATI nascosti 2'!$C$6*'DATI nascosti 2'!$C$13*'DATI nascosti 2'!$H$10*'DATI nascosti 2'!$H$16)</f>
        <v>-0.29581171389629707</v>
      </c>
      <c r="S95" s="72">
        <f>O95/('DATI nascosti 2'!$H$16*'DATI nascosti 2'!$C$6*'DATI nascosti 2'!$C$13^2*'DATI nascosti 2'!$H$10)</f>
        <v>0</v>
      </c>
      <c r="T95" s="73">
        <f t="shared" si="3"/>
        <v>0</v>
      </c>
      <c r="U95" s="67" t="str">
        <f>IF(T95&gt;=0, IF(T95&lt;='DATI nascosti 2'!$C$8/6, "SI", "NO"),IF(T95&gt; -'DATI nascosti 2'!$C$8/6, "SI", "NO"))</f>
        <v>SI</v>
      </c>
      <c r="V95" s="67" t="str">
        <f>IF(Foglio3!G96&lt;1,IF(Foglio3!G96&gt;-1,"ROTTURA BILANCIATA",""),"")</f>
        <v/>
      </c>
    </row>
    <row r="96" spans="1:22" ht="18.75" x14ac:dyDescent="0.25">
      <c r="A96" s="20"/>
      <c r="B96" s="67" t="s">
        <v>39</v>
      </c>
      <c r="C96" s="68">
        <f>'DATI nascosti 2'!$L$8*10^-3</f>
        <v>6.7500000000000004E-2</v>
      </c>
      <c r="D96" s="68">
        <f>D95-(C96-('DATI nascosti 2'!$C$10/'DATI nascosti 2'!$C$13*C96))/100</f>
        <v>6.5220779220778128E-3</v>
      </c>
      <c r="E96" s="67" t="s">
        <v>39</v>
      </c>
      <c r="F96" s="69">
        <f>(D96*'DATI nascosti 2'!$C$13-C96*'DATI nascosti 2'!$C$10)/(D96-C96)</f>
        <v>-73.723404255316936</v>
      </c>
      <c r="G96" s="70">
        <v>0</v>
      </c>
      <c r="H96" s="70">
        <v>0</v>
      </c>
      <c r="I96" s="70">
        <v>0</v>
      </c>
      <c r="J96" s="70">
        <v>0</v>
      </c>
      <c r="K96" s="71">
        <f>IF(D96&gt;=('DATI nascosti 2'!$L$10*10^-3),'DATI nascosti 2'!$L$14*'DATI nascosti 2'!$P$12,IF(D96&gt;=(-'DATI nascosti 2'!$L$10*10^-3),'DATI nascosti 2'!$L$16*D96*'DATI nascosti 2'!$P$12,-'DATI nascosti 2'!$L$14*'DATI nascosti 2'!$P$12))</f>
        <v>614659.43222408998</v>
      </c>
      <c r="L96" s="71">
        <v>0</v>
      </c>
      <c r="M96" s="71">
        <f>IF(C96&gt;=('DATI nascosti 2'!$L$10*10^-3),'DATI nascosti 2'!$L$14*'DATI nascosti 2'!$P$11,IF(C96&gt;=(-'DATI nascosti 2'!$L$10*10^-3),'DATI nascosti 2'!$P$11*'DATI nascosti 2'!$L$16*C96,-'DATI nascosti 2'!$L$14*'DATI nascosti 2'!$P$11))</f>
        <v>614659.43222408998</v>
      </c>
      <c r="N96" s="71">
        <f t="shared" si="2"/>
        <v>1229318.86444818</v>
      </c>
      <c r="O96" s="71">
        <f>-K96*('DATI nascosti 2'!$C$13/2)+M96*('DATI nascosti 2'!$C$13/2)</f>
        <v>0</v>
      </c>
      <c r="P96" s="69">
        <f>-'T2'!N96/10^3</f>
        <v>-1229.31886444818</v>
      </c>
      <c r="Q96" s="69">
        <f>'T2'!O96/10^6</f>
        <v>0</v>
      </c>
      <c r="R96" s="72">
        <f>-N96/('DATI nascosti 2'!$C$6*'DATI nascosti 2'!$C$13*'DATI nascosti 2'!$H$10*'DATI nascosti 2'!$H$16)</f>
        <v>-0.29581171389629707</v>
      </c>
      <c r="S96" s="72">
        <f>O96/('DATI nascosti 2'!$H$16*'DATI nascosti 2'!$C$6*'DATI nascosti 2'!$C$13^2*'DATI nascosti 2'!$H$10)</f>
        <v>0</v>
      </c>
      <c r="T96" s="73">
        <f t="shared" si="3"/>
        <v>0</v>
      </c>
      <c r="U96" s="67" t="str">
        <f>IF(T96&gt;=0, IF(T96&lt;='DATI nascosti 2'!$C$8/6, "SI", "NO"),IF(T96&gt; -'DATI nascosti 2'!$C$8/6, "SI", "NO"))</f>
        <v>SI</v>
      </c>
      <c r="V96" s="67" t="str">
        <f>IF(Foglio3!G97&lt;1,IF(Foglio3!G97&gt;-1,"ROTTURA BILANCIATA",""),"")</f>
        <v/>
      </c>
    </row>
    <row r="97" spans="1:22" ht="18.75" x14ac:dyDescent="0.25">
      <c r="A97" s="20"/>
      <c r="B97" s="67" t="s">
        <v>39</v>
      </c>
      <c r="C97" s="68">
        <f>'DATI nascosti 2'!$L$8*10^-3</f>
        <v>6.7500000000000004E-2</v>
      </c>
      <c r="D97" s="68">
        <f>D96-(C97-('DATI nascosti 2'!$C$10/'DATI nascosti 2'!$C$13*C97))/100</f>
        <v>5.8733766233765141E-3</v>
      </c>
      <c r="E97" s="67" t="s">
        <v>39</v>
      </c>
      <c r="F97" s="69">
        <f>(D97*'DATI nascosti 2'!$C$13-C97*'DATI nascosti 2'!$C$10)/(D97-C97)</f>
        <v>-60.78947368420836</v>
      </c>
      <c r="G97" s="70">
        <v>0</v>
      </c>
      <c r="H97" s="70">
        <v>0</v>
      </c>
      <c r="I97" s="70">
        <v>0</v>
      </c>
      <c r="J97" s="70">
        <v>0</v>
      </c>
      <c r="K97" s="71">
        <f>IF(D97&gt;=('DATI nascosti 2'!$L$10*10^-3),'DATI nascosti 2'!$L$14*'DATI nascosti 2'!$P$12,IF(D97&gt;=(-'DATI nascosti 2'!$L$10*10^-3),'DATI nascosti 2'!$L$16*D97*'DATI nascosti 2'!$P$12,-'DATI nascosti 2'!$L$14*'DATI nascosti 2'!$P$12))</f>
        <v>614659.43222408998</v>
      </c>
      <c r="L97" s="71">
        <v>0</v>
      </c>
      <c r="M97" s="71">
        <f>IF(C97&gt;=('DATI nascosti 2'!$L$10*10^-3),'DATI nascosti 2'!$L$14*'DATI nascosti 2'!$P$11,IF(C97&gt;=(-'DATI nascosti 2'!$L$10*10^-3),'DATI nascosti 2'!$P$11*'DATI nascosti 2'!$L$16*C97,-'DATI nascosti 2'!$L$14*'DATI nascosti 2'!$P$11))</f>
        <v>614659.43222408998</v>
      </c>
      <c r="N97" s="71">
        <f t="shared" si="2"/>
        <v>1229318.86444818</v>
      </c>
      <c r="O97" s="71">
        <f>-K97*('DATI nascosti 2'!$C$13/2)+M97*('DATI nascosti 2'!$C$13/2)</f>
        <v>0</v>
      </c>
      <c r="P97" s="69">
        <f>-'T2'!N97/10^3</f>
        <v>-1229.31886444818</v>
      </c>
      <c r="Q97" s="69">
        <f>'T2'!O97/10^6</f>
        <v>0</v>
      </c>
      <c r="R97" s="72">
        <f>-N97/('DATI nascosti 2'!$C$6*'DATI nascosti 2'!$C$13*'DATI nascosti 2'!$H$10*'DATI nascosti 2'!$H$16)</f>
        <v>-0.29581171389629707</v>
      </c>
      <c r="S97" s="72">
        <f>O97/('DATI nascosti 2'!$H$16*'DATI nascosti 2'!$C$6*'DATI nascosti 2'!$C$13^2*'DATI nascosti 2'!$H$10)</f>
        <v>0</v>
      </c>
      <c r="T97" s="73">
        <f t="shared" si="3"/>
        <v>0</v>
      </c>
      <c r="U97" s="67" t="str">
        <f>IF(T97&gt;=0, IF(T97&lt;='DATI nascosti 2'!$C$8/6, "SI", "NO"),IF(T97&gt; -'DATI nascosti 2'!$C$8/6, "SI", "NO"))</f>
        <v>SI</v>
      </c>
      <c r="V97" s="67" t="str">
        <f>IF(Foglio3!G98&lt;1,IF(Foglio3!G98&gt;-1,"ROTTURA BILANCIATA",""),"")</f>
        <v/>
      </c>
    </row>
    <row r="98" spans="1:22" ht="18.75" x14ac:dyDescent="0.25">
      <c r="A98" s="20"/>
      <c r="B98" s="67" t="s">
        <v>39</v>
      </c>
      <c r="C98" s="68">
        <f>'DATI nascosti 2'!$L$8*10^-3</f>
        <v>6.7500000000000004E-2</v>
      </c>
      <c r="D98" s="68">
        <f>D97-(C98-('DATI nascosti 2'!$C$10/'DATI nascosti 2'!$C$13*C98))/100</f>
        <v>5.2246753246752153E-3</v>
      </c>
      <c r="E98" s="67" t="s">
        <v>39</v>
      </c>
      <c r="F98" s="69">
        <f>(D98*'DATI nascosti 2'!$C$13-C98*'DATI nascosti 2'!$C$10)/(D98-C98)</f>
        <v>-48.124999999997875</v>
      </c>
      <c r="G98" s="70">
        <v>0</v>
      </c>
      <c r="H98" s="70">
        <v>0</v>
      </c>
      <c r="I98" s="70">
        <v>0</v>
      </c>
      <c r="J98" s="70">
        <v>0</v>
      </c>
      <c r="K98" s="71">
        <f>IF(D98&gt;=('DATI nascosti 2'!$L$10*10^-3),'DATI nascosti 2'!$L$14*'DATI nascosti 2'!$P$12,IF(D98&gt;=(-'DATI nascosti 2'!$L$10*10^-3),'DATI nascosti 2'!$L$16*D98*'DATI nascosti 2'!$P$12,-'DATI nascosti 2'!$L$14*'DATI nascosti 2'!$P$12))</f>
        <v>614659.43222408998</v>
      </c>
      <c r="L98" s="71">
        <v>0</v>
      </c>
      <c r="M98" s="71">
        <f>IF(C98&gt;=('DATI nascosti 2'!$L$10*10^-3),'DATI nascosti 2'!$L$14*'DATI nascosti 2'!$P$11,IF(C98&gt;=(-'DATI nascosti 2'!$L$10*10^-3),'DATI nascosti 2'!$P$11*'DATI nascosti 2'!$L$16*C98,-'DATI nascosti 2'!$L$14*'DATI nascosti 2'!$P$11))</f>
        <v>614659.43222408998</v>
      </c>
      <c r="N98" s="71">
        <f t="shared" si="2"/>
        <v>1229318.86444818</v>
      </c>
      <c r="O98" s="71">
        <f>-K98*('DATI nascosti 2'!$C$13/2)+M98*('DATI nascosti 2'!$C$13/2)</f>
        <v>0</v>
      </c>
      <c r="P98" s="69">
        <f>-'T2'!N98/10^3</f>
        <v>-1229.31886444818</v>
      </c>
      <c r="Q98" s="69">
        <f>'T2'!O98/10^6</f>
        <v>0</v>
      </c>
      <c r="R98" s="72">
        <f>-N98/('DATI nascosti 2'!$C$6*'DATI nascosti 2'!$C$13*'DATI nascosti 2'!$H$10*'DATI nascosti 2'!$H$16)</f>
        <v>-0.29581171389629707</v>
      </c>
      <c r="S98" s="72">
        <f>O98/('DATI nascosti 2'!$H$16*'DATI nascosti 2'!$C$6*'DATI nascosti 2'!$C$13^2*'DATI nascosti 2'!$H$10)</f>
        <v>0</v>
      </c>
      <c r="T98" s="73">
        <f t="shared" si="3"/>
        <v>0</v>
      </c>
      <c r="U98" s="67" t="str">
        <f>IF(T98&gt;=0, IF(T98&lt;='DATI nascosti 2'!$C$8/6, "SI", "NO"),IF(T98&gt; -'DATI nascosti 2'!$C$8/6, "SI", "NO"))</f>
        <v>SI</v>
      </c>
      <c r="V98" s="67" t="str">
        <f>IF(Foglio3!G99&lt;1,IF(Foglio3!G99&gt;-1,"ROTTURA BILANCIATA",""),"")</f>
        <v/>
      </c>
    </row>
    <row r="99" spans="1:22" ht="18.75" x14ac:dyDescent="0.25">
      <c r="A99" s="20"/>
      <c r="B99" s="67" t="s">
        <v>39</v>
      </c>
      <c r="C99" s="68">
        <f>'DATI nascosti 2'!$L$8*10^-3</f>
        <v>6.7500000000000004E-2</v>
      </c>
      <c r="D99" s="68">
        <f>D98-(C99-('DATI nascosti 2'!$C$10/'DATI nascosti 2'!$C$13*C99))/100</f>
        <v>4.5759740259739166E-3</v>
      </c>
      <c r="E99" s="67" t="s">
        <v>39</v>
      </c>
      <c r="F99" s="69">
        <f>(D99*'DATI nascosti 2'!$C$13-C99*'DATI nascosti 2'!$C$10)/(D99-C99)</f>
        <v>-35.721649484534005</v>
      </c>
      <c r="G99" s="70">
        <v>0</v>
      </c>
      <c r="H99" s="70">
        <v>0</v>
      </c>
      <c r="I99" s="70">
        <v>0</v>
      </c>
      <c r="J99" s="70">
        <v>0</v>
      </c>
      <c r="K99" s="71">
        <f>IF(D99&gt;=('DATI nascosti 2'!$L$10*10^-3),'DATI nascosti 2'!$L$14*'DATI nascosti 2'!$P$12,IF(D99&gt;=(-'DATI nascosti 2'!$L$10*10^-3),'DATI nascosti 2'!$L$16*D99*'DATI nascosti 2'!$P$12,-'DATI nascosti 2'!$L$14*'DATI nascosti 2'!$P$12))</f>
        <v>614659.43222408998</v>
      </c>
      <c r="L99" s="71">
        <v>0</v>
      </c>
      <c r="M99" s="71">
        <f>IF(C99&gt;=('DATI nascosti 2'!$L$10*10^-3),'DATI nascosti 2'!$L$14*'DATI nascosti 2'!$P$11,IF(C99&gt;=(-'DATI nascosti 2'!$L$10*10^-3),'DATI nascosti 2'!$P$11*'DATI nascosti 2'!$L$16*C99,-'DATI nascosti 2'!$L$14*'DATI nascosti 2'!$P$11))</f>
        <v>614659.43222408998</v>
      </c>
      <c r="N99" s="71">
        <f t="shared" si="2"/>
        <v>1229318.86444818</v>
      </c>
      <c r="O99" s="71">
        <f>-K99*('DATI nascosti 2'!$C$13/2)+M99*('DATI nascosti 2'!$C$13/2)</f>
        <v>0</v>
      </c>
      <c r="P99" s="69">
        <f>-'T2'!N99/10^3</f>
        <v>-1229.31886444818</v>
      </c>
      <c r="Q99" s="69">
        <f>'T2'!O99/10^6</f>
        <v>0</v>
      </c>
      <c r="R99" s="72">
        <f>-N99/('DATI nascosti 2'!$C$6*'DATI nascosti 2'!$C$13*'DATI nascosti 2'!$H$10*'DATI nascosti 2'!$H$16)</f>
        <v>-0.29581171389629707</v>
      </c>
      <c r="S99" s="72">
        <f>O99/('DATI nascosti 2'!$H$16*'DATI nascosti 2'!$C$6*'DATI nascosti 2'!$C$13^2*'DATI nascosti 2'!$H$10)</f>
        <v>0</v>
      </c>
      <c r="T99" s="73">
        <f t="shared" si="3"/>
        <v>0</v>
      </c>
      <c r="U99" s="67" t="str">
        <f>IF(T99&gt;=0, IF(T99&lt;='DATI nascosti 2'!$C$8/6, "SI", "NO"),IF(T99&gt; -'DATI nascosti 2'!$C$8/6, "SI", "NO"))</f>
        <v>SI</v>
      </c>
      <c r="V99" s="67" t="str">
        <f>IF(Foglio3!G100&lt;1,IF(Foglio3!G100&gt;-1,"ROTTURA BILANCIATA",""),"")</f>
        <v/>
      </c>
    </row>
    <row r="100" spans="1:22" ht="18.75" x14ac:dyDescent="0.25">
      <c r="A100" s="20"/>
      <c r="B100" s="67" t="s">
        <v>39</v>
      </c>
      <c r="C100" s="68">
        <f>'DATI nascosti 2'!$L$8*10^-3</f>
        <v>6.7500000000000004E-2</v>
      </c>
      <c r="D100" s="68">
        <f>D99-(C100-('DATI nascosti 2'!$C$10/'DATI nascosti 2'!$C$13*C100))/100</f>
        <v>3.9272727272726179E-3</v>
      </c>
      <c r="E100" s="67" t="s">
        <v>39</v>
      </c>
      <c r="F100" s="69">
        <f>(D100*'DATI nascosti 2'!$C$13-C100*'DATI nascosti 2'!$C$10)/(D100-C100)</f>
        <v>-23.571428571426537</v>
      </c>
      <c r="G100" s="70">
        <v>0</v>
      </c>
      <c r="H100" s="70">
        <v>0</v>
      </c>
      <c r="I100" s="70">
        <v>0</v>
      </c>
      <c r="J100" s="70">
        <v>0</v>
      </c>
      <c r="K100" s="71">
        <f>IF(D100&gt;=('DATI nascosti 2'!$L$10*10^-3),'DATI nascosti 2'!$L$14*'DATI nascosti 2'!$P$12,IF(D100&gt;=(-'DATI nascosti 2'!$L$10*10^-3),'DATI nascosti 2'!$L$16*D100*'DATI nascosti 2'!$P$12,-'DATI nascosti 2'!$L$14*'DATI nascosti 2'!$P$12))</f>
        <v>614659.43222408998</v>
      </c>
      <c r="L100" s="71">
        <v>0</v>
      </c>
      <c r="M100" s="71">
        <f>IF(C100&gt;=('DATI nascosti 2'!$L$10*10^-3),'DATI nascosti 2'!$L$14*'DATI nascosti 2'!$P$11,IF(C100&gt;=(-'DATI nascosti 2'!$L$10*10^-3),'DATI nascosti 2'!$P$11*'DATI nascosti 2'!$L$16*C100,-'DATI nascosti 2'!$L$14*'DATI nascosti 2'!$P$11))</f>
        <v>614659.43222408998</v>
      </c>
      <c r="N100" s="71">
        <f t="shared" si="2"/>
        <v>1229318.86444818</v>
      </c>
      <c r="O100" s="71">
        <f>-K100*('DATI nascosti 2'!$C$13/2)+M100*('DATI nascosti 2'!$C$13/2)</f>
        <v>0</v>
      </c>
      <c r="P100" s="69">
        <f>-'T2'!N100/10^3</f>
        <v>-1229.31886444818</v>
      </c>
      <c r="Q100" s="69">
        <f>'T2'!O100/10^6</f>
        <v>0</v>
      </c>
      <c r="R100" s="72">
        <f>-N100/('DATI nascosti 2'!$C$6*'DATI nascosti 2'!$C$13*'DATI nascosti 2'!$H$10*'DATI nascosti 2'!$H$16)</f>
        <v>-0.29581171389629707</v>
      </c>
      <c r="S100" s="72">
        <f>O100/('DATI nascosti 2'!$H$16*'DATI nascosti 2'!$C$6*'DATI nascosti 2'!$C$13^2*'DATI nascosti 2'!$H$10)</f>
        <v>0</v>
      </c>
      <c r="T100" s="73">
        <f t="shared" si="3"/>
        <v>0</v>
      </c>
      <c r="U100" s="67" t="str">
        <f>IF(T100&gt;=0, IF(T100&lt;='DATI nascosti 2'!$C$8/6, "SI", "NO"),IF(T100&gt; -'DATI nascosti 2'!$C$8/6, "SI", "NO"))</f>
        <v>SI</v>
      </c>
      <c r="V100" s="67" t="str">
        <f>IF(Foglio3!G101&lt;1,IF(Foglio3!G101&gt;-1,"ROTTURA BILANCIATA",""),"")</f>
        <v/>
      </c>
    </row>
    <row r="101" spans="1:22" ht="18.75" x14ac:dyDescent="0.25">
      <c r="A101" s="20"/>
      <c r="B101" s="67" t="s">
        <v>39</v>
      </c>
      <c r="C101" s="68">
        <f>'DATI nascosti 2'!$L$8*10^-3</f>
        <v>6.7500000000000004E-2</v>
      </c>
      <c r="D101" s="68">
        <f>D100-(C101-('DATI nascosti 2'!$C$10/'DATI nascosti 2'!$C$13*C101))/100</f>
        <v>3.2785714285713191E-3</v>
      </c>
      <c r="E101" s="67" t="s">
        <v>39</v>
      </c>
      <c r="F101" s="69">
        <f>(D101*'DATI nascosti 2'!$C$13-C101*'DATI nascosti 2'!$C$10)/(D101-C101)</f>
        <v>-11.666666666664677</v>
      </c>
      <c r="G101" s="70">
        <v>0</v>
      </c>
      <c r="H101" s="70">
        <v>0</v>
      </c>
      <c r="I101" s="70">
        <v>0</v>
      </c>
      <c r="J101" s="70">
        <v>0</v>
      </c>
      <c r="K101" s="71">
        <f>IF(D101&gt;=('DATI nascosti 2'!$L$10*10^-3),'DATI nascosti 2'!$L$14*'DATI nascosti 2'!$P$12,IF(D101&gt;=(-'DATI nascosti 2'!$L$10*10^-3),'DATI nascosti 2'!$L$16*D101*'DATI nascosti 2'!$P$12,-'DATI nascosti 2'!$L$14*'DATI nascosti 2'!$P$12))</f>
        <v>614659.43222408998</v>
      </c>
      <c r="L101" s="71">
        <v>0</v>
      </c>
      <c r="M101" s="71">
        <f>IF(C101&gt;=('DATI nascosti 2'!$L$10*10^-3),'DATI nascosti 2'!$L$14*'DATI nascosti 2'!$P$11,IF(C101&gt;=(-'DATI nascosti 2'!$L$10*10^-3),'DATI nascosti 2'!$P$11*'DATI nascosti 2'!$L$16*C101,-'DATI nascosti 2'!$L$14*'DATI nascosti 2'!$P$11))</f>
        <v>614659.43222408998</v>
      </c>
      <c r="N101" s="71">
        <f t="shared" si="2"/>
        <v>1229318.86444818</v>
      </c>
      <c r="O101" s="71">
        <f>-K101*('DATI nascosti 2'!$C$13/2)+M101*('DATI nascosti 2'!$C$13/2)</f>
        <v>0</v>
      </c>
      <c r="P101" s="69">
        <f>-'T2'!N101/10^3</f>
        <v>-1229.31886444818</v>
      </c>
      <c r="Q101" s="69">
        <f>'T2'!O101/10^6</f>
        <v>0</v>
      </c>
      <c r="R101" s="72">
        <f>-N101/('DATI nascosti 2'!$C$6*'DATI nascosti 2'!$C$13*'DATI nascosti 2'!$H$10*'DATI nascosti 2'!$H$16)</f>
        <v>-0.29581171389629707</v>
      </c>
      <c r="S101" s="72">
        <f>O101/('DATI nascosti 2'!$H$16*'DATI nascosti 2'!$C$6*'DATI nascosti 2'!$C$13^2*'DATI nascosti 2'!$H$10)</f>
        <v>0</v>
      </c>
      <c r="T101" s="73">
        <f t="shared" si="3"/>
        <v>0</v>
      </c>
      <c r="U101" s="67" t="str">
        <f>IF(T101&gt;=0, IF(T101&lt;='DATI nascosti 2'!$C$8/6, "SI", "NO"),IF(T101&gt; -'DATI nascosti 2'!$C$8/6, "SI", "NO"))</f>
        <v>SI</v>
      </c>
      <c r="V101" s="67" t="str">
        <f>IF(Foglio3!G102&lt;1,IF(Foglio3!G102&gt;-1,"ROTTURA BILANCIATA",""),"")</f>
        <v/>
      </c>
    </row>
    <row r="102" spans="1:22" ht="19.5" thickBot="1" x14ac:dyDescent="0.3">
      <c r="A102" s="20"/>
      <c r="B102" s="112" t="s">
        <v>39</v>
      </c>
      <c r="C102" s="113">
        <f>'DATI nascosti 2'!$L$8*10^-3</f>
        <v>6.7500000000000004E-2</v>
      </c>
      <c r="D102" s="113">
        <f>D101-(C102-('DATI nascosti 2'!$C$10/'DATI nascosti 2'!$C$13*C102))/100</f>
        <v>2.6298701298700204E-3</v>
      </c>
      <c r="E102" s="112" t="s">
        <v>39</v>
      </c>
      <c r="F102" s="114">
        <f>(D102*'DATI nascosti 2'!$C$13-C102*'DATI nascosti 2'!$C$10)/(D102-C102)</f>
        <v>1.951058600632554E-12</v>
      </c>
      <c r="G102" s="115">
        <v>0</v>
      </c>
      <c r="H102" s="115">
        <v>0</v>
      </c>
      <c r="I102" s="115">
        <v>0</v>
      </c>
      <c r="J102" s="115">
        <v>0</v>
      </c>
      <c r="K102" s="116">
        <f>IF(D102&gt;=('DATI nascosti 2'!$L$10*10^-3),'DATI nascosti 2'!$L$14*'DATI nascosti 2'!$P$12,IF(D102&gt;=(-'DATI nascosti 2'!$L$10*10^-3),'DATI nascosti 2'!$L$16*D102*'DATI nascosti 2'!$P$12,-'DATI nascosti 2'!$L$14*'DATI nascosti 2'!$P$12))</f>
        <v>614659.43222408998</v>
      </c>
      <c r="L102" s="116">
        <v>0</v>
      </c>
      <c r="M102" s="116">
        <f>IF(C102&gt;=('DATI nascosti 2'!$L$10*10^-3),'DATI nascosti 2'!$L$14*'DATI nascosti 2'!$P$11,IF(C102&gt;=(-'DATI nascosti 2'!$L$10*10^-3),'DATI nascosti 2'!$P$11*'DATI nascosti 2'!$L$16*C102,-'DATI nascosti 2'!$L$14*'DATI nascosti 2'!$P$11))</f>
        <v>614659.43222408998</v>
      </c>
      <c r="N102" s="116">
        <f t="shared" si="2"/>
        <v>1229318.86444818</v>
      </c>
      <c r="O102" s="116">
        <f>-K102*('DATI nascosti 2'!$C$13/2)+M102*('DATI nascosti 2'!$C$13/2)</f>
        <v>0</v>
      </c>
      <c r="P102" s="285">
        <f>-'T2'!N102/10^3</f>
        <v>-1229.31886444818</v>
      </c>
      <c r="Q102" s="285">
        <f>'T2'!O102/10^6</f>
        <v>0</v>
      </c>
      <c r="R102" s="117">
        <f>-N102/('DATI nascosti 2'!$C$6*'DATI nascosti 2'!$C$13*'DATI nascosti 2'!$H$10*'DATI nascosti 2'!$H$16)</f>
        <v>-0.29581171389629707</v>
      </c>
      <c r="S102" s="117">
        <f>O102/('DATI nascosti 2'!$H$16*'DATI nascosti 2'!$C$6*'DATI nascosti 2'!$C$13^2*'DATI nascosti 2'!$H$10)</f>
        <v>0</v>
      </c>
      <c r="T102" s="118">
        <f t="shared" si="3"/>
        <v>0</v>
      </c>
      <c r="U102" s="112" t="str">
        <f>IF(T102&gt;=0, IF(T102&lt;='DATI nascosti 2'!$C$8/6, "SI", "NO"),IF(T102&gt; -'DATI nascosti 2'!$C$8/6, "SI", "NO"))</f>
        <v>SI</v>
      </c>
      <c r="V102" s="112" t="str">
        <f>IF(Foglio3!G103&lt;1,IF(Foglio3!G103&gt;-1,"ROTTURA BILANCIATA",""),"")</f>
        <v/>
      </c>
    </row>
    <row r="103" spans="1:22" ht="26.25" customHeight="1" x14ac:dyDescent="0.25">
      <c r="A103" s="349" t="s">
        <v>38</v>
      </c>
      <c r="B103" s="119">
        <v>0</v>
      </c>
      <c r="C103" s="119">
        <f>'DATI nascosti 2'!$L$8*10^-3</f>
        <v>6.7500000000000004E-2</v>
      </c>
      <c r="D103" s="120">
        <f>('DATI nascosti 2'!$C$10-F103)/('DATI nascosti 2'!$C$13-F103)*C103</f>
        <v>2.6298701298701301E-3</v>
      </c>
      <c r="E103" s="121" t="s">
        <v>39</v>
      </c>
      <c r="F103" s="122">
        <f>('DATI nascosti 2'!$C$13*B103)/(B103+C103)</f>
        <v>0</v>
      </c>
      <c r="G103" s="123">
        <f>(2*'DATI nascosti 2'!$H$10/(-'DATI nascosti 2'!$H$14)*((-B103*10^3)^2)/2)-('DATI nascosti 2'!$H$10/(-'DATI nascosti 2'!$H$14)^2*(-B103*10^3)^3/3)</f>
        <v>0</v>
      </c>
      <c r="H103" s="123">
        <f>(2*'DATI nascosti 2'!$H$10/(-'DATI nascosti 2'!$H$14)*((-B103*10^3)^3)/3)-('DATI nascosti 2'!$H$10/(-'DATI nascosti 2'!$H$14)^2*(-B103*10^3)^4/4)</f>
        <v>0</v>
      </c>
      <c r="I103" s="123">
        <f>G103/('DATI nascosti 2'!$H$10*(-'DATI nascosti 2'!$H$12))</f>
        <v>0</v>
      </c>
      <c r="J103" s="123">
        <v>0</v>
      </c>
      <c r="K103" s="124">
        <f>IF(D103&gt;=('DATI nascosti 2'!$L$10*10^-3),'DATI nascosti 2'!$L$14*'DATI nascosti 2'!$P$12,IF(D103&gt;=(-'DATI nascosti 2'!$L$10*10^-3),'DATI nascosti 2'!$L$16*D103*'DATI nascosti 2'!$P$12,-'DATI nascosti 2'!$L$14*'DATI nascosti 2'!$P$12))</f>
        <v>614659.43222408998</v>
      </c>
      <c r="L103" s="124">
        <f>-'DATI nascosti 2'!$H$16*'DATI nascosti 2'!$C$6*'DATI nascosti 2'!$H$10*F103*I103</f>
        <v>0</v>
      </c>
      <c r="M103" s="124">
        <f>IF(C103&gt;=('DATI nascosti 2'!$L$10*10^-3),'DATI nascosti 2'!$L$14*'DATI nascosti 2'!$P$11,IF(C103&gt;=(-'DATI nascosti 2'!$L$10*10^-3),'DATI nascosti 2'!$P$11*'DATI nascosti 2'!$L$16*C103,-'DATI nascosti 2'!$L$14*'DATI nascosti 2'!$P$11))</f>
        <v>614659.43222408998</v>
      </c>
      <c r="N103" s="124">
        <f t="shared" si="2"/>
        <v>1229318.86444818</v>
      </c>
      <c r="O103" s="124">
        <f>-L103*('DATI nascosti 2'!$C$8/2+-J103*F103)-K103*('DATI nascosti 2'!$C$13/2)+M103*('DATI nascosti 2'!$C$13/2)</f>
        <v>0</v>
      </c>
      <c r="P103" s="140">
        <f>-'T2'!N103/10^3</f>
        <v>-1229.31886444818</v>
      </c>
      <c r="Q103" s="140">
        <f>'T2'!O103/10^6</f>
        <v>0</v>
      </c>
      <c r="R103" s="125">
        <f>-N103/('DATI nascosti 2'!$C$6*'DATI nascosti 2'!$C$13*'DATI nascosti 2'!$H$10*'DATI nascosti 2'!$H$16)</f>
        <v>-0.29581171389629707</v>
      </c>
      <c r="S103" s="125">
        <f>O103/('DATI nascosti 2'!$H$16*'DATI nascosti 2'!$C$6*'DATI nascosti 2'!$C$13^2*'DATI nascosti 2'!$H$10)</f>
        <v>0</v>
      </c>
      <c r="T103" s="126">
        <f t="shared" si="3"/>
        <v>0</v>
      </c>
      <c r="U103" s="121" t="str">
        <f>IF(T103&gt;=0, IF(T103&lt;='DATI nascosti 2'!$C$8/6, "SI", "NO"),IF(T103&gt; -'DATI nascosti 2'!$C$8/6, "SI", "NO"))</f>
        <v>SI</v>
      </c>
      <c r="V103" s="121" t="str">
        <f>IF(Foglio3!G104&lt;1,IF(Foglio3!G104&gt;-1,"ROTTURA BILANCIATA",""),"")</f>
        <v/>
      </c>
    </row>
    <row r="104" spans="1:22" ht="18.75" x14ac:dyDescent="0.25">
      <c r="A104" s="349"/>
      <c r="B104" s="68">
        <v>-1E-4</v>
      </c>
      <c r="C104" s="68">
        <f>'DATI nascosti 2'!$L$8*10^-3</f>
        <v>6.7500000000000004E-2</v>
      </c>
      <c r="D104" s="68">
        <f>('DATI nascosti 2'!$C$10-F104)/('DATI nascosti 2'!$C$13-F104)*C104</f>
        <v>2.5337662337662236E-3</v>
      </c>
      <c r="E104" s="67" t="s">
        <v>39</v>
      </c>
      <c r="F104" s="69">
        <f>('DATI nascosti 2'!$C$13-'DATI nascosti 2'!$L$8*10^(-3)/('DATI nascosti 2'!$L$8*10^(-3)-B104)*'DATI nascosti 2'!$C$13)</f>
        <v>1.7085798816569877</v>
      </c>
      <c r="G104" s="70">
        <f>(2*'DATI nascosti 2'!$H$10/(-'DATI nascosti 2'!$H$14)*((-B104*10^3)^2)/2)-('DATI nascosti 2'!$H$10/(-'DATI nascosti 2'!$H$14)^2*(-B104*10^3)^3/3)</f>
        <v>6.9374166666666667E-2</v>
      </c>
      <c r="H104" s="70">
        <f>(2*'DATI nascosti 2'!$H$10/(-'DATI nascosti 2'!$H$14)*((-B104*10^3)^3)/3)-('DATI nascosti 2'!$H$10/(-'DATI nascosti 2'!$H$14)^2*(-B104*10^3)^4/4)</f>
        <v>4.6151458333333339E-3</v>
      </c>
      <c r="I104" s="70">
        <f>G104/('DATI nascosti 2'!$H$10*(-'DATI nascosti 2'!$H$12))</f>
        <v>1.404761904761905E-3</v>
      </c>
      <c r="J104" s="70">
        <f t="shared" ref="J104:J167" si="4">1-(H104/G104)/(-B104*10^3)</f>
        <v>0.3347457627118644</v>
      </c>
      <c r="K104" s="71">
        <f>IF(D104&gt;=('DATI nascosti 2'!$L$10*10^-3),'DATI nascosti 2'!$L$14*'DATI nascosti 2'!$P$12,IF(D104&gt;=(-'DATI nascosti 2'!$L$10*10^-3),'DATI nascosti 2'!$L$16*D104*'DATI nascosti 2'!$P$12,-'DATI nascosti 2'!$L$14*'DATI nascosti 2'!$P$12))</f>
        <v>614659.43222408998</v>
      </c>
      <c r="L104" s="71">
        <f>-'DATI nascosti 2'!$H$16*'DATI nascosti 2'!$C$6*'DATI nascosti 2'!$H$10*F104*I104</f>
        <v>-8.6358522559180848</v>
      </c>
      <c r="M104" s="71">
        <f>IF(C104&gt;=('DATI nascosti 2'!$L$10*10^-3),'DATI nascosti 2'!$L$14*'DATI nascosti 2'!$P$11,IF(C104&gt;=(-'DATI nascosti 2'!$L$10*10^-3),'DATI nascosti 2'!$P$11*'DATI nascosti 2'!$L$16*C104,-'DATI nascosti 2'!$L$14*'DATI nascosti 2'!$P$11))</f>
        <v>614659.43222408998</v>
      </c>
      <c r="N104" s="71">
        <f t="shared" si="2"/>
        <v>1229310.2285959241</v>
      </c>
      <c r="O104" s="71">
        <f>-L104*('DATI nascosti 2'!$C$8/2+-J104*F104)-K104*('DATI nascosti 2'!$C$13/2)+M104*('DATI nascosti 2'!$C$13/2)</f>
        <v>5176.5721653103828</v>
      </c>
      <c r="P104" s="69">
        <f>-'T2'!N104/10^3</f>
        <v>-1229.3102285959242</v>
      </c>
      <c r="Q104" s="69">
        <f>'T2'!O104/10^6</f>
        <v>5.1765721653103825E-3</v>
      </c>
      <c r="R104" s="72">
        <f>-N104/('DATI nascosti 2'!$C$6*'DATI nascosti 2'!$C$13*'DATI nascosti 2'!$H$10*'DATI nascosti 2'!$H$16)</f>
        <v>-0.29580963584614212</v>
      </c>
      <c r="S104" s="72">
        <f>O104/('DATI nascosti 2'!$H$16*'DATI nascosti 2'!$C$6*'DATI nascosti 2'!$C$13^2*'DATI nascosti 2'!$H$10)</f>
        <v>1.0784775525912017E-6</v>
      </c>
      <c r="T104" s="73">
        <f t="shared" si="3"/>
        <v>4.210956717754546E-3</v>
      </c>
      <c r="U104" s="67" t="str">
        <f>IF(T104&gt;=0, IF(T104&lt;='DATI nascosti 2'!$C$8/6, "SI", "NO"),IF(T104&gt; -'DATI nascosti 2'!$C$8/6, "SI", "NO"))</f>
        <v>SI</v>
      </c>
      <c r="V104" s="67" t="str">
        <f>IF(Foglio3!G105&lt;1,IF(Foglio3!G105&gt;-1,"ROTTURA BILANCIATA",""),"")</f>
        <v/>
      </c>
    </row>
    <row r="105" spans="1:22" ht="18.75" x14ac:dyDescent="0.25">
      <c r="A105" s="20"/>
      <c r="B105" s="68">
        <f t="shared" ref="B105:B138" si="5">B104-0.0001</f>
        <v>-2.0000000000000001E-4</v>
      </c>
      <c r="C105" s="68">
        <f>'DATI nascosti 2'!$L$8*10^-3</f>
        <v>6.7500000000000004E-2</v>
      </c>
      <c r="D105" s="68">
        <f>('DATI nascosti 2'!$C$10-F105)/('DATI nascosti 2'!$C$13-F105)*C105</f>
        <v>2.4376623376623284E-3</v>
      </c>
      <c r="E105" s="67" t="s">
        <v>39</v>
      </c>
      <c r="F105" s="69">
        <f>('DATI nascosti 2'!$C$13-'DATI nascosti 2'!$L$8*10^(-3)/('DATI nascosti 2'!$L$8*10^(-3)-B105)*'DATI nascosti 2'!$C$13)</f>
        <v>3.4121122599706268</v>
      </c>
      <c r="G105" s="70">
        <f>(2*'DATI nascosti 2'!$H$10/(-'DATI nascosti 2'!$H$14)*((-B105*10^3)^2)/2)-('DATI nascosti 2'!$H$10/(-'DATI nascosti 2'!$H$14)^2*(-B105*10^3)^3/3)</f>
        <v>0.27279333333333333</v>
      </c>
      <c r="H105" s="70">
        <f>(2*'DATI nascosti 2'!$H$10/(-'DATI nascosti 2'!$H$14)*((-B105*10^3)^3)/3)-('DATI nascosti 2'!$H$10/(-'DATI nascosti 2'!$H$14)^2*(-B105*10^3)^4/4)</f>
        <v>3.6215666666666667E-2</v>
      </c>
      <c r="I105" s="70">
        <f>G105/('DATI nascosti 2'!$H$10*(-'DATI nascosti 2'!$H$12))</f>
        <v>5.5238095238095246E-3</v>
      </c>
      <c r="J105" s="70">
        <f t="shared" si="4"/>
        <v>0.3362068965517242</v>
      </c>
      <c r="K105" s="71">
        <f>IF(D105&gt;=('DATI nascosti 2'!$L$10*10^-3),'DATI nascosti 2'!$L$14*'DATI nascosti 2'!$P$12,IF(D105&gt;=(-'DATI nascosti 2'!$L$10*10^-3),'DATI nascosti 2'!$L$16*D105*'DATI nascosti 2'!$P$12,-'DATI nascosti 2'!$L$14*'DATI nascosti 2'!$P$12))</f>
        <v>614659.43222408998</v>
      </c>
      <c r="L105" s="71">
        <f>-'DATI nascosti 2'!$H$16*'DATI nascosti 2'!$C$6*'DATI nascosti 2'!$H$10*F105*I105</f>
        <v>-67.815536189072773</v>
      </c>
      <c r="M105" s="71">
        <f>IF(C105&gt;=('DATI nascosti 2'!$L$10*10^-3),'DATI nascosti 2'!$L$14*'DATI nascosti 2'!$P$11,IF(C105&gt;=(-'DATI nascosti 2'!$L$10*10^-3),'DATI nascosti 2'!$P$11*'DATI nascosti 2'!$L$16*C105,-'DATI nascosti 2'!$L$14*'DATI nascosti 2'!$P$11))</f>
        <v>614659.43222408998</v>
      </c>
      <c r="N105" s="71">
        <f t="shared" si="2"/>
        <v>1229251.0489119908</v>
      </c>
      <c r="O105" s="71">
        <f>-L105*('DATI nascosti 2'!$C$8/2+-J105*F105)-K105*('DATI nascosti 2'!$C$13/2)+M105*('DATI nascosti 2'!$C$13/2)</f>
        <v>40611.525380015373</v>
      </c>
      <c r="P105" s="69">
        <f>-'T2'!N105/10^3</f>
        <v>-1229.2510489119909</v>
      </c>
      <c r="Q105" s="69">
        <f>'T2'!O105/10^6</f>
        <v>4.0611525380015376E-2</v>
      </c>
      <c r="R105" s="72">
        <f>-N105/('DATI nascosti 2'!$C$6*'DATI nascosti 2'!$C$13*'DATI nascosti 2'!$H$10*'DATI nascosti 2'!$H$16)</f>
        <v>-0.29579539540435079</v>
      </c>
      <c r="S105" s="72">
        <f>O105/('DATI nascosti 2'!$H$16*'DATI nascosti 2'!$C$6*'DATI nascosti 2'!$C$13^2*'DATI nascosti 2'!$H$10)</f>
        <v>8.4609307279324519E-6</v>
      </c>
      <c r="T105" s="73">
        <f t="shared" si="3"/>
        <v>3.3037617023764676E-2</v>
      </c>
      <c r="U105" s="67" t="str">
        <f>IF(T105&gt;=0, IF(T105&lt;='DATI nascosti 2'!$C$8/6, "SI", "NO"),IF(T105&gt; -'DATI nascosti 2'!$C$8/6, "SI", "NO"))</f>
        <v>SI</v>
      </c>
      <c r="V105" s="67" t="str">
        <f>IF(Foglio3!G106&lt;1,IF(Foglio3!G106&gt;-1,"ROTTURA BILANCIATA",""),"")</f>
        <v/>
      </c>
    </row>
    <row r="106" spans="1:22" ht="18.75" x14ac:dyDescent="0.25">
      <c r="A106" s="20"/>
      <c r="B106" s="68">
        <f t="shared" si="5"/>
        <v>-3.0000000000000003E-4</v>
      </c>
      <c r="C106" s="68">
        <f>'DATI nascosti 2'!$L$8*10^-3</f>
        <v>6.7500000000000004E-2</v>
      </c>
      <c r="D106" s="68">
        <f>('DATI nascosti 2'!$C$10-F106)/('DATI nascosti 2'!$C$13-F106)*C106</f>
        <v>2.3415584415584466E-3</v>
      </c>
      <c r="E106" s="67" t="s">
        <v>39</v>
      </c>
      <c r="F106" s="69">
        <f>('DATI nascosti 2'!$C$13-'DATI nascosti 2'!$L$8*10^(-3)/('DATI nascosti 2'!$L$8*10^(-3)-B106)*'DATI nascosti 2'!$C$13)</f>
        <v>5.1106194690264601</v>
      </c>
      <c r="G106" s="70">
        <f>(2*'DATI nascosti 2'!$H$10/(-'DATI nascosti 2'!$H$14)*((-B106*10^3)^2)/2)-('DATI nascosti 2'!$H$10/(-'DATI nascosti 2'!$H$14)^2*(-B106*10^3)^3/3)</f>
        <v>0.60320249999999997</v>
      </c>
      <c r="H106" s="70">
        <f>(2*'DATI nascosti 2'!$H$10/(-'DATI nascosti 2'!$H$14)*((-B106*10^3)^3)/3)-('DATI nascosti 2'!$H$10/(-'DATI nascosti 2'!$H$14)^2*(-B106*10^3)^4/4)</f>
        <v>0.11984681250000001</v>
      </c>
      <c r="I106" s="70">
        <f>G106/('DATI nascosti 2'!$H$10*(-'DATI nascosti 2'!$H$12))</f>
        <v>1.2214285714285716E-2</v>
      </c>
      <c r="J106" s="70">
        <f t="shared" si="4"/>
        <v>0.33771929824561397</v>
      </c>
      <c r="K106" s="71">
        <f>IF(D106&gt;=('DATI nascosti 2'!$L$10*10^-3),'DATI nascosti 2'!$L$14*'DATI nascosti 2'!$P$12,IF(D106&gt;=(-'DATI nascosti 2'!$L$10*10^-3),'DATI nascosti 2'!$L$16*D106*'DATI nascosti 2'!$P$12,-'DATI nascosti 2'!$L$14*'DATI nascosti 2'!$P$12))</f>
        <v>614659.43222408998</v>
      </c>
      <c r="L106" s="71">
        <f>-'DATI nascosti 2'!$H$16*'DATI nascosti 2'!$C$6*'DATI nascosti 2'!$H$10*F106*I106</f>
        <v>-224.59951493362439</v>
      </c>
      <c r="M106" s="71">
        <f>IF(C106&gt;=('DATI nascosti 2'!$L$10*10^-3),'DATI nascosti 2'!$L$14*'DATI nascosti 2'!$P$11,IF(C106&gt;=(-'DATI nascosti 2'!$L$10*10^-3),'DATI nascosti 2'!$P$11*'DATI nascosti 2'!$L$16*C106,-'DATI nascosti 2'!$L$14*'DATI nascosti 2'!$P$11))</f>
        <v>614659.43222408998</v>
      </c>
      <c r="N106" s="71">
        <f t="shared" si="2"/>
        <v>1229094.2649332462</v>
      </c>
      <c r="O106" s="71">
        <f>-L106*('DATI nascosti 2'!$C$8/2+-J106*F106)-K106*('DATI nascosti 2'!$C$13/2)+M106*('DATI nascosti 2'!$C$13/2)</f>
        <v>134372.06034463644</v>
      </c>
      <c r="P106" s="69">
        <f>-'T2'!N106/10^3</f>
        <v>-1229.0942649332462</v>
      </c>
      <c r="Q106" s="69">
        <f>'T2'!O106/10^6</f>
        <v>0.13437206034463645</v>
      </c>
      <c r="R106" s="72">
        <f>-N106/('DATI nascosti 2'!$C$6*'DATI nascosti 2'!$C$13*'DATI nascosti 2'!$H$10*'DATI nascosti 2'!$H$16)</f>
        <v>-0.29575766838428691</v>
      </c>
      <c r="S106" s="72">
        <f>O106/('DATI nascosti 2'!$H$16*'DATI nascosti 2'!$C$6*'DATI nascosti 2'!$C$13^2*'DATI nascosti 2'!$H$10)</f>
        <v>2.7994828652877798E-5</v>
      </c>
      <c r="T106" s="73">
        <f t="shared" si="3"/>
        <v>0.10932608195998243</v>
      </c>
      <c r="U106" s="67" t="str">
        <f>IF(T106&gt;=0, IF(T106&lt;='DATI nascosti 2'!$C$8/6, "SI", "NO"),IF(T106&gt; -'DATI nascosti 2'!$C$8/6, "SI", "NO"))</f>
        <v>SI</v>
      </c>
      <c r="V106" s="67" t="str">
        <f>IF(Foglio3!G107&lt;1,IF(Foglio3!G107&gt;-1,"ROTTURA BILANCIATA",""),"")</f>
        <v/>
      </c>
    </row>
    <row r="107" spans="1:22" ht="18.75" x14ac:dyDescent="0.25">
      <c r="A107" s="20"/>
      <c r="B107" s="68">
        <f t="shared" si="5"/>
        <v>-4.0000000000000002E-4</v>
      </c>
      <c r="C107" s="68">
        <f>'DATI nascosti 2'!$L$8*10^-3</f>
        <v>6.7500000000000004E-2</v>
      </c>
      <c r="D107" s="68">
        <f>('DATI nascosti 2'!$C$10-F107)/('DATI nascosti 2'!$C$13-F107)*C107</f>
        <v>2.2454545454545431E-3</v>
      </c>
      <c r="E107" s="67" t="s">
        <v>39</v>
      </c>
      <c r="F107" s="69">
        <f>('DATI nascosti 2'!$C$13-'DATI nascosti 2'!$L$8*10^(-3)/('DATI nascosti 2'!$L$8*10^(-3)-B107)*'DATI nascosti 2'!$C$13)</f>
        <v>6.8041237113402531</v>
      </c>
      <c r="G107" s="70">
        <f>(2*'DATI nascosti 2'!$H$10/(-'DATI nascosti 2'!$H$14)*((-B107*10^3)^2)/2)-('DATI nascosti 2'!$H$10/(-'DATI nascosti 2'!$H$14)^2*(-B107*10^3)^3/3)</f>
        <v>1.0535466666666666</v>
      </c>
      <c r="H107" s="70">
        <f>(2*'DATI nascosti 2'!$H$10/(-'DATI nascosti 2'!$H$14)*((-B107*10^3)^3)/3)-('DATI nascosti 2'!$H$10/(-'DATI nascosti 2'!$H$14)^2*(-B107*10^3)^4/4)</f>
        <v>0.27843733333333337</v>
      </c>
      <c r="I107" s="70">
        <f>G107/('DATI nascosti 2'!$H$10*(-'DATI nascosti 2'!$H$12))</f>
        <v>2.1333333333333336E-2</v>
      </c>
      <c r="J107" s="70">
        <f t="shared" si="4"/>
        <v>0.33928571428571419</v>
      </c>
      <c r="K107" s="71">
        <f>IF(D107&gt;=('DATI nascosti 2'!$L$10*10^-3),'DATI nascosti 2'!$L$14*'DATI nascosti 2'!$P$12,IF(D107&gt;=(-'DATI nascosti 2'!$L$10*10^-3),'DATI nascosti 2'!$L$16*D107*'DATI nascosti 2'!$P$12,-'DATI nascosti 2'!$L$14*'DATI nascosti 2'!$P$12))</f>
        <v>614659.43222408998</v>
      </c>
      <c r="L107" s="71">
        <f>-'DATI nascosti 2'!$H$16*'DATI nascosti 2'!$C$6*'DATI nascosti 2'!$H$10*F107*I107</f>
        <v>-522.27364948453965</v>
      </c>
      <c r="M107" s="71">
        <f>IF(C107&gt;=('DATI nascosti 2'!$L$10*10^-3),'DATI nascosti 2'!$L$14*'DATI nascosti 2'!$P$11,IF(C107&gt;=(-'DATI nascosti 2'!$L$10*10^-3),'DATI nascosti 2'!$P$11*'DATI nascosti 2'!$L$16*C107,-'DATI nascosti 2'!$L$14*'DATI nascosti 2'!$P$11))</f>
        <v>614659.43222408998</v>
      </c>
      <c r="N107" s="71">
        <f t="shared" si="2"/>
        <v>1228796.5907986956</v>
      </c>
      <c r="O107" s="71">
        <f>-L107*('DATI nascosti 2'!$C$8/2+-J107*F107)-K107*('DATI nascosti 2'!$C$13/2)+M107*('DATI nascosti 2'!$C$13/2)</f>
        <v>312158.49904924631</v>
      </c>
      <c r="P107" s="69">
        <f>-'T2'!N107/10^3</f>
        <v>-1228.7965907986957</v>
      </c>
      <c r="Q107" s="69">
        <f>'T2'!O107/10^6</f>
        <v>0.31215849904924631</v>
      </c>
      <c r="R107" s="72">
        <f>-N107/('DATI nascosti 2'!$C$6*'DATI nascosti 2'!$C$13*'DATI nascosti 2'!$H$10*'DATI nascosti 2'!$H$16)</f>
        <v>-0.29568603888402417</v>
      </c>
      <c r="S107" s="72">
        <f>O107/('DATI nascosti 2'!$H$16*'DATI nascosti 2'!$C$6*'DATI nascosti 2'!$C$13^2*'DATI nascosti 2'!$H$10)</f>
        <v>6.5034529283914373E-5</v>
      </c>
      <c r="T107" s="73">
        <f t="shared" si="3"/>
        <v>0.2540359416576416</v>
      </c>
      <c r="U107" s="67" t="str">
        <f>IF(T107&gt;=0, IF(T107&lt;='DATI nascosti 2'!$C$8/6, "SI", "NO"),IF(T107&gt; -'DATI nascosti 2'!$C$8/6, "SI", "NO"))</f>
        <v>SI</v>
      </c>
      <c r="V107" s="67" t="str">
        <f>IF(Foglio3!G108&lt;1,IF(Foglio3!G108&gt;-1,"ROTTURA BILANCIATA",""),"")</f>
        <v/>
      </c>
    </row>
    <row r="108" spans="1:22" ht="18.75" x14ac:dyDescent="0.25">
      <c r="A108" s="20"/>
      <c r="B108" s="68">
        <f t="shared" si="5"/>
        <v>-5.0000000000000001E-4</v>
      </c>
      <c r="C108" s="68">
        <f>'DATI nascosti 2'!$L$8*10^-3</f>
        <v>6.7500000000000004E-2</v>
      </c>
      <c r="D108" s="68">
        <f>('DATI nascosti 2'!$C$10-F108)/('DATI nascosti 2'!$C$13-F108)*C108</f>
        <v>2.1493506493506557E-3</v>
      </c>
      <c r="E108" s="67" t="s">
        <v>39</v>
      </c>
      <c r="F108" s="69">
        <f>('DATI nascosti 2'!$C$13-'DATI nascosti 2'!$L$8*10^(-3)/('DATI nascosti 2'!$L$8*10^(-3)-B108)*'DATI nascosti 2'!$C$13)</f>
        <v>8.4926470588234224</v>
      </c>
      <c r="G108" s="70">
        <f>(2*'DATI nascosti 2'!$H$10/(-'DATI nascosti 2'!$H$14)*((-B108*10^3)^2)/2)-('DATI nascosti 2'!$H$10/(-'DATI nascosti 2'!$H$14)^2*(-B108*10^3)^3/3)</f>
        <v>1.616770833333333</v>
      </c>
      <c r="H108" s="70">
        <f>(2*'DATI nascosti 2'!$H$10/(-'DATI nascosti 2'!$H$14)*((-B108*10^3)^3)/3)-('DATI nascosti 2'!$H$10/(-'DATI nascosti 2'!$H$14)^2*(-B108*10^3)^4/4)</f>
        <v>0.53279947916666659</v>
      </c>
      <c r="I108" s="70">
        <f>G108/('DATI nascosti 2'!$H$10*(-'DATI nascosti 2'!$H$12))</f>
        <v>3.273809523809524E-2</v>
      </c>
      <c r="J108" s="70">
        <f t="shared" si="4"/>
        <v>0.34090909090909094</v>
      </c>
      <c r="K108" s="71">
        <f>IF(D108&gt;=('DATI nascosti 2'!$L$10*10^-3),'DATI nascosti 2'!$L$14*'DATI nascosti 2'!$P$12,IF(D108&gt;=(-'DATI nascosti 2'!$L$10*10^-3),'DATI nascosti 2'!$L$16*D108*'DATI nascosti 2'!$P$12,-'DATI nascosti 2'!$L$14*'DATI nascosti 2'!$P$12))</f>
        <v>614659.43222408998</v>
      </c>
      <c r="L108" s="71">
        <f>-'DATI nascosti 2'!$H$16*'DATI nascosti 2'!$C$6*'DATI nascosti 2'!$H$10*F108*I108</f>
        <v>-1000.3769531249872</v>
      </c>
      <c r="M108" s="71">
        <f>IF(C108&gt;=('DATI nascosti 2'!$L$10*10^-3),'DATI nascosti 2'!$L$14*'DATI nascosti 2'!$P$11,IF(C108&gt;=(-'DATI nascosti 2'!$L$10*10^-3),'DATI nascosti 2'!$P$11*'DATI nascosti 2'!$L$16*C108,-'DATI nascosti 2'!$L$14*'DATI nascosti 2'!$P$11))</f>
        <v>614659.43222408998</v>
      </c>
      <c r="N108" s="71">
        <f t="shared" si="2"/>
        <v>1228318.487495055</v>
      </c>
      <c r="O108" s="71">
        <f>-L108*('DATI nascosti 2'!$C$8/2+-J108*F108)-K108*('DATI nascosti 2'!$C$13/2)+M108*('DATI nascosti 2'!$C$13/2)</f>
        <v>597329.85992431641</v>
      </c>
      <c r="P108" s="69">
        <f>-'T2'!N108/10^3</f>
        <v>-1228.318487495055</v>
      </c>
      <c r="Q108" s="69">
        <f>'T2'!O108/10^6</f>
        <v>0.59732985992431642</v>
      </c>
      <c r="R108" s="72">
        <f>-N108/('DATI nascosti 2'!$C$6*'DATI nascosti 2'!$C$13*'DATI nascosti 2'!$H$10*'DATI nascosti 2'!$H$16)</f>
        <v>-0.29557099260778164</v>
      </c>
      <c r="S108" s="72">
        <f>O108/('DATI nascosti 2'!$H$16*'DATI nascosti 2'!$C$6*'DATI nascosti 2'!$C$13^2*'DATI nascosti 2'!$H$10)</f>
        <v>1.2444660768719254E-4</v>
      </c>
      <c r="T108" s="73">
        <f t="shared" si="3"/>
        <v>0.48629884350472352</v>
      </c>
      <c r="U108" s="67" t="str">
        <f>IF(T108&gt;=0, IF(T108&lt;='DATI nascosti 2'!$C$8/6, "SI", "NO"),IF(T108&gt; -'DATI nascosti 2'!$C$8/6, "SI", "NO"))</f>
        <v>SI</v>
      </c>
      <c r="V108" s="67" t="str">
        <f>IF(Foglio3!G109&lt;1,IF(Foglio3!G109&gt;-1,"ROTTURA BILANCIATA",""),"")</f>
        <v/>
      </c>
    </row>
    <row r="109" spans="1:22" ht="18.75" x14ac:dyDescent="0.25">
      <c r="A109" s="20"/>
      <c r="B109" s="68">
        <f t="shared" si="5"/>
        <v>-6.0000000000000006E-4</v>
      </c>
      <c r="C109" s="68">
        <f>'DATI nascosti 2'!$L$8*10^-3</f>
        <v>6.7500000000000004E-2</v>
      </c>
      <c r="D109" s="68">
        <f>('DATI nascosti 2'!$C$10-F109)/('DATI nascosti 2'!$C$13-F109)*C109</f>
        <v>2.0532467532467474E-3</v>
      </c>
      <c r="E109" s="67" t="s">
        <v>39</v>
      </c>
      <c r="F109" s="69">
        <f>('DATI nascosti 2'!$C$13-'DATI nascosti 2'!$L$8*10^(-3)/('DATI nascosti 2'!$L$8*10^(-3)-B109)*'DATI nascosti 2'!$C$13)</f>
        <v>10.1762114537446</v>
      </c>
      <c r="G109" s="70">
        <f>(2*'DATI nascosti 2'!$H$10/(-'DATI nascosti 2'!$H$14)*((-B109*10^3)^2)/2)-('DATI nascosti 2'!$H$10/(-'DATI nascosti 2'!$H$14)^2*(-B109*10^3)^3/3)</f>
        <v>2.2858200000000002</v>
      </c>
      <c r="H109" s="70">
        <f>(2*'DATI nascosti 2'!$H$10/(-'DATI nascosti 2'!$H$14)*((-B109*10^3)^3)/3)-('DATI nascosti 2'!$H$10/(-'DATI nascosti 2'!$H$14)^2*(-B109*10^3)^4/4)</f>
        <v>0.90162900000000012</v>
      </c>
      <c r="I109" s="70">
        <f>G109/('DATI nascosti 2'!$H$10*(-'DATI nascosti 2'!$H$12))</f>
        <v>4.6285714285714298E-2</v>
      </c>
      <c r="J109" s="70">
        <f t="shared" si="4"/>
        <v>0.34259259259259267</v>
      </c>
      <c r="K109" s="71">
        <f>IF(D109&gt;=('DATI nascosti 2'!$L$10*10^-3),'DATI nascosti 2'!$L$14*'DATI nascosti 2'!$P$12,IF(D109&gt;=(-'DATI nascosti 2'!$L$10*10^-3),'DATI nascosti 2'!$L$16*D109*'DATI nascosti 2'!$P$12,-'DATI nascosti 2'!$L$14*'DATI nascosti 2'!$P$12))</f>
        <v>614659.43222408998</v>
      </c>
      <c r="L109" s="71">
        <f>-'DATI nascosti 2'!$H$16*'DATI nascosti 2'!$C$6*'DATI nascosti 2'!$H$10*F109*I109</f>
        <v>-1694.7291013216038</v>
      </c>
      <c r="M109" s="71">
        <f>IF(C109&gt;=('DATI nascosti 2'!$L$10*10^-3),'DATI nascosti 2'!$L$14*'DATI nascosti 2'!$P$11,IF(C109&gt;=(-'DATI nascosti 2'!$L$10*10^-3),'DATI nascosti 2'!$P$11*'DATI nascosti 2'!$L$16*C109,-'DATI nascosti 2'!$L$14*'DATI nascosti 2'!$P$11))</f>
        <v>614659.43222408998</v>
      </c>
      <c r="N109" s="71">
        <f t="shared" si="2"/>
        <v>1227624.1353468583</v>
      </c>
      <c r="O109" s="71">
        <f>-L109*('DATI nascosti 2'!$C$8/2+-J109*F109)-K109*('DATI nascosti 2'!$C$13/2)+M109*('DATI nascosti 2'!$C$13/2)</f>
        <v>1010929.1357688904</v>
      </c>
      <c r="P109" s="69">
        <f>-'T2'!N109/10^3</f>
        <v>-1227.6241353468583</v>
      </c>
      <c r="Q109" s="69">
        <f>'T2'!O109/10^6</f>
        <v>1.0109291357688903</v>
      </c>
      <c r="R109" s="72">
        <f>-N109/('DATI nascosti 2'!$C$6*'DATI nascosti 2'!$C$13*'DATI nascosti 2'!$H$10*'DATI nascosti 2'!$H$16)</f>
        <v>-0.29540391024620266</v>
      </c>
      <c r="S109" s="72">
        <f>O109/('DATI nascosti 2'!$H$16*'DATI nascosti 2'!$C$6*'DATI nascosti 2'!$C$13^2*'DATI nascosti 2'!$H$10)</f>
        <v>2.1061512239572926E-4</v>
      </c>
      <c r="T109" s="73">
        <f t="shared" si="3"/>
        <v>0.82348424624549932</v>
      </c>
      <c r="U109" s="67" t="str">
        <f>IF(T109&gt;=0, IF(T109&lt;='DATI nascosti 2'!$C$8/6, "SI", "NO"),IF(T109&gt; -'DATI nascosti 2'!$C$8/6, "SI", "NO"))</f>
        <v>SI</v>
      </c>
      <c r="V109" s="67" t="str">
        <f>IF(Foglio3!G110&lt;1,IF(Foglio3!G110&gt;-1,"ROTTURA BILANCIATA",""),"")</f>
        <v/>
      </c>
    </row>
    <row r="110" spans="1:22" ht="18.75" x14ac:dyDescent="0.25">
      <c r="A110" s="20"/>
      <c r="B110" s="68">
        <f t="shared" si="5"/>
        <v>-7.000000000000001E-4</v>
      </c>
      <c r="C110" s="68">
        <f>'DATI nascosti 2'!$L$8*10^-3</f>
        <v>6.7500000000000004E-2</v>
      </c>
      <c r="D110" s="68">
        <f>('DATI nascosti 2'!$C$10-F110)/('DATI nascosti 2'!$C$13-F110)*C110</f>
        <v>1.9571428571428496E-3</v>
      </c>
      <c r="E110" s="67" t="s">
        <v>39</v>
      </c>
      <c r="F110" s="69">
        <f>('DATI nascosti 2'!$C$13-'DATI nascosti 2'!$L$8*10^(-3)/('DATI nascosti 2'!$L$8*10^(-3)-B110)*'DATI nascosti 2'!$C$13)</f>
        <v>11.854838709677551</v>
      </c>
      <c r="G110" s="70">
        <f>(2*'DATI nascosti 2'!$H$10/(-'DATI nascosti 2'!$H$14)*((-B110*10^3)^2)/2)-('DATI nascosti 2'!$H$10/(-'DATI nascosti 2'!$H$14)^2*(-B110*10^3)^3/3)</f>
        <v>3.0536391666666667</v>
      </c>
      <c r="H110" s="70">
        <f>(2*'DATI nascosti 2'!$H$10/(-'DATI nascosti 2'!$H$14)*((-B110*10^3)^3)/3)-('DATI nascosti 2'!$H$10/(-'DATI nascosti 2'!$H$14)^2*(-B110*10^3)^4/4)</f>
        <v>1.4015051458333334</v>
      </c>
      <c r="I110" s="70">
        <f>G110/('DATI nascosti 2'!$H$10*(-'DATI nascosti 2'!$H$12))</f>
        <v>6.1833333333333344E-2</v>
      </c>
      <c r="J110" s="70">
        <f t="shared" si="4"/>
        <v>0.34433962264150941</v>
      </c>
      <c r="K110" s="71">
        <f>IF(D110&gt;=('DATI nascosti 2'!$L$10*10^-3),'DATI nascosti 2'!$L$14*'DATI nascosti 2'!$P$12,IF(D110&gt;=(-'DATI nascosti 2'!$L$10*10^-3),'DATI nascosti 2'!$L$16*D110*'DATI nascosti 2'!$P$12,-'DATI nascosti 2'!$L$14*'DATI nascosti 2'!$P$12))</f>
        <v>614659.43222408998</v>
      </c>
      <c r="L110" s="71">
        <f>-'DATI nascosti 2'!$H$16*'DATI nascosti 2'!$C$6*'DATI nascosti 2'!$H$10*F110*I110</f>
        <v>-2637.4576995968036</v>
      </c>
      <c r="M110" s="71">
        <f>IF(C110&gt;=('DATI nascosti 2'!$L$10*10^-3),'DATI nascosti 2'!$L$14*'DATI nascosti 2'!$P$11,IF(C110&gt;=(-'DATI nascosti 2'!$L$10*10^-3),'DATI nascosti 2'!$P$11*'DATI nascosti 2'!$L$16*C110,-'DATI nascosti 2'!$L$14*'DATI nascosti 2'!$P$11))</f>
        <v>614659.43222408998</v>
      </c>
      <c r="N110" s="71">
        <f t="shared" si="2"/>
        <v>1226681.4067485831</v>
      </c>
      <c r="O110" s="71">
        <f>-L110*('DATI nascosti 2'!$C$8/2+-J110*F110)-K110*('DATI nascosti 2'!$C$13/2)+M110*('DATI nascosti 2'!$C$13/2)</f>
        <v>1571708.2782431841</v>
      </c>
      <c r="P110" s="69">
        <f>-'T2'!N110/10^3</f>
        <v>-1226.6814067485832</v>
      </c>
      <c r="Q110" s="69">
        <f>'T2'!O110/10^6</f>
        <v>1.5717082782431842</v>
      </c>
      <c r="R110" s="72">
        <f>-N110/('DATI nascosti 2'!$C$6*'DATI nascosti 2'!$C$13*'DATI nascosti 2'!$H$10*'DATI nascosti 2'!$H$16)</f>
        <v>-0.29517706091486984</v>
      </c>
      <c r="S110" s="72">
        <f>O110/('DATI nascosti 2'!$H$16*'DATI nascosti 2'!$C$6*'DATI nascosti 2'!$C$13^2*'DATI nascosti 2'!$H$10)</f>
        <v>3.2744682063278195E-4</v>
      </c>
      <c r="T110" s="73">
        <f t="shared" si="3"/>
        <v>1.2812685262827308</v>
      </c>
      <c r="U110" s="67" t="str">
        <f>IF(T110&gt;=0, IF(T110&lt;='DATI nascosti 2'!$C$8/6, "SI", "NO"),IF(T110&gt; -'DATI nascosti 2'!$C$8/6, "SI", "NO"))</f>
        <v>SI</v>
      </c>
      <c r="V110" s="67" t="str">
        <f>IF(Foglio3!G111&lt;1,IF(Foglio3!G111&gt;-1,"ROTTURA BILANCIATA",""),"")</f>
        <v/>
      </c>
    </row>
    <row r="111" spans="1:22" ht="18.75" x14ac:dyDescent="0.25">
      <c r="A111" s="20"/>
      <c r="B111" s="68">
        <f t="shared" si="5"/>
        <v>-8.0000000000000015E-4</v>
      </c>
      <c r="C111" s="68">
        <f>'DATI nascosti 2'!$L$8*10^-3</f>
        <v>6.7500000000000004E-2</v>
      </c>
      <c r="D111" s="76">
        <f>('DATI nascosti 2'!$C$10-F111)/('DATI nascosti 2'!$C$13-F111)*C111</f>
        <v>1.8610389610389663E-3</v>
      </c>
      <c r="E111" s="77" t="s">
        <v>39</v>
      </c>
      <c r="F111" s="78">
        <f>('DATI nascosti 2'!$C$13-'DATI nascosti 2'!$L$8*10^(-3)/('DATI nascosti 2'!$L$8*10^(-3)-B111)*'DATI nascosti 2'!$C$13)</f>
        <v>13.528550512445008</v>
      </c>
      <c r="G111" s="72">
        <f>(2*'DATI nascosti 2'!$H$10/(-'DATI nascosti 2'!$H$14)*((-B111*10^3)^2)/2)-('DATI nascosti 2'!$H$10/(-'DATI nascosti 2'!$H$14)^2*(-B111*10^3)^3/3)</f>
        <v>3.9131733333333343</v>
      </c>
      <c r="H111" s="70">
        <f>(2*'DATI nascosti 2'!$H$10/(-'DATI nascosti 2'!$H$14)*((-B111*10^3)^3)/3)-('DATI nascosti 2'!$H$10/(-'DATI nascosti 2'!$H$14)^2*(-B111*10^3)^4/4)</f>
        <v>2.0468906666666671</v>
      </c>
      <c r="I111" s="70">
        <f>G111/('DATI nascosti 2'!$H$10*(-'DATI nascosti 2'!$H$12))</f>
        <v>7.9238095238095274E-2</v>
      </c>
      <c r="J111" s="70">
        <f t="shared" si="4"/>
        <v>0.34615384615384626</v>
      </c>
      <c r="K111" s="71">
        <f>IF(D111&gt;=('DATI nascosti 2'!$L$10*10^-3),'DATI nascosti 2'!$L$14*'DATI nascosti 2'!$P$12,IF(D111&gt;=(-'DATI nascosti 2'!$L$10*10^-3),'DATI nascosti 2'!$L$16*D111*'DATI nascosti 2'!$P$12,-'DATI nascosti 2'!$L$14*'DATI nascosti 2'!$P$12))</f>
        <v>611713.98456637503</v>
      </c>
      <c r="L111" s="71">
        <f>-'DATI nascosti 2'!$H$16*'DATI nascosti 2'!$C$6*'DATI nascosti 2'!$H$10*F111*I111</f>
        <v>-3857.0253118594196</v>
      </c>
      <c r="M111" s="71">
        <f>IF(C111&gt;=('DATI nascosti 2'!$L$10*10^-3),'DATI nascosti 2'!$L$14*'DATI nascosti 2'!$P$11,IF(C111&gt;=(-'DATI nascosti 2'!$L$10*10^-3),'DATI nascosti 2'!$P$11*'DATI nascosti 2'!$L$16*C111,-'DATI nascosti 2'!$L$14*'DATI nascosti 2'!$P$11))</f>
        <v>614659.43222408998</v>
      </c>
      <c r="N111" s="71">
        <f t="shared" si="2"/>
        <v>1222516.3914786056</v>
      </c>
      <c r="O111" s="71">
        <f>-L111*('DATI nascosti 2'!$C$8/2+-J111*F111)-K111*('DATI nascosti 2'!$C$13/2)+M111*('DATI nascosti 2'!$C$13/2)</f>
        <v>3997148.9149909019</v>
      </c>
      <c r="P111" s="69">
        <f>-'T2'!N111/10^3</f>
        <v>-1222.5163914786056</v>
      </c>
      <c r="Q111" s="69">
        <f>'T2'!O111/10^6</f>
        <v>3.9971489149909019</v>
      </c>
      <c r="R111" s="72">
        <f>-N111/('DATI nascosti 2'!$C$6*'DATI nascosti 2'!$C$13*'DATI nascosti 2'!$H$10*'DATI nascosti 2'!$H$16)</f>
        <v>-0.29417483086614338</v>
      </c>
      <c r="S111" s="72">
        <f>O111/('DATI nascosti 2'!$H$16*'DATI nascosti 2'!$C$6*'DATI nascosti 2'!$C$13^2*'DATI nascosti 2'!$H$10)</f>
        <v>8.3275867533926114E-4</v>
      </c>
      <c r="T111" s="73">
        <f t="shared" si="3"/>
        <v>3.2696076247750283</v>
      </c>
      <c r="U111" s="67" t="str">
        <f>IF(T111&gt;=0, IF(T111&lt;='DATI nascosti 2'!$C$8/6, "SI", "NO"),IF(T111&gt; -'DATI nascosti 2'!$C$8/6, "SI", "NO"))</f>
        <v>SI</v>
      </c>
      <c r="V111" s="67" t="str">
        <f>IF(Foglio3!G112&lt;1,IF(Foglio3!G112&gt;-1,"ROTTURA BILANCIATA",""),"")</f>
        <v/>
      </c>
    </row>
    <row r="112" spans="1:22" ht="18.75" x14ac:dyDescent="0.25">
      <c r="A112" s="20"/>
      <c r="B112" s="68">
        <f t="shared" si="5"/>
        <v>-9.0000000000000019E-4</v>
      </c>
      <c r="C112" s="68">
        <f>'DATI nascosti 2'!$L$8*10^-3</f>
        <v>6.7500000000000004E-2</v>
      </c>
      <c r="D112" s="68">
        <f>('DATI nascosti 2'!$C$10-F112)/('DATI nascosti 2'!$C$13-F112)*C112</f>
        <v>1.7649350649350734E-3</v>
      </c>
      <c r="E112" s="67" t="s">
        <v>39</v>
      </c>
      <c r="F112" s="69">
        <f>('DATI nascosti 2'!$C$13-'DATI nascosti 2'!$L$8*10^(-3)/('DATI nascosti 2'!$L$8*10^(-3)-B112)*'DATI nascosti 2'!$C$13)</f>
        <v>15.197368421052488</v>
      </c>
      <c r="G112" s="70">
        <f>(2*'DATI nascosti 2'!$H$10/(-'DATI nascosti 2'!$H$14)*((-B112*10^3)^2)/2)-('DATI nascosti 2'!$H$10/(-'DATI nascosti 2'!$H$14)^2*(-B112*10^3)^3/3)</f>
        <v>4.8573675000000014</v>
      </c>
      <c r="H112" s="70">
        <f>(2*'DATI nascosti 2'!$H$10/(-'DATI nascosti 2'!$H$14)*((-B112*10^3)^3)/3)-('DATI nascosti 2'!$H$10/(-'DATI nascosti 2'!$H$14)^2*(-B112*10^3)^4/4)</f>
        <v>2.8501318125000017</v>
      </c>
      <c r="I112" s="70">
        <f>G112/('DATI nascosti 2'!$H$10*(-'DATI nascosti 2'!$H$12))</f>
        <v>9.8357142857142907E-2</v>
      </c>
      <c r="J112" s="70">
        <f t="shared" si="4"/>
        <v>0.34803921568627449</v>
      </c>
      <c r="K112" s="71">
        <f>IF(D112&gt;=('DATI nascosti 2'!$L$10*10^-3),'DATI nascosti 2'!$L$14*'DATI nascosti 2'!$P$12,IF(D112&gt;=(-'DATI nascosti 2'!$L$10*10^-3),'DATI nascosti 2'!$L$16*D112*'DATI nascosti 2'!$P$12,-'DATI nascosti 2'!$L$14*'DATI nascosti 2'!$P$12))</f>
        <v>580125.12562854518</v>
      </c>
      <c r="L112" s="71">
        <f>-'DATI nascosti 2'!$H$16*'DATI nascosti 2'!$C$6*'DATI nascosti 2'!$H$10*F112*I112</f>
        <v>-5378.2562516446878</v>
      </c>
      <c r="M112" s="71">
        <f>IF(C112&gt;=('DATI nascosti 2'!$L$10*10^-3),'DATI nascosti 2'!$L$14*'DATI nascosti 2'!$P$11,IF(C112&gt;=(-'DATI nascosti 2'!$L$10*10^-3),'DATI nascosti 2'!$P$11*'DATI nascosti 2'!$L$16*C112,-'DATI nascosti 2'!$L$14*'DATI nascosti 2'!$P$11))</f>
        <v>614659.43222408998</v>
      </c>
      <c r="N112" s="71">
        <f t="shared" si="2"/>
        <v>1189406.3016009904</v>
      </c>
      <c r="O112" s="71">
        <f>-L112*('DATI nascosti 2'!$C$8/2+-J112*F112)-K112*('DATI nascosti 2'!$C$13/2)+M112*('DATI nascosti 2'!$C$13/2)</f>
        <v>23142068.705688179</v>
      </c>
      <c r="P112" s="69">
        <f>-'T2'!N112/10^3</f>
        <v>-1189.4063016009904</v>
      </c>
      <c r="Q112" s="69">
        <f>'T2'!O112/10^6</f>
        <v>23.142068705688178</v>
      </c>
      <c r="R112" s="72">
        <f>-N112/('DATI nascosti 2'!$C$6*'DATI nascosti 2'!$C$13*'DATI nascosti 2'!$H$10*'DATI nascosti 2'!$H$16)</f>
        <v>-0.28620753066665094</v>
      </c>
      <c r="S112" s="72">
        <f>O112/('DATI nascosti 2'!$H$16*'DATI nascosti 2'!$C$6*'DATI nascosti 2'!$C$13^2*'DATI nascosti 2'!$H$10)</f>
        <v>4.8213761583118103E-3</v>
      </c>
      <c r="T112" s="73">
        <f t="shared" si="3"/>
        <v>19.456823689716451</v>
      </c>
      <c r="U112" s="67" t="str">
        <f>IF(T112&gt;=0, IF(T112&lt;='DATI nascosti 2'!$C$8/6, "SI", "NO"),IF(T112&gt; -'DATI nascosti 2'!$C$8/6, "SI", "NO"))</f>
        <v>SI</v>
      </c>
      <c r="V112" s="67" t="str">
        <f>IF(Foglio3!G113&lt;1,IF(Foglio3!G113&gt;-1,"ROTTURA BILANCIATA",""),"")</f>
        <v/>
      </c>
    </row>
    <row r="113" spans="1:22" ht="18.75" x14ac:dyDescent="0.25">
      <c r="A113" s="20"/>
      <c r="B113" s="68">
        <f t="shared" si="5"/>
        <v>-1.0000000000000002E-3</v>
      </c>
      <c r="C113" s="68">
        <f>'DATI nascosti 2'!$L$8*10^-3</f>
        <v>6.7500000000000004E-2</v>
      </c>
      <c r="D113" s="68">
        <f>('DATI nascosti 2'!$C$10-F113)/('DATI nascosti 2'!$C$13-F113)*C113</f>
        <v>1.6688311688311756E-3</v>
      </c>
      <c r="E113" s="67" t="s">
        <v>39</v>
      </c>
      <c r="F113" s="69">
        <f>('DATI nascosti 2'!$C$13-'DATI nascosti 2'!$L$8*10^(-3)/('DATI nascosti 2'!$L$8*10^(-3)-B113)*'DATI nascosti 2'!$C$13)</f>
        <v>16.861313868613024</v>
      </c>
      <c r="G113" s="70">
        <f>(2*'DATI nascosti 2'!$H$10/(-'DATI nascosti 2'!$H$14)*((-B113*10^3)^2)/2)-('DATI nascosti 2'!$H$10/(-'DATI nascosti 2'!$H$14)^2*(-B113*10^3)^3/3)</f>
        <v>5.8791666666666682</v>
      </c>
      <c r="H113" s="70">
        <f>(2*'DATI nascosti 2'!$H$10/(-'DATI nascosti 2'!$H$14)*((-B113*10^3)^3)/3)-('DATI nascosti 2'!$H$10/(-'DATI nascosti 2'!$H$14)^2*(-B113*10^3)^4/4)</f>
        <v>3.821458333333335</v>
      </c>
      <c r="I113" s="70">
        <f>G113/('DATI nascosti 2'!$H$10*(-'DATI nascosti 2'!$H$12))</f>
        <v>0.1190476190476191</v>
      </c>
      <c r="J113" s="70">
        <f t="shared" si="4"/>
        <v>0.35</v>
      </c>
      <c r="K113" s="71">
        <f>IF(D113&gt;=('DATI nascosti 2'!$L$10*10^-3),'DATI nascosti 2'!$L$14*'DATI nascosti 2'!$P$12,IF(D113&gt;=(-'DATI nascosti 2'!$L$10*10^-3),'DATI nascosti 2'!$L$16*D113*'DATI nascosti 2'!$P$12,-'DATI nascosti 2'!$L$14*'DATI nascosti 2'!$P$12))</f>
        <v>548536.26669071382</v>
      </c>
      <c r="L113" s="71">
        <f>-'DATI nascosti 2'!$H$16*'DATI nascosti 2'!$C$6*'DATI nascosti 2'!$H$10*F113*I113</f>
        <v>-7222.3631386860843</v>
      </c>
      <c r="M113" s="71">
        <f>IF(C113&gt;=('DATI nascosti 2'!$L$10*10^-3),'DATI nascosti 2'!$L$14*'DATI nascosti 2'!$P$11,IF(C113&gt;=(-'DATI nascosti 2'!$L$10*10^-3),'DATI nascosti 2'!$P$11*'DATI nascosti 2'!$L$16*C113,-'DATI nascosti 2'!$L$14*'DATI nascosti 2'!$P$11))</f>
        <v>614659.43222408998</v>
      </c>
      <c r="N113" s="71">
        <f t="shared" si="2"/>
        <v>1155973.3357761176</v>
      </c>
      <c r="O113" s="71">
        <f>-L113*('DATI nascosti 2'!$C$8/2+-J113*F113)-K113*('DATI nascosti 2'!$C$13/2)+M113*('DATI nascosti 2'!$C$13/2)</f>
        <v>42476923.492622316</v>
      </c>
      <c r="P113" s="69">
        <f>-'T2'!N113/10^3</f>
        <v>-1155.9733357761177</v>
      </c>
      <c r="Q113" s="69">
        <f>'T2'!O113/10^6</f>
        <v>42.476923492622319</v>
      </c>
      <c r="R113" s="72">
        <f>-N113/('DATI nascosti 2'!$C$6*'DATI nascosti 2'!$C$13*'DATI nascosti 2'!$H$10*'DATI nascosti 2'!$H$16)</f>
        <v>-0.27816253664003499</v>
      </c>
      <c r="S113" s="72">
        <f>O113/('DATI nascosti 2'!$H$16*'DATI nascosti 2'!$C$6*'DATI nascosti 2'!$C$13^2*'DATI nascosti 2'!$H$10)</f>
        <v>8.84956435011474E-3</v>
      </c>
      <c r="T113" s="73">
        <f t="shared" si="3"/>
        <v>36.745591077240043</v>
      </c>
      <c r="U113" s="67" t="str">
        <f>IF(T113&gt;=0, IF(T113&lt;='DATI nascosti 2'!$C$8/6, "SI", "NO"),IF(T113&gt; -'DATI nascosti 2'!$C$8/6, "SI", "NO"))</f>
        <v>SI</v>
      </c>
      <c r="V113" s="67" t="str">
        <f>IF(Foglio3!G114&lt;1,IF(Foglio3!G114&gt;-1,"ROTTURA BILANCIATA",""),"")</f>
        <v/>
      </c>
    </row>
    <row r="114" spans="1:22" ht="18.75" x14ac:dyDescent="0.25">
      <c r="A114" s="20"/>
      <c r="B114" s="68">
        <f t="shared" si="5"/>
        <v>-1.1000000000000003E-3</v>
      </c>
      <c r="C114" s="68">
        <f>'DATI nascosti 2'!$L$8*10^-3</f>
        <v>6.7500000000000004E-2</v>
      </c>
      <c r="D114" s="68">
        <f>('DATI nascosti 2'!$C$10-F114)/('DATI nascosti 2'!$C$13-F114)*C114</f>
        <v>1.5727272727272599E-3</v>
      </c>
      <c r="E114" s="67" t="s">
        <v>39</v>
      </c>
      <c r="F114" s="69">
        <f>('DATI nascosti 2'!$C$13-'DATI nascosti 2'!$L$8*10^(-3)/('DATI nascosti 2'!$L$8*10^(-3)-B114)*'DATI nascosti 2'!$C$13)</f>
        <v>18.520408163265529</v>
      </c>
      <c r="G114" s="70">
        <f>(2*'DATI nascosti 2'!$H$10/(-'DATI nascosti 2'!$H$14)*((-B114*10^3)^2)/2)-('DATI nascosti 2'!$H$10/(-'DATI nascosti 2'!$H$14)^2*(-B114*10^3)^3/3)</f>
        <v>6.9715158333333358</v>
      </c>
      <c r="H114" s="70">
        <f>(2*'DATI nascosti 2'!$H$10/(-'DATI nascosti 2'!$H$14)*((-B114*10^3)^3)/3)-('DATI nascosti 2'!$H$10/(-'DATI nascosti 2'!$H$14)^2*(-B114*10^3)^4/4)</f>
        <v>4.9689834791666696</v>
      </c>
      <c r="I114" s="70">
        <f>G114/('DATI nascosti 2'!$H$10*(-'DATI nascosti 2'!$H$12))</f>
        <v>0.14116666666666675</v>
      </c>
      <c r="J114" s="70">
        <f t="shared" si="4"/>
        <v>0.35204081632653061</v>
      </c>
      <c r="K114" s="71">
        <f>IF(D114&gt;=('DATI nascosti 2'!$L$10*10^-3),'DATI nascosti 2'!$L$14*'DATI nascosti 2'!$P$12,IF(D114&gt;=(-'DATI nascosti 2'!$L$10*10^-3),'DATI nascosti 2'!$L$16*D114*'DATI nascosti 2'!$P$12,-'DATI nascosti 2'!$L$14*'DATI nascosti 2'!$P$12))</f>
        <v>516947.40775287652</v>
      </c>
      <c r="L114" s="71">
        <f>-'DATI nascosti 2'!$H$16*'DATI nascosti 2'!$C$6*'DATI nascosti 2'!$H$10*F114*I114</f>
        <v>-9406.9732232144015</v>
      </c>
      <c r="M114" s="71">
        <f>IF(C114&gt;=('DATI nascosti 2'!$L$10*10^-3),'DATI nascosti 2'!$L$14*'DATI nascosti 2'!$P$11,IF(C114&gt;=(-'DATI nascosti 2'!$L$10*10^-3),'DATI nascosti 2'!$P$11*'DATI nascosti 2'!$L$16*C114,-'DATI nascosti 2'!$L$14*'DATI nascosti 2'!$P$11))</f>
        <v>614659.43222408998</v>
      </c>
      <c r="N114" s="71">
        <f t="shared" si="2"/>
        <v>1122199.8667537521</v>
      </c>
      <c r="O114" s="71">
        <f>-L114*('DATI nascosti 2'!$C$8/2+-J114*F114)-K114*('DATI nascosti 2'!$C$13/2)+M114*('DATI nascosti 2'!$C$13/2)</f>
        <v>62011545.168740273</v>
      </c>
      <c r="P114" s="69">
        <f>-'T2'!N114/10^3</f>
        <v>-1122.1998667537521</v>
      </c>
      <c r="Q114" s="69">
        <f>'T2'!O114/10^6</f>
        <v>62.01154516874027</v>
      </c>
      <c r="R114" s="72">
        <f>-N114/('DATI nascosti 2'!$C$6*'DATI nascosti 2'!$C$13*'DATI nascosti 2'!$H$10*'DATI nascosti 2'!$H$16)</f>
        <v>-0.27003560713081115</v>
      </c>
      <c r="S114" s="72">
        <f>O114/('DATI nascosti 2'!$H$16*'DATI nascosti 2'!$C$6*'DATI nascosti 2'!$C$13^2*'DATI nascosti 2'!$H$10)</f>
        <v>1.2919371609295785E-2</v>
      </c>
      <c r="T114" s="73">
        <f t="shared" si="3"/>
        <v>55.258913323634943</v>
      </c>
      <c r="U114" s="67" t="str">
        <f>IF(T114&gt;=0, IF(T114&lt;='DATI nascosti 2'!$C$8/6, "SI", "NO"),IF(T114&gt; -'DATI nascosti 2'!$C$8/6, "SI", "NO"))</f>
        <v>SI</v>
      </c>
      <c r="V114" s="67" t="str">
        <f>IF(Foglio3!G115&lt;1,IF(Foglio3!G115&gt;-1,"ROTTURA BILANCIATA",""),"")</f>
        <v/>
      </c>
    </row>
    <row r="115" spans="1:22" ht="18.75" x14ac:dyDescent="0.25">
      <c r="A115" s="20"/>
      <c r="B115" s="68">
        <f t="shared" si="5"/>
        <v>-1.2000000000000003E-3</v>
      </c>
      <c r="C115" s="68">
        <f>'DATI nascosti 2'!$L$8*10^-3</f>
        <v>6.7500000000000004E-2</v>
      </c>
      <c r="D115" s="68">
        <f>('DATI nascosti 2'!$C$10-F115)/('DATI nascosti 2'!$C$13-F115)*C115</f>
        <v>1.4766233766233794E-3</v>
      </c>
      <c r="E115" s="67" t="s">
        <v>39</v>
      </c>
      <c r="F115" s="69">
        <f>('DATI nascosti 2'!$C$13-'DATI nascosti 2'!$L$8*10^(-3)/('DATI nascosti 2'!$L$8*10^(-3)-B115)*'DATI nascosti 2'!$C$13)</f>
        <v>20.174672489082923</v>
      </c>
      <c r="G115" s="70">
        <f>(2*'DATI nascosti 2'!$H$10/(-'DATI nascosti 2'!$H$14)*((-B115*10^3)^2)/2)-('DATI nascosti 2'!$H$10/(-'DATI nascosti 2'!$H$14)^2*(-B115*10^3)^3/3)</f>
        <v>8.127360000000003</v>
      </c>
      <c r="H115" s="70">
        <f>(2*'DATI nascosti 2'!$H$10/(-'DATI nascosti 2'!$H$14)*((-B115*10^3)^3)/3)-('DATI nascosti 2'!$H$10/(-'DATI nascosti 2'!$H$14)^2*(-B115*10^3)^4/4)</f>
        <v>6.2987040000000043</v>
      </c>
      <c r="I115" s="70">
        <f>G115/('DATI nascosti 2'!$H$10*(-'DATI nascosti 2'!$H$12))</f>
        <v>0.16457142857142867</v>
      </c>
      <c r="J115" s="70">
        <f t="shared" si="4"/>
        <v>0.35416666666666663</v>
      </c>
      <c r="K115" s="71">
        <f>IF(D115&gt;=('DATI nascosti 2'!$L$10*10^-3),'DATI nascosti 2'!$L$14*'DATI nascosti 2'!$P$12,IF(D115&gt;=(-'DATI nascosti 2'!$L$10*10^-3),'DATI nascosti 2'!$L$16*D115*'DATI nascosti 2'!$P$12,-'DATI nascosti 2'!$L$14*'DATI nascosti 2'!$P$12))</f>
        <v>485358.5488150508</v>
      </c>
      <c r="L115" s="71">
        <f>-'DATI nascosti 2'!$H$16*'DATI nascosti 2'!$C$6*'DATI nascosti 2'!$H$10*F115*I115</f>
        <v>-11946.154480349323</v>
      </c>
      <c r="M115" s="71">
        <f>IF(C115&gt;=('DATI nascosti 2'!$L$10*10^-3),'DATI nascosti 2'!$L$14*'DATI nascosti 2'!$P$11,IF(C115&gt;=(-'DATI nascosti 2'!$L$10*10^-3),'DATI nascosti 2'!$P$11*'DATI nascosti 2'!$L$16*C115,-'DATI nascosti 2'!$L$14*'DATI nascosti 2'!$P$11))</f>
        <v>614659.43222408998</v>
      </c>
      <c r="N115" s="71">
        <f t="shared" si="2"/>
        <v>1088071.8265587916</v>
      </c>
      <c r="O115" s="71">
        <f>-L115*('DATI nascosti 2'!$C$8/2+-J115*F115)-K115*('DATI nascosti 2'!$C$13/2)+M115*('DATI nascosti 2'!$C$13/2)</f>
        <v>81753595.23567003</v>
      </c>
      <c r="P115" s="69">
        <f>-'T2'!N115/10^3</f>
        <v>-1088.0718265587916</v>
      </c>
      <c r="Q115" s="69">
        <f>'T2'!O115/10^6</f>
        <v>81.753595235670034</v>
      </c>
      <c r="R115" s="72">
        <f>-N115/('DATI nascosti 2'!$C$6*'DATI nascosti 2'!$C$13*'DATI nascosti 2'!$H$10*'DATI nascosti 2'!$H$16)</f>
        <v>-0.2618233569539421</v>
      </c>
      <c r="S115" s="72">
        <f>O115/('DATI nascosti 2'!$H$16*'DATI nascosti 2'!$C$6*'DATI nascosti 2'!$C$13^2*'DATI nascosti 2'!$H$10)</f>
        <v>1.7032394119055147E-2</v>
      </c>
      <c r="T115" s="73">
        <f t="shared" si="3"/>
        <v>75.136211819976438</v>
      </c>
      <c r="U115" s="67" t="str">
        <f>IF(T115&gt;=0, IF(T115&lt;='DATI nascosti 2'!$C$8/6, "SI", "NO"),IF(T115&gt; -'DATI nascosti 2'!$C$8/6, "SI", "NO"))</f>
        <v>SI</v>
      </c>
      <c r="V115" s="67" t="str">
        <f>IF(Foglio3!G116&lt;1,IF(Foglio3!G116&gt;-1,"ROTTURA BILANCIATA",""),"")</f>
        <v/>
      </c>
    </row>
    <row r="116" spans="1:22" ht="18.75" x14ac:dyDescent="0.25">
      <c r="A116" s="20"/>
      <c r="B116" s="68">
        <f t="shared" si="5"/>
        <v>-1.3000000000000004E-3</v>
      </c>
      <c r="C116" s="68">
        <f>'DATI nascosti 2'!$L$8*10^-3</f>
        <v>6.7500000000000004E-2</v>
      </c>
      <c r="D116" s="68">
        <f>('DATI nascosti 2'!$C$10-F116)/('DATI nascosti 2'!$C$13-F116)*C116</f>
        <v>1.3805194805194872E-3</v>
      </c>
      <c r="E116" s="67" t="s">
        <v>39</v>
      </c>
      <c r="F116" s="69">
        <f>('DATI nascosti 2'!$C$13-'DATI nascosti 2'!$L$8*10^(-3)/('DATI nascosti 2'!$L$8*10^(-3)-B116)*'DATI nascosti 2'!$C$13)</f>
        <v>21.824127906976628</v>
      </c>
      <c r="G116" s="70">
        <f>(2*'DATI nascosti 2'!$H$10/(-'DATI nascosti 2'!$H$14)*((-B116*10^3)^2)/2)-('DATI nascosti 2'!$H$10/(-'DATI nascosti 2'!$H$14)^2*(-B116*10^3)^3/3)</f>
        <v>9.3396441666666679</v>
      </c>
      <c r="H116" s="70">
        <f>(2*'DATI nascosti 2'!$H$10/(-'DATI nascosti 2'!$H$14)*((-B116*10^3)^3)/3)-('DATI nascosti 2'!$H$10/(-'DATI nascosti 2'!$H$14)^2*(-B116*10^3)^4/4)</f>
        <v>7.8145001458333372</v>
      </c>
      <c r="I116" s="70">
        <f>G116/('DATI nascosti 2'!$H$10*(-'DATI nascosti 2'!$H$12))</f>
        <v>0.18911904761904769</v>
      </c>
      <c r="J116" s="70">
        <f t="shared" si="4"/>
        <v>0.35638297872340419</v>
      </c>
      <c r="K116" s="71">
        <f>IF(D116&gt;=('DATI nascosti 2'!$L$10*10^-3),'DATI nascosti 2'!$L$14*'DATI nascosti 2'!$P$12,IF(D116&gt;=(-'DATI nascosti 2'!$L$10*10^-3),'DATI nascosti 2'!$L$16*D116*'DATI nascosti 2'!$P$12,-'DATI nascosti 2'!$L$14*'DATI nascosti 2'!$P$12))</f>
        <v>453769.68987722124</v>
      </c>
      <c r="L116" s="71">
        <f>-'DATI nascosti 2'!$H$16*'DATI nascosti 2'!$C$6*'DATI nascosti 2'!$H$10*F116*I116</f>
        <v>-14850.441476925796</v>
      </c>
      <c r="M116" s="71">
        <f>IF(C116&gt;=('DATI nascosti 2'!$L$10*10^-3),'DATI nascosti 2'!$L$14*'DATI nascosti 2'!$P$11,IF(C116&gt;=(-'DATI nascosti 2'!$L$10*10^-3),'DATI nascosti 2'!$P$11*'DATI nascosti 2'!$L$16*C116,-'DATI nascosti 2'!$L$14*'DATI nascosti 2'!$P$11))</f>
        <v>614659.43222408998</v>
      </c>
      <c r="N116" s="71">
        <f t="shared" si="2"/>
        <v>1053578.6806243854</v>
      </c>
      <c r="O116" s="71">
        <f>-L116*('DATI nascosti 2'!$C$8/2+-J116*F116)-K116*('DATI nascosti 2'!$C$13/2)+M116*('DATI nascosti 2'!$C$13/2)</f>
        <v>101708588.10425982</v>
      </c>
      <c r="P116" s="69">
        <f>-'T2'!N116/10^3</f>
        <v>-1053.5786806243855</v>
      </c>
      <c r="Q116" s="69">
        <f>'T2'!O116/10^6</f>
        <v>101.70858810425982</v>
      </c>
      <c r="R116" s="72">
        <f>-N116/('DATI nascosti 2'!$C$6*'DATI nascosti 2'!$C$13*'DATI nascosti 2'!$H$10*'DATI nascosti 2'!$H$16)</f>
        <v>-0.25352325117047481</v>
      </c>
      <c r="S116" s="72">
        <f>O116/('DATI nascosti 2'!$H$16*'DATI nascosti 2'!$C$6*'DATI nascosti 2'!$C$13^2*'DATI nascosti 2'!$H$10)</f>
        <v>2.1189780741637125E-2</v>
      </c>
      <c r="T116" s="73">
        <f t="shared" si="3"/>
        <v>96.536300491562685</v>
      </c>
      <c r="U116" s="67" t="str">
        <f>IF(T116&gt;=0, IF(T116&lt;='DATI nascosti 2'!$C$8/6, "SI", "NO"),IF(T116&gt; -'DATI nascosti 2'!$C$8/6, "SI", "NO"))</f>
        <v>SI</v>
      </c>
      <c r="V116" s="67" t="str">
        <f>IF(Foglio3!G117&lt;1,IF(Foglio3!G117&gt;-1,"ROTTURA BILANCIATA",""),"")</f>
        <v/>
      </c>
    </row>
    <row r="117" spans="1:22" ht="18.75" x14ac:dyDescent="0.25">
      <c r="A117" s="20"/>
      <c r="B117" s="68">
        <f t="shared" si="5"/>
        <v>-1.4000000000000004E-3</v>
      </c>
      <c r="C117" s="68">
        <f>'DATI nascosti 2'!$L$8*10^-3</f>
        <v>6.7500000000000004E-2</v>
      </c>
      <c r="D117" s="68">
        <f>('DATI nascosti 2'!$C$10-F117)/('DATI nascosti 2'!$C$13-F117)*C117</f>
        <v>1.2844155844155809E-3</v>
      </c>
      <c r="E117" s="67" t="s">
        <v>39</v>
      </c>
      <c r="F117" s="69">
        <f>('DATI nascosti 2'!$C$13-'DATI nascosti 2'!$L$8*10^(-3)/('DATI nascosti 2'!$L$8*10^(-3)-B117)*'DATI nascosti 2'!$C$13)</f>
        <v>23.468795355587872</v>
      </c>
      <c r="G117" s="70">
        <f>(2*'DATI nascosti 2'!$H$10/(-'DATI nascosti 2'!$H$14)*((-B117*10^3)^2)/2)-('DATI nascosti 2'!$H$10/(-'DATI nascosti 2'!$H$14)^2*(-B117*10^3)^3/3)</f>
        <v>10.601313333333337</v>
      </c>
      <c r="H117" s="70">
        <f>(2*'DATI nascosti 2'!$H$10/(-'DATI nascosti 2'!$H$14)*((-B117*10^3)^3)/3)-('DATI nascosti 2'!$H$10/(-'DATI nascosti 2'!$H$14)^2*(-B117*10^3)^4/4)</f>
        <v>9.5181356666666712</v>
      </c>
      <c r="I117" s="70">
        <f>G117/('DATI nascosti 2'!$H$10*(-'DATI nascosti 2'!$H$12))</f>
        <v>0.21466666666666678</v>
      </c>
      <c r="J117" s="70">
        <f t="shared" si="4"/>
        <v>0.35869565217391308</v>
      </c>
      <c r="K117" s="71">
        <f>IF(D117&gt;=('DATI nascosti 2'!$L$10*10^-3),'DATI nascosti 2'!$L$14*'DATI nascosti 2'!$P$12,IF(D117&gt;=(-'DATI nascosti 2'!$L$10*10^-3),'DATI nascosti 2'!$L$16*D117*'DATI nascosti 2'!$P$12,-'DATI nascosti 2'!$L$14*'DATI nascosti 2'!$P$12))</f>
        <v>422180.83093938697</v>
      </c>
      <c r="L117" s="71">
        <f>-'DATI nascosti 2'!$H$16*'DATI nascosti 2'!$C$6*'DATI nascosti 2'!$H$10*F117*I117</f>
        <v>-18126.861013062466</v>
      </c>
      <c r="M117" s="71">
        <f>IF(C117&gt;=('DATI nascosti 2'!$L$10*10^-3),'DATI nascosti 2'!$L$14*'DATI nascosti 2'!$P$11,IF(C117&gt;=(-'DATI nascosti 2'!$L$10*10^-3),'DATI nascosti 2'!$P$11*'DATI nascosti 2'!$L$16*C117,-'DATI nascosti 2'!$L$14*'DATI nascosti 2'!$P$11))</f>
        <v>614659.43222408998</v>
      </c>
      <c r="N117" s="71">
        <f t="shared" si="2"/>
        <v>1018713.4021504144</v>
      </c>
      <c r="O117" s="71">
        <f>-L117*('DATI nascosti 2'!$C$8/2+-J117*F117)-K117*('DATI nascosti 2'!$C$13/2)+M117*('DATI nascosti 2'!$C$13/2)</f>
        <v>121879914.12669578</v>
      </c>
      <c r="P117" s="69">
        <f>-'T2'!N117/10^3</f>
        <v>-1018.7134021504144</v>
      </c>
      <c r="Q117" s="69">
        <f>'T2'!O117/10^6</f>
        <v>121.87991412669578</v>
      </c>
      <c r="R117" s="72">
        <f>-N117/('DATI nascosti 2'!$C$6*'DATI nascosti 2'!$C$13*'DATI nascosti 2'!$H$10*'DATI nascosti 2'!$H$16)</f>
        <v>-0.24513359891740655</v>
      </c>
      <c r="S117" s="72">
        <f>O117/('DATI nascosti 2'!$H$16*'DATI nascosti 2'!$C$6*'DATI nascosti 2'!$C$13^2*'DATI nascosti 2'!$H$10)</f>
        <v>2.5392237816799251E-2</v>
      </c>
      <c r="T117" s="73">
        <f t="shared" si="3"/>
        <v>119.64102353951367</v>
      </c>
      <c r="U117" s="67" t="str">
        <f>IF(T117&gt;=0, IF(T117&lt;='DATI nascosti 2'!$C$8/6, "SI", "NO"),IF(T117&gt; -'DATI nascosti 2'!$C$8/6, "SI", "NO"))</f>
        <v>SI</v>
      </c>
      <c r="V117" s="67" t="str">
        <f>IF(Foglio3!G118&lt;1,IF(Foglio3!G118&gt;-1,"ROTTURA BILANCIATA",""),"")</f>
        <v/>
      </c>
    </row>
    <row r="118" spans="1:22" ht="18.75" x14ac:dyDescent="0.25">
      <c r="A118" s="20"/>
      <c r="B118" s="68">
        <f t="shared" si="5"/>
        <v>-1.5000000000000005E-3</v>
      </c>
      <c r="C118" s="68">
        <f>'DATI nascosti 2'!$L$8*10^-3</f>
        <v>6.7500000000000004E-2</v>
      </c>
      <c r="D118" s="68">
        <f>('DATI nascosti 2'!$C$10-F118)/('DATI nascosti 2'!$C$13-F118)*C118</f>
        <v>1.1883116883116837E-3</v>
      </c>
      <c r="E118" s="67" t="s">
        <v>39</v>
      </c>
      <c r="F118" s="69">
        <f>('DATI nascosti 2'!$C$13-'DATI nascosti 2'!$L$8*10^(-3)/('DATI nascosti 2'!$L$8*10^(-3)-B118)*'DATI nascosti 2'!$C$13)</f>
        <v>25.108695652173992</v>
      </c>
      <c r="G118" s="70">
        <f>(2*'DATI nascosti 2'!$H$10/(-'DATI nascosti 2'!$H$14)*((-B118*10^3)^2)/2)-('DATI nascosti 2'!$H$10/(-'DATI nascosti 2'!$H$14)^2*(-B118*10^3)^3/3)</f>
        <v>11.905312500000003</v>
      </c>
      <c r="H118" s="70">
        <f>(2*'DATI nascosti 2'!$H$10/(-'DATI nascosti 2'!$H$14)*((-B118*10^3)^3)/3)-('DATI nascosti 2'!$H$10/(-'DATI nascosti 2'!$H$14)^2*(-B118*10^3)^4/4)</f>
        <v>11.409257812500009</v>
      </c>
      <c r="I118" s="70">
        <f>G118/('DATI nascosti 2'!$H$10*(-'DATI nascosti 2'!$H$12))</f>
        <v>0.24107142857142866</v>
      </c>
      <c r="J118" s="70">
        <f t="shared" si="4"/>
        <v>0.36111111111111094</v>
      </c>
      <c r="K118" s="71">
        <f>IF(D118&gt;=('DATI nascosti 2'!$L$10*10^-3),'DATI nascosti 2'!$L$14*'DATI nascosti 2'!$P$12,IF(D118&gt;=(-'DATI nascosti 2'!$L$10*10^-3),'DATI nascosti 2'!$L$16*D118*'DATI nascosti 2'!$P$12,-'DATI nascosti 2'!$L$14*'DATI nascosti 2'!$P$12))</f>
        <v>390591.97200155573</v>
      </c>
      <c r="L118" s="71">
        <f>-'DATI nascosti 2'!$H$16*'DATI nascosti 2'!$C$6*'DATI nascosti 2'!$H$10*F118*I118</f>
        <v>-21778.957540760941</v>
      </c>
      <c r="M118" s="71">
        <f>IF(C118&gt;=('DATI nascosti 2'!$L$10*10^-3),'DATI nascosti 2'!$L$14*'DATI nascosti 2'!$P$11,IF(C118&gt;=(-'DATI nascosti 2'!$L$10*10^-3),'DATI nascosti 2'!$P$11*'DATI nascosti 2'!$L$16*C118,-'DATI nascosti 2'!$L$14*'DATI nascosti 2'!$P$11))</f>
        <v>614659.43222408998</v>
      </c>
      <c r="N118" s="71">
        <f t="shared" si="2"/>
        <v>983472.44668488484</v>
      </c>
      <c r="O118" s="71">
        <f>-L118*('DATI nascosti 2'!$C$8/2+-J118*F118)-K118*('DATI nascosti 2'!$C$13/2)+M118*('DATI nascosti 2'!$C$13/2)</f>
        <v>142268862.36367387</v>
      </c>
      <c r="P118" s="69">
        <f>-'T2'!N118/10^3</f>
        <v>-983.47244668488486</v>
      </c>
      <c r="Q118" s="69">
        <f>'T2'!O118/10^6</f>
        <v>142.26886236367386</v>
      </c>
      <c r="R118" s="72">
        <f>-N118/('DATI nascosti 2'!$C$6*'DATI nascosti 2'!$C$13*'DATI nascosti 2'!$H$10*'DATI nascosti 2'!$H$16)</f>
        <v>-0.23665354729119087</v>
      </c>
      <c r="S118" s="72">
        <f>O118/('DATI nascosti 2'!$H$16*'DATI nascosti 2'!$C$6*'DATI nascosti 2'!$C$13^2*'DATI nascosti 2'!$H$10)</f>
        <v>2.9640033905083164E-2</v>
      </c>
      <c r="T118" s="73">
        <f t="shared" si="3"/>
        <v>144.65973382705081</v>
      </c>
      <c r="U118" s="67" t="str">
        <f>IF(T118&gt;=0, IF(T118&lt;='DATI nascosti 2'!$C$8/6, "SI", "NO"),IF(T118&gt; -'DATI nascosti 2'!$C$8/6, "SI", "NO"))</f>
        <v>SI</v>
      </c>
      <c r="V118" s="67" t="str">
        <f>IF(Foglio3!G119&lt;1,IF(Foglio3!G119&gt;-1,"ROTTURA BILANCIATA",""),"")</f>
        <v/>
      </c>
    </row>
    <row r="119" spans="1:22" ht="18.75" x14ac:dyDescent="0.25">
      <c r="A119" s="20"/>
      <c r="B119" s="68">
        <f t="shared" si="5"/>
        <v>-1.6000000000000005E-3</v>
      </c>
      <c r="C119" s="68">
        <f>'DATI nascosti 2'!$L$8*10^-3</f>
        <v>6.7500000000000004E-2</v>
      </c>
      <c r="D119" s="68">
        <f>('DATI nascosti 2'!$C$10-F119)/('DATI nascosti 2'!$C$13-F119)*C119</f>
        <v>1.0922077922077931E-3</v>
      </c>
      <c r="E119" s="67" t="s">
        <v>39</v>
      </c>
      <c r="F119" s="69">
        <f>('DATI nascosti 2'!$C$13-'DATI nascosti 2'!$L$8*10^(-3)/('DATI nascosti 2'!$L$8*10^(-3)-B119)*'DATI nascosti 2'!$C$13)</f>
        <v>26.743849493487687</v>
      </c>
      <c r="G119" s="70">
        <f>(2*'DATI nascosti 2'!$H$10/(-'DATI nascosti 2'!$H$14)*((-B119*10^3)^2)/2)-('DATI nascosti 2'!$H$10/(-'DATI nascosti 2'!$H$14)^2*(-B119*10^3)^3/3)</f>
        <v>13.244586666666674</v>
      </c>
      <c r="H119" s="70">
        <f>(2*'DATI nascosti 2'!$H$10/(-'DATI nascosti 2'!$H$14)*((-B119*10^3)^3)/3)-('DATI nascosti 2'!$H$10/(-'DATI nascosti 2'!$H$14)^2*(-B119*10^3)^4/4)</f>
        <v>13.485397333333346</v>
      </c>
      <c r="I119" s="70">
        <f>G119/('DATI nascosti 2'!$H$10*(-'DATI nascosti 2'!$H$12))</f>
        <v>0.26819047619047637</v>
      </c>
      <c r="J119" s="70">
        <f t="shared" si="4"/>
        <v>0.36363636363636365</v>
      </c>
      <c r="K119" s="71">
        <f>IF(D119&gt;=('DATI nascosti 2'!$L$10*10^-3),'DATI nascosti 2'!$L$14*'DATI nascosti 2'!$P$12,IF(D119&gt;=(-'DATI nascosti 2'!$L$10*10^-3),'DATI nascosti 2'!$L$16*D119*'DATI nascosti 2'!$P$12,-'DATI nascosti 2'!$L$14*'DATI nascosti 2'!$P$12))</f>
        <v>359003.11306372669</v>
      </c>
      <c r="L119" s="71">
        <f>-'DATI nascosti 2'!$H$16*'DATI nascosti 2'!$C$6*'DATI nascosti 2'!$H$10*F119*I119</f>
        <v>-25806.8183617945</v>
      </c>
      <c r="M119" s="71">
        <f>IF(C119&gt;=('DATI nascosti 2'!$L$10*10^-3),'DATI nascosti 2'!$L$14*'DATI nascosti 2'!$P$11,IF(C119&gt;=(-'DATI nascosti 2'!$L$10*10^-3),'DATI nascosti 2'!$P$11*'DATI nascosti 2'!$L$16*C119,-'DATI nascosti 2'!$L$14*'DATI nascosti 2'!$P$11))</f>
        <v>614659.43222408998</v>
      </c>
      <c r="N119" s="71">
        <f t="shared" si="2"/>
        <v>947855.72692602221</v>
      </c>
      <c r="O119" s="71">
        <f>-L119*('DATI nascosti 2'!$C$8/2+-J119*F119)-K119*('DATI nascosti 2'!$C$13/2)+M119*('DATI nascosti 2'!$C$13/2)</f>
        <v>162874643.08994153</v>
      </c>
      <c r="P119" s="69">
        <f>-'T2'!N119/10^3</f>
        <v>-947.85572692602216</v>
      </c>
      <c r="Q119" s="69">
        <f>'T2'!O119/10^6</f>
        <v>162.87464308994154</v>
      </c>
      <c r="R119" s="72">
        <f>-N119/('DATI nascosti 2'!$C$6*'DATI nascosti 2'!$C$13*'DATI nascosti 2'!$H$10*'DATI nascosti 2'!$H$16)</f>
        <v>-0.22808307528435104</v>
      </c>
      <c r="S119" s="72">
        <f>O119/('DATI nascosti 2'!$H$16*'DATI nascosti 2'!$C$6*'DATI nascosti 2'!$C$13^2*'DATI nascosti 2'!$H$10)</f>
        <v>3.393300447657787E-2</v>
      </c>
      <c r="T119" s="73">
        <f t="shared" si="3"/>
        <v>171.83484623567981</v>
      </c>
      <c r="U119" s="67" t="str">
        <f>IF(T119&gt;=0, IF(T119&lt;='DATI nascosti 2'!$C$8/6, "SI", "NO"),IF(T119&gt; -'DATI nascosti 2'!$C$8/6, "SI", "NO"))</f>
        <v>SI</v>
      </c>
      <c r="V119" s="67" t="str">
        <f>IF(Foglio3!G120&lt;1,IF(Foglio3!G120&gt;-1,"ROTTURA BILANCIATA",""),"")</f>
        <v/>
      </c>
    </row>
    <row r="120" spans="1:22" ht="18.75" x14ac:dyDescent="0.25">
      <c r="A120" s="79"/>
      <c r="B120" s="76">
        <f t="shared" si="5"/>
        <v>-1.7000000000000006E-3</v>
      </c>
      <c r="C120" s="76">
        <f>'DATI nascosti 2'!$L$8*10^-3</f>
        <v>6.7500000000000004E-2</v>
      </c>
      <c r="D120" s="76">
        <f>('DATI nascosti 2'!$C$10-F120)/('DATI nascosti 2'!$C$13-F120)*C120</f>
        <v>9.9610389610389587E-4</v>
      </c>
      <c r="E120" s="77" t="s">
        <v>39</v>
      </c>
      <c r="F120" s="78">
        <f>('DATI nascosti 2'!$C$13-'DATI nascosti 2'!$L$8*10^(-3)/('DATI nascosti 2'!$L$8*10^(-3)-B120)*'DATI nascosti 2'!$C$13)</f>
        <v>28.374277456647405</v>
      </c>
      <c r="G120" s="72">
        <f>(2*'DATI nascosti 2'!$H$10/(-'DATI nascosti 2'!$H$14)*((-B120*10^3)^2)/2)-('DATI nascosti 2'!$H$10/(-'DATI nascosti 2'!$H$14)^2*(-B120*10^3)^3/3)</f>
        <v>14.612080833333337</v>
      </c>
      <c r="H120" s="72">
        <f>(2*'DATI nascosti 2'!$H$10/(-'DATI nascosti 2'!$H$14)*((-B120*10^3)^3)/3)-('DATI nascosti 2'!$H$10/(-'DATI nascosti 2'!$H$14)^2*(-B120*10^3)^4/4)</f>
        <v>15.741968479166676</v>
      </c>
      <c r="I120" s="72">
        <f>G120/('DATI nascosti 2'!$H$10*(-'DATI nascosti 2'!$H$12))</f>
        <v>0.29588095238095252</v>
      </c>
      <c r="J120" s="72">
        <f t="shared" si="4"/>
        <v>0.36627906976744184</v>
      </c>
      <c r="K120" s="71">
        <f>IF(D120&gt;=('DATI nascosti 2'!$L$10*10^-3),'DATI nascosti 2'!$L$14*'DATI nascosti 2'!$P$12,IF(D120&gt;=(-'DATI nascosti 2'!$L$10*10^-3),'DATI nascosti 2'!$L$16*D120*'DATI nascosti 2'!$P$12,-'DATI nascosti 2'!$L$14*'DATI nascosti 2'!$P$12))</f>
        <v>327414.2541258955</v>
      </c>
      <c r="L120" s="80">
        <f>-'DATI nascosti 2'!$H$16*'DATI nascosti 2'!$C$6*'DATI nascosti 2'!$H$10*F120*I120</f>
        <v>-30207.098607117066</v>
      </c>
      <c r="M120" s="71">
        <f>IF(C120&gt;=('DATI nascosti 2'!$L$10*10^-3),'DATI nascosti 2'!$L$14*'DATI nascosti 2'!$P$11,IF(C120&gt;=(-'DATI nascosti 2'!$L$10*10^-3),'DATI nascosti 2'!$P$11*'DATI nascosti 2'!$L$16*C120,-'DATI nascosti 2'!$L$14*'DATI nascosti 2'!$P$11))</f>
        <v>614659.43222408998</v>
      </c>
      <c r="N120" s="80">
        <f t="shared" si="2"/>
        <v>911866.58774286835</v>
      </c>
      <c r="O120" s="80">
        <f>-L120*('DATI nascosti 2'!$C$8/2+-J120*F120)-K120*('DATI nascosti 2'!$C$13/2)+M120*('DATI nascosti 2'!$C$13/2)</f>
        <v>183694410.04148084</v>
      </c>
      <c r="P120" s="69">
        <f>-'T2'!N120/10^3</f>
        <v>-911.86658774286832</v>
      </c>
      <c r="Q120" s="69">
        <f>'T2'!O120/10^6</f>
        <v>183.69441004148084</v>
      </c>
      <c r="R120" s="72">
        <f>-N120/('DATI nascosti 2'!$C$6*'DATI nascosti 2'!$C$13*'DATI nascosti 2'!$H$10*'DATI nascosti 2'!$H$16)</f>
        <v>-0.21942298777467148</v>
      </c>
      <c r="S120" s="72">
        <f>O120/('DATI nascosti 2'!$H$16*'DATI nascosti 2'!$C$6*'DATI nascosti 2'!$C$13^2*'DATI nascosti 2'!$H$10)</f>
        <v>3.8270556545857093E-2</v>
      </c>
      <c r="T120" s="73">
        <f t="shared" si="3"/>
        <v>201.44877826500613</v>
      </c>
      <c r="U120" s="67" t="str">
        <f>IF(T120&gt;=0, IF(T120&lt;='DATI nascosti 2'!$C$8/6, "SI", "NO"),IF(T120&gt; -'DATI nascosti 2'!$C$8/6, "SI", "NO"))</f>
        <v>NO</v>
      </c>
      <c r="V120" s="67" t="str">
        <f>IF(Foglio3!G121&lt;1,IF(Foglio3!G121&gt;-1,"ROTTURA BILANCIATA",""),"")</f>
        <v/>
      </c>
    </row>
    <row r="121" spans="1:22" ht="18.75" x14ac:dyDescent="0.25">
      <c r="A121" s="79"/>
      <c r="B121" s="76">
        <f t="shared" si="5"/>
        <v>-1.8000000000000006E-3</v>
      </c>
      <c r="C121" s="76">
        <f>'DATI nascosti 2'!$L$8*10^-3</f>
        <v>6.7500000000000004E-2</v>
      </c>
      <c r="D121" s="76">
        <f>('DATI nascosti 2'!$C$10-F121)/('DATI nascosti 2'!$C$13-F121)*C121</f>
        <v>9.0000000000001342E-4</v>
      </c>
      <c r="E121" s="77" t="s">
        <v>39</v>
      </c>
      <c r="F121" s="78">
        <f>('DATI nascosti 2'!$C$13-'DATI nascosti 2'!$L$8*10^(-3)/('DATI nascosti 2'!$L$8*10^(-3)-B121)*'DATI nascosti 2'!$C$13)</f>
        <v>29.999999999999773</v>
      </c>
      <c r="G121" s="72">
        <f>(2*'DATI nascosti 2'!$H$10/(-'DATI nascosti 2'!$H$14)*((-B121*10^3)^2)/2)-('DATI nascosti 2'!$H$10/(-'DATI nascosti 2'!$H$14)^2*(-B121*10^3)^3/3)</f>
        <v>16.000740000000008</v>
      </c>
      <c r="H121" s="72">
        <f>(2*'DATI nascosti 2'!$H$10/(-'DATI nascosti 2'!$H$14)*((-B121*10^3)^3)/3)-('DATI nascosti 2'!$H$10/(-'DATI nascosti 2'!$H$14)^2*(-B121*10^3)^4/4)</f>
        <v>18.172269000000014</v>
      </c>
      <c r="I121" s="72">
        <f>G121/('DATI nascosti 2'!$H$10*(-'DATI nascosti 2'!$H$12))</f>
        <v>0.32400000000000023</v>
      </c>
      <c r="J121" s="72">
        <f t="shared" si="4"/>
        <v>0.36904761904761907</v>
      </c>
      <c r="K121" s="71">
        <f>IF(D121&gt;=('DATI nascosti 2'!$L$10*10^-3),'DATI nascosti 2'!$L$14*'DATI nascosti 2'!$P$12,IF(D121&gt;=(-'DATI nascosti 2'!$L$10*10^-3),'DATI nascosti 2'!$L$16*D121*'DATI nascosti 2'!$P$12,-'DATI nascosti 2'!$L$14*'DATI nascosti 2'!$P$12))</f>
        <v>295825.39518806909</v>
      </c>
      <c r="L121" s="80">
        <f>-'DATI nascosti 2'!$H$16*'DATI nascosti 2'!$C$6*'DATI nascosti 2'!$H$10*F121*I121</f>
        <v>-34973.045999999755</v>
      </c>
      <c r="M121" s="71">
        <f>IF(C121&gt;=('DATI nascosti 2'!$L$10*10^-3),'DATI nascosti 2'!$L$14*'DATI nascosti 2'!$P$11,IF(C121&gt;=(-'DATI nascosti 2'!$L$10*10^-3),'DATI nascosti 2'!$P$11*'DATI nascosti 2'!$L$16*C121,-'DATI nascosti 2'!$L$14*'DATI nascosti 2'!$P$11))</f>
        <v>614659.43222408998</v>
      </c>
      <c r="N121" s="80">
        <f t="shared" si="2"/>
        <v>875511.78141215933</v>
      </c>
      <c r="O121" s="80">
        <f>-L121*('DATI nascosti 2'!$C$8/2+-J121*F121)-K121*('DATI nascosti 2'!$C$13/2)+M121*('DATI nascosti 2'!$C$13/2)</f>
        <v>204723282.40758765</v>
      </c>
      <c r="P121" s="69">
        <f>-'T2'!N121/10^3</f>
        <v>-875.51178141215928</v>
      </c>
      <c r="Q121" s="69">
        <f>'T2'!O121/10^6</f>
        <v>204.72328240758765</v>
      </c>
      <c r="R121" s="72">
        <f>-N121/('DATI nascosti 2'!$C$6*'DATI nascosti 2'!$C$13*'DATI nascosti 2'!$H$10*'DATI nascosti 2'!$H$16)</f>
        <v>-0.2106749095664335</v>
      </c>
      <c r="S121" s="72">
        <f>O121/('DATI nascosti 2'!$H$16*'DATI nascosti 2'!$C$6*'DATI nascosti 2'!$C$13^2*'DATI nascosti 2'!$H$10)</f>
        <v>4.2651673253768729E-2</v>
      </c>
      <c r="T121" s="73">
        <f t="shared" si="3"/>
        <v>233.83269849022321</v>
      </c>
      <c r="U121" s="67" t="str">
        <f>IF(T121&gt;=0, IF(T121&lt;='DATI nascosti 2'!$C$8/6, "SI", "NO"),IF(T121&gt; -'DATI nascosti 2'!$C$8/6, "SI", "NO"))</f>
        <v>NO</v>
      </c>
      <c r="V121" s="67" t="str">
        <f>IF(Foglio3!G122&lt;1,IF(Foglio3!G122&gt;-1,"ROTTURA BILANCIATA",""),"")</f>
        <v/>
      </c>
    </row>
    <row r="122" spans="1:22" ht="18.75" x14ac:dyDescent="0.25">
      <c r="A122" s="79"/>
      <c r="B122" s="76">
        <f t="shared" si="5"/>
        <v>-1.9000000000000006E-3</v>
      </c>
      <c r="C122" s="76">
        <f>'DATI nascosti 2'!$L$8*10^-3</f>
        <v>6.7500000000000004E-2</v>
      </c>
      <c r="D122" s="76">
        <f>('DATI nascosti 2'!$C$10-F122)/('DATI nascosti 2'!$C$13-F122)*C122</f>
        <v>8.0389610389609964E-4</v>
      </c>
      <c r="E122" s="77" t="s">
        <v>39</v>
      </c>
      <c r="F122" s="78">
        <f>('DATI nascosti 2'!$C$13-'DATI nascosti 2'!$L$8*10^(-3)/('DATI nascosti 2'!$L$8*10^(-3)-B122)*'DATI nascosti 2'!$C$13)</f>
        <v>31.621037463977018</v>
      </c>
      <c r="G122" s="72">
        <f>(2*'DATI nascosti 2'!$H$10/(-'DATI nascosti 2'!$H$14)*((-B122*10^3)^2)/2)-('DATI nascosti 2'!$H$10/(-'DATI nascosti 2'!$H$14)^2*(-B122*10^3)^3/3)</f>
        <v>17.403509166666673</v>
      </c>
      <c r="H122" s="72">
        <f>(2*'DATI nascosti 2'!$H$10/(-'DATI nascosti 2'!$H$14)*((-B122*10^3)^3)/3)-('DATI nascosti 2'!$H$10/(-'DATI nascosti 2'!$H$14)^2*(-B122*10^3)^4/4)</f>
        <v>20.767480145833346</v>
      </c>
      <c r="I122" s="72">
        <f>G122/('DATI nascosti 2'!$H$10*(-'DATI nascosti 2'!$H$12))</f>
        <v>0.35240476190476211</v>
      </c>
      <c r="J122" s="72">
        <f t="shared" si="4"/>
        <v>0.37195121951219512</v>
      </c>
      <c r="K122" s="71">
        <f>IF(D122&gt;=('DATI nascosti 2'!$L$10*10^-3),'DATI nascosti 2'!$L$14*'DATI nascosti 2'!$P$12,IF(D122&gt;=(-'DATI nascosti 2'!$L$10*10^-3),'DATI nascosti 2'!$L$16*D122*'DATI nascosti 2'!$P$12,-'DATI nascosti 2'!$L$14*'DATI nascosti 2'!$P$12))</f>
        <v>264236.53625023243</v>
      </c>
      <c r="L122" s="80">
        <f>-'DATI nascosti 2'!$H$16*'DATI nascosti 2'!$C$6*'DATI nascosti 2'!$H$10*F122*I122</f>
        <v>-40094.525405079359</v>
      </c>
      <c r="M122" s="71">
        <f>IF(C122&gt;=('DATI nascosti 2'!$L$10*10^-3),'DATI nascosti 2'!$L$14*'DATI nascosti 2'!$P$11,IF(C122&gt;=(-'DATI nascosti 2'!$L$10*10^-3),'DATI nascosti 2'!$P$11*'DATI nascosti 2'!$L$16*C122,-'DATI nascosti 2'!$L$14*'DATI nascosti 2'!$P$11))</f>
        <v>614659.43222408998</v>
      </c>
      <c r="N122" s="80">
        <f t="shared" si="2"/>
        <v>838801.44306924311</v>
      </c>
      <c r="O122" s="80">
        <f>-L122*('DATI nascosti 2'!$C$8/2+-J122*F122)-K122*('DATI nascosti 2'!$C$13/2)+M122*('DATI nascosti 2'!$C$13/2)</f>
        <v>225954366.5710845</v>
      </c>
      <c r="P122" s="69">
        <f>-'T2'!N122/10^3</f>
        <v>-838.80144306924308</v>
      </c>
      <c r="Q122" s="69">
        <f>'T2'!O122/10^6</f>
        <v>225.95436657108451</v>
      </c>
      <c r="R122" s="72">
        <f>-N122/('DATI nascosti 2'!$C$6*'DATI nascosti 2'!$C$13*'DATI nascosti 2'!$H$10*'DATI nascosti 2'!$H$16)</f>
        <v>-0.20184127948315517</v>
      </c>
      <c r="S122" s="72">
        <f>O122/('DATI nascosti 2'!$H$16*'DATI nascosti 2'!$C$6*'DATI nascosti 2'!$C$13^2*'DATI nascosti 2'!$H$10)</f>
        <v>4.707491839675091E-2</v>
      </c>
      <c r="T122" s="73">
        <f t="shared" si="3"/>
        <v>269.37765598530564</v>
      </c>
      <c r="U122" s="67" t="str">
        <f>IF(T122&gt;=0, IF(T122&lt;='DATI nascosti 2'!$C$8/6, "SI", "NO"),IF(T122&gt; -'DATI nascosti 2'!$C$8/6, "SI", "NO"))</f>
        <v>NO</v>
      </c>
      <c r="V122" s="67" t="str">
        <f>IF(Foglio3!G123&lt;1,IF(Foglio3!G123&gt;-1,"ROTTURA BILANCIATA",""),"")</f>
        <v/>
      </c>
    </row>
    <row r="123" spans="1:22" ht="18.75" x14ac:dyDescent="0.25">
      <c r="A123" s="79"/>
      <c r="B123" s="76">
        <f t="shared" si="5"/>
        <v>-2.0000000000000005E-3</v>
      </c>
      <c r="C123" s="76">
        <f>'DATI nascosti 2'!$L$8*10^-3</f>
        <v>6.7500000000000004E-2</v>
      </c>
      <c r="D123" s="76">
        <f>('DATI nascosti 2'!$C$10-F123)/('DATI nascosti 2'!$C$13-F123)*C123</f>
        <v>7.0779220779220006E-4</v>
      </c>
      <c r="E123" s="77" t="s">
        <v>39</v>
      </c>
      <c r="F123" s="78">
        <f>('DATI nascosti 2'!$C$13-'DATI nascosti 2'!$L$8*10^(-3)/('DATI nascosti 2'!$L$8*10^(-3)-B123)*'DATI nascosti 2'!$C$13)</f>
        <v>33.237410071942577</v>
      </c>
      <c r="G123" s="72">
        <f>(2*'DATI nascosti 2'!$H$10/(-'DATI nascosti 2'!$H$14)*((-B123*10^3)^2)/2)-('DATI nascosti 2'!$H$10/(-'DATI nascosti 2'!$H$14)^2*(-B123*10^3)^3/3)</f>
        <v>18.81333333333334</v>
      </c>
      <c r="H123" s="72">
        <f>(2*'DATI nascosti 2'!$H$10/(-'DATI nascosti 2'!$H$14)*((-B123*10^3)^3)/3)-('DATI nascosti 2'!$H$10/(-'DATI nascosti 2'!$H$14)^2*(-B123*10^3)^4/4)</f>
        <v>23.516666666666676</v>
      </c>
      <c r="I123" s="72">
        <f>G123/('DATI nascosti 2'!$H$10*(-'DATI nascosti 2'!$H$12))</f>
        <v>0.38095238095238115</v>
      </c>
      <c r="J123" s="72">
        <f t="shared" si="4"/>
        <v>0.37500000000000011</v>
      </c>
      <c r="K123" s="71">
        <f>IF(D123&gt;=('DATI nascosti 2'!$L$10*10^-3),'DATI nascosti 2'!$L$14*'DATI nascosti 2'!$P$12,IF(D123&gt;=(-'DATI nascosti 2'!$L$10*10^-3),'DATI nascosti 2'!$L$16*D123*'DATI nascosti 2'!$P$12,-'DATI nascosti 2'!$L$14*'DATI nascosti 2'!$P$12))</f>
        <v>232647.6773124004</v>
      </c>
      <c r="L123" s="80">
        <f>-'DATI nascosti 2'!$H$16*'DATI nascosti 2'!$C$6*'DATI nascosti 2'!$H$10*F123*I123</f>
        <v>-45558.043165467818</v>
      </c>
      <c r="M123" s="71">
        <f>IF(C123&gt;=('DATI nascosti 2'!$L$10*10^-3),'DATI nascosti 2'!$L$14*'DATI nascosti 2'!$P$11,IF(C123&gt;=(-'DATI nascosti 2'!$L$10*10^-3),'DATI nascosti 2'!$P$11*'DATI nascosti 2'!$L$16*C123,-'DATI nascosti 2'!$L$14*'DATI nascosti 2'!$P$11))</f>
        <v>614659.43222408998</v>
      </c>
      <c r="N123" s="80">
        <f t="shared" si="2"/>
        <v>801749.06637102249</v>
      </c>
      <c r="O123" s="80">
        <f>-L123*('DATI nascosti 2'!$C$8/2+-J123*F123)-K123*('DATI nascosti 2'!$C$13/2)+M123*('DATI nascosti 2'!$C$13/2)</f>
        <v>247378777.5997442</v>
      </c>
      <c r="P123" s="69">
        <f>-'T2'!N123/10^3</f>
        <v>-801.74906637102254</v>
      </c>
      <c r="Q123" s="69">
        <f>'T2'!O123/10^6</f>
        <v>247.37877759974421</v>
      </c>
      <c r="R123" s="72">
        <f>-N123/('DATI nascosti 2'!$C$6*'DATI nascosti 2'!$C$13*'DATI nascosti 2'!$H$10*'DATI nascosti 2'!$H$16)</f>
        <v>-0.19292534451135121</v>
      </c>
      <c r="S123" s="72">
        <f>O123/('DATI nascosti 2'!$H$16*'DATI nascosti 2'!$C$6*'DATI nascosti 2'!$C$13^2*'DATI nascosti 2'!$H$10)</f>
        <v>5.1538440904315815E-2</v>
      </c>
      <c r="T123" s="73">
        <f t="shared" si="3"/>
        <v>308.5488814093182</v>
      </c>
      <c r="U123" s="67" t="str">
        <f>IF(T123&gt;=0, IF(T123&lt;='DATI nascosti 2'!$C$8/6, "SI", "NO"),IF(T123&gt; -'DATI nascosti 2'!$C$8/6, "SI", "NO"))</f>
        <v>NO</v>
      </c>
      <c r="V123" s="67" t="str">
        <f>IF(Foglio3!G124&lt;1,IF(Foglio3!G124&gt;-1,"ROTTURA BILANCIATA",""),"")</f>
        <v/>
      </c>
    </row>
    <row r="124" spans="1:22" ht="18.75" x14ac:dyDescent="0.25">
      <c r="A124" s="79"/>
      <c r="B124" s="76">
        <f t="shared" si="5"/>
        <v>-2.1000000000000003E-3</v>
      </c>
      <c r="C124" s="76">
        <f>'DATI nascosti 2'!$L$8*10^-3</f>
        <v>6.7500000000000004E-2</v>
      </c>
      <c r="D124" s="76">
        <f>('DATI nascosti 2'!$C$10-F124)/('DATI nascosti 2'!$C$13-F124)*C124</f>
        <v>6.11688311688302E-4</v>
      </c>
      <c r="E124" s="77" t="s">
        <v>39</v>
      </c>
      <c r="F124" s="78">
        <f>('DATI nascosti 2'!$C$13-'DATI nascosti 2'!$L$8*10^(-3)/('DATI nascosti 2'!$L$8*10^(-3)-B124)*'DATI nascosti 2'!$C$13)</f>
        <v>34.849137931034647</v>
      </c>
      <c r="G124" s="72">
        <f>$G$123+'DATI nascosti 2'!$H$10*((-B124)-(-$B$123))*10^3</f>
        <v>20.224333333333337</v>
      </c>
      <c r="H124" s="72">
        <f>$H$123+'DATI nascosti 2'!$H$10/2*((-B124*10^3)^2-(-$B$123*10^3)^2)</f>
        <v>26.409216666666666</v>
      </c>
      <c r="I124" s="72">
        <f>G124/('DATI nascosti 2'!$H$10*(-'DATI nascosti 2'!$H$12))</f>
        <v>0.40952380952380968</v>
      </c>
      <c r="J124" s="72">
        <f t="shared" si="4"/>
        <v>0.37818383167220393</v>
      </c>
      <c r="K124" s="71">
        <f>IF(D124&gt;=('DATI nascosti 2'!$L$10*10^-3),'DATI nascosti 2'!$L$14*'DATI nascosti 2'!$P$12,IF(D124&gt;=(-'DATI nascosti 2'!$L$10*10^-3),'DATI nascosti 2'!$L$16*D124*'DATI nascosti 2'!$P$12,-'DATI nascosti 2'!$L$14*'DATI nascosti 2'!$P$12))</f>
        <v>201058.81837456892</v>
      </c>
      <c r="L124" s="80">
        <f>-'DATI nascosti 2'!$H$16*'DATI nascosti 2'!$C$6*'DATI nascosti 2'!$H$10*F124*I124</f>
        <v>-51349.756681034734</v>
      </c>
      <c r="M124" s="71">
        <f>IF(C124&gt;=('DATI nascosti 2'!$L$10*10^-3),'DATI nascosti 2'!$L$14*'DATI nascosti 2'!$P$11,IF(C124&gt;=(-'DATI nascosti 2'!$L$10*10^-3),'DATI nascosti 2'!$P$11*'DATI nascosti 2'!$L$16*C124,-'DATI nascosti 2'!$L$14*'DATI nascosti 2'!$P$11))</f>
        <v>614659.43222408998</v>
      </c>
      <c r="N124" s="80">
        <f t="shared" si="2"/>
        <v>764368.49391762423</v>
      </c>
      <c r="O124" s="80">
        <f>-L124*('DATI nascosti 2'!$C$8/2+-J124*F124)-K124*('DATI nascosti 2'!$C$13/2)+M124*('DATI nascosti 2'!$C$13/2)</f>
        <v>268987450.524158</v>
      </c>
      <c r="P124" s="69">
        <f>-'T2'!N124/10^3</f>
        <v>-764.36849391762428</v>
      </c>
      <c r="Q124" s="69">
        <f>'T2'!O124/10^6</f>
        <v>268.98745052415802</v>
      </c>
      <c r="R124" s="72">
        <f>-N124/('DATI nascosti 2'!$C$6*'DATI nascosti 2'!$C$13*'DATI nascosti 2'!$H$10*'DATI nascosti 2'!$H$16)</f>
        <v>-0.18393043560394742</v>
      </c>
      <c r="S124" s="72">
        <f>O124/('DATI nascosti 2'!$H$16*'DATI nascosti 2'!$C$6*'DATI nascosti 2'!$C$13^2*'DATI nascosti 2'!$H$10)</f>
        <v>5.6040352197359332E-2</v>
      </c>
      <c r="T124" s="73">
        <f t="shared" si="3"/>
        <v>351.90808185396861</v>
      </c>
      <c r="U124" s="67" t="str">
        <f>IF(T124&gt;=0, IF(T124&lt;='DATI nascosti 2'!$C$8/6, "SI", "NO"),IF(T124&gt; -'DATI nascosti 2'!$C$8/6, "SI", "NO"))</f>
        <v>NO</v>
      </c>
      <c r="V124" s="67" t="str">
        <f>IF(Foglio3!G125&lt;1,IF(Foglio3!G125&gt;-1,"ROTTURA BILANCIATA",""),"")</f>
        <v/>
      </c>
    </row>
    <row r="125" spans="1:22" ht="18.75" x14ac:dyDescent="0.25">
      <c r="A125" s="79"/>
      <c r="B125" s="76">
        <f t="shared" si="5"/>
        <v>-2.2000000000000001E-3</v>
      </c>
      <c r="C125" s="76">
        <f>'DATI nascosti 2'!$L$8*10^-3</f>
        <v>6.7500000000000004E-2</v>
      </c>
      <c r="D125" s="76">
        <f>('DATI nascosti 2'!$C$10-F125)/('DATI nascosti 2'!$C$13-F125)*C125</f>
        <v>5.1558441558441327E-4</v>
      </c>
      <c r="E125" s="77" t="s">
        <v>39</v>
      </c>
      <c r="F125" s="78">
        <f>('DATI nascosti 2'!$C$13-'DATI nascosti 2'!$L$8*10^(-3)/('DATI nascosti 2'!$L$8*10^(-3)-B125)*'DATI nascosti 2'!$C$13)</f>
        <v>36.456241032998605</v>
      </c>
      <c r="G125" s="72">
        <f>$G$123+'DATI nascosti 2'!$H$10*((-B125)-(-$B$123))*10^3</f>
        <v>21.635333333333335</v>
      </c>
      <c r="H125" s="72">
        <f>$H$123+'DATI nascosti 2'!$H$10/2*((-B125*10^3)^2-(-$B$123*10^3)^2)</f>
        <v>29.442866666666667</v>
      </c>
      <c r="I125" s="72">
        <f>G125/('DATI nascosti 2'!$H$10*(-'DATI nascosti 2'!$H$12))</f>
        <v>0.4380952380952382</v>
      </c>
      <c r="J125" s="72">
        <f t="shared" si="4"/>
        <v>0.3814229249011859</v>
      </c>
      <c r="K125" s="71">
        <f>IF(D125&gt;=('DATI nascosti 2'!$L$10*10^-3),'DATI nascosti 2'!$L$14*'DATI nascosti 2'!$P$12,IF(D125&gt;=(-'DATI nascosti 2'!$L$10*10^-3),'DATI nascosti 2'!$L$16*D125*'DATI nascosti 2'!$P$12,-'DATI nascosti 2'!$L$14*'DATI nascosti 2'!$P$12))</f>
        <v>169469.95943674046</v>
      </c>
      <c r="L125" s="80">
        <f>-'DATI nascosti 2'!$H$16*'DATI nascosti 2'!$C$6*'DATI nascosti 2'!$H$10*F125*I125</f>
        <v>-57465.556097561042</v>
      </c>
      <c r="M125" s="71">
        <f>IF(C125&gt;=('DATI nascosti 2'!$L$10*10^-3),'DATI nascosti 2'!$L$14*'DATI nascosti 2'!$P$11,IF(C125&gt;=(-'DATI nascosti 2'!$L$10*10^-3),'DATI nascosti 2'!$P$11*'DATI nascosti 2'!$L$16*C125,-'DATI nascosti 2'!$L$14*'DATI nascosti 2'!$P$11))</f>
        <v>614659.43222408998</v>
      </c>
      <c r="N125" s="80">
        <f t="shared" si="2"/>
        <v>726663.83556326944</v>
      </c>
      <c r="O125" s="80">
        <f>-L125*('DATI nascosti 2'!$C$8/2+-J125*F125)-K125*('DATI nascosti 2'!$C$13/2)+M125*('DATI nascosti 2'!$C$13/2)</f>
        <v>290777181.49424225</v>
      </c>
      <c r="P125" s="69">
        <f>-'T2'!N125/10^3</f>
        <v>-726.66383556326946</v>
      </c>
      <c r="Q125" s="69">
        <f>'T2'!O125/10^6</f>
        <v>290.77718149424226</v>
      </c>
      <c r="R125" s="72">
        <f>-N125/('DATI nascosti 2'!$C$6*'DATI nascosti 2'!$C$13*'DATI nascosti 2'!$H$10*'DATI nascosti 2'!$H$16)</f>
        <v>-0.17485754171755724</v>
      </c>
      <c r="S125" s="72">
        <f>O125/('DATI nascosti 2'!$H$16*'DATI nascosti 2'!$C$6*'DATI nascosti 2'!$C$13^2*'DATI nascosti 2'!$H$10)</f>
        <v>6.0579984791629973E-2</v>
      </c>
      <c r="T125" s="73">
        <f t="shared" si="3"/>
        <v>400.15364362924146</v>
      </c>
      <c r="U125" s="67" t="str">
        <f>IF(T125&gt;=0, IF(T125&lt;='DATI nascosti 2'!$C$8/6, "SI", "NO"),IF(T125&gt; -'DATI nascosti 2'!$C$8/6, "SI", "NO"))</f>
        <v>NO</v>
      </c>
      <c r="V125" s="67" t="str">
        <f>IF(Foglio3!G126&lt;1,IF(Foglio3!G126&gt;-1,"ROTTURA BILANCIATA",""),"")</f>
        <v/>
      </c>
    </row>
    <row r="126" spans="1:22" ht="18.75" x14ac:dyDescent="0.25">
      <c r="A126" s="20"/>
      <c r="B126" s="68">
        <f t="shared" si="5"/>
        <v>-2.3E-3</v>
      </c>
      <c r="C126" s="68">
        <f>'DATI nascosti 2'!$L$8*10^-3</f>
        <v>6.7500000000000004E-2</v>
      </c>
      <c r="D126" s="68">
        <f>('DATI nascosti 2'!$C$10-F126)/('DATI nascosti 2'!$C$13-F126)*C126</f>
        <v>4.1948051948052778E-4</v>
      </c>
      <c r="E126" s="67" t="s">
        <v>39</v>
      </c>
      <c r="F126" s="69">
        <f>('DATI nascosti 2'!$C$13-'DATI nascosti 2'!$L$8*10^(-3)/('DATI nascosti 2'!$L$8*10^(-3)-B126)*'DATI nascosti 2'!$C$13)</f>
        <v>38.058739255014189</v>
      </c>
      <c r="G126" s="70">
        <f>$G$123+'DATI nascosti 2'!$H$10*((-B126)-(-$B$123))*10^3</f>
        <v>23.04633333333333</v>
      </c>
      <c r="H126" s="70">
        <f>$H$123+'DATI nascosti 2'!$H$10/2*((-B126*10^3)^2-(-$B$123*10^3)^2)</f>
        <v>32.617616666666656</v>
      </c>
      <c r="I126" s="70">
        <f>G126/('DATI nascosti 2'!$H$10*(-'DATI nascosti 2'!$H$12))</f>
        <v>0.46666666666666667</v>
      </c>
      <c r="J126" s="70">
        <f t="shared" si="4"/>
        <v>0.38464951197870456</v>
      </c>
      <c r="K126" s="71">
        <f>IF(D126&gt;=('DATI nascosti 2'!$L$10*10^-3),'DATI nascosti 2'!$L$14*'DATI nascosti 2'!$P$12,IF(D126&gt;=(-'DATI nascosti 2'!$L$10*10^-3),'DATI nascosti 2'!$L$16*D126*'DATI nascosti 2'!$P$12,-'DATI nascosti 2'!$L$14*'DATI nascosti 2'!$P$12))</f>
        <v>137881.10049891312</v>
      </c>
      <c r="L126" s="71">
        <f>-'DATI nascosti 2'!$H$16*'DATI nascosti 2'!$C$6*'DATI nascosti 2'!$H$10*F126*I126</f>
        <v>-63904.048495701762</v>
      </c>
      <c r="M126" s="71">
        <f>IF(C126&gt;=('DATI nascosti 2'!$L$10*10^-3),'DATI nascosti 2'!$L$14*'DATI nascosti 2'!$P$11,IF(C126&gt;=(-'DATI nascosti 2'!$L$10*10^-3),'DATI nascosti 2'!$P$11*'DATI nascosti 2'!$L$16*C126,-'DATI nascosti 2'!$L$14*'DATI nascosti 2'!$P$11))</f>
        <v>614659.43222408998</v>
      </c>
      <c r="N126" s="71">
        <f t="shared" si="2"/>
        <v>688636.48422730132</v>
      </c>
      <c r="O126" s="71">
        <f>-L126*('DATI nascosti 2'!$C$8/2+-J126*F126)-K126*('DATI nascosti 2'!$C$13/2)+M126*('DATI nascosti 2'!$C$13/2)</f>
        <v>312746406.6984331</v>
      </c>
      <c r="P126" s="69">
        <f>-'T2'!N126/10^3</f>
        <v>-688.63648422730137</v>
      </c>
      <c r="Q126" s="69">
        <f>'T2'!O126/10^6</f>
        <v>312.74640669843308</v>
      </c>
      <c r="R126" s="72">
        <f>-N126/('DATI nascosti 2'!$C$6*'DATI nascosti 2'!$C$13*'DATI nascosti 2'!$H$10*'DATI nascosti 2'!$H$16)</f>
        <v>-0.16570699803117298</v>
      </c>
      <c r="S126" s="72">
        <f>O126/('DATI nascosti 2'!$H$16*'DATI nascosti 2'!$C$6*'DATI nascosti 2'!$C$13^2*'DATI nascosti 2'!$H$10)</f>
        <v>6.5157012885494109E-2</v>
      </c>
      <c r="T126" s="73">
        <f t="shared" si="3"/>
        <v>454.15311831663496</v>
      </c>
      <c r="U126" s="67" t="str">
        <f>IF(T126&gt;=0, IF(T126&lt;='DATI nascosti 2'!$C$8/6, "SI", "NO"),IF(T126&gt; -'DATI nascosti 2'!$C$8/6, "SI", "NO"))</f>
        <v>NO</v>
      </c>
      <c r="V126" s="67" t="str">
        <f>IF(Foglio3!G127&lt;1,IF(Foglio3!G127&gt;-1,"ROTTURA BILANCIATA",""),"")</f>
        <v/>
      </c>
    </row>
    <row r="127" spans="1:22" ht="18.75" x14ac:dyDescent="0.25">
      <c r="A127" s="20"/>
      <c r="B127" s="68">
        <f t="shared" si="5"/>
        <v>-2.3999999999999998E-3</v>
      </c>
      <c r="C127" s="68">
        <f>'DATI nascosti 2'!$L$8*10^-3</f>
        <v>6.7500000000000004E-2</v>
      </c>
      <c r="D127" s="68">
        <f>('DATI nascosti 2'!$C$10-F127)/('DATI nascosti 2'!$C$13-F127)*C127</f>
        <v>3.2337662337662745E-4</v>
      </c>
      <c r="E127" s="67" t="s">
        <v>39</v>
      </c>
      <c r="F127" s="69">
        <f>('DATI nascosti 2'!$C$13-'DATI nascosti 2'!$L$8*10^(-3)/('DATI nascosti 2'!$L$8*10^(-3)-B127)*'DATI nascosti 2'!$C$13)</f>
        <v>39.656652360514954</v>
      </c>
      <c r="G127" s="70">
        <f>$G$123+'DATI nascosti 2'!$H$10*((-B127)-(-$B$123))*10^3</f>
        <v>24.457333333333331</v>
      </c>
      <c r="H127" s="70">
        <f>$H$123+'DATI nascosti 2'!$H$10/2*((-B127*10^3)^2-(-$B$123*10^3)^2)</f>
        <v>35.933466666666661</v>
      </c>
      <c r="I127" s="70">
        <f>G127/('DATI nascosti 2'!$H$10*(-'DATI nascosti 2'!$H$12))</f>
        <v>0.49523809523809526</v>
      </c>
      <c r="J127" s="70">
        <f t="shared" si="4"/>
        <v>0.38782051282051289</v>
      </c>
      <c r="K127" s="71">
        <f>IF(D127&gt;=('DATI nascosti 2'!$L$10*10^-3),'DATI nascosti 2'!$L$14*'DATI nascosti 2'!$P$12,IF(D127&gt;=(-'DATI nascosti 2'!$L$10*10^-3),'DATI nascosti 2'!$L$16*D127*'DATI nascosti 2'!$P$12,-'DATI nascosti 2'!$L$14*'DATI nascosti 2'!$P$12))</f>
        <v>106292.24156108087</v>
      </c>
      <c r="L127" s="71">
        <f>-'DATI nascosti 2'!$H$16*'DATI nascosti 2'!$C$6*'DATI nascosti 2'!$H$10*F127*I127</f>
        <v>-70663.848927038489</v>
      </c>
      <c r="M127" s="71">
        <f>IF(C127&gt;=('DATI nascosti 2'!$L$10*10^-3),'DATI nascosti 2'!$L$14*'DATI nascosti 2'!$P$11,IF(C127&gt;=(-'DATI nascosti 2'!$L$10*10^-3),'DATI nascosti 2'!$P$11*'DATI nascosti 2'!$L$16*C127,-'DATI nascosti 2'!$L$14*'DATI nascosti 2'!$P$11))</f>
        <v>614659.43222408998</v>
      </c>
      <c r="N127" s="71">
        <f t="shared" si="2"/>
        <v>650287.8248581324</v>
      </c>
      <c r="O127" s="71">
        <f>-L127*('DATI nascosti 2'!$C$8/2+-J127*F127)-K127*('DATI nascosti 2'!$C$13/2)+M127*('DATI nascosti 2'!$C$13/2)</f>
        <v>334893575.76329666</v>
      </c>
      <c r="P127" s="69">
        <f>-'T2'!N127/10^3</f>
        <v>-650.28782485813235</v>
      </c>
      <c r="Q127" s="69">
        <f>'T2'!O127/10^6</f>
        <v>334.89357576329667</v>
      </c>
      <c r="R127" s="72">
        <f>-N127/('DATI nascosti 2'!$C$6*'DATI nascosti 2'!$C$13*'DATI nascosti 2'!$H$10*'DATI nascosti 2'!$H$16)</f>
        <v>-0.15647913780573725</v>
      </c>
      <c r="S127" s="72">
        <f>O127/('DATI nascosti 2'!$H$16*'DATI nascosti 2'!$C$6*'DATI nascosti 2'!$C$13^2*'DATI nascosti 2'!$H$10)</f>
        <v>6.977111347699344E-2</v>
      </c>
      <c r="T127" s="73">
        <f t="shared" si="3"/>
        <v>514.99284310967607</v>
      </c>
      <c r="U127" s="67" t="str">
        <f>IF(T127&gt;=0, IF(T127&lt;='DATI nascosti 2'!$C$8/6, "SI", "NO"),IF(T127&gt; -'DATI nascosti 2'!$C$8/6, "SI", "NO"))</f>
        <v>NO</v>
      </c>
      <c r="V127" s="67" t="str">
        <f>IF(Foglio3!G128&lt;1,IF(Foglio3!G128&gt;-1,"ROTTURA BILANCIATA",""),"")</f>
        <v/>
      </c>
    </row>
    <row r="128" spans="1:22" ht="18.75" x14ac:dyDescent="0.25">
      <c r="A128" s="20"/>
      <c r="B128" s="68">
        <f t="shared" si="5"/>
        <v>-2.4999999999999996E-3</v>
      </c>
      <c r="C128" s="68">
        <f>'DATI nascosti 2'!$L$8*10^-3</f>
        <v>6.7500000000000004E-2</v>
      </c>
      <c r="D128" s="68">
        <f>('DATI nascosti 2'!$C$10-F128)/('DATI nascosti 2'!$C$13-F128)*C128</f>
        <v>2.2727272727272727E-4</v>
      </c>
      <c r="E128" s="67" t="s">
        <v>39</v>
      </c>
      <c r="F128" s="69">
        <f>('DATI nascosti 2'!$C$13-'DATI nascosti 2'!$L$8*10^(-3)/('DATI nascosti 2'!$L$8*10^(-3)-B128)*'DATI nascosti 2'!$C$13)</f>
        <v>41.25</v>
      </c>
      <c r="G128" s="70">
        <f>$G$123+'DATI nascosti 2'!$H$10*((-B128)-(-$B$123))*10^3</f>
        <v>25.868333333333325</v>
      </c>
      <c r="H128" s="70">
        <f>$H$123+'DATI nascosti 2'!$H$10/2*((-B128*10^3)^2-(-$B$123*10^3)^2)</f>
        <v>39.390416666666653</v>
      </c>
      <c r="I128" s="70">
        <f>G128/('DATI nascosti 2'!$H$10*(-'DATI nascosti 2'!$H$12))</f>
        <v>0.52380952380952372</v>
      </c>
      <c r="J128" s="70">
        <f t="shared" si="4"/>
        <v>0.39090909090909076</v>
      </c>
      <c r="K128" s="71">
        <f>IF(D128&gt;=('DATI nascosti 2'!$L$10*10^-3),'DATI nascosti 2'!$L$14*'DATI nascosti 2'!$P$12,IF(D128&gt;=(-'DATI nascosti 2'!$L$10*10^-3),'DATI nascosti 2'!$L$16*D128*'DATI nascosti 2'!$P$12,-'DATI nascosti 2'!$L$14*'DATI nascosti 2'!$P$12))</f>
        <v>74703.382623248661</v>
      </c>
      <c r="L128" s="71">
        <f>-'DATI nascosti 2'!$H$16*'DATI nascosti 2'!$C$6*'DATI nascosti 2'!$H$10*F128*I128</f>
        <v>-77743.580357142826</v>
      </c>
      <c r="M128" s="71">
        <f>IF(C128&gt;=('DATI nascosti 2'!$L$10*10^-3),'DATI nascosti 2'!$L$14*'DATI nascosti 2'!$P$11,IF(C128&gt;=(-'DATI nascosti 2'!$L$10*10^-3),'DATI nascosti 2'!$P$11*'DATI nascosti 2'!$L$16*C128,-'DATI nascosti 2'!$L$14*'DATI nascosti 2'!$P$11))</f>
        <v>614659.43222408998</v>
      </c>
      <c r="N128" s="71">
        <f t="shared" si="2"/>
        <v>611619.23449019575</v>
      </c>
      <c r="O128" s="71">
        <f>-L128*('DATI nascosti 2'!$C$8/2+-J128*F128)-K128*('DATI nascosti 2'!$C$13/2)+M128*('DATI nascosti 2'!$C$13/2)</f>
        <v>357217151.6255126</v>
      </c>
      <c r="P128" s="69">
        <f>-'T2'!N128/10^3</f>
        <v>-611.61923449019571</v>
      </c>
      <c r="Q128" s="69">
        <f>'T2'!O128/10^6</f>
        <v>357.2171516255126</v>
      </c>
      <c r="R128" s="72">
        <f>-N128/('DATI nascosti 2'!$C$6*'DATI nascosti 2'!$C$13*'DATI nascosti 2'!$H$10*'DATI nascosti 2'!$H$16)</f>
        <v>-0.14717429239784727</v>
      </c>
      <c r="S128" s="72">
        <f>O128/('DATI nascosti 2'!$H$16*'DATI nascosti 2'!$C$6*'DATI nascosti 2'!$C$13^2*'DATI nascosti 2'!$H$10)</f>
        <v>7.442196633717435E-2</v>
      </c>
      <c r="T128" s="73">
        <f t="shared" si="3"/>
        <v>584.05153317858708</v>
      </c>
      <c r="U128" s="67" t="str">
        <f>IF(T128&gt;=0, IF(T128&lt;='DATI nascosti 2'!$C$8/6, "SI", "NO"),IF(T128&gt; -'DATI nascosti 2'!$C$8/6, "SI", "NO"))</f>
        <v>NO</v>
      </c>
      <c r="V128" s="67" t="str">
        <f>IF(Foglio3!G129&lt;1,IF(Foglio3!G129&gt;-1,"ROTTURA BILANCIATA",""),"")</f>
        <v/>
      </c>
    </row>
    <row r="129" spans="1:22" ht="18.75" x14ac:dyDescent="0.25">
      <c r="A129" s="20"/>
      <c r="B129" s="68">
        <f t="shared" si="5"/>
        <v>-2.5999999999999994E-3</v>
      </c>
      <c r="C129" s="68">
        <f>'DATI nascosti 2'!$L$8*10^-3</f>
        <v>6.7500000000000004E-2</v>
      </c>
      <c r="D129" s="68">
        <f>('DATI nascosti 2'!$C$10-F129)/('DATI nascosti 2'!$C$13-F129)*C129</f>
        <v>1.3116883116883087E-4</v>
      </c>
      <c r="E129" s="67" t="s">
        <v>39</v>
      </c>
      <c r="F129" s="69">
        <f>('DATI nascosti 2'!$C$13-'DATI nascosti 2'!$L$8*10^(-3)/('DATI nascosti 2'!$L$8*10^(-3)-B129)*'DATI nascosti 2'!$C$13)</f>
        <v>42.838801711840233</v>
      </c>
      <c r="G129" s="70">
        <f>$G$123+'DATI nascosti 2'!$H$10*((-B129)-(-$B$123))*10^3</f>
        <v>27.279333333333323</v>
      </c>
      <c r="H129" s="70">
        <f>$H$123+'DATI nascosti 2'!$H$10/2*((-B129*10^3)^2-(-$B$123*10^3)^2)</f>
        <v>42.988466666666646</v>
      </c>
      <c r="I129" s="70">
        <f>G129/('DATI nascosti 2'!$H$10*(-'DATI nascosti 2'!$H$12))</f>
        <v>0.55238095238095231</v>
      </c>
      <c r="J129" s="70">
        <f t="shared" si="4"/>
        <v>0.3938992042440318</v>
      </c>
      <c r="K129" s="71">
        <f>IF(D129&gt;=('DATI nascosti 2'!$L$10*10^-3),'DATI nascosti 2'!$L$14*'DATI nascosti 2'!$P$12,IF(D129&gt;=(-'DATI nascosti 2'!$L$10*10^-3),'DATI nascosti 2'!$L$16*D129*'DATI nascosti 2'!$P$12,-'DATI nascosti 2'!$L$14*'DATI nascosti 2'!$P$12))</f>
        <v>43114.523685417698</v>
      </c>
      <c r="L129" s="71">
        <f>-'DATI nascosti 2'!$H$16*'DATI nascosti 2'!$C$6*'DATI nascosti 2'!$H$10*F129*I129</f>
        <v>-85141.873609129791</v>
      </c>
      <c r="M129" s="71">
        <f>IF(C129&gt;=('DATI nascosti 2'!$L$10*10^-3),'DATI nascosti 2'!$L$14*'DATI nascosti 2'!$P$11,IF(C129&gt;=(-'DATI nascosti 2'!$L$10*10^-3),'DATI nascosti 2'!$P$11*'DATI nascosti 2'!$L$16*C129,-'DATI nascosti 2'!$L$14*'DATI nascosti 2'!$P$11))</f>
        <v>614659.43222408998</v>
      </c>
      <c r="N129" s="71">
        <f t="shared" si="2"/>
        <v>572632.08230037789</v>
      </c>
      <c r="O129" s="71">
        <f>-L129*('DATI nascosti 2'!$C$8/2+-J129*F129)-K129*('DATI nascosti 2'!$C$13/2)+M129*('DATI nascosti 2'!$C$13/2)</f>
        <v>379715610.40524536</v>
      </c>
      <c r="P129" s="69">
        <f>-'T2'!N129/10^3</f>
        <v>-572.63208230037787</v>
      </c>
      <c r="Q129" s="69">
        <f>'T2'!O129/10^6</f>
        <v>379.71561040524534</v>
      </c>
      <c r="R129" s="72">
        <f>-N129/('DATI nascosti 2'!$C$6*'DATI nascosti 2'!$C$13*'DATI nascosti 2'!$H$10*'DATI nascosti 2'!$H$16)</f>
        <v>-0.13779279127333416</v>
      </c>
      <c r="S129" s="72">
        <f>O129/('DATI nascosti 2'!$H$16*'DATI nascosti 2'!$C$6*'DATI nascosti 2'!$C$13^2*'DATI nascosti 2'!$H$10)</f>
        <v>7.9109253983706246E-2</v>
      </c>
      <c r="T129" s="73">
        <f t="shared" si="3"/>
        <v>663.10572205429287</v>
      </c>
      <c r="U129" s="67" t="str">
        <f>IF(T129&gt;=0, IF(T129&lt;='DATI nascosti 2'!$C$8/6, "SI", "NO"),IF(T129&gt; -'DATI nascosti 2'!$C$8/6, "SI", "NO"))</f>
        <v>NO</v>
      </c>
      <c r="V129" s="67" t="str">
        <f>IF(Foglio3!G130&lt;1,IF(Foglio3!G130&gt;-1,"ROTTURA BILANCIATA",""),"")</f>
        <v/>
      </c>
    </row>
    <row r="130" spans="1:22" ht="18.75" x14ac:dyDescent="0.25">
      <c r="A130" s="20"/>
      <c r="B130" s="68">
        <f t="shared" si="5"/>
        <v>-2.6999999999999993E-3</v>
      </c>
      <c r="C130" s="68">
        <f>'DATI nascosti 2'!$L$8*10^-3</f>
        <v>6.7500000000000004E-2</v>
      </c>
      <c r="D130" s="68">
        <f>('DATI nascosti 2'!$C$10-F130)/('DATI nascosti 2'!$C$13-F130)*C130</f>
        <v>3.5064935064949944E-5</v>
      </c>
      <c r="E130" s="67" t="s">
        <v>39</v>
      </c>
      <c r="F130" s="69">
        <f>('DATI nascosti 2'!$C$13-'DATI nascosti 2'!$L$8*10^(-3)/('DATI nascosti 2'!$L$8*10^(-3)-B130)*'DATI nascosti 2'!$C$13)</f>
        <v>44.423076923076678</v>
      </c>
      <c r="G130" s="70">
        <f>$G$123+'DATI nascosti 2'!$H$10*((-B130)-(-$B$123))*10^3</f>
        <v>28.690333333333321</v>
      </c>
      <c r="H130" s="70">
        <f>$H$123+'DATI nascosti 2'!$H$10/2*((-B130*10^3)^2-(-$B$123*10^3)^2)</f>
        <v>46.727616666666634</v>
      </c>
      <c r="I130" s="70">
        <f>G130/('DATI nascosti 2'!$H$10*(-'DATI nascosti 2'!$H$12))</f>
        <v>0.58095238095238078</v>
      </c>
      <c r="J130" s="70">
        <f t="shared" si="4"/>
        <v>0.39678202792956896</v>
      </c>
      <c r="K130" s="71">
        <f>IF(D130&gt;=('DATI nascosti 2'!$L$10*10^-3),'DATI nascosti 2'!$L$14*'DATI nascosti 2'!$P$12,IF(D130&gt;=(-'DATI nascosti 2'!$L$10*10^-3),'DATI nascosti 2'!$L$16*D130*'DATI nascosti 2'!$P$12,-'DATI nascosti 2'!$L$14*'DATI nascosti 2'!$P$12))</f>
        <v>11525.664747591827</v>
      </c>
      <c r="L130" s="71">
        <f>-'DATI nascosti 2'!$H$16*'DATI nascosti 2'!$C$6*'DATI nascosti 2'!$H$10*F130*I130</f>
        <v>-92857.367307691748</v>
      </c>
      <c r="M130" s="71">
        <f>IF(C130&gt;=('DATI nascosti 2'!$L$10*10^-3),'DATI nascosti 2'!$L$14*'DATI nascosti 2'!$P$11,IF(C130&gt;=(-'DATI nascosti 2'!$L$10*10^-3),'DATI nascosti 2'!$P$11*'DATI nascosti 2'!$L$16*C130,-'DATI nascosti 2'!$L$14*'DATI nascosti 2'!$P$11))</f>
        <v>614659.43222408998</v>
      </c>
      <c r="N130" s="71">
        <f t="shared" ref="N130:N193" si="6">K130+L130+M130</f>
        <v>533327.72966399009</v>
      </c>
      <c r="O130" s="71">
        <f>-L130*('DATI nascosti 2'!$C$8/2+-J130*F130)-K130*('DATI nascosti 2'!$C$13/2)+M130*('DATI nascosti 2'!$C$13/2)</f>
        <v>402387441.28085536</v>
      </c>
      <c r="P130" s="69">
        <f>-'T2'!N130/10^3</f>
        <v>-533.32772966399011</v>
      </c>
      <c r="Q130" s="69">
        <f>'T2'!O130/10^6</f>
        <v>402.38744128085534</v>
      </c>
      <c r="R130" s="72">
        <f>-N130/('DATI nascosti 2'!$C$6*'DATI nascosti 2'!$C$13*'DATI nascosti 2'!$H$10*'DATI nascosti 2'!$H$16)</f>
        <v>-0.12833496202073147</v>
      </c>
      <c r="S130" s="72">
        <f>O130/('DATI nascosti 2'!$H$16*'DATI nascosti 2'!$C$6*'DATI nascosti 2'!$C$13^2*'DATI nascosti 2'!$H$10)</f>
        <v>8.3832661654779136E-2</v>
      </c>
      <c r="T130" s="73">
        <f t="shared" ref="T130:T193" si="7">O130/N130</f>
        <v>754.484379678457</v>
      </c>
      <c r="U130" s="67" t="str">
        <f>IF(T130&gt;=0, IF(T130&lt;='DATI nascosti 2'!$C$8/6, "SI", "NO"),IF(T130&gt; -'DATI nascosti 2'!$C$8/6, "SI", "NO"))</f>
        <v>NO</v>
      </c>
      <c r="V130" s="67" t="str">
        <f>IF(Foglio3!G131&lt;1,IF(Foglio3!G131&gt;-1,"ROTTURA BILANCIATA",""),"")</f>
        <v/>
      </c>
    </row>
    <row r="131" spans="1:22" ht="18.75" x14ac:dyDescent="0.25">
      <c r="A131" s="20"/>
      <c r="B131" s="68">
        <f t="shared" si="5"/>
        <v>-2.7999999999999991E-3</v>
      </c>
      <c r="C131" s="68">
        <f>'DATI nascosti 2'!$L$8*10^-3</f>
        <v>6.7500000000000004E-2</v>
      </c>
      <c r="D131" s="68">
        <f>('DATI nascosti 2'!$C$10-F131)/('DATI nascosti 2'!$C$13-F131)*C131</f>
        <v>-6.1038961038958518E-5</v>
      </c>
      <c r="E131" s="67" t="s">
        <v>39</v>
      </c>
      <c r="F131" s="69">
        <f>('DATI nascosti 2'!$C$13-'DATI nascosti 2'!$L$8*10^(-3)/('DATI nascosti 2'!$L$8*10^(-3)-B131)*'DATI nascosti 2'!$C$13)</f>
        <v>46.00284495021333</v>
      </c>
      <c r="G131" s="70">
        <f>$G$123+'DATI nascosti 2'!$H$10*((-B131)-(-$B$123))*10^3</f>
        <v>30.101333333333319</v>
      </c>
      <c r="H131" s="70">
        <f>$H$123+'DATI nascosti 2'!$H$10/2*((-B131*10^3)^2-(-$B$123*10^3)^2)</f>
        <v>50.607866666666609</v>
      </c>
      <c r="I131" s="70">
        <f>G131/('DATI nascosti 2'!$H$10*(-'DATI nascosti 2'!$H$12))</f>
        <v>0.60952380952380936</v>
      </c>
      <c r="J131" s="70">
        <f t="shared" si="4"/>
        <v>0.39955357142857151</v>
      </c>
      <c r="K131" s="71">
        <f>IF(D131&gt;=('DATI nascosti 2'!$L$10*10^-3),'DATI nascosti 2'!$L$14*'DATI nascosti 2'!$P$12,IF(D131&gt;=(-'DATI nascosti 2'!$L$10*10^-3),'DATI nascosti 2'!$L$16*D131*'DATI nascosti 2'!$P$12,-'DATI nascosti 2'!$L$14*'DATI nascosti 2'!$P$12))</f>
        <v>-20063.194190243095</v>
      </c>
      <c r="L131" s="71">
        <f>-'DATI nascosti 2'!$H$16*'DATI nascosti 2'!$C$6*'DATI nascosti 2'!$H$10*F131*I131</f>
        <v>-100888.70782361295</v>
      </c>
      <c r="M131" s="71">
        <f>IF(C131&gt;=('DATI nascosti 2'!$L$10*10^-3),'DATI nascosti 2'!$L$14*'DATI nascosti 2'!$P$11,IF(C131&gt;=(-'DATI nascosti 2'!$L$10*10^-3),'DATI nascosti 2'!$P$11*'DATI nascosti 2'!$L$16*C131,-'DATI nascosti 2'!$L$14*'DATI nascosti 2'!$P$11))</f>
        <v>614659.43222408998</v>
      </c>
      <c r="N131" s="71">
        <f t="shared" si="6"/>
        <v>493707.53021023393</v>
      </c>
      <c r="O131" s="71">
        <f>-L131*('DATI nascosti 2'!$C$8/2+-J131*F131)-K131*('DATI nascosti 2'!$C$13/2)+M131*('DATI nascosti 2'!$C$13/2)</f>
        <v>425231146.36496425</v>
      </c>
      <c r="P131" s="69">
        <f>-'T2'!N131/10^3</f>
        <v>-493.70753021023393</v>
      </c>
      <c r="Q131" s="69">
        <f>'T2'!O131/10^6</f>
        <v>425.23114636496427</v>
      </c>
      <c r="R131" s="72">
        <f>-N131/('DATI nascosti 2'!$C$6*'DATI nascosti 2'!$C$13*'DATI nascosti 2'!$H$10*'DATI nascosti 2'!$H$16)</f>
        <v>-0.11880113036462188</v>
      </c>
      <c r="S131" s="72">
        <f>O131/('DATI nascosti 2'!$H$16*'DATI nascosti 2'!$C$6*'DATI nascosti 2'!$C$13^2*'DATI nascosti 2'!$H$10)</f>
        <v>8.8591877283283327E-2</v>
      </c>
      <c r="T131" s="73">
        <f t="shared" si="7"/>
        <v>861.30172287201981</v>
      </c>
      <c r="U131" s="67" t="str">
        <f>IF(T131&gt;=0, IF(T131&lt;='DATI nascosti 2'!$C$8/6, "SI", "NO"),IF(T131&gt; -'DATI nascosti 2'!$C$8/6, "SI", "NO"))</f>
        <v>NO</v>
      </c>
      <c r="V131" s="67" t="str">
        <f>IF(Foglio3!G132&lt;1,IF(Foglio3!G132&gt;-1,"ROTTURA BILANCIATA",""),"")</f>
        <v/>
      </c>
    </row>
    <row r="132" spans="1:22" ht="18.75" x14ac:dyDescent="0.25">
      <c r="A132" s="20"/>
      <c r="B132" s="68">
        <f t="shared" si="5"/>
        <v>-2.8999999999999989E-3</v>
      </c>
      <c r="C132" s="68">
        <f>'DATI nascosti 2'!$L$8*10^-3</f>
        <v>6.7500000000000004E-2</v>
      </c>
      <c r="D132" s="68">
        <f>('DATI nascosti 2'!$C$10-F132)/('DATI nascosti 2'!$C$13-F132)*C132</f>
        <v>-1.5714285714285713E-4</v>
      </c>
      <c r="E132" s="67" t="s">
        <v>39</v>
      </c>
      <c r="F132" s="69">
        <f>('DATI nascosti 2'!$C$13-'DATI nascosti 2'!$L$8*10^(-3)/('DATI nascosti 2'!$L$8*10^(-3)-B132)*'DATI nascosti 2'!$C$13)</f>
        <v>47.578125</v>
      </c>
      <c r="G132" s="70">
        <f>$G$123+'DATI nascosti 2'!$H$10*((-B132)-(-$B$123))*10^3</f>
        <v>31.512333333333316</v>
      </c>
      <c r="H132" s="70">
        <f>$H$123+'DATI nascosti 2'!$H$10/2*((-B132*10^3)^2-(-$B$123*10^3)^2)</f>
        <v>54.629216666666622</v>
      </c>
      <c r="I132" s="70">
        <f>G132/('DATI nascosti 2'!$H$10*(-'DATI nascosti 2'!$H$12))</f>
        <v>0.63809523809523783</v>
      </c>
      <c r="J132" s="70">
        <f t="shared" si="4"/>
        <v>0.4022130725681935</v>
      </c>
      <c r="K132" s="71">
        <f>IF(D132&gt;=('DATI nascosti 2'!$L$10*10^-3),'DATI nascosti 2'!$L$14*'DATI nascosti 2'!$P$12,IF(D132&gt;=(-'DATI nascosti 2'!$L$10*10^-3),'DATI nascosti 2'!$L$16*D132*'DATI nascosti 2'!$P$12,-'DATI nascosti 2'!$L$14*'DATI nascosti 2'!$P$12))</f>
        <v>-51652.053128074782</v>
      </c>
      <c r="L132" s="71">
        <f>-'DATI nascosti 2'!$H$16*'DATI nascosti 2'!$C$6*'DATI nascosti 2'!$H$10*F132*I132</f>
        <v>-109234.54921874993</v>
      </c>
      <c r="M132" s="71">
        <f>IF(C132&gt;=('DATI nascosti 2'!$L$10*10^-3),'DATI nascosti 2'!$L$14*'DATI nascosti 2'!$P$11,IF(C132&gt;=(-'DATI nascosti 2'!$L$10*10^-3),'DATI nascosti 2'!$P$11*'DATI nascosti 2'!$L$16*C132,-'DATI nascosti 2'!$L$14*'DATI nascosti 2'!$P$11))</f>
        <v>614659.43222408998</v>
      </c>
      <c r="N132" s="71">
        <f t="shared" si="6"/>
        <v>453772.82987726526</v>
      </c>
      <c r="O132" s="71">
        <f>-L132*('DATI nascosti 2'!$C$8/2+-J132*F132)-K132*('DATI nascosti 2'!$C$13/2)+M132*('DATI nascosti 2'!$C$13/2)</f>
        <v>448245240.58179915</v>
      </c>
      <c r="P132" s="69">
        <f>-'T2'!N132/10^3</f>
        <v>-453.77282987726528</v>
      </c>
      <c r="Q132" s="69">
        <f>'T2'!O132/10^6</f>
        <v>448.24524058179912</v>
      </c>
      <c r="R132" s="72">
        <f>-N132/('DATI nascosti 2'!$C$6*'DATI nascosti 2'!$C$13*'DATI nascosti 2'!$H$10*'DATI nascosti 2'!$H$16)</f>
        <v>-0.10919162017888727</v>
      </c>
      <c r="S132" s="72">
        <f>O132/('DATI nascosti 2'!$H$16*'DATI nascosti 2'!$C$6*'DATI nascosti 2'!$C$13^2*'DATI nascosti 2'!$H$10)</f>
        <v>9.3386591471255484E-2</v>
      </c>
      <c r="T132" s="73">
        <f t="shared" si="7"/>
        <v>987.81859791613965</v>
      </c>
      <c r="U132" s="67" t="str">
        <f>IF(T132&gt;=0, IF(T132&lt;='DATI nascosti 2'!$C$8/6, "SI", "NO"),IF(T132&gt; -'DATI nascosti 2'!$C$8/6, "SI", "NO"))</f>
        <v>NO</v>
      </c>
      <c r="V132" s="67" t="str">
        <f>IF(Foglio3!G133&lt;1,IF(Foglio3!G133&gt;-1,"ROTTURA BILANCIATA",""),"")</f>
        <v/>
      </c>
    </row>
    <row r="133" spans="1:22" ht="18.75" x14ac:dyDescent="0.25">
      <c r="A133" s="20"/>
      <c r="B133" s="68">
        <f t="shared" si="5"/>
        <v>-2.9999999999999988E-3</v>
      </c>
      <c r="C133" s="68">
        <f>'DATI nascosti 2'!$L$8*10^-3</f>
        <v>6.7500000000000004E-2</v>
      </c>
      <c r="D133" s="68">
        <f>('DATI nascosti 2'!$C$10-F133)/('DATI nascosti 2'!$C$13-F133)*C133</f>
        <v>-2.5324675324676097E-4</v>
      </c>
      <c r="E133" s="67" t="s">
        <v>39</v>
      </c>
      <c r="F133" s="69">
        <f>('DATI nascosti 2'!$C$13-'DATI nascosti 2'!$L$8*10^(-3)/('DATI nascosti 2'!$L$8*10^(-3)-B133)*'DATI nascosti 2'!$C$13)</f>
        <v>49.148936170212892</v>
      </c>
      <c r="G133" s="70">
        <f>$G$123+'DATI nascosti 2'!$H$10*((-B133)-(-$B$123))*10^3</f>
        <v>32.923333333333311</v>
      </c>
      <c r="H133" s="70">
        <f>$H$123+'DATI nascosti 2'!$H$10/2*((-B133*10^3)^2-(-$B$123*10^3)^2)</f>
        <v>58.791666666666615</v>
      </c>
      <c r="I133" s="70">
        <f>G133/('DATI nascosti 2'!$H$10*(-'DATI nascosti 2'!$H$12))</f>
        <v>0.6666666666666663</v>
      </c>
      <c r="J133" s="70">
        <f t="shared" si="4"/>
        <v>0.40476190476190466</v>
      </c>
      <c r="K133" s="71">
        <f>IF(D133&gt;=('DATI nascosti 2'!$L$10*10^-3),'DATI nascosti 2'!$L$14*'DATI nascosti 2'!$P$12,IF(D133&gt;=(-'DATI nascosti 2'!$L$10*10^-3),'DATI nascosti 2'!$L$16*D133*'DATI nascosti 2'!$P$12,-'DATI nascosti 2'!$L$14*'DATI nascosti 2'!$P$12))</f>
        <v>-83240.912065908182</v>
      </c>
      <c r="L133" s="71">
        <f>-'DATI nascosti 2'!$H$16*'DATI nascosti 2'!$C$6*'DATI nascosti 2'!$H$10*F133*I133</f>
        <v>-117893.55319148957</v>
      </c>
      <c r="M133" s="71">
        <f>IF(C133&gt;=('DATI nascosti 2'!$L$10*10^-3),'DATI nascosti 2'!$L$14*'DATI nascosti 2'!$P$11,IF(C133&gt;=(-'DATI nascosti 2'!$L$10*10^-3),'DATI nascosti 2'!$P$11*'DATI nascosti 2'!$L$16*C133,-'DATI nascosti 2'!$L$14*'DATI nascosti 2'!$P$11))</f>
        <v>614659.43222408998</v>
      </c>
      <c r="N133" s="71">
        <f t="shared" si="6"/>
        <v>413524.96696669224</v>
      </c>
      <c r="O133" s="71">
        <f>-L133*('DATI nascosti 2'!$C$8/2+-J133*F133)-K133*('DATI nascosti 2'!$C$13/2)+M133*('DATI nascosti 2'!$C$13/2)</f>
        <v>471428251.54589868</v>
      </c>
      <c r="P133" s="69">
        <f>-'T2'!N133/10^3</f>
        <v>-413.52496696669226</v>
      </c>
      <c r="Q133" s="69">
        <f>'T2'!O133/10^6</f>
        <v>471.42825154589866</v>
      </c>
      <c r="R133" s="72">
        <f>-N133/('DATI nascosti 2'!$C$6*'DATI nascosti 2'!$C$13*'DATI nascosti 2'!$H$10*'DATI nascosti 2'!$H$16)</f>
        <v>-9.9506753499822589E-2</v>
      </c>
      <c r="S133" s="72">
        <f>O133/('DATI nascosti 2'!$H$16*'DATI nascosti 2'!$C$6*'DATI nascosti 2'!$C$13^2*'DATI nascosti 2'!$H$10)</f>
        <v>9.8216497464608504E-2</v>
      </c>
      <c r="T133" s="73">
        <f t="shared" si="7"/>
        <v>1140.0236725824352</v>
      </c>
      <c r="U133" s="67" t="str">
        <f>IF(T133&gt;=0, IF(T133&lt;='DATI nascosti 2'!$C$8/6, "SI", "NO"),IF(T133&gt; -'DATI nascosti 2'!$C$8/6, "SI", "NO"))</f>
        <v>NO</v>
      </c>
      <c r="V133" s="67" t="str">
        <f>IF(Foglio3!G134&lt;1,IF(Foglio3!G134&gt;-1,"ROTTURA BILANCIATA",""),"")</f>
        <v/>
      </c>
    </row>
    <row r="134" spans="1:22" ht="18.75" x14ac:dyDescent="0.25">
      <c r="A134" s="20"/>
      <c r="B134" s="68">
        <f t="shared" si="5"/>
        <v>-3.0999999999999986E-3</v>
      </c>
      <c r="C134" s="68">
        <f>'DATI nascosti 2'!$L$8*10^-3</f>
        <v>6.7500000000000004E-2</v>
      </c>
      <c r="D134" s="68">
        <f>('DATI nascosti 2'!$C$10-F134)/('DATI nascosti 2'!$C$13-F134)*C134</f>
        <v>-3.493506493506362E-4</v>
      </c>
      <c r="E134" s="67" t="s">
        <v>39</v>
      </c>
      <c r="F134" s="69">
        <f>('DATI nascosti 2'!$C$13-'DATI nascosti 2'!$L$8*10^(-3)/('DATI nascosti 2'!$L$8*10^(-3)-B134)*'DATI nascosti 2'!$C$13)</f>
        <v>50.715297450424714</v>
      </c>
      <c r="G134" s="70">
        <f>$G$123+'DATI nascosti 2'!$H$10*((-B134)-(-$B$123))*10^3</f>
        <v>34.334333333333312</v>
      </c>
      <c r="H134" s="70">
        <f>$H$123+'DATI nascosti 2'!$H$10/2*((-B134*10^3)^2-(-$B$123*10^3)^2)</f>
        <v>63.095216666666602</v>
      </c>
      <c r="I134" s="70">
        <f>G134/('DATI nascosti 2'!$H$10*(-'DATI nascosti 2'!$H$12))</f>
        <v>0.69523809523809499</v>
      </c>
      <c r="J134" s="70">
        <f t="shared" si="4"/>
        <v>0.40720282810428632</v>
      </c>
      <c r="K134" s="71">
        <f>IF(D134&gt;=('DATI nascosti 2'!$L$10*10^-3),'DATI nascosti 2'!$L$14*'DATI nascosti 2'!$P$12,IF(D134&gt;=(-'DATI nascosti 2'!$L$10*10^-3),'DATI nascosti 2'!$L$16*D134*'DATI nascosti 2'!$P$12,-'DATI nascosti 2'!$L$14*'DATI nascosti 2'!$P$12))</f>
        <v>-114829.7710037322</v>
      </c>
      <c r="L134" s="71">
        <f>-'DATI nascosti 2'!$H$16*'DATI nascosti 2'!$C$6*'DATI nascosti 2'!$H$10*F134*I134</f>
        <v>-126864.38902266229</v>
      </c>
      <c r="M134" s="71">
        <f>IF(C134&gt;=('DATI nascosti 2'!$L$10*10^-3),'DATI nascosti 2'!$L$14*'DATI nascosti 2'!$P$11,IF(C134&gt;=(-'DATI nascosti 2'!$L$10*10^-3),'DATI nascosti 2'!$P$11*'DATI nascosti 2'!$L$16*C134,-'DATI nascosti 2'!$L$14*'DATI nascosti 2'!$P$11))</f>
        <v>614659.43222408998</v>
      </c>
      <c r="N134" s="71">
        <f t="shared" si="6"/>
        <v>372965.27219769551</v>
      </c>
      <c r="O134" s="71">
        <f>-L134*('DATI nascosti 2'!$C$8/2+-J134*F134)-K134*('DATI nascosti 2'!$C$13/2)+M134*('DATI nascosti 2'!$C$13/2)</f>
        <v>494778719.44205868</v>
      </c>
      <c r="P134" s="69">
        <f>-'T2'!N134/10^3</f>
        <v>-372.96527219769553</v>
      </c>
      <c r="Q134" s="69">
        <f>'T2'!O134/10^6</f>
        <v>494.77871944205867</v>
      </c>
      <c r="R134" s="72">
        <f>-N134/('DATI nascosti 2'!$C$6*'DATI nascosti 2'!$C$13*'DATI nascosti 2'!$H$10*'DATI nascosti 2'!$H$16)</f>
        <v>-8.9746850539158832E-2</v>
      </c>
      <c r="S134" s="72">
        <f>O134/('DATI nascosti 2'!$H$16*'DATI nascosti 2'!$C$6*'DATI nascosti 2'!$C$13^2*'DATI nascosti 2'!$H$10)</f>
        <v>0.10308129112811965</v>
      </c>
      <c r="T134" s="73">
        <f t="shared" si="7"/>
        <v>1326.6080150749108</v>
      </c>
      <c r="U134" s="67" t="str">
        <f>IF(T134&gt;=0, IF(T134&lt;='DATI nascosti 2'!$C$8/6, "SI", "NO"),IF(T134&gt; -'DATI nascosti 2'!$C$8/6, "SI", "NO"))</f>
        <v>NO</v>
      </c>
      <c r="V134" s="67" t="str">
        <f>IF(Foglio3!G135&lt;1,IF(Foglio3!G135&gt;-1,"ROTTURA BILANCIATA",""),"")</f>
        <v/>
      </c>
    </row>
    <row r="135" spans="1:22" ht="18.75" x14ac:dyDescent="0.25">
      <c r="A135" s="20"/>
      <c r="B135" s="68">
        <f t="shared" si="5"/>
        <v>-3.1999999999999984E-3</v>
      </c>
      <c r="C135" s="68">
        <f>'DATI nascosti 2'!$L$8*10^-3</f>
        <v>6.7500000000000004E-2</v>
      </c>
      <c r="D135" s="68">
        <f>('DATI nascosti 2'!$C$10-F135)/('DATI nascosti 2'!$C$13-F135)*C135</f>
        <v>-4.4545454545453258E-4</v>
      </c>
      <c r="E135" s="67" t="s">
        <v>39</v>
      </c>
      <c r="F135" s="69">
        <f>('DATI nascosti 2'!$C$13-'DATI nascosti 2'!$L$8*10^(-3)/('DATI nascosti 2'!$L$8*10^(-3)-B135)*'DATI nascosti 2'!$C$13)</f>
        <v>52.277227722772068</v>
      </c>
      <c r="G135" s="70">
        <f>$G$123+'DATI nascosti 2'!$H$10*((-B135)-(-$B$123))*10^3</f>
        <v>35.745333333333306</v>
      </c>
      <c r="H135" s="70">
        <f>$H$123+'DATI nascosti 2'!$H$10/2*((-B135*10^3)^2-(-$B$123*10^3)^2)</f>
        <v>67.539866666666583</v>
      </c>
      <c r="I135" s="70">
        <f>G135/('DATI nascosti 2'!$H$10*(-'DATI nascosti 2'!$H$12))</f>
        <v>0.72380952380952335</v>
      </c>
      <c r="J135" s="70">
        <f t="shared" si="4"/>
        <v>0.40953947368421051</v>
      </c>
      <c r="K135" s="71">
        <f>IF(D135&gt;=('DATI nascosti 2'!$L$10*10^-3),'DATI nascosti 2'!$L$14*'DATI nascosti 2'!$P$12,IF(D135&gt;=(-'DATI nascosti 2'!$L$10*10^-3),'DATI nascosti 2'!$L$16*D135*'DATI nascosti 2'!$P$12,-'DATI nascosti 2'!$L$14*'DATI nascosti 2'!$P$12))</f>
        <v>-146418.62994156312</v>
      </c>
      <c r="L135" s="71">
        <f>-'DATI nascosti 2'!$H$16*'DATI nascosti 2'!$C$6*'DATI nascosti 2'!$H$10*F135*I135</f>
        <v>-136145.73352192296</v>
      </c>
      <c r="M135" s="71">
        <f>IF(C135&gt;=('DATI nascosti 2'!$L$10*10^-3),'DATI nascosti 2'!$L$14*'DATI nascosti 2'!$P$11,IF(C135&gt;=(-'DATI nascosti 2'!$L$10*10^-3),'DATI nascosti 2'!$P$11*'DATI nascosti 2'!$L$16*C135,-'DATI nascosti 2'!$L$14*'DATI nascosti 2'!$P$11))</f>
        <v>614659.43222408998</v>
      </c>
      <c r="N135" s="71">
        <f t="shared" si="6"/>
        <v>332095.0687606039</v>
      </c>
      <c r="O135" s="71">
        <f>-L135*('DATI nascosti 2'!$C$8/2+-J135*F135)-K135*('DATI nascosti 2'!$C$13/2)+M135*('DATI nascosti 2'!$C$13/2)</f>
        <v>518295196.90660208</v>
      </c>
      <c r="P135" s="69">
        <f>-'T2'!N135/10^3</f>
        <v>-332.09506876060391</v>
      </c>
      <c r="Q135" s="69">
        <f>'T2'!O135/10^6</f>
        <v>518.29519690660209</v>
      </c>
      <c r="R135" s="72">
        <f>-N135/('DATI nascosti 2'!$C$6*'DATI nascosti 2'!$C$13*'DATI nascosti 2'!$H$10*'DATI nascosti 2'!$H$16)</f>
        <v>-7.9912229696955009E-2</v>
      </c>
      <c r="S135" s="72">
        <f>O135/('DATI nascosti 2'!$H$16*'DATI nascosti 2'!$C$6*'DATI nascosti 2'!$C$13^2*'DATI nascosti 2'!$H$10)</f>
        <v>0.10798067092069445</v>
      </c>
      <c r="T135" s="73">
        <f t="shared" si="7"/>
        <v>1560.6832068928538</v>
      </c>
      <c r="U135" s="67" t="str">
        <f>IF(T135&gt;=0, IF(T135&lt;='DATI nascosti 2'!$C$8/6, "SI", "NO"),IF(T135&gt; -'DATI nascosti 2'!$C$8/6, "SI", "NO"))</f>
        <v>NO</v>
      </c>
      <c r="V135" s="67" t="str">
        <f>IF(Foglio3!G136&lt;1,IF(Foglio3!G136&gt;-1,"ROTTURA BILANCIATA",""),"")</f>
        <v/>
      </c>
    </row>
    <row r="136" spans="1:22" ht="18.75" x14ac:dyDescent="0.25">
      <c r="A136" s="20"/>
      <c r="B136" s="68">
        <f t="shared" si="5"/>
        <v>-3.2999999999999982E-3</v>
      </c>
      <c r="C136" s="68">
        <f>'DATI nascosti 2'!$L$8*10^-3</f>
        <v>6.7500000000000004E-2</v>
      </c>
      <c r="D136" s="68">
        <f>('DATI nascosti 2'!$C$10-F136)/('DATI nascosti 2'!$C$13-F136)*C136</f>
        <v>-5.415584415584449E-4</v>
      </c>
      <c r="E136" s="67" t="s">
        <v>39</v>
      </c>
      <c r="F136" s="69">
        <f>('DATI nascosti 2'!$C$13-'DATI nascosti 2'!$L$8*10^(-3)/('DATI nascosti 2'!$L$8*10^(-3)-B136)*'DATI nascosti 2'!$C$13)</f>
        <v>53.834745762711918</v>
      </c>
      <c r="G136" s="70">
        <f>$G$123+'DATI nascosti 2'!$H$10*((-B136)-(-$B$123))*10^3</f>
        <v>37.156333333333308</v>
      </c>
      <c r="H136" s="70">
        <f>$H$123+'DATI nascosti 2'!$H$10/2*((-B136*10^3)^2-(-$B$123*10^3)^2)</f>
        <v>72.125616666666559</v>
      </c>
      <c r="I136" s="70">
        <f>G136/('DATI nascosti 2'!$H$10*(-'DATI nascosti 2'!$H$12))</f>
        <v>0.75238095238095204</v>
      </c>
      <c r="J136" s="70">
        <f t="shared" si="4"/>
        <v>0.41177598772535495</v>
      </c>
      <c r="K136" s="71">
        <f>IF(D136&gt;=('DATI nascosti 2'!$L$10*10^-3),'DATI nascosti 2'!$L$14*'DATI nascosti 2'!$P$12,IF(D136&gt;=(-'DATI nascosti 2'!$L$10*10^-3),'DATI nascosti 2'!$L$16*D136*'DATI nascosti 2'!$P$12,-'DATI nascosti 2'!$L$14*'DATI nascosti 2'!$P$12))</f>
        <v>-178007.48887939935</v>
      </c>
      <c r="L136" s="71">
        <f>-'DATI nascosti 2'!$H$16*'DATI nascosti 2'!$C$6*'DATI nascosti 2'!$H$10*F136*I136</f>
        <v>-145736.2709745763</v>
      </c>
      <c r="M136" s="71">
        <f>IF(C136&gt;=('DATI nascosti 2'!$L$10*10^-3),'DATI nascosti 2'!$L$14*'DATI nascosti 2'!$P$11,IF(C136&gt;=(-'DATI nascosti 2'!$L$10*10^-3),'DATI nascosti 2'!$P$11*'DATI nascosti 2'!$L$16*C136,-'DATI nascosti 2'!$L$14*'DATI nascosti 2'!$P$11))</f>
        <v>614659.43222408998</v>
      </c>
      <c r="N136" s="71">
        <f t="shared" si="6"/>
        <v>290915.67237011436</v>
      </c>
      <c r="O136" s="71">
        <f>-L136*('DATI nascosti 2'!$C$8/2+-J136*F136)-K136*('DATI nascosti 2'!$C$13/2)+M136*('DATI nascosti 2'!$C$13/2)</f>
        <v>541976248.9098506</v>
      </c>
      <c r="P136" s="69">
        <f>-'T2'!N136/10^3</f>
        <v>-290.91567237011435</v>
      </c>
      <c r="Q136" s="69">
        <f>'T2'!O136/10^6</f>
        <v>541.9762489098506</v>
      </c>
      <c r="R136" s="72">
        <f>-N136/('DATI nascosti 2'!$C$6*'DATI nascosti 2'!$C$13*'DATI nascosti 2'!$H$10*'DATI nascosti 2'!$H$16)</f>
        <v>-7.0003207574404494E-2</v>
      </c>
      <c r="S136" s="72">
        <f>O136/('DATI nascosti 2'!$H$16*'DATI nascosti 2'!$C$6*'DATI nascosti 2'!$C$13^2*'DATI nascosti 2'!$H$10)</f>
        <v>0.11291433787088119</v>
      </c>
      <c r="T136" s="73">
        <f t="shared" si="7"/>
        <v>1863.0012075125574</v>
      </c>
      <c r="U136" s="67" t="str">
        <f>IF(T136&gt;=0, IF(T136&lt;='DATI nascosti 2'!$C$8/6, "SI", "NO"),IF(T136&gt; -'DATI nascosti 2'!$C$8/6, "SI", "NO"))</f>
        <v>NO</v>
      </c>
      <c r="V136" s="67" t="str">
        <f>IF(Foglio3!G137&lt;1,IF(Foglio3!G137&gt;-1,"ROTTURA BILANCIATA",""),"")</f>
        <v/>
      </c>
    </row>
    <row r="137" spans="1:22" ht="18.75" x14ac:dyDescent="0.25">
      <c r="A137" s="20"/>
      <c r="B137" s="68">
        <f t="shared" si="5"/>
        <v>-3.3999999999999981E-3</v>
      </c>
      <c r="C137" s="68">
        <f>'DATI nascosti 2'!$L$8*10^-3</f>
        <v>6.7500000000000004E-2</v>
      </c>
      <c r="D137" s="68">
        <f>('DATI nascosti 2'!$C$10-F137)/('DATI nascosti 2'!$C$13-F137)*C137</f>
        <v>-6.3766233766234393E-4</v>
      </c>
      <c r="E137" s="67" t="s">
        <v>39</v>
      </c>
      <c r="F137" s="69">
        <f>('DATI nascosti 2'!$C$13-'DATI nascosti 2'!$L$8*10^(-3)/('DATI nascosti 2'!$L$8*10^(-3)-B137)*'DATI nascosti 2'!$C$13)</f>
        <v>55.387870239774429</v>
      </c>
      <c r="G137" s="70">
        <f>$G$123+'DATI nascosti 2'!$H$10*((-B137)-(-$B$123))*10^3</f>
        <v>38.567333333333302</v>
      </c>
      <c r="H137" s="70">
        <f>$H$123+'DATI nascosti 2'!$H$10/2*((-B137*10^3)^2-(-$B$123*10^3)^2)</f>
        <v>76.852466666666572</v>
      </c>
      <c r="I137" s="70">
        <f>G137/('DATI nascosti 2'!$H$10*(-'DATI nascosti 2'!$H$12))</f>
        <v>0.78095238095238051</v>
      </c>
      <c r="J137" s="70">
        <f t="shared" si="4"/>
        <v>0.41391678622668571</v>
      </c>
      <c r="K137" s="71">
        <f>IF(D137&gt;=('DATI nascosti 2'!$L$10*10^-3),'DATI nascosti 2'!$L$14*'DATI nascosti 2'!$P$12,IF(D137&gt;=(-'DATI nascosti 2'!$L$10*10^-3),'DATI nascosti 2'!$L$16*D137*'DATI nascosti 2'!$P$12,-'DATI nascosti 2'!$L$14*'DATI nascosti 2'!$P$12))</f>
        <v>-209596.34781723114</v>
      </c>
      <c r="L137" s="71">
        <f>-'DATI nascosti 2'!$H$16*'DATI nascosti 2'!$C$6*'DATI nascosti 2'!$H$10*F137*I137</f>
        <v>-155634.69308885772</v>
      </c>
      <c r="M137" s="71">
        <f>IF(C137&gt;=('DATI nascosti 2'!$L$10*10^-3),'DATI nascosti 2'!$L$14*'DATI nascosti 2'!$P$11,IF(C137&gt;=(-'DATI nascosti 2'!$L$10*10^-3),'DATI nascosti 2'!$P$11*'DATI nascosti 2'!$L$16*C137,-'DATI nascosti 2'!$L$14*'DATI nascosti 2'!$P$11))</f>
        <v>614659.43222408998</v>
      </c>
      <c r="N137" s="71">
        <f t="shared" si="6"/>
        <v>249428.39131800109</v>
      </c>
      <c r="O137" s="71">
        <f>-L137*('DATI nascosti 2'!$C$8/2+-J137*F137)-K137*('DATI nascosti 2'!$C$13/2)+M137*('DATI nascosti 2'!$C$13/2)</f>
        <v>565820452.63987589</v>
      </c>
      <c r="P137" s="69">
        <f>-'T2'!N137/10^3</f>
        <v>-249.42839131800108</v>
      </c>
      <c r="Q137" s="69">
        <f>'T2'!O137/10^6</f>
        <v>565.82045263987584</v>
      </c>
      <c r="R137" s="72">
        <f>-N137/('DATI nascosti 2'!$C$6*'DATI nascosti 2'!$C$13*'DATI nascosti 2'!$H$10*'DATI nascosti 2'!$H$16)</f>
        <v>-6.0020098986518403E-2</v>
      </c>
      <c r="S137" s="72">
        <f>O137/('DATI nascosti 2'!$H$16*'DATI nascosti 2'!$C$6*'DATI nascosti 2'!$C$13^2*'DATI nascosti 2'!$H$10)</f>
        <v>0.11788199555265173</v>
      </c>
      <c r="T137" s="73">
        <f t="shared" si="7"/>
        <v>2268.4685157532867</v>
      </c>
      <c r="U137" s="67" t="str">
        <f>IF(T137&gt;=0, IF(T137&lt;='DATI nascosti 2'!$C$8/6, "SI", "NO"),IF(T137&gt; -'DATI nascosti 2'!$C$8/6, "SI", "NO"))</f>
        <v>NO</v>
      </c>
      <c r="V137" s="67" t="str">
        <f>IF(Foglio3!G138&lt;1,IF(Foglio3!G138&gt;-1,"ROTTURA BILANCIATA",""),"")</f>
        <v/>
      </c>
    </row>
    <row r="138" spans="1:22" ht="19.5" thickBot="1" x14ac:dyDescent="0.3">
      <c r="A138" s="20"/>
      <c r="B138" s="113">
        <f t="shared" si="5"/>
        <v>-3.4999999999999979E-3</v>
      </c>
      <c r="C138" s="113">
        <f>'DATI nascosti 2'!$L$8*10^-3</f>
        <v>6.7500000000000004E-2</v>
      </c>
      <c r="D138" s="113">
        <f>('DATI nascosti 2'!$C$10-F138)/('DATI nascosti 2'!$C$13-F138)*C138</f>
        <v>-7.3376623376623538E-4</v>
      </c>
      <c r="E138" s="112" t="s">
        <v>39</v>
      </c>
      <c r="F138" s="114">
        <f>('DATI nascosti 2'!$C$13-'DATI nascosti 2'!$L$8*10^(-3)/('DATI nascosti 2'!$L$8*10^(-3)-B138)*'DATI nascosti 2'!$C$13)</f>
        <v>56.936619718309885</v>
      </c>
      <c r="G138" s="115">
        <f>$G$123+'DATI nascosti 2'!$H$10*((-B138)-(-$B$123))*10^3</f>
        <v>39.978333333333296</v>
      </c>
      <c r="H138" s="115">
        <f>$H$123+'DATI nascosti 2'!$H$10/2*((-B138*10^3)^2-(-$B$123*10^3)^2)</f>
        <v>81.720416666666537</v>
      </c>
      <c r="I138" s="115">
        <f>G138/('DATI nascosti 2'!$H$10*(-'DATI nascosti 2'!$H$12))</f>
        <v>0.80952380952380887</v>
      </c>
      <c r="J138" s="115">
        <f t="shared" si="4"/>
        <v>0.41596638655462193</v>
      </c>
      <c r="K138" s="116">
        <f>IF(D138&gt;=('DATI nascosti 2'!$L$10*10^-3),'DATI nascosti 2'!$L$14*'DATI nascosti 2'!$P$12,IF(D138&gt;=(-'DATI nascosti 2'!$L$10*10^-3),'DATI nascosti 2'!$L$16*D138*'DATI nascosti 2'!$P$12,-'DATI nascosti 2'!$L$14*'DATI nascosti 2'!$P$12))</f>
        <v>-241185.2067550605</v>
      </c>
      <c r="L138" s="116">
        <f>-'DATI nascosti 2'!$H$16*'DATI nascosti 2'!$C$6*'DATI nascosti 2'!$H$10*F138*I138</f>
        <v>-165839.69894366188</v>
      </c>
      <c r="M138" s="116">
        <f>IF(C138&gt;=('DATI nascosti 2'!$L$10*10^-3),'DATI nascosti 2'!$L$14*'DATI nascosti 2'!$P$11,IF(C138&gt;=(-'DATI nascosti 2'!$L$10*10^-3),'DATI nascosti 2'!$P$11*'DATI nascosti 2'!$L$16*C138,-'DATI nascosti 2'!$L$14*'DATI nascosti 2'!$P$11))</f>
        <v>614659.43222408998</v>
      </c>
      <c r="N138" s="116">
        <f t="shared" si="6"/>
        <v>207634.52652536763</v>
      </c>
      <c r="O138" s="286">
        <f>-L138*('DATI nascosti 2'!$C$8/2+-J138*F138)-K138*('DATI nascosti 2'!$C$13/2)+M138*('DATI nascosti 2'!$C$13/2)</f>
        <v>589826397.38748646</v>
      </c>
      <c r="P138" s="285">
        <f>-'T2'!N138/10^3</f>
        <v>-207.63452652536765</v>
      </c>
      <c r="Q138" s="285">
        <f>'T2'!O138/10^6</f>
        <v>589.82639738748651</v>
      </c>
      <c r="R138" s="287">
        <f>-N138/('DATI nascosti 2'!$C$6*'DATI nascosti 2'!$C$13*'DATI nascosti 2'!$H$10*'DATI nascosti 2'!$H$16)</f>
        <v>-4.9963216974699118E-2</v>
      </c>
      <c r="S138" s="117">
        <f>O138/('DATI nascosti 2'!$H$16*'DATI nascosti 2'!$C$6*'DATI nascosti 2'!$C$13^2*'DATI nascosti 2'!$H$10)</f>
        <v>0.12288335006143994</v>
      </c>
      <c r="T138" s="118">
        <f t="shared" si="7"/>
        <v>2840.6951736681654</v>
      </c>
      <c r="U138" s="112" t="str">
        <f>IF(T138&gt;=0, IF(T138&lt;='DATI nascosti 2'!$C$8/6, "SI", "NO"),IF(T138&gt; -'DATI nascosti 2'!$C$8/6, "SI", "NO"))</f>
        <v>NO</v>
      </c>
      <c r="V138" s="112" t="str">
        <f>IF(Foglio3!G139&lt;1,IF(Foglio3!G139&gt;-1,"ROTTURA BILANCIATA",""),"")</f>
        <v/>
      </c>
    </row>
    <row r="139" spans="1:22" ht="26.25" customHeight="1" x14ac:dyDescent="0.25">
      <c r="A139" s="348" t="s">
        <v>79</v>
      </c>
      <c r="B139" s="121">
        <f>'DATI nascosti 2'!$H$12*10^-3</f>
        <v>-3.5000000000000001E-3</v>
      </c>
      <c r="C139" s="119">
        <f>'DATI nascosti 2'!$L$8*10^-3</f>
        <v>6.7500000000000004E-2</v>
      </c>
      <c r="D139" s="119">
        <f>('DATI nascosti 2'!$H$12*(F139-'DATI nascosti 2'!$C$10))/(F139*10^3)</f>
        <v>-7.3376623376623365E-4</v>
      </c>
      <c r="E139" s="121" t="s">
        <v>39</v>
      </c>
      <c r="F139" s="122">
        <f>(-'DATI nascosti 2'!$H$12*10^-3/(-'DATI nascosti 2'!$H$12*10^-3+C139))*'DATI nascosti 2'!$C$13</f>
        <v>56.936619718309856</v>
      </c>
      <c r="G139" s="123">
        <f t="shared" ref="G139:G202" si="8">$G$138</f>
        <v>39.978333333333296</v>
      </c>
      <c r="H139" s="123">
        <f t="shared" ref="H139:H202" si="9">$H$138</f>
        <v>81.720416666666537</v>
      </c>
      <c r="I139" s="123">
        <f>G139/('DATI nascosti 2'!$H$10*(-'DATI nascosti 2'!$H$12))</f>
        <v>0.80952380952380887</v>
      </c>
      <c r="J139" s="123">
        <f t="shared" si="4"/>
        <v>0.41596638655462226</v>
      </c>
      <c r="K139" s="124">
        <f>IF(D139&gt;=('DATI nascosti 2'!$L$10*10^-3),'DATI nascosti 2'!$L$14*'DATI nascosti 2'!$P$12,IF(D139&gt;=(-'DATI nascosti 2'!$L$10*10^-3),'DATI nascosti 2'!$L$16*D139*'DATI nascosti 2'!$P$12,-'DATI nascosti 2'!$L$14*'DATI nascosti 2'!$P$12))</f>
        <v>-241185.20675505992</v>
      </c>
      <c r="L139" s="124">
        <f>-'DATI nascosti 2'!$H$16*'DATI nascosti 2'!$C$6*I139*'DATI nascosti 2'!$H$10*F139</f>
        <v>-165839.69894366182</v>
      </c>
      <c r="M139" s="124">
        <f>IF(C139&gt;=('DATI nascosti 2'!$L$10*10^-3),'DATI nascosti 2'!$L$14*'DATI nascosti 2'!$P$11,IF(C139&gt;=(-'DATI nascosti 2'!$L$10*10^-3),'DATI nascosti 2'!$P$11*'DATI nascosti 2'!$L$16*C139,-'DATI nascosti 2'!$L$14*'DATI nascosti 2'!$P$11))</f>
        <v>614659.43222408998</v>
      </c>
      <c r="N139" s="124">
        <f t="shared" si="6"/>
        <v>207634.52652536822</v>
      </c>
      <c r="O139" s="141">
        <f>-L139*('DATI nascosti 2'!$C$8/2-(J139*F139))-K139*('DATI nascosti 2'!$C$13/2)+M139*('DATI nascosti 2'!$C$13/2)</f>
        <v>589826397.3874861</v>
      </c>
      <c r="P139" s="140">
        <f>-'T2'!N139/10^3</f>
        <v>-207.63452652536822</v>
      </c>
      <c r="Q139" s="140">
        <f>'T2'!O139/10^6</f>
        <v>589.82639738748605</v>
      </c>
      <c r="R139" s="142">
        <f>-N139/('DATI nascosti 2'!$C$6*'DATI nascosti 2'!$C$13*'DATI nascosti 2'!$H$10*'DATI nascosti 2'!$H$16)</f>
        <v>-4.9963216974699264E-2</v>
      </c>
      <c r="S139" s="125">
        <f>O139/('DATI nascosti 2'!$H$16*'DATI nascosti 2'!$C$6*'DATI nascosti 2'!$C$13^2*'DATI nascosti 2'!$H$10)</f>
        <v>0.12288335006143987</v>
      </c>
      <c r="T139" s="126">
        <f t="shared" si="7"/>
        <v>2840.6951736681553</v>
      </c>
      <c r="U139" s="121" t="str">
        <f>IF(T139&gt;=0, IF(T139&lt;='DATI nascosti 2'!$C$8/6, "SI", "NO"),IF(T139&gt; -'DATI nascosti 2'!$C$8/6, "SI", "NO"))</f>
        <v>NO</v>
      </c>
      <c r="V139" s="121" t="str">
        <f>IF(Foglio3!G140&lt;1,IF(Foglio3!G140&gt;-1,"ROTTURA BILANCIATA",""),"")</f>
        <v/>
      </c>
    </row>
    <row r="140" spans="1:22" ht="18.75" x14ac:dyDescent="0.25">
      <c r="A140" s="348"/>
      <c r="B140" s="67">
        <f>'DATI nascosti 2'!$H$12*10^-3</f>
        <v>-3.5000000000000001E-3</v>
      </c>
      <c r="C140" s="68">
        <f>C139-('DATI nascosti 2'!$L$8*10^-3/100)</f>
        <v>6.6825000000000009E-2</v>
      </c>
      <c r="D140" s="68">
        <f>('DATI nascosti 2'!$H$12*(F140-'DATI nascosti 2'!$C$10))/(F140*1000)</f>
        <v>-7.6006493506493474E-4</v>
      </c>
      <c r="E140" s="67" t="s">
        <v>39</v>
      </c>
      <c r="F140" s="69">
        <f>(-'DATI nascosti 2'!$H$12*10^-3/(-'DATI nascosti 2'!$H$12*10^-3+C140))*'DATI nascosti 2'!$C$13</f>
        <v>57.483114113046561</v>
      </c>
      <c r="G140" s="70">
        <f t="shared" si="8"/>
        <v>39.978333333333296</v>
      </c>
      <c r="H140" s="70">
        <f t="shared" si="9"/>
        <v>81.720416666666537</v>
      </c>
      <c r="I140" s="70">
        <f>G140/('DATI nascosti 2'!$H$10*(-'DATI nascosti 2'!$H$12))</f>
        <v>0.80952380952380887</v>
      </c>
      <c r="J140" s="70">
        <f t="shared" si="4"/>
        <v>0.41596638655462226</v>
      </c>
      <c r="K140" s="71">
        <f>IF(D140&gt;=('DATI nascosti 2'!$L$10*10^-3),'DATI nascosti 2'!$L$14*'DATI nascosti 2'!$P$12,IF(D140&gt;=(-'DATI nascosti 2'!$L$10*10^-3),'DATI nascosti 2'!$L$16*D140*'DATI nascosti 2'!$P$12,-'DATI nascosti 2'!$L$14*'DATI nascosti 2'!$P$12))</f>
        <v>-249829.45531575006</v>
      </c>
      <c r="L140" s="71">
        <f>-'DATI nascosti 2'!$H$16*'DATI nascosti 2'!$C$6*I140*'DATI nascosti 2'!$H$10*F140</f>
        <v>-167431.47707074281</v>
      </c>
      <c r="M140" s="71">
        <f>IF(C140&gt;=('DATI nascosti 2'!$L$10*10^-3),'DATI nascosti 2'!$L$14*'DATI nascosti 2'!$P$11,IF(C140&gt;=(-'DATI nascosti 2'!$L$10*10^-3),'DATI nascosti 2'!$P$11*'DATI nascosti 2'!$L$16*C140,-'DATI nascosti 2'!$L$14*'DATI nascosti 2'!$P$11))</f>
        <v>614659.43222408998</v>
      </c>
      <c r="N140" s="71">
        <f t="shared" si="6"/>
        <v>197398.49983759713</v>
      </c>
      <c r="O140" s="71">
        <f>-L140*('DATI nascosti 2'!$C$8/2-(J140*F140))-K140*('DATI nascosti 2'!$C$13/2)+M140*('DATI nascosti 2'!$C$13/2)</f>
        <v>595697757.50445628</v>
      </c>
      <c r="P140" s="69">
        <f>-'T2'!N140/10^3</f>
        <v>-197.39849983759714</v>
      </c>
      <c r="Q140" s="69">
        <f>'T2'!O140/10^6</f>
        <v>595.69775750445626</v>
      </c>
      <c r="R140" s="72">
        <f>-N140/('DATI nascosti 2'!$C$6*'DATI nascosti 2'!$C$13*'DATI nascosti 2'!$H$10*'DATI nascosti 2'!$H$16)</f>
        <v>-4.7500115914782648E-2</v>
      </c>
      <c r="S140" s="72">
        <f>O140/('DATI nascosti 2'!$H$16*'DATI nascosti 2'!$C$6*'DATI nascosti 2'!$C$13^2*'DATI nascosti 2'!$H$10)</f>
        <v>0.1241065784618406</v>
      </c>
      <c r="T140" s="73">
        <f t="shared" si="7"/>
        <v>3017.7420699475742</v>
      </c>
      <c r="U140" s="67" t="str">
        <f>IF(T140&gt;=0, IF(T140&lt;='DATI nascosti 2'!$C$8/6, "SI", "NO"),IF(T140&gt; -'DATI nascosti 2'!$C$8/6, "SI", "NO"))</f>
        <v>NO</v>
      </c>
      <c r="V140" s="67" t="str">
        <f>IF(Foglio3!G141&lt;1,IF(Foglio3!G141&gt;-1,"ROTTURA BILANCIATA",""),"")</f>
        <v/>
      </c>
    </row>
    <row r="141" spans="1:22" ht="18.75" x14ac:dyDescent="0.25">
      <c r="A141" s="20"/>
      <c r="B141" s="67">
        <f>'DATI nascosti 2'!$H$12*10^-3</f>
        <v>-3.5000000000000001E-3</v>
      </c>
      <c r="C141" s="68">
        <f>C140-('DATI nascosti 2'!$L$8*10^-3/100)</f>
        <v>6.6150000000000014E-2</v>
      </c>
      <c r="D141" s="68">
        <f>('DATI nascosti 2'!$H$12*(F141-'DATI nascosti 2'!$C$10))/(F141*1000)</f>
        <v>-7.8636363636363561E-4</v>
      </c>
      <c r="E141" s="67" t="s">
        <v>39</v>
      </c>
      <c r="F141" s="69">
        <f>(-'DATI nascosti 2'!$H$12*10^-3/(-'DATI nascosti 2'!$H$12*10^-3+C141))*'DATI nascosti 2'!$C$13</f>
        <v>58.040201005025111</v>
      </c>
      <c r="G141" s="70">
        <f t="shared" si="8"/>
        <v>39.978333333333296</v>
      </c>
      <c r="H141" s="70">
        <f t="shared" si="9"/>
        <v>81.720416666666537</v>
      </c>
      <c r="I141" s="70">
        <f>G141/('DATI nascosti 2'!$H$10*(-'DATI nascosti 2'!$H$12))</f>
        <v>0.80952380952380887</v>
      </c>
      <c r="J141" s="70">
        <f t="shared" si="4"/>
        <v>0.41596638655462226</v>
      </c>
      <c r="K141" s="71">
        <f>IF(D141&gt;=('DATI nascosti 2'!$L$10*10^-3),'DATI nascosti 2'!$L$14*'DATI nascosti 2'!$P$12,IF(D141&gt;=(-'DATI nascosti 2'!$L$10*10^-3),'DATI nascosti 2'!$L$16*D141*'DATI nascosti 2'!$P$12,-'DATI nascosti 2'!$L$14*'DATI nascosti 2'!$P$12))</f>
        <v>-258473.70387644012</v>
      </c>
      <c r="L141" s="71">
        <f>-'DATI nascosti 2'!$H$16*'DATI nascosti 2'!$C$6*I141*'DATI nascosti 2'!$H$10*F141</f>
        <v>-169054.10804020081</v>
      </c>
      <c r="M141" s="71">
        <f>IF(C141&gt;=('DATI nascosti 2'!$L$10*10^-3),'DATI nascosti 2'!$L$14*'DATI nascosti 2'!$P$11,IF(C141&gt;=(-'DATI nascosti 2'!$L$10*10^-3),'DATI nascosti 2'!$P$11*'DATI nascosti 2'!$L$16*C141,-'DATI nascosti 2'!$L$14*'DATI nascosti 2'!$P$11))</f>
        <v>614659.43222408998</v>
      </c>
      <c r="N141" s="71">
        <f t="shared" si="6"/>
        <v>187131.62030744902</v>
      </c>
      <c r="O141" s="71">
        <f>-L141*('DATI nascosti 2'!$C$8/2-(J141*F141))-K141*('DATI nascosti 2'!$C$13/2)+M141*('DATI nascosti 2'!$C$13/2)</f>
        <v>601585416.01996458</v>
      </c>
      <c r="P141" s="69">
        <f>-'T2'!N141/10^3</f>
        <v>-187.13162030744903</v>
      </c>
      <c r="Q141" s="69">
        <f>'T2'!O141/10^6</f>
        <v>601.58541601996455</v>
      </c>
      <c r="R141" s="72">
        <f>-N141/('DATI nascosti 2'!$C$6*'DATI nascosti 2'!$C$13*'DATI nascosti 2'!$H$10*'DATI nascosti 2'!$H$16)</f>
        <v>-4.5029590717446472E-2</v>
      </c>
      <c r="S141" s="72">
        <f>O141/('DATI nascosti 2'!$H$16*'DATI nascosti 2'!$C$6*'DATI nascosti 2'!$C$13^2*'DATI nascosti 2'!$H$10)</f>
        <v>0.12533320244070625</v>
      </c>
      <c r="T141" s="73">
        <f t="shared" si="7"/>
        <v>3214.7715871405708</v>
      </c>
      <c r="U141" s="67" t="str">
        <f>IF(T141&gt;=0, IF(T141&lt;='DATI nascosti 2'!$C$8/6, "SI", "NO"),IF(T141&gt; -'DATI nascosti 2'!$C$8/6, "SI", "NO"))</f>
        <v>NO</v>
      </c>
      <c r="V141" s="67" t="str">
        <f>IF(Foglio3!G142&lt;1,IF(Foglio3!G142&gt;-1,"ROTTURA BILANCIATA",""),"")</f>
        <v/>
      </c>
    </row>
    <row r="142" spans="1:22" ht="18.75" x14ac:dyDescent="0.25">
      <c r="A142" s="20"/>
      <c r="B142" s="67">
        <f>'DATI nascosti 2'!$H$12*10^-3</f>
        <v>-3.5000000000000001E-3</v>
      </c>
      <c r="C142" s="68">
        <f>C141-('DATI nascosti 2'!$L$8*10^-3/100)</f>
        <v>6.5475000000000019E-2</v>
      </c>
      <c r="D142" s="68">
        <f>('DATI nascosti 2'!$H$12*(F142-'DATI nascosti 2'!$C$10))/(F142*1000)</f>
        <v>-8.1266233766233702E-4</v>
      </c>
      <c r="E142" s="67" t="s">
        <v>39</v>
      </c>
      <c r="F142" s="69">
        <f>(-'DATI nascosti 2'!$H$12*10^-3/(-'DATI nascosti 2'!$H$12*10^-3+C142))*'DATI nascosti 2'!$C$13</f>
        <v>58.608191373686104</v>
      </c>
      <c r="G142" s="70">
        <f t="shared" si="8"/>
        <v>39.978333333333296</v>
      </c>
      <c r="H142" s="70">
        <f t="shared" si="9"/>
        <v>81.720416666666537</v>
      </c>
      <c r="I142" s="70">
        <f>G142/('DATI nascosti 2'!$H$10*(-'DATI nascosti 2'!$H$12))</f>
        <v>0.80952380952380887</v>
      </c>
      <c r="J142" s="70">
        <f t="shared" si="4"/>
        <v>0.41596638655462226</v>
      </c>
      <c r="K142" s="71">
        <f>IF(D142&gt;=('DATI nascosti 2'!$L$10*10^-3),'DATI nascosti 2'!$L$14*'DATI nascosti 2'!$P$12,IF(D142&gt;=(-'DATI nascosti 2'!$L$10*10^-3),'DATI nascosti 2'!$L$16*D142*'DATI nascosti 2'!$P$12,-'DATI nascosti 2'!$L$14*'DATI nascosti 2'!$P$12))</f>
        <v>-267117.95243713039</v>
      </c>
      <c r="L142" s="71">
        <f>-'DATI nascosti 2'!$H$16*'DATI nascosti 2'!$C$6*I142*'DATI nascosti 2'!$H$10*F142</f>
        <v>-170708.49764407374</v>
      </c>
      <c r="M142" s="71">
        <f>IF(C142&gt;=('DATI nascosti 2'!$L$10*10^-3),'DATI nascosti 2'!$L$14*'DATI nascosti 2'!$P$11,IF(C142&gt;=(-'DATI nascosti 2'!$L$10*10^-3),'DATI nascosti 2'!$P$11*'DATI nascosti 2'!$L$16*C142,-'DATI nascosti 2'!$L$14*'DATI nascosti 2'!$P$11))</f>
        <v>614659.43222408998</v>
      </c>
      <c r="N142" s="71">
        <f t="shared" si="6"/>
        <v>176832.98214288586</v>
      </c>
      <c r="O142" s="71">
        <f>-L142*('DATI nascosti 2'!$C$8/2-(J142*F142))-K142*('DATI nascosti 2'!$C$13/2)+M142*('DATI nascosti 2'!$C$13/2)</f>
        <v>607489829.34760666</v>
      </c>
      <c r="P142" s="69">
        <f>-'T2'!N142/10^3</f>
        <v>-176.83298214288587</v>
      </c>
      <c r="Q142" s="69">
        <f>'T2'!O142/10^6</f>
        <v>607.4898293476067</v>
      </c>
      <c r="R142" s="72">
        <f>-N142/('DATI nascosti 2'!$C$6*'DATI nascosti 2'!$C$13*'DATI nascosti 2'!$H$10*'DATI nascosti 2'!$H$16)</f>
        <v>-4.2551423421425399E-2</v>
      </c>
      <c r="S142" s="72">
        <f>O142/('DATI nascosti 2'!$H$16*'DATI nascosti 2'!$C$6*'DATI nascosti 2'!$C$13^2*'DATI nascosti 2'!$H$10)</f>
        <v>0.12656331708640839</v>
      </c>
      <c r="T142" s="73">
        <f t="shared" si="7"/>
        <v>3435.3875729853289</v>
      </c>
      <c r="U142" s="67" t="str">
        <f>IF(T142&gt;=0, IF(T142&lt;='DATI nascosti 2'!$C$8/6, "SI", "NO"),IF(T142&gt; -'DATI nascosti 2'!$C$8/6, "SI", "NO"))</f>
        <v>NO</v>
      </c>
      <c r="V142" s="67" t="str">
        <f>IF(Foglio3!G143&lt;1,IF(Foglio3!G143&gt;-1,"ROTTURA BILANCIATA",""),"")</f>
        <v/>
      </c>
    </row>
    <row r="143" spans="1:22" ht="18.75" x14ac:dyDescent="0.25">
      <c r="A143" s="20"/>
      <c r="B143" s="67">
        <f>'DATI nascosti 2'!$H$12*10^-3</f>
        <v>-3.5000000000000001E-3</v>
      </c>
      <c r="C143" s="68">
        <f>C142-('DATI nascosti 2'!$L$8*10^-3/100)</f>
        <v>6.4800000000000024E-2</v>
      </c>
      <c r="D143" s="68">
        <f>('DATI nascosti 2'!$H$12*(F143-'DATI nascosti 2'!$C$10))/(F143*1000)</f>
        <v>-8.3896103896103789E-4</v>
      </c>
      <c r="E143" s="67" t="s">
        <v>39</v>
      </c>
      <c r="F143" s="69">
        <f>(-'DATI nascosti 2'!$H$12*10^-3/(-'DATI nascosti 2'!$H$12*10^-3+C143))*'DATI nascosti 2'!$C$13</f>
        <v>59.187408491947266</v>
      </c>
      <c r="G143" s="70">
        <f t="shared" si="8"/>
        <v>39.978333333333296</v>
      </c>
      <c r="H143" s="70">
        <f t="shared" si="9"/>
        <v>81.720416666666537</v>
      </c>
      <c r="I143" s="70">
        <f>G143/('DATI nascosti 2'!$H$10*(-'DATI nascosti 2'!$H$12))</f>
        <v>0.80952380952380887</v>
      </c>
      <c r="J143" s="70">
        <f t="shared" si="4"/>
        <v>0.41596638655462226</v>
      </c>
      <c r="K143" s="71">
        <f>IF(D143&gt;=('DATI nascosti 2'!$L$10*10^-3),'DATI nascosti 2'!$L$14*'DATI nascosti 2'!$P$12,IF(D143&gt;=(-'DATI nascosti 2'!$L$10*10^-3),'DATI nascosti 2'!$L$16*D143*'DATI nascosti 2'!$P$12,-'DATI nascosti 2'!$L$14*'DATI nascosti 2'!$P$12))</f>
        <v>-275762.20099782042</v>
      </c>
      <c r="L143" s="71">
        <f>-'DATI nascosti 2'!$H$16*'DATI nascosti 2'!$C$6*I143*'DATI nascosti 2'!$H$10*F143</f>
        <v>-172395.58748169817</v>
      </c>
      <c r="M143" s="71">
        <f>IF(C143&gt;=('DATI nascosti 2'!$L$10*10^-3),'DATI nascosti 2'!$L$14*'DATI nascosti 2'!$P$11,IF(C143&gt;=(-'DATI nascosti 2'!$L$10*10^-3),'DATI nascosti 2'!$P$11*'DATI nascosti 2'!$L$16*C143,-'DATI nascosti 2'!$L$14*'DATI nascosti 2'!$P$11))</f>
        <v>614659.43222408998</v>
      </c>
      <c r="N143" s="71">
        <f t="shared" si="6"/>
        <v>166501.64374457137</v>
      </c>
      <c r="O143" s="71">
        <f>-L143*('DATI nascosti 2'!$C$8/2-(J143*F143))-K143*('DATI nascosti 2'!$C$13/2)+M143*('DATI nascosti 2'!$C$13/2)</f>
        <v>613411471.06210756</v>
      </c>
      <c r="P143" s="69">
        <f>-'T2'!N143/10^3</f>
        <v>-166.50164374457137</v>
      </c>
      <c r="Q143" s="69">
        <f>'T2'!O143/10^6</f>
        <v>613.41147106210758</v>
      </c>
      <c r="R143" s="72">
        <f>-N143/('DATI nascosti 2'!$C$6*'DATI nascosti 2'!$C$13*'DATI nascosti 2'!$H$10*'DATI nascosti 2'!$H$16)</f>
        <v>-4.0065387449123059E-2</v>
      </c>
      <c r="S143" s="72">
        <f>O143/('DATI nascosti 2'!$H$16*'DATI nascosti 2'!$C$6*'DATI nascosti 2'!$C$13^2*'DATI nascosti 2'!$H$10)</f>
        <v>0.12779702106263682</v>
      </c>
      <c r="T143" s="73">
        <f t="shared" si="7"/>
        <v>3684.1166085010937</v>
      </c>
      <c r="U143" s="67" t="str">
        <f>IF(T143&gt;=0, IF(T143&lt;='DATI nascosti 2'!$C$8/6, "SI", "NO"),IF(T143&gt; -'DATI nascosti 2'!$C$8/6, "SI", "NO"))</f>
        <v>NO</v>
      </c>
      <c r="V143" s="67" t="str">
        <f>IF(Foglio3!G144&lt;1,IF(Foglio3!G144&gt;-1,"ROTTURA BILANCIATA",""),"")</f>
        <v/>
      </c>
    </row>
    <row r="144" spans="1:22" ht="18.75" x14ac:dyDescent="0.25">
      <c r="A144" s="20"/>
      <c r="B144" s="67">
        <f>'DATI nascosti 2'!$H$12*10^-3</f>
        <v>-3.5000000000000001E-3</v>
      </c>
      <c r="C144" s="68">
        <f>C143-('DATI nascosti 2'!$L$8*10^-3/100)</f>
        <v>6.4125000000000029E-2</v>
      </c>
      <c r="D144" s="68">
        <f>('DATI nascosti 2'!$H$12*(F144-'DATI nascosti 2'!$C$10))/(F144*1000)</f>
        <v>-8.6525974025973909E-4</v>
      </c>
      <c r="E144" s="67" t="s">
        <v>39</v>
      </c>
      <c r="F144" s="69">
        <f>(-'DATI nascosti 2'!$H$12*10^-3/(-'DATI nascosti 2'!$H$12*10^-3+C144))*'DATI nascosti 2'!$C$13</f>
        <v>59.778188539741194</v>
      </c>
      <c r="G144" s="70">
        <f t="shared" si="8"/>
        <v>39.978333333333296</v>
      </c>
      <c r="H144" s="70">
        <f t="shared" si="9"/>
        <v>81.720416666666537</v>
      </c>
      <c r="I144" s="70">
        <f>G144/('DATI nascosti 2'!$H$10*(-'DATI nascosti 2'!$H$12))</f>
        <v>0.80952380952380887</v>
      </c>
      <c r="J144" s="70">
        <f t="shared" si="4"/>
        <v>0.41596638655462226</v>
      </c>
      <c r="K144" s="71">
        <f>IF(D144&gt;=('DATI nascosti 2'!$L$10*10^-3),'DATI nascosti 2'!$L$14*'DATI nascosti 2'!$P$12,IF(D144&gt;=(-'DATI nascosti 2'!$L$10*10^-3),'DATI nascosti 2'!$L$16*D144*'DATI nascosti 2'!$P$12,-'DATI nascosti 2'!$L$14*'DATI nascosti 2'!$P$12))</f>
        <v>-284406.44955851056</v>
      </c>
      <c r="L144" s="71">
        <f>-'DATI nascosti 2'!$H$16*'DATI nascosti 2'!$C$6*I144*'DATI nascosti 2'!$H$10*F144</f>
        <v>-174116.35674676503</v>
      </c>
      <c r="M144" s="71">
        <f>IF(C144&gt;=('DATI nascosti 2'!$L$10*10^-3),'DATI nascosti 2'!$L$14*'DATI nascosti 2'!$P$11,IF(C144&gt;=(-'DATI nascosti 2'!$L$10*10^-3),'DATI nascosti 2'!$P$11*'DATI nascosti 2'!$L$16*C144,-'DATI nascosti 2'!$L$14*'DATI nascosti 2'!$P$11))</f>
        <v>614659.43222408998</v>
      </c>
      <c r="N144" s="71">
        <f t="shared" si="6"/>
        <v>156136.62591881439</v>
      </c>
      <c r="O144" s="71">
        <f>-L144*('DATI nascosti 2'!$C$8/2-(J144*F144))-K144*('DATI nascosti 2'!$C$13/2)+M144*('DATI nascosti 2'!$C$13/2)</f>
        <v>619350832.71135688</v>
      </c>
      <c r="P144" s="69">
        <f>-'T2'!N144/10^3</f>
        <v>-156.13662591881439</v>
      </c>
      <c r="Q144" s="69">
        <f>'T2'!O144/10^6</f>
        <v>619.35083271135693</v>
      </c>
      <c r="R144" s="72">
        <f>-N144/('DATI nascosti 2'!$C$6*'DATI nascosti 2'!$C$13*'DATI nascosti 2'!$H$10*'DATI nascosti 2'!$H$16)</f>
        <v>-3.7571247176591605E-2</v>
      </c>
      <c r="S144" s="72">
        <f>O144/('DATI nascosti 2'!$H$16*'DATI nascosti 2'!$C$6*'DATI nascosti 2'!$C$13^2*'DATI nascosti 2'!$H$10)</f>
        <v>0.12903441677757754</v>
      </c>
      <c r="T144" s="73">
        <f t="shared" si="7"/>
        <v>3966.7235606423169</v>
      </c>
      <c r="U144" s="67" t="str">
        <f>IF(T144&gt;=0, IF(T144&lt;='DATI nascosti 2'!$C$8/6, "SI", "NO"),IF(T144&gt; -'DATI nascosti 2'!$C$8/6, "SI", "NO"))</f>
        <v>NO</v>
      </c>
      <c r="V144" s="67" t="str">
        <f>IF(Foglio3!G145&lt;1,IF(Foglio3!G145&gt;-1,"ROTTURA BILANCIATA",""),"")</f>
        <v/>
      </c>
    </row>
    <row r="145" spans="1:22" ht="18.75" x14ac:dyDescent="0.25">
      <c r="A145" s="20"/>
      <c r="B145" s="67">
        <f>'DATI nascosti 2'!$H$12*10^-3</f>
        <v>-3.5000000000000001E-3</v>
      </c>
      <c r="C145" s="68">
        <f>C144-('DATI nascosti 2'!$L$8*10^-3/100)</f>
        <v>6.3450000000000034E-2</v>
      </c>
      <c r="D145" s="68">
        <f>('DATI nascosti 2'!$H$12*(F145-'DATI nascosti 2'!$C$10))/(F145*1000)</f>
        <v>-8.9155844155844007E-4</v>
      </c>
      <c r="E145" s="67" t="s">
        <v>39</v>
      </c>
      <c r="F145" s="69">
        <f>(-'DATI nascosti 2'!$H$12*10^-3/(-'DATI nascosti 2'!$H$12*10^-3+C145))*'DATI nascosti 2'!$C$13</f>
        <v>60.380881254667628</v>
      </c>
      <c r="G145" s="70">
        <f t="shared" si="8"/>
        <v>39.978333333333296</v>
      </c>
      <c r="H145" s="70">
        <f t="shared" si="9"/>
        <v>81.720416666666537</v>
      </c>
      <c r="I145" s="70">
        <f>G145/('DATI nascosti 2'!$H$10*(-'DATI nascosti 2'!$H$12))</f>
        <v>0.80952380952380887</v>
      </c>
      <c r="J145" s="70">
        <f t="shared" si="4"/>
        <v>0.41596638655462226</v>
      </c>
      <c r="K145" s="71">
        <f>IF(D145&gt;=('DATI nascosti 2'!$L$10*10^-3),'DATI nascosti 2'!$L$14*'DATI nascosti 2'!$P$12,IF(D145&gt;=(-'DATI nascosti 2'!$L$10*10^-3),'DATI nascosti 2'!$L$16*D145*'DATI nascosti 2'!$P$12,-'DATI nascosti 2'!$L$14*'DATI nascosti 2'!$P$12))</f>
        <v>-293050.69811920071</v>
      </c>
      <c r="L145" s="71">
        <f>-'DATI nascosti 2'!$H$16*'DATI nascosti 2'!$C$6*I145*'DATI nascosti 2'!$H$10*F145</f>
        <v>-175871.82412247921</v>
      </c>
      <c r="M145" s="71">
        <f>IF(C145&gt;=('DATI nascosti 2'!$L$10*10^-3),'DATI nascosti 2'!$L$14*'DATI nascosti 2'!$P$11,IF(C145&gt;=(-'DATI nascosti 2'!$L$10*10^-3),'DATI nascosti 2'!$P$11*'DATI nascosti 2'!$L$16*C145,-'DATI nascosti 2'!$L$14*'DATI nascosti 2'!$P$11))</f>
        <v>614659.43222408998</v>
      </c>
      <c r="N145" s="71">
        <f t="shared" si="6"/>
        <v>145736.90998241003</v>
      </c>
      <c r="O145" s="71">
        <f>-L145*('DATI nascosti 2'!$C$8/2-(J145*F145))-K145*('DATI nascosti 2'!$C$13/2)+M145*('DATI nascosti 2'!$C$13/2)</f>
        <v>625308424.6748482</v>
      </c>
      <c r="P145" s="69">
        <f>-'T2'!N145/10^3</f>
        <v>-145.73690998241003</v>
      </c>
      <c r="Q145" s="69">
        <f>'T2'!O145/10^6</f>
        <v>625.3084246748482</v>
      </c>
      <c r="R145" s="72">
        <f>-N145/('DATI nascosti 2'!$C$6*'DATI nascosti 2'!$C$13*'DATI nascosti 2'!$H$10*'DATI nascosti 2'!$H$16)</f>
        <v>-3.5068757477498498E-2</v>
      </c>
      <c r="S145" s="72">
        <f>O145/('DATI nascosti 2'!$H$16*'DATI nascosti 2'!$C$6*'DATI nascosti 2'!$C$13^2*'DATI nascosti 2'!$H$10)</f>
        <v>0.13027561056275833</v>
      </c>
      <c r="T145" s="73">
        <f t="shared" si="7"/>
        <v>4290.6661377019791</v>
      </c>
      <c r="U145" s="67" t="str">
        <f>IF(T145&gt;=0, IF(T145&lt;='DATI nascosti 2'!$C$8/6, "SI", "NO"),IF(T145&gt; -'DATI nascosti 2'!$C$8/6, "SI", "NO"))</f>
        <v>NO</v>
      </c>
      <c r="V145" s="67" t="str">
        <f>IF(Foglio3!G146&lt;1,IF(Foglio3!G146&gt;-1,"ROTTURA BILANCIATA",""),"")</f>
        <v/>
      </c>
    </row>
    <row r="146" spans="1:22" ht="18.75" x14ac:dyDescent="0.25">
      <c r="A146" s="20"/>
      <c r="B146" s="67">
        <f>'DATI nascosti 2'!$H$12*10^-3</f>
        <v>-3.5000000000000001E-3</v>
      </c>
      <c r="C146" s="68">
        <f>C145-('DATI nascosti 2'!$L$8*10^-3/100)</f>
        <v>6.2775000000000039E-2</v>
      </c>
      <c r="D146" s="68">
        <f>('DATI nascosti 2'!$H$12*(F146-'DATI nascosti 2'!$C$10))/(F146*1000)</f>
        <v>-9.1785714285714149E-4</v>
      </c>
      <c r="E146" s="67" t="s">
        <v>39</v>
      </c>
      <c r="F146" s="69">
        <f>(-'DATI nascosti 2'!$H$12*10^-3/(-'DATI nascosti 2'!$H$12*10^-3+C146))*'DATI nascosti 2'!$C$13</f>
        <v>60.995850622406607</v>
      </c>
      <c r="G146" s="70">
        <f t="shared" si="8"/>
        <v>39.978333333333296</v>
      </c>
      <c r="H146" s="70">
        <f t="shared" si="9"/>
        <v>81.720416666666537</v>
      </c>
      <c r="I146" s="70">
        <f>G146/('DATI nascosti 2'!$H$10*(-'DATI nascosti 2'!$H$12))</f>
        <v>0.80952380952380887</v>
      </c>
      <c r="J146" s="70">
        <f t="shared" si="4"/>
        <v>0.41596638655462226</v>
      </c>
      <c r="K146" s="71">
        <f>IF(D146&gt;=('DATI nascosti 2'!$L$10*10^-3),'DATI nascosti 2'!$L$14*'DATI nascosti 2'!$P$12,IF(D146&gt;=(-'DATI nascosti 2'!$L$10*10^-3),'DATI nascosti 2'!$L$16*D146*'DATI nascosti 2'!$P$12,-'DATI nascosti 2'!$L$14*'DATI nascosti 2'!$P$12))</f>
        <v>-301694.94667989091</v>
      </c>
      <c r="L146" s="71">
        <f>-'DATI nascosti 2'!$H$16*'DATI nascosti 2'!$C$6*I146*'DATI nascosti 2'!$H$10*F146</f>
        <v>-177663.04979253086</v>
      </c>
      <c r="M146" s="71">
        <f>IF(C146&gt;=('DATI nascosti 2'!$L$10*10^-3),'DATI nascosti 2'!$L$14*'DATI nascosti 2'!$P$11,IF(C146&gt;=(-'DATI nascosti 2'!$L$10*10^-3),'DATI nascosti 2'!$P$11*'DATI nascosti 2'!$L$16*C146,-'DATI nascosti 2'!$L$14*'DATI nascosti 2'!$P$11))</f>
        <v>614659.43222408998</v>
      </c>
      <c r="N146" s="71">
        <f t="shared" si="6"/>
        <v>135301.43575166818</v>
      </c>
      <c r="O146" s="71">
        <f>-L146*('DATI nascosti 2'!$C$8/2-(J146*F146))-K146*('DATI nascosti 2'!$C$13/2)+M146*('DATI nascosti 2'!$C$13/2)</f>
        <v>631284777.07164156</v>
      </c>
      <c r="P146" s="69">
        <f>-'T2'!N146/10^3</f>
        <v>-135.30143575166818</v>
      </c>
      <c r="Q146" s="69">
        <f>'T2'!O146/10^6</f>
        <v>631.28477707164154</v>
      </c>
      <c r="R146" s="72">
        <f>-N146/('DATI nascosti 2'!$C$6*'DATI nascosti 2'!$C$13*'DATI nascosti 2'!$H$10*'DATI nascosti 2'!$H$16)</f>
        <v>-3.2557663239225286E-2</v>
      </c>
      <c r="S146" s="72">
        <f>O146/('DATI nascosti 2'!$H$16*'DATI nascosti 2'!$C$6*'DATI nascosti 2'!$C$13^2*'DATI nascosti 2'!$H$10)</f>
        <v>0.13152071286221209</v>
      </c>
      <c r="T146" s="73">
        <f t="shared" si="7"/>
        <v>4665.7655446487624</v>
      </c>
      <c r="U146" s="67" t="str">
        <f>IF(T146&gt;=0, IF(T146&lt;='DATI nascosti 2'!$C$8/6, "SI", "NO"),IF(T146&gt; -'DATI nascosti 2'!$C$8/6, "SI", "NO"))</f>
        <v>NO</v>
      </c>
      <c r="V146" s="67" t="str">
        <f>IF(Foglio3!G147&lt;1,IF(Foglio3!G147&gt;-1,"ROTTURA BILANCIATA",""),"")</f>
        <v/>
      </c>
    </row>
    <row r="147" spans="1:22" ht="18.75" x14ac:dyDescent="0.25">
      <c r="A147" s="20"/>
      <c r="B147" s="67">
        <f>'DATI nascosti 2'!$H$12*10^-3</f>
        <v>-3.5000000000000001E-3</v>
      </c>
      <c r="C147" s="68">
        <f>C146-('DATI nascosti 2'!$L$8*10^-3/100)</f>
        <v>6.2100000000000037E-2</v>
      </c>
      <c r="D147" s="68">
        <f>('DATI nascosti 2'!$H$12*(F147-'DATI nascosti 2'!$C$10))/(F147*1000)</f>
        <v>-9.4415584415584268E-4</v>
      </c>
      <c r="E147" s="67" t="s">
        <v>39</v>
      </c>
      <c r="F147" s="69">
        <f>(-'DATI nascosti 2'!$H$12*10^-3/(-'DATI nascosti 2'!$H$12*10^-3+C147))*'DATI nascosti 2'!$C$13</f>
        <v>61.623475609756063</v>
      </c>
      <c r="G147" s="70">
        <f t="shared" si="8"/>
        <v>39.978333333333296</v>
      </c>
      <c r="H147" s="70">
        <f t="shared" si="9"/>
        <v>81.720416666666537</v>
      </c>
      <c r="I147" s="70">
        <f>G147/('DATI nascosti 2'!$H$10*(-'DATI nascosti 2'!$H$12))</f>
        <v>0.80952380952380887</v>
      </c>
      <c r="J147" s="70">
        <f t="shared" si="4"/>
        <v>0.41596638655462226</v>
      </c>
      <c r="K147" s="71">
        <f>IF(D147&gt;=('DATI nascosti 2'!$L$10*10^-3),'DATI nascosti 2'!$L$14*'DATI nascosti 2'!$P$12,IF(D147&gt;=(-'DATI nascosti 2'!$L$10*10^-3),'DATI nascosti 2'!$L$16*D147*'DATI nascosti 2'!$P$12,-'DATI nascosti 2'!$L$14*'DATI nascosti 2'!$P$12))</f>
        <v>-310339.19524058106</v>
      </c>
      <c r="L147" s="71">
        <f>-'DATI nascosti 2'!$H$16*'DATI nascosti 2'!$C$6*I147*'DATI nascosti 2'!$H$10*F147</f>
        <v>-179491.13757621925</v>
      </c>
      <c r="M147" s="71">
        <f>IF(C147&gt;=('DATI nascosti 2'!$L$10*10^-3),'DATI nascosti 2'!$L$14*'DATI nascosti 2'!$P$11,IF(C147&gt;=(-'DATI nascosti 2'!$L$10*10^-3),'DATI nascosti 2'!$P$11*'DATI nascosti 2'!$L$16*C147,-'DATI nascosti 2'!$L$14*'DATI nascosti 2'!$P$11))</f>
        <v>614659.43222408998</v>
      </c>
      <c r="N147" s="71">
        <f t="shared" si="6"/>
        <v>124829.09940728964</v>
      </c>
      <c r="O147" s="71">
        <f>-L147*('DATI nascosti 2'!$C$8/2-(J147*F147))-K147*('DATI nascosti 2'!$C$13/2)+M147*('DATI nascosti 2'!$C$13/2)</f>
        <v>637280440.72119689</v>
      </c>
      <c r="P147" s="69">
        <f>-'T2'!N147/10^3</f>
        <v>-124.82909940728965</v>
      </c>
      <c r="Q147" s="69">
        <f>'T2'!O147/10^6</f>
        <v>637.2804407211969</v>
      </c>
      <c r="R147" s="72">
        <f>-N147/('DATI nascosti 2'!$C$6*'DATI nascosti 2'!$C$13*'DATI nascosti 2'!$H$10*'DATI nascosti 2'!$H$16)</f>
        <v>-3.0037698849091521E-2</v>
      </c>
      <c r="S147" s="72">
        <f>O147/('DATI nascosti 2'!$H$16*'DATI nascosti 2'!$C$6*'DATI nascosti 2'!$C$13^2*'DATI nascosti 2'!$H$10)</f>
        <v>0.13276983843265505</v>
      </c>
      <c r="T147" s="73">
        <f t="shared" si="7"/>
        <v>5105.2234114250259</v>
      </c>
      <c r="U147" s="67" t="str">
        <f>IF(T147&gt;=0, IF(T147&lt;='DATI nascosti 2'!$C$8/6, "SI", "NO"),IF(T147&gt; -'DATI nascosti 2'!$C$8/6, "SI", "NO"))</f>
        <v>NO</v>
      </c>
      <c r="V147" s="67" t="str">
        <f>IF(Foglio3!G148&lt;1,IF(Foglio3!G148&gt;-1,"ROTTURA BILANCIATA",""),"")</f>
        <v/>
      </c>
    </row>
    <row r="148" spans="1:22" ht="18.75" x14ac:dyDescent="0.25">
      <c r="A148" s="20"/>
      <c r="B148" s="67">
        <f>'DATI nascosti 2'!$H$12*10^-3</f>
        <v>-3.5000000000000001E-3</v>
      </c>
      <c r="C148" s="68">
        <f>C147-('DATI nascosti 2'!$L$8*10^-3/100)</f>
        <v>6.1425000000000035E-2</v>
      </c>
      <c r="D148" s="68">
        <f>('DATI nascosti 2'!$H$12*(F148-'DATI nascosti 2'!$C$10))/(F148*1000)</f>
        <v>-9.7045454545454388E-4</v>
      </c>
      <c r="E148" s="67" t="s">
        <v>39</v>
      </c>
      <c r="F148" s="69">
        <f>(-'DATI nascosti 2'!$H$12*10^-3/(-'DATI nascosti 2'!$H$12*10^-3+C148))*'DATI nascosti 2'!$C$13</f>
        <v>62.264150943396189</v>
      </c>
      <c r="G148" s="70">
        <f t="shared" si="8"/>
        <v>39.978333333333296</v>
      </c>
      <c r="H148" s="70">
        <f t="shared" si="9"/>
        <v>81.720416666666537</v>
      </c>
      <c r="I148" s="70">
        <f>G148/('DATI nascosti 2'!$H$10*(-'DATI nascosti 2'!$H$12))</f>
        <v>0.80952380952380887</v>
      </c>
      <c r="J148" s="70">
        <f t="shared" si="4"/>
        <v>0.41596638655462226</v>
      </c>
      <c r="K148" s="71">
        <f>IF(D148&gt;=('DATI nascosti 2'!$L$10*10^-3),'DATI nascosti 2'!$L$14*'DATI nascosti 2'!$P$12,IF(D148&gt;=(-'DATI nascosti 2'!$L$10*10^-3),'DATI nascosti 2'!$L$16*D148*'DATI nascosti 2'!$P$12,-'DATI nascosti 2'!$L$14*'DATI nascosti 2'!$P$12))</f>
        <v>-318983.44380127126</v>
      </c>
      <c r="L148" s="71">
        <f>-'DATI nascosti 2'!$H$16*'DATI nascosti 2'!$C$6*I148*'DATI nascosti 2'!$H$10*F148</f>
        <v>-181357.23719676523</v>
      </c>
      <c r="M148" s="71">
        <f>IF(C148&gt;=('DATI nascosti 2'!$L$10*10^-3),'DATI nascosti 2'!$L$14*'DATI nascosti 2'!$P$11,IF(C148&gt;=(-'DATI nascosti 2'!$L$10*10^-3),'DATI nascosti 2'!$P$11*'DATI nascosti 2'!$L$16*C148,-'DATI nascosti 2'!$L$14*'DATI nascosti 2'!$P$11))</f>
        <v>614659.43222408998</v>
      </c>
      <c r="N148" s="71">
        <f t="shared" si="6"/>
        <v>114318.75122605346</v>
      </c>
      <c r="O148" s="71">
        <f>-L148*('DATI nascosti 2'!$C$8/2-(J148*F148))-K148*('DATI nascosti 2'!$C$13/2)+M148*('DATI nascosti 2'!$C$13/2)</f>
        <v>643295988.16069603</v>
      </c>
      <c r="P148" s="69">
        <f>-'T2'!N148/10^3</f>
        <v>-114.31875122605345</v>
      </c>
      <c r="Q148" s="69">
        <f>'T2'!O148/10^6</f>
        <v>643.29598816069608</v>
      </c>
      <c r="R148" s="72">
        <f>-N148/('DATI nascosti 2'!$C$6*'DATI nascosti 2'!$C$13*'DATI nascosti 2'!$H$10*'DATI nascosti 2'!$H$16)</f>
        <v>-2.7508587648529311E-2</v>
      </c>
      <c r="S148" s="72">
        <f>O148/('DATI nascosti 2'!$H$16*'DATI nascosti 2'!$C$6*'DATI nascosti 2'!$C$13^2*'DATI nascosti 2'!$H$10)</f>
        <v>0.13402310655543379</v>
      </c>
      <c r="T148" s="73">
        <f t="shared" si="7"/>
        <v>5627.2132197162045</v>
      </c>
      <c r="U148" s="67" t="str">
        <f>IF(T148&gt;=0, IF(T148&lt;='DATI nascosti 2'!$C$8/6, "SI", "NO"),IF(T148&gt; -'DATI nascosti 2'!$C$8/6, "SI", "NO"))</f>
        <v>NO</v>
      </c>
      <c r="V148" s="67" t="str">
        <f>IF(Foglio3!G149&lt;1,IF(Foglio3!G149&gt;-1,"ROTTURA BILANCIATA",""),"")</f>
        <v/>
      </c>
    </row>
    <row r="149" spans="1:22" ht="18.75" x14ac:dyDescent="0.25">
      <c r="A149" s="20"/>
      <c r="B149" s="67">
        <f>'DATI nascosti 2'!$H$12*10^-3</f>
        <v>-3.5000000000000001E-3</v>
      </c>
      <c r="C149" s="68">
        <f>C148-('DATI nascosti 2'!$L$8*10^-3/100)</f>
        <v>6.0750000000000033E-2</v>
      </c>
      <c r="D149" s="68">
        <f>('DATI nascosti 2'!$H$12*(F149-'DATI nascosti 2'!$C$10))/(F149*1000)</f>
        <v>-9.967532467532454E-4</v>
      </c>
      <c r="E149" s="67" t="s">
        <v>39</v>
      </c>
      <c r="F149" s="69">
        <f>(-'DATI nascosti 2'!$H$12*10^-3/(-'DATI nascosti 2'!$H$12*10^-3+C149))*'DATI nascosti 2'!$C$13</f>
        <v>62.918287937743159</v>
      </c>
      <c r="G149" s="70">
        <f t="shared" si="8"/>
        <v>39.978333333333296</v>
      </c>
      <c r="H149" s="70">
        <f t="shared" si="9"/>
        <v>81.720416666666537</v>
      </c>
      <c r="I149" s="70">
        <f>G149/('DATI nascosti 2'!$H$10*(-'DATI nascosti 2'!$H$12))</f>
        <v>0.80952380952380887</v>
      </c>
      <c r="J149" s="70">
        <f t="shared" si="4"/>
        <v>0.41596638655462226</v>
      </c>
      <c r="K149" s="71">
        <f>IF(D149&gt;=('DATI nascosti 2'!$L$10*10^-3),'DATI nascosti 2'!$L$14*'DATI nascosti 2'!$P$12,IF(D149&gt;=(-'DATI nascosti 2'!$L$10*10^-3),'DATI nascosti 2'!$L$16*D149*'DATI nascosti 2'!$P$12,-'DATI nascosti 2'!$L$14*'DATI nascosti 2'!$P$12))</f>
        <v>-327627.69236196153</v>
      </c>
      <c r="L149" s="71">
        <f>-'DATI nascosti 2'!$H$16*'DATI nascosti 2'!$C$6*I149*'DATI nascosti 2'!$H$10*F149</f>
        <v>-183262.54669260676</v>
      </c>
      <c r="M149" s="71">
        <f>IF(C149&gt;=('DATI nascosti 2'!$L$10*10^-3),'DATI nascosti 2'!$L$14*'DATI nascosti 2'!$P$11,IF(C149&gt;=(-'DATI nascosti 2'!$L$10*10^-3),'DATI nascosti 2'!$P$11*'DATI nascosti 2'!$L$16*C149,-'DATI nascosti 2'!$L$14*'DATI nascosti 2'!$P$11))</f>
        <v>614659.43222408998</v>
      </c>
      <c r="N149" s="71">
        <f t="shared" si="6"/>
        <v>103769.19316952169</v>
      </c>
      <c r="O149" s="71">
        <f>-L149*('DATI nascosti 2'!$C$8/2-(J149*F149))-K149*('DATI nascosti 2'!$C$13/2)+M149*('DATI nascosti 2'!$C$13/2)</f>
        <v>649332014.72274852</v>
      </c>
      <c r="P149" s="69">
        <f>-'T2'!N149/10^3</f>
        <v>-103.76919316952169</v>
      </c>
      <c r="Q149" s="69">
        <f>'T2'!O149/10^6</f>
        <v>649.33201472274857</v>
      </c>
      <c r="R149" s="72">
        <f>-N149/('DATI nascosti 2'!$C$6*'DATI nascosti 2'!$C$13*'DATI nascosti 2'!$H$10*'DATI nascosti 2'!$H$16)</f>
        <v>-2.4970041352852013E-2</v>
      </c>
      <c r="S149" s="72">
        <f>O149/('DATI nascosti 2'!$H$16*'DATI nascosti 2'!$C$6*'DATI nascosti 2'!$C$13^2*'DATI nascosti 2'!$H$10)</f>
        <v>0.13528064126105255</v>
      </c>
      <c r="T149" s="73">
        <f t="shared" si="7"/>
        <v>6257.4642327802685</v>
      </c>
      <c r="U149" s="67" t="str">
        <f>IF(T149&gt;=0, IF(T149&lt;='DATI nascosti 2'!$C$8/6, "SI", "NO"),IF(T149&gt; -'DATI nascosti 2'!$C$8/6, "SI", "NO"))</f>
        <v>NO</v>
      </c>
      <c r="V149" s="67" t="str">
        <f>IF(Foglio3!G150&lt;1,IF(Foglio3!G150&gt;-1,"ROTTURA BILANCIATA",""),"")</f>
        <v/>
      </c>
    </row>
    <row r="150" spans="1:22" ht="18.75" x14ac:dyDescent="0.25">
      <c r="A150" s="20"/>
      <c r="B150" s="67">
        <f>'DATI nascosti 2'!$H$12*10^-3</f>
        <v>-3.5000000000000001E-3</v>
      </c>
      <c r="C150" s="68">
        <f>C149-('DATI nascosti 2'!$L$8*10^-3/100)</f>
        <v>6.0075000000000031E-2</v>
      </c>
      <c r="D150" s="68">
        <f>('DATI nascosti 2'!$H$12*(F150-'DATI nascosti 2'!$C$10))/(F150*1000)</f>
        <v>-1.0230519480519469E-3</v>
      </c>
      <c r="E150" s="67" t="s">
        <v>39</v>
      </c>
      <c r="F150" s="69">
        <f>(-'DATI nascosti 2'!$H$12*10^-3/(-'DATI nascosti 2'!$H$12*10^-3+C150))*'DATI nascosti 2'!$C$13</f>
        <v>63.586315375540671</v>
      </c>
      <c r="G150" s="70">
        <f t="shared" si="8"/>
        <v>39.978333333333296</v>
      </c>
      <c r="H150" s="70">
        <f t="shared" si="9"/>
        <v>81.720416666666537</v>
      </c>
      <c r="I150" s="70">
        <f>G150/('DATI nascosti 2'!$H$10*(-'DATI nascosti 2'!$H$12))</f>
        <v>0.80952380952380887</v>
      </c>
      <c r="J150" s="70">
        <f t="shared" si="4"/>
        <v>0.41596638655462226</v>
      </c>
      <c r="K150" s="71">
        <f>IF(D150&gt;=('DATI nascosti 2'!$L$10*10^-3),'DATI nascosti 2'!$L$14*'DATI nascosti 2'!$P$12,IF(D150&gt;=(-'DATI nascosti 2'!$L$10*10^-3),'DATI nascosti 2'!$L$16*D150*'DATI nascosti 2'!$P$12,-'DATI nascosti 2'!$L$14*'DATI nascosti 2'!$P$12))</f>
        <v>-336271.94092265179</v>
      </c>
      <c r="L150" s="71">
        <f>-'DATI nascosti 2'!$H$16*'DATI nascosti 2'!$C$6*I150*'DATI nascosti 2'!$H$10*F150</f>
        <v>-185208.31498230412</v>
      </c>
      <c r="M150" s="71">
        <f>IF(C150&gt;=('DATI nascosti 2'!$L$10*10^-3),'DATI nascosti 2'!$L$14*'DATI nascosti 2'!$P$11,IF(C150&gt;=(-'DATI nascosti 2'!$L$10*10^-3),'DATI nascosti 2'!$P$11*'DATI nascosti 2'!$L$16*C150,-'DATI nascosti 2'!$L$14*'DATI nascosti 2'!$P$11))</f>
        <v>614659.43222408998</v>
      </c>
      <c r="N150" s="71">
        <f t="shared" si="6"/>
        <v>93179.176319134072</v>
      </c>
      <c r="O150" s="71">
        <f>-L150*('DATI nascosti 2'!$C$8/2-(J150*F150))-K150*('DATI nascosti 2'!$C$13/2)+M150*('DATI nascosti 2'!$C$13/2)</f>
        <v>655389139.67768848</v>
      </c>
      <c r="P150" s="69">
        <f>-'T2'!N150/10^3</f>
        <v>-93.179176319134072</v>
      </c>
      <c r="Q150" s="69">
        <f>'T2'!O150/10^6</f>
        <v>655.38913967768849</v>
      </c>
      <c r="R150" s="72">
        <f>-N150/('DATI nascosti 2'!$C$6*'DATI nascosti 2'!$C$13*'DATI nascosti 2'!$H$10*'DATI nascosti 2'!$H$16)</f>
        <v>-2.2421759434059513E-2</v>
      </c>
      <c r="S150" s="72">
        <f>O150/('DATI nascosti 2'!$H$16*'DATI nascosti 2'!$C$6*'DATI nascosti 2'!$C$13^2*'DATI nascosti 2'!$H$10)</f>
        <v>0.13654257156715716</v>
      </c>
      <c r="T150" s="73">
        <f t="shared" si="7"/>
        <v>7033.6438415490293</v>
      </c>
      <c r="U150" s="67" t="str">
        <f>IF(T150&gt;=0, IF(T150&lt;='DATI nascosti 2'!$C$8/6, "SI", "NO"),IF(T150&gt; -'DATI nascosti 2'!$C$8/6, "SI", "NO"))</f>
        <v>NO</v>
      </c>
      <c r="V150" s="67" t="str">
        <f>IF(Foglio3!G151&lt;1,IF(Foglio3!G151&gt;-1,"ROTTURA BILANCIATA",""),"")</f>
        <v/>
      </c>
    </row>
    <row r="151" spans="1:22" ht="18.75" x14ac:dyDescent="0.25">
      <c r="A151" s="20"/>
      <c r="B151" s="67">
        <f>'DATI nascosti 2'!$H$12*10^-3</f>
        <v>-3.5000000000000001E-3</v>
      </c>
      <c r="C151" s="68">
        <f>C150-('DATI nascosti 2'!$L$8*10^-3/100)</f>
        <v>5.9400000000000029E-2</v>
      </c>
      <c r="D151" s="68">
        <f>('DATI nascosti 2'!$H$12*(F151-'DATI nascosti 2'!$C$10))/(F151*1000)</f>
        <v>-1.0493506493506482E-3</v>
      </c>
      <c r="E151" s="67" t="s">
        <v>39</v>
      </c>
      <c r="F151" s="69">
        <f>(-'DATI nascosti 2'!$H$12*10^-3/(-'DATI nascosti 2'!$H$12*10^-3+C151))*'DATI nascosti 2'!$C$13</f>
        <v>64.268680445151006</v>
      </c>
      <c r="G151" s="70">
        <f t="shared" si="8"/>
        <v>39.978333333333296</v>
      </c>
      <c r="H151" s="70">
        <f t="shared" si="9"/>
        <v>81.720416666666537</v>
      </c>
      <c r="I151" s="70">
        <f>G151/('DATI nascosti 2'!$H$10*(-'DATI nascosti 2'!$H$12))</f>
        <v>0.80952380952380887</v>
      </c>
      <c r="J151" s="70">
        <f t="shared" si="4"/>
        <v>0.41596638655462226</v>
      </c>
      <c r="K151" s="71">
        <f>IF(D151&gt;=('DATI nascosti 2'!$L$10*10^-3),'DATI nascosti 2'!$L$14*'DATI nascosti 2'!$P$12,IF(D151&gt;=(-'DATI nascosti 2'!$L$10*10^-3),'DATI nascosti 2'!$L$16*D151*'DATI nascosti 2'!$P$12,-'DATI nascosti 2'!$L$14*'DATI nascosti 2'!$P$12))</f>
        <v>-344916.18948334199</v>
      </c>
      <c r="L151" s="71">
        <f>-'DATI nascosti 2'!$H$16*'DATI nascosti 2'!$C$6*I151*'DATI nascosti 2'!$H$10*F151</f>
        <v>-187195.84459459435</v>
      </c>
      <c r="M151" s="71">
        <f>IF(C151&gt;=('DATI nascosti 2'!$L$10*10^-3),'DATI nascosti 2'!$L$14*'DATI nascosti 2'!$P$11,IF(C151&gt;=(-'DATI nascosti 2'!$L$10*10^-3),'DATI nascosti 2'!$P$11*'DATI nascosti 2'!$L$16*C151,-'DATI nascosti 2'!$L$14*'DATI nascosti 2'!$P$11))</f>
        <v>614659.43222408998</v>
      </c>
      <c r="N151" s="71">
        <f t="shared" si="6"/>
        <v>82547.39814615366</v>
      </c>
      <c r="O151" s="71">
        <f>-L151*('DATI nascosti 2'!$C$8/2-(J151*F151))-K151*('DATI nascosti 2'!$C$13/2)+M151*('DATI nascosti 2'!$C$13/2)</f>
        <v>661468007.44500828</v>
      </c>
      <c r="P151" s="69">
        <f>-'T2'!N151/10^3</f>
        <v>-82.547398146153654</v>
      </c>
      <c r="Q151" s="69">
        <f>'T2'!O151/10^6</f>
        <v>661.46800744500831</v>
      </c>
      <c r="R151" s="72">
        <f>-N151/('DATI nascosti 2'!$C$6*'DATI nascosti 2'!$C$13*'DATI nascosti 2'!$H$10*'DATI nascosti 2'!$H$16)</f>
        <v>-1.9863428463903682E-2</v>
      </c>
      <c r="S151" s="72">
        <f>O151/('DATI nascosti 2'!$H$16*'DATI nascosti 2'!$C$6*'DATI nascosti 2'!$C$13^2*'DATI nascosti 2'!$H$10)</f>
        <v>0.13780903173092299</v>
      </c>
      <c r="T151" s="73">
        <f t="shared" si="7"/>
        <v>8013.190267655089</v>
      </c>
      <c r="U151" s="67" t="str">
        <f>IF(T151&gt;=0, IF(T151&lt;='DATI nascosti 2'!$C$8/6, "SI", "NO"),IF(T151&gt; -'DATI nascosti 2'!$C$8/6, "SI", "NO"))</f>
        <v>NO</v>
      </c>
      <c r="V151" s="67" t="str">
        <f>IF(Foglio3!G152&lt;1,IF(Foglio3!G152&gt;-1,"ROTTURA BILANCIATA",""),"")</f>
        <v/>
      </c>
    </row>
    <row r="152" spans="1:22" ht="18.75" x14ac:dyDescent="0.25">
      <c r="A152" s="20"/>
      <c r="B152" s="67">
        <f>'DATI nascosti 2'!$H$12*10^-3</f>
        <v>-3.5000000000000001E-3</v>
      </c>
      <c r="C152" s="68">
        <f>C151-('DATI nascosti 2'!$L$8*10^-3/100)</f>
        <v>5.8725000000000027E-2</v>
      </c>
      <c r="D152" s="68">
        <f>('DATI nascosti 2'!$H$12*(F152-'DATI nascosti 2'!$C$10))/(F152*1000)</f>
        <v>-1.0756493506493498E-3</v>
      </c>
      <c r="E152" s="67" t="s">
        <v>39</v>
      </c>
      <c r="F152" s="69">
        <f>(-'DATI nascosti 2'!$H$12*10^-3/(-'DATI nascosti 2'!$H$12*10^-3+C152))*'DATI nascosti 2'!$C$13</f>
        <v>64.96584973885092</v>
      </c>
      <c r="G152" s="70">
        <f t="shared" si="8"/>
        <v>39.978333333333296</v>
      </c>
      <c r="H152" s="70">
        <f t="shared" si="9"/>
        <v>81.720416666666537</v>
      </c>
      <c r="I152" s="70">
        <f>G152/('DATI nascosti 2'!$H$10*(-'DATI nascosti 2'!$H$12))</f>
        <v>0.80952380952380887</v>
      </c>
      <c r="J152" s="70">
        <f t="shared" si="4"/>
        <v>0.41596638655462226</v>
      </c>
      <c r="K152" s="71">
        <f>IF(D152&gt;=('DATI nascosti 2'!$L$10*10^-3),'DATI nascosti 2'!$L$14*'DATI nascosti 2'!$P$12,IF(D152&gt;=(-'DATI nascosti 2'!$L$10*10^-3),'DATI nascosti 2'!$L$16*D152*'DATI nascosti 2'!$P$12,-'DATI nascosti 2'!$L$14*'DATI nascosti 2'!$P$12))</f>
        <v>-353560.43804403231</v>
      </c>
      <c r="L152" s="71">
        <f>-'DATI nascosti 2'!$H$16*'DATI nascosti 2'!$C$6*I152*'DATI nascosti 2'!$H$10*F152</f>
        <v>-189226.49457613475</v>
      </c>
      <c r="M152" s="71">
        <f>IF(C152&gt;=('DATI nascosti 2'!$L$10*10^-3),'DATI nascosti 2'!$L$14*'DATI nascosti 2'!$P$11,IF(C152&gt;=(-'DATI nascosti 2'!$L$10*10^-3),'DATI nascosti 2'!$P$11*'DATI nascosti 2'!$L$16*C152,-'DATI nascosti 2'!$L$14*'DATI nascosti 2'!$P$11))</f>
        <v>614659.43222408998</v>
      </c>
      <c r="N152" s="71">
        <f t="shared" si="6"/>
        <v>71872.499603922945</v>
      </c>
      <c r="O152" s="71">
        <f>-L152*('DATI nascosti 2'!$C$8/2-(J152*F152))-K152*('DATI nascosti 2'!$C$13/2)+M152*('DATI nascosti 2'!$C$13/2)</f>
        <v>667569288.87883651</v>
      </c>
      <c r="P152" s="69">
        <f>-'T2'!N152/10^3</f>
        <v>-71.872499603922947</v>
      </c>
      <c r="Q152" s="69">
        <f>'T2'!O152/10^6</f>
        <v>667.56928887883646</v>
      </c>
      <c r="R152" s="72">
        <f>-N152/('DATI nascosti 2'!$C$6*'DATI nascosti 2'!$C$13*'DATI nascosti 2'!$H$10*'DATI nascosti 2'!$H$16)</f>
        <v>-1.729472141419627E-2</v>
      </c>
      <c r="S152" s="72">
        <f>O152/('DATI nascosti 2'!$H$16*'DATI nascosti 2'!$C$6*'DATI nascosti 2'!$C$13^2*'DATI nascosti 2'!$H$10)</f>
        <v>0.13908016151686903</v>
      </c>
      <c r="T152" s="73">
        <f t="shared" si="7"/>
        <v>9288.2436614518301</v>
      </c>
      <c r="U152" s="67" t="str">
        <f>IF(T152&gt;=0, IF(T152&lt;='DATI nascosti 2'!$C$8/6, "SI", "NO"),IF(T152&gt; -'DATI nascosti 2'!$C$8/6, "SI", "NO"))</f>
        <v>NO</v>
      </c>
      <c r="V152" s="67" t="str">
        <f>IF(Foglio3!G153&lt;1,IF(Foglio3!G153&gt;-1,"ROTTURA BILANCIATA",""),"")</f>
        <v/>
      </c>
    </row>
    <row r="153" spans="1:22" ht="18.75" x14ac:dyDescent="0.25">
      <c r="A153" s="20"/>
      <c r="B153" s="67">
        <f>'DATI nascosti 2'!$H$12*10^-3</f>
        <v>-3.5000000000000001E-3</v>
      </c>
      <c r="C153" s="68">
        <f>C152-('DATI nascosti 2'!$L$8*10^-3/100)</f>
        <v>5.8050000000000025E-2</v>
      </c>
      <c r="D153" s="68">
        <f>('DATI nascosti 2'!$H$12*(F153-'DATI nascosti 2'!$C$10))/(F153*1000)</f>
        <v>-1.1019480519480511E-3</v>
      </c>
      <c r="E153" s="67" t="s">
        <v>39</v>
      </c>
      <c r="F153" s="69">
        <f>(-'DATI nascosti 2'!$H$12*10^-3/(-'DATI nascosti 2'!$H$12*10^-3+C153))*'DATI nascosti 2'!$C$13</f>
        <v>65.678310316815569</v>
      </c>
      <c r="G153" s="70">
        <f t="shared" si="8"/>
        <v>39.978333333333296</v>
      </c>
      <c r="H153" s="70">
        <f t="shared" si="9"/>
        <v>81.720416666666537</v>
      </c>
      <c r="I153" s="70">
        <f>G153/('DATI nascosti 2'!$H$10*(-'DATI nascosti 2'!$H$12))</f>
        <v>0.80952380952380887</v>
      </c>
      <c r="J153" s="70">
        <f t="shared" si="4"/>
        <v>0.41596638655462226</v>
      </c>
      <c r="K153" s="71">
        <f>IF(D153&gt;=('DATI nascosti 2'!$L$10*10^-3),'DATI nascosti 2'!$L$14*'DATI nascosti 2'!$P$12,IF(D153&gt;=(-'DATI nascosti 2'!$L$10*10^-3),'DATI nascosti 2'!$L$16*D153*'DATI nascosti 2'!$P$12,-'DATI nascosti 2'!$L$14*'DATI nascosti 2'!$P$12))</f>
        <v>-362204.68660472252</v>
      </c>
      <c r="L153" s="71">
        <f>-'DATI nascosti 2'!$H$16*'DATI nascosti 2'!$C$6*I153*'DATI nascosti 2'!$H$10*F153</f>
        <v>-191301.68359057652</v>
      </c>
      <c r="M153" s="71">
        <f>IF(C153&gt;=('DATI nascosti 2'!$L$10*10^-3),'DATI nascosti 2'!$L$14*'DATI nascosti 2'!$P$11,IF(C153&gt;=(-'DATI nascosti 2'!$L$10*10^-3),'DATI nascosti 2'!$P$11*'DATI nascosti 2'!$L$16*C153,-'DATI nascosti 2'!$L$14*'DATI nascosti 2'!$P$11))</f>
        <v>614659.43222408998</v>
      </c>
      <c r="N153" s="71">
        <f t="shared" si="6"/>
        <v>61153.062028790941</v>
      </c>
      <c r="O153" s="71">
        <f>-L153*('DATI nascosti 2'!$C$8/2-(J153*F153))-K153*('DATI nascosti 2'!$C$13/2)+M153*('DATI nascosti 2'!$C$13/2)</f>
        <v>673693682.63277447</v>
      </c>
      <c r="P153" s="69">
        <f>-'T2'!N153/10^3</f>
        <v>-61.153062028790941</v>
      </c>
      <c r="Q153" s="69">
        <f>'T2'!O153/10^6</f>
        <v>673.69368263277443</v>
      </c>
      <c r="R153" s="72">
        <f>-N153/('DATI nascosti 2'!$C$6*'DATI nascosti 2'!$C$13*'DATI nascosti 2'!$H$10*'DATI nascosti 2'!$H$16)</f>
        <v>-1.4715296911077183E-2</v>
      </c>
      <c r="S153" s="72">
        <f>O153/('DATI nascosti 2'!$H$16*'DATI nascosti 2'!$C$6*'DATI nascosti 2'!$C$13^2*'DATI nascosti 2'!$H$10)</f>
        <v>0.14035610648120544</v>
      </c>
      <c r="T153" s="73">
        <f t="shared" si="7"/>
        <v>11016.515940209152</v>
      </c>
      <c r="U153" s="67" t="str">
        <f>IF(T153&gt;=0, IF(T153&lt;='DATI nascosti 2'!$C$8/6, "SI", "NO"),IF(T153&gt; -'DATI nascosti 2'!$C$8/6, "SI", "NO"))</f>
        <v>NO</v>
      </c>
      <c r="V153" s="67" t="str">
        <f>IF(Foglio3!G154&lt;1,IF(Foglio3!G154&gt;-1,"ROTTURA BILANCIATA",""),"")</f>
        <v/>
      </c>
    </row>
    <row r="154" spans="1:22" ht="18.75" x14ac:dyDescent="0.25">
      <c r="A154" s="20"/>
      <c r="B154" s="67">
        <f>'DATI nascosti 2'!$H$12*10^-3</f>
        <v>-3.5000000000000001E-3</v>
      </c>
      <c r="C154" s="68">
        <f>C153-('DATI nascosti 2'!$L$8*10^-3/100)</f>
        <v>5.7375000000000023E-2</v>
      </c>
      <c r="D154" s="68">
        <f>('DATI nascosti 2'!$H$12*(F154-'DATI nascosti 2'!$C$10))/(F154*1000)</f>
        <v>-1.1282467532467524E-3</v>
      </c>
      <c r="E154" s="67" t="s">
        <v>39</v>
      </c>
      <c r="F154" s="69">
        <f>(-'DATI nascosti 2'!$H$12*10^-3/(-'DATI nascosti 2'!$H$12*10^-3+C154))*'DATI nascosti 2'!$C$13</f>
        <v>66.406570841889092</v>
      </c>
      <c r="G154" s="70">
        <f t="shared" si="8"/>
        <v>39.978333333333296</v>
      </c>
      <c r="H154" s="70">
        <f t="shared" si="9"/>
        <v>81.720416666666537</v>
      </c>
      <c r="I154" s="70">
        <f>G154/('DATI nascosti 2'!$H$10*(-'DATI nascosti 2'!$H$12))</f>
        <v>0.80952380952380887</v>
      </c>
      <c r="J154" s="70">
        <f t="shared" si="4"/>
        <v>0.41596638655462226</v>
      </c>
      <c r="K154" s="71">
        <f>IF(D154&gt;=('DATI nascosti 2'!$L$10*10^-3),'DATI nascosti 2'!$L$14*'DATI nascosti 2'!$P$12,IF(D154&gt;=(-'DATI nascosti 2'!$L$10*10^-3),'DATI nascosti 2'!$L$16*D154*'DATI nascosti 2'!$P$12,-'DATI nascosti 2'!$L$14*'DATI nascosti 2'!$P$12))</f>
        <v>-370848.93516541267</v>
      </c>
      <c r="L154" s="71">
        <f>-'DATI nascosti 2'!$H$16*'DATI nascosti 2'!$C$6*I154*'DATI nascosti 2'!$H$10*F154</f>
        <v>-193422.89322381906</v>
      </c>
      <c r="M154" s="71">
        <f>IF(C154&gt;=('DATI nascosti 2'!$L$10*10^-3),'DATI nascosti 2'!$L$14*'DATI nascosti 2'!$P$11,IF(C154&gt;=(-'DATI nascosti 2'!$L$10*10^-3),'DATI nascosti 2'!$P$11*'DATI nascosti 2'!$L$16*C154,-'DATI nascosti 2'!$L$14*'DATI nascosti 2'!$P$11))</f>
        <v>614659.43222408998</v>
      </c>
      <c r="N154" s="71">
        <f t="shared" si="6"/>
        <v>50387.603834858281</v>
      </c>
      <c r="O154" s="71">
        <f>-L154*('DATI nascosti 2'!$C$8/2-(J154*F154))-K154*('DATI nascosti 2'!$C$13/2)+M154*('DATI nascosti 2'!$C$13/2)</f>
        <v>679841916.60983944</v>
      </c>
      <c r="P154" s="69">
        <f>-'T2'!N154/10^3</f>
        <v>-50.387603834858282</v>
      </c>
      <c r="Q154" s="69">
        <f>'T2'!O154/10^6</f>
        <v>679.84191660983947</v>
      </c>
      <c r="R154" s="72">
        <f>-N154/('DATI nascosti 2'!$C$6*'DATI nascosti 2'!$C$13*'DATI nascosti 2'!$H$10*'DATI nascosti 2'!$H$16)</f>
        <v>-1.212479843966908E-2</v>
      </c>
      <c r="S154" s="72">
        <f>O154/('DATI nascosti 2'!$H$16*'DATI nascosti 2'!$C$6*'DATI nascosti 2'!$C$13^2*'DATI nascosti 2'!$H$10)</f>
        <v>0.14163701827391209</v>
      </c>
      <c r="T154" s="73">
        <f t="shared" si="7"/>
        <v>13492.245410954092</v>
      </c>
      <c r="U154" s="67" t="str">
        <f>IF(T154&gt;=0, IF(T154&lt;='DATI nascosti 2'!$C$8/6, "SI", "NO"),IF(T154&gt; -'DATI nascosti 2'!$C$8/6, "SI", "NO"))</f>
        <v>NO</v>
      </c>
      <c r="V154" s="67" t="str">
        <f>IF(Foglio3!G155&lt;1,IF(Foglio3!G155&gt;-1,"ROTTURA BILANCIATA",""),"")</f>
        <v/>
      </c>
    </row>
    <row r="155" spans="1:22" ht="18.75" x14ac:dyDescent="0.25">
      <c r="A155" s="20"/>
      <c r="B155" s="67">
        <f>'DATI nascosti 2'!$H$12*10^-3</f>
        <v>-3.5000000000000001E-3</v>
      </c>
      <c r="C155" s="68">
        <f>C154-('DATI nascosti 2'!$L$8*10^-3/100)</f>
        <v>5.6700000000000021E-2</v>
      </c>
      <c r="D155" s="68">
        <f>('DATI nascosti 2'!$H$12*(F155-'DATI nascosti 2'!$C$10))/(F155*1000)</f>
        <v>-1.1545454545454541E-3</v>
      </c>
      <c r="E155" s="67" t="s">
        <v>39</v>
      </c>
      <c r="F155" s="69">
        <f>(-'DATI nascosti 2'!$H$12*10^-3/(-'DATI nascosti 2'!$H$12*10^-3+C155))*'DATI nascosti 2'!$C$13</f>
        <v>67.151162790697654</v>
      </c>
      <c r="G155" s="70">
        <f t="shared" si="8"/>
        <v>39.978333333333296</v>
      </c>
      <c r="H155" s="70">
        <f t="shared" si="9"/>
        <v>81.720416666666537</v>
      </c>
      <c r="I155" s="70">
        <f>G155/('DATI nascosti 2'!$H$10*(-'DATI nascosti 2'!$H$12))</f>
        <v>0.80952380952380887</v>
      </c>
      <c r="J155" s="70">
        <f t="shared" si="4"/>
        <v>0.41596638655462226</v>
      </c>
      <c r="K155" s="71">
        <f>IF(D155&gt;=('DATI nascosti 2'!$L$10*10^-3),'DATI nascosti 2'!$L$14*'DATI nascosti 2'!$P$12,IF(D155&gt;=(-'DATI nascosti 2'!$L$10*10^-3),'DATI nascosti 2'!$L$16*D155*'DATI nascosti 2'!$P$12,-'DATI nascosti 2'!$L$14*'DATI nascosti 2'!$P$12))</f>
        <v>-379493.18372610305</v>
      </c>
      <c r="L155" s="71">
        <f>-'DATI nascosti 2'!$H$16*'DATI nascosti 2'!$C$6*I155*'DATI nascosti 2'!$H$10*F155</f>
        <v>-195591.67151162768</v>
      </c>
      <c r="M155" s="71">
        <f>IF(C155&gt;=('DATI nascosti 2'!$L$10*10^-3),'DATI nascosti 2'!$L$14*'DATI nascosti 2'!$P$11,IF(C155&gt;=(-'DATI nascosti 2'!$L$10*10^-3),'DATI nascosti 2'!$P$11*'DATI nascosti 2'!$L$16*C155,-'DATI nascosti 2'!$L$14*'DATI nascosti 2'!$P$11))</f>
        <v>614659.43222408998</v>
      </c>
      <c r="N155" s="71">
        <f t="shared" si="6"/>
        <v>39574.5769863592</v>
      </c>
      <c r="O155" s="71">
        <f>-L155*('DATI nascosti 2'!$C$8/2-(J155*F155))-K155*('DATI nascosti 2'!$C$13/2)+M155*('DATI nascosti 2'!$C$13/2)</f>
        <v>686014749.50374246</v>
      </c>
      <c r="P155" s="69">
        <f>-'T2'!N155/10^3</f>
        <v>-39.574576986359197</v>
      </c>
      <c r="Q155" s="69">
        <f>'T2'!O155/10^6</f>
        <v>686.01474950374245</v>
      </c>
      <c r="R155" s="72">
        <f>-N155/('DATI nascosti 2'!$C$6*'DATI nascosti 2'!$C$13*'DATI nascosti 2'!$H$10*'DATI nascosti 2'!$H$16)</f>
        <v>-9.5228534952245866E-3</v>
      </c>
      <c r="S155" s="72">
        <f>O155/('DATI nascosti 2'!$H$16*'DATI nascosti 2'!$C$6*'DATI nascosti 2'!$C$13^2*'DATI nascosti 2'!$H$10)</f>
        <v>0.14292305495984553</v>
      </c>
      <c r="T155" s="73">
        <f t="shared" si="7"/>
        <v>17334.733602843109</v>
      </c>
      <c r="U155" s="67" t="str">
        <f>IF(T155&gt;=0, IF(T155&lt;='DATI nascosti 2'!$C$8/6, "SI", "NO"),IF(T155&gt; -'DATI nascosti 2'!$C$8/6, "SI", "NO"))</f>
        <v>NO</v>
      </c>
      <c r="V155" s="67" t="str">
        <f>IF(Foglio3!G156&lt;1,IF(Foglio3!G156&gt;-1,"ROTTURA BILANCIATA",""),"")</f>
        <v/>
      </c>
    </row>
    <row r="156" spans="1:22" ht="18.75" x14ac:dyDescent="0.25">
      <c r="A156" s="20"/>
      <c r="B156" s="67">
        <f>'DATI nascosti 2'!$H$12*10^-3</f>
        <v>-3.5000000000000001E-3</v>
      </c>
      <c r="C156" s="68">
        <f>C155-('DATI nascosti 2'!$L$8*10^-3/100)</f>
        <v>5.6025000000000019E-2</v>
      </c>
      <c r="D156" s="68">
        <f>('DATI nascosti 2'!$H$12*(F156-'DATI nascosti 2'!$C$10))/(F156*1000)</f>
        <v>-1.180844155844155E-3</v>
      </c>
      <c r="E156" s="67" t="s">
        <v>39</v>
      </c>
      <c r="F156" s="69">
        <f>(-'DATI nascosti 2'!$H$12*10^-3/(-'DATI nascosti 2'!$H$12*10^-3+C156))*'DATI nascosti 2'!$C$13</f>
        <v>67.912641747165026</v>
      </c>
      <c r="G156" s="70">
        <f t="shared" si="8"/>
        <v>39.978333333333296</v>
      </c>
      <c r="H156" s="70">
        <f t="shared" si="9"/>
        <v>81.720416666666537</v>
      </c>
      <c r="I156" s="70">
        <f>G156/('DATI nascosti 2'!$H$10*(-'DATI nascosti 2'!$H$12))</f>
        <v>0.80952380952380887</v>
      </c>
      <c r="J156" s="70">
        <f t="shared" si="4"/>
        <v>0.41596638655462226</v>
      </c>
      <c r="K156" s="71">
        <f>IF(D156&gt;=('DATI nascosti 2'!$L$10*10^-3),'DATI nascosti 2'!$L$14*'DATI nascosti 2'!$P$12,IF(D156&gt;=(-'DATI nascosti 2'!$L$10*10^-3),'DATI nascosti 2'!$L$16*D156*'DATI nascosti 2'!$P$12,-'DATI nascosti 2'!$L$14*'DATI nascosti 2'!$P$12))</f>
        <v>-388137.43228679308</v>
      </c>
      <c r="L156" s="71">
        <f>-'DATI nascosti 2'!$H$16*'DATI nascosti 2'!$C$6*I156*'DATI nascosti 2'!$H$10*F156</f>
        <v>-197809.6367072656</v>
      </c>
      <c r="M156" s="71">
        <f>IF(C156&gt;=('DATI nascosti 2'!$L$10*10^-3),'DATI nascosti 2'!$L$14*'DATI nascosti 2'!$P$11,IF(C156&gt;=(-'DATI nascosti 2'!$L$10*10^-3),'DATI nascosti 2'!$P$11*'DATI nascosti 2'!$L$16*C156,-'DATI nascosti 2'!$L$14*'DATI nascosti 2'!$P$11))</f>
        <v>614659.43222408998</v>
      </c>
      <c r="N156" s="71">
        <f t="shared" si="6"/>
        <v>28712.363230031333</v>
      </c>
      <c r="O156" s="71">
        <f>-L156*('DATI nascosti 2'!$C$8/2-(J156*F156))-K156*('DATI nascosti 2'!$C$13/2)+M156*('DATI nascosti 2'!$C$13/2)</f>
        <v>692212972.43825185</v>
      </c>
      <c r="P156" s="69">
        <f>-'T2'!N156/10^3</f>
        <v>-28.712363230031333</v>
      </c>
      <c r="Q156" s="69">
        <f>'T2'!O156/10^6</f>
        <v>692.21297243825188</v>
      </c>
      <c r="R156" s="72">
        <f>-N156/('DATI nascosti 2'!$C$6*'DATI nascosti 2'!$C$13*'DATI nascosti 2'!$H$10*'DATI nascosti 2'!$H$16)</f>
        <v>-6.9090726765192473E-3</v>
      </c>
      <c r="S156" s="72">
        <f>O156/('DATI nascosti 2'!$H$16*'DATI nascosti 2'!$C$6*'DATI nascosti 2'!$C$13^2*'DATI nascosti 2'!$H$10)</f>
        <v>0.14421438136028095</v>
      </c>
      <c r="T156" s="73">
        <f t="shared" si="7"/>
        <v>24108.533557218321</v>
      </c>
      <c r="U156" s="67" t="str">
        <f>IF(T156&gt;=0, IF(T156&lt;='DATI nascosti 2'!$C$8/6, "SI", "NO"),IF(T156&gt; -'DATI nascosti 2'!$C$8/6, "SI", "NO"))</f>
        <v>NO</v>
      </c>
      <c r="V156" s="67" t="str">
        <f>IF(Foglio3!G157&lt;1,IF(Foglio3!G157&gt;-1,"ROTTURA BILANCIATA",""),"")</f>
        <v/>
      </c>
    </row>
    <row r="157" spans="1:22" ht="18.75" x14ac:dyDescent="0.25">
      <c r="A157" s="20"/>
      <c r="B157" s="67">
        <f>'DATI nascosti 2'!$H$12*10^-3</f>
        <v>-3.5000000000000001E-3</v>
      </c>
      <c r="C157" s="68">
        <f>C156-('DATI nascosti 2'!$L$8*10^-3/100)</f>
        <v>5.5350000000000017E-2</v>
      </c>
      <c r="D157" s="68">
        <f>('DATI nascosti 2'!$H$12*(F157-'DATI nascosti 2'!$C$10))/(F157*1000)</f>
        <v>-1.2071428571428563E-3</v>
      </c>
      <c r="E157" s="67" t="s">
        <v>39</v>
      </c>
      <c r="F157" s="69">
        <f>(-'DATI nascosti 2'!$H$12*10^-3/(-'DATI nascosti 2'!$H$12*10^-3+C157))*'DATI nascosti 2'!$C$13</f>
        <v>68.691588785046704</v>
      </c>
      <c r="G157" s="70">
        <f t="shared" si="8"/>
        <v>39.978333333333296</v>
      </c>
      <c r="H157" s="70">
        <f t="shared" si="9"/>
        <v>81.720416666666537</v>
      </c>
      <c r="I157" s="70">
        <f>G157/('DATI nascosti 2'!$H$10*(-'DATI nascosti 2'!$H$12))</f>
        <v>0.80952380952380887</v>
      </c>
      <c r="J157" s="70">
        <f t="shared" si="4"/>
        <v>0.41596638655462226</v>
      </c>
      <c r="K157" s="71">
        <f>IF(D157&gt;=('DATI nascosti 2'!$L$10*10^-3),'DATI nascosti 2'!$L$14*'DATI nascosti 2'!$P$12,IF(D157&gt;=(-'DATI nascosti 2'!$L$10*10^-3),'DATI nascosti 2'!$L$16*D157*'DATI nascosti 2'!$P$12,-'DATI nascosti 2'!$L$14*'DATI nascosti 2'!$P$12))</f>
        <v>-396781.68084748328</v>
      </c>
      <c r="L157" s="71">
        <f>-'DATI nascosti 2'!$H$16*'DATI nascosti 2'!$C$6*I157*'DATI nascosti 2'!$H$10*F157</f>
        <v>-200078.48130841096</v>
      </c>
      <c r="M157" s="71">
        <f>IF(C157&gt;=('DATI nascosti 2'!$L$10*10^-3),'DATI nascosti 2'!$L$14*'DATI nascosti 2'!$P$11,IF(C157&gt;=(-'DATI nascosti 2'!$L$10*10^-3),'DATI nascosti 2'!$P$11*'DATI nascosti 2'!$L$16*C157,-'DATI nascosti 2'!$L$14*'DATI nascosti 2'!$P$11))</f>
        <v>614659.43222408998</v>
      </c>
      <c r="N157" s="71">
        <f t="shared" si="6"/>
        <v>17799.270068195765</v>
      </c>
      <c r="O157" s="71">
        <f>-L157*('DATI nascosti 2'!$C$8/2-(J157*F157))-K157*('DATI nascosti 2'!$C$13/2)+M157*('DATI nascosti 2'!$C$13/2)</f>
        <v>698437410.71196985</v>
      </c>
      <c r="P157" s="69">
        <f>-'T2'!N157/10^3</f>
        <v>-17.799270068195764</v>
      </c>
      <c r="Q157" s="69">
        <f>'T2'!O157/10^6</f>
        <v>698.43741071196985</v>
      </c>
      <c r="R157" s="72">
        <f>-N157/('DATI nascosti 2'!$C$6*'DATI nascosti 2'!$C$13*'DATI nascosti 2'!$H$10*'DATI nascosti 2'!$H$16)</f>
        <v>-4.2830487168514422E-3</v>
      </c>
      <c r="S157" s="72">
        <f>O157/('DATI nascosti 2'!$H$16*'DATI nascosti 2'!$C$6*'DATI nascosti 2'!$C$13^2*'DATI nascosti 2'!$H$10)</f>
        <v>0.14551116941641573</v>
      </c>
      <c r="T157" s="73">
        <f t="shared" si="7"/>
        <v>39239.665898432395</v>
      </c>
      <c r="U157" s="67" t="str">
        <f>IF(T157&gt;=0, IF(T157&lt;='DATI nascosti 2'!$C$8/6, "SI", "NO"),IF(T157&gt; -'DATI nascosti 2'!$C$8/6, "SI", "NO"))</f>
        <v>NO</v>
      </c>
      <c r="V157" s="67" t="str">
        <f>IF(Foglio3!G158&lt;1,IF(Foglio3!G158&gt;-1,"ROTTURA BILANCIATA",""),"")</f>
        <v/>
      </c>
    </row>
    <row r="158" spans="1:22" ht="18.75" x14ac:dyDescent="0.25">
      <c r="A158" s="20"/>
      <c r="B158" s="67">
        <f>'DATI nascosti 2'!$H$12*10^-3</f>
        <v>-3.5000000000000001E-3</v>
      </c>
      <c r="C158" s="68">
        <f>C157-('DATI nascosti 2'!$L$8*10^-3/100)</f>
        <v>5.4675000000000015E-2</v>
      </c>
      <c r="D158" s="68">
        <f>('DATI nascosti 2'!$H$12*(F158-'DATI nascosti 2'!$C$10))/(F158*1000)</f>
        <v>-1.2334415584415578E-3</v>
      </c>
      <c r="E158" s="67" t="s">
        <v>39</v>
      </c>
      <c r="F158" s="69">
        <f>(-'DATI nascosti 2'!$H$12*10^-3/(-'DATI nascosti 2'!$H$12*10^-3+C158))*'DATI nascosti 2'!$C$13</f>
        <v>69.488611946712481</v>
      </c>
      <c r="G158" s="70">
        <f t="shared" si="8"/>
        <v>39.978333333333296</v>
      </c>
      <c r="H158" s="70">
        <f t="shared" si="9"/>
        <v>81.720416666666537</v>
      </c>
      <c r="I158" s="70">
        <f>G158/('DATI nascosti 2'!$H$10*(-'DATI nascosti 2'!$H$12))</f>
        <v>0.80952380952380887</v>
      </c>
      <c r="J158" s="70">
        <f t="shared" si="4"/>
        <v>0.41596638655462226</v>
      </c>
      <c r="K158" s="71">
        <f>IF(D158&gt;=('DATI nascosti 2'!$L$10*10^-3),'DATI nascosti 2'!$L$14*'DATI nascosti 2'!$P$12,IF(D158&gt;=(-'DATI nascosti 2'!$L$10*10^-3),'DATI nascosti 2'!$L$16*D158*'DATI nascosti 2'!$P$12,-'DATI nascosti 2'!$L$14*'DATI nascosti 2'!$P$12))</f>
        <v>-405425.9294081736</v>
      </c>
      <c r="L158" s="71">
        <f>-'DATI nascosti 2'!$H$16*'DATI nascosti 2'!$C$6*I158*'DATI nascosti 2'!$H$10*F158</f>
        <v>-202399.97636441747</v>
      </c>
      <c r="M158" s="71">
        <f>IF(C158&gt;=('DATI nascosti 2'!$L$10*10^-3),'DATI nascosti 2'!$L$14*'DATI nascosti 2'!$P$11,IF(C158&gt;=(-'DATI nascosti 2'!$L$10*10^-3),'DATI nascosti 2'!$P$11*'DATI nascosti 2'!$L$16*C158,-'DATI nascosti 2'!$L$14*'DATI nascosti 2'!$P$11))</f>
        <v>614659.43222408998</v>
      </c>
      <c r="N158" s="71">
        <f t="shared" si="6"/>
        <v>6833.5264514989685</v>
      </c>
      <c r="O158" s="71">
        <f>-L158*('DATI nascosti 2'!$C$8/2-(J158*F158))-K158*('DATI nascosti 2'!$C$13/2)+M158*('DATI nascosti 2'!$C$13/2)</f>
        <v>704688925.65646982</v>
      </c>
      <c r="P158" s="69">
        <f>-'T2'!N158/10^3</f>
        <v>-6.8335264514989689</v>
      </c>
      <c r="Q158" s="69">
        <f>'T2'!O158/10^6</f>
        <v>704.68892565646979</v>
      </c>
      <c r="R158" s="72">
        <f>-N158/('DATI nascosti 2'!$C$6*'DATI nascosti 2'!$C$13*'DATI nascosti 2'!$H$10*'DATI nascosti 2'!$H$16)</f>
        <v>-1.6443554475843655E-3</v>
      </c>
      <c r="S158" s="72">
        <f>O158/('DATI nascosti 2'!$H$16*'DATI nascosti 2'!$C$6*'DATI nascosti 2'!$C$13^2*'DATI nascosti 2'!$H$10)</f>
        <v>0.14681359857649051</v>
      </c>
      <c r="T158" s="73">
        <f t="shared" si="7"/>
        <v>103122.29427338981</v>
      </c>
      <c r="U158" s="67" t="str">
        <f>IF(T158&gt;=0, IF(T158&lt;='DATI nascosti 2'!$C$8/6, "SI", "NO"),IF(T158&gt; -'DATI nascosti 2'!$C$8/6, "SI", "NO"))</f>
        <v>NO</v>
      </c>
      <c r="V158" s="67" t="str">
        <f>IF(Foglio3!G159&lt;1,IF(Foglio3!G159&gt;-1,"ROTTURA BILANCIATA",""),"")</f>
        <v/>
      </c>
    </row>
    <row r="159" spans="1:22" ht="18.75" x14ac:dyDescent="0.25">
      <c r="A159" s="20"/>
      <c r="B159" s="67">
        <f>'DATI nascosti 2'!$H$12*10^-3</f>
        <v>-3.5000000000000001E-3</v>
      </c>
      <c r="C159" s="68">
        <f>C158-('DATI nascosti 2'!$L$8*10^-3/100)</f>
        <v>5.4000000000000013E-2</v>
      </c>
      <c r="D159" s="68">
        <f>('DATI nascosti 2'!$H$12*(F159-'DATI nascosti 2'!$C$10))/(F159*1000)</f>
        <v>-1.2597402597402591E-3</v>
      </c>
      <c r="E159" s="67" t="s">
        <v>39</v>
      </c>
      <c r="F159" s="69">
        <f>(-'DATI nascosti 2'!$H$12*10^-3/(-'DATI nascosti 2'!$H$12*10^-3+C159))*'DATI nascosti 2'!$C$13</f>
        <v>70.304347826086939</v>
      </c>
      <c r="G159" s="70">
        <f t="shared" si="8"/>
        <v>39.978333333333296</v>
      </c>
      <c r="H159" s="70">
        <f t="shared" si="9"/>
        <v>81.720416666666537</v>
      </c>
      <c r="I159" s="70">
        <f>G159/('DATI nascosti 2'!$H$10*(-'DATI nascosti 2'!$H$12))</f>
        <v>0.80952380952380887</v>
      </c>
      <c r="J159" s="70">
        <f t="shared" si="4"/>
        <v>0.41596638655462226</v>
      </c>
      <c r="K159" s="71">
        <f>IF(D159&gt;=('DATI nascosti 2'!$L$10*10^-3),'DATI nascosti 2'!$L$14*'DATI nascosti 2'!$P$12,IF(D159&gt;=(-'DATI nascosti 2'!$L$10*10^-3),'DATI nascosti 2'!$L$16*D159*'DATI nascosti 2'!$P$12,-'DATI nascosti 2'!$L$14*'DATI nascosti 2'!$P$12))</f>
        <v>-414070.17796886381</v>
      </c>
      <c r="L159" s="71">
        <f>-'DATI nascosti 2'!$H$16*'DATI nascosti 2'!$C$6*I159*'DATI nascosti 2'!$H$10*F159</f>
        <v>-204775.9760869563</v>
      </c>
      <c r="M159" s="71">
        <f>IF(C159&gt;=('DATI nascosti 2'!$L$10*10^-3),'DATI nascosti 2'!$L$14*'DATI nascosti 2'!$P$11,IF(C159&gt;=(-'DATI nascosti 2'!$L$10*10^-3),'DATI nascosti 2'!$P$11*'DATI nascosti 2'!$L$16*C159,-'DATI nascosti 2'!$L$14*'DATI nascosti 2'!$P$11))</f>
        <v>614659.43222408998</v>
      </c>
      <c r="N159" s="71">
        <f t="shared" si="6"/>
        <v>-4186.7218317301013</v>
      </c>
      <c r="O159" s="71">
        <f>-L159*('DATI nascosti 2'!$C$8/2-(J159*F159))-K159*('DATI nascosti 2'!$C$13/2)+M159*('DATI nascosti 2'!$C$13/2)</f>
        <v>710968416.61644006</v>
      </c>
      <c r="P159" s="69">
        <f>-'T2'!N159/10^3</f>
        <v>4.1867218317301012</v>
      </c>
      <c r="Q159" s="69">
        <f>'T2'!O159/10^6</f>
        <v>710.96841661644009</v>
      </c>
      <c r="R159" s="72">
        <f>-N159/('DATI nascosti 2'!$C$6*'DATI nascosti 2'!$C$13*'DATI nascosti 2'!$H$10*'DATI nascosti 2'!$H$16)</f>
        <v>1.0074533113156596E-3</v>
      </c>
      <c r="S159" s="72">
        <f>O159/('DATI nascosti 2'!$H$16*'DATI nascosti 2'!$C$6*'DATI nascosti 2'!$C$13^2*'DATI nascosti 2'!$H$10)</f>
        <v>0.14812185620832846</v>
      </c>
      <c r="T159" s="73">
        <f t="shared" si="7"/>
        <v>-169815.05941669949</v>
      </c>
      <c r="U159" s="67" t="str">
        <f>IF(T159&gt;=0, IF(T159&lt;='DATI nascosti 2'!$C$8/6, "SI", "NO"),IF(T159&gt; -'DATI nascosti 2'!$C$8/6, "SI", "NO"))</f>
        <v>NO</v>
      </c>
      <c r="V159" s="67" t="str">
        <f>IF(Foglio3!G160&lt;1,IF(Foglio3!G160&gt;-1,"ROTTURA BILANCIATA",""),"")</f>
        <v/>
      </c>
    </row>
    <row r="160" spans="1:22" ht="18.75" x14ac:dyDescent="0.25">
      <c r="A160" s="20"/>
      <c r="B160" s="67">
        <f>'DATI nascosti 2'!$H$12*10^-3</f>
        <v>-3.5000000000000001E-3</v>
      </c>
      <c r="C160" s="68">
        <f>C159-('DATI nascosti 2'!$L$8*10^-3/100)</f>
        <v>5.3325000000000011E-2</v>
      </c>
      <c r="D160" s="68">
        <f>('DATI nascosti 2'!$H$12*(F160-'DATI nascosti 2'!$C$10))/(F160*1000)</f>
        <v>-1.2860389610389604E-3</v>
      </c>
      <c r="E160" s="67" t="s">
        <v>39</v>
      </c>
      <c r="F160" s="69">
        <f>(-'DATI nascosti 2'!$H$12*10^-3/(-'DATI nascosti 2'!$H$12*10^-3+C160))*'DATI nascosti 2'!$C$13</f>
        <v>71.139463264408249</v>
      </c>
      <c r="G160" s="70">
        <f t="shared" si="8"/>
        <v>39.978333333333296</v>
      </c>
      <c r="H160" s="70">
        <f t="shared" si="9"/>
        <v>81.720416666666537</v>
      </c>
      <c r="I160" s="70">
        <f>G160/('DATI nascosti 2'!$H$10*(-'DATI nascosti 2'!$H$12))</f>
        <v>0.80952380952380887</v>
      </c>
      <c r="J160" s="70">
        <f t="shared" si="4"/>
        <v>0.41596638655462226</v>
      </c>
      <c r="K160" s="71">
        <f>IF(D160&gt;=('DATI nascosti 2'!$L$10*10^-3),'DATI nascosti 2'!$L$14*'DATI nascosti 2'!$P$12,IF(D160&gt;=(-'DATI nascosti 2'!$L$10*10^-3),'DATI nascosti 2'!$L$16*D160*'DATI nascosti 2'!$P$12,-'DATI nascosti 2'!$L$14*'DATI nascosti 2'!$P$12))</f>
        <v>-422714.42652955401</v>
      </c>
      <c r="L160" s="71">
        <f>-'DATI nascosti 2'!$H$16*'DATI nascosti 2'!$C$6*I160*'DATI nascosti 2'!$H$10*F160</f>
        <v>-207208.42278926505</v>
      </c>
      <c r="M160" s="71">
        <f>IF(C160&gt;=('DATI nascosti 2'!$L$10*10^-3),'DATI nascosti 2'!$L$14*'DATI nascosti 2'!$P$11,IF(C160&gt;=(-'DATI nascosti 2'!$L$10*10^-3),'DATI nascosti 2'!$P$11*'DATI nascosti 2'!$L$16*C160,-'DATI nascosti 2'!$L$14*'DATI nascosti 2'!$P$11))</f>
        <v>614659.43222408998</v>
      </c>
      <c r="N160" s="71">
        <f t="shared" si="6"/>
        <v>-15263.417094729142</v>
      </c>
      <c r="O160" s="71">
        <f>-L160*('DATI nascosti 2'!$C$8/2-(J160*F160))-K160*('DATI nascosti 2'!$C$13/2)+M160*('DATI nascosti 2'!$C$13/2)</f>
        <v>717276823.06123304</v>
      </c>
      <c r="P160" s="69">
        <f>-'T2'!N160/10^3</f>
        <v>15.263417094729142</v>
      </c>
      <c r="Q160" s="69">
        <f>'T2'!O160/10^6</f>
        <v>717.27682306123302</v>
      </c>
      <c r="R160" s="72">
        <f>-N160/('DATI nascosti 2'!$C$6*'DATI nascosti 2'!$C$13*'DATI nascosti 2'!$H$10*'DATI nascosti 2'!$H$16)</f>
        <v>3.6728449398135739E-3</v>
      </c>
      <c r="S160" s="72">
        <f>O160/('DATI nascosti 2'!$H$16*'DATI nascosti 2'!$C$6*'DATI nascosti 2'!$C$13^2*'DATI nascosti 2'!$H$10)</f>
        <v>0.14943613803925182</v>
      </c>
      <c r="T160" s="73">
        <f t="shared" si="7"/>
        <v>-46993.20071053601</v>
      </c>
      <c r="U160" s="67" t="str">
        <f>IF(T160&gt;=0, IF(T160&lt;='DATI nascosti 2'!$C$8/6, "SI", "NO"),IF(T160&gt; -'DATI nascosti 2'!$C$8/6, "SI", "NO"))</f>
        <v>NO</v>
      </c>
      <c r="V160" s="67" t="str">
        <f>IF(Foglio3!G161&lt;1,IF(Foglio3!G161&gt;-1,"ROTTURA BILANCIATA",""),"")</f>
        <v/>
      </c>
    </row>
    <row r="161" spans="1:22" ht="18.75" x14ac:dyDescent="0.25">
      <c r="A161" s="20"/>
      <c r="B161" s="67">
        <f>'DATI nascosti 2'!$H$12*10^-3</f>
        <v>-3.5000000000000001E-3</v>
      </c>
      <c r="C161" s="68">
        <f>C160-('DATI nascosti 2'!$L$8*10^-3/100)</f>
        <v>5.2650000000000009E-2</v>
      </c>
      <c r="D161" s="68">
        <f>('DATI nascosti 2'!$H$12*(F161-'DATI nascosti 2'!$C$10))/(F161*1000)</f>
        <v>-1.3123376623376622E-3</v>
      </c>
      <c r="E161" s="67" t="s">
        <v>39</v>
      </c>
      <c r="F161" s="69">
        <f>(-'DATI nascosti 2'!$H$12*10^-3/(-'DATI nascosti 2'!$H$12*10^-3+C161))*'DATI nascosti 2'!$C$13</f>
        <v>71.994657168299184</v>
      </c>
      <c r="G161" s="70">
        <f t="shared" si="8"/>
        <v>39.978333333333296</v>
      </c>
      <c r="H161" s="70">
        <f t="shared" si="9"/>
        <v>81.720416666666537</v>
      </c>
      <c r="I161" s="70">
        <f>G161/('DATI nascosti 2'!$H$10*(-'DATI nascosti 2'!$H$12))</f>
        <v>0.80952380952380887</v>
      </c>
      <c r="J161" s="70">
        <f t="shared" si="4"/>
        <v>0.41596638655462226</v>
      </c>
      <c r="K161" s="71">
        <f>IF(D161&gt;=('DATI nascosti 2'!$L$10*10^-3),'DATI nascosti 2'!$L$14*'DATI nascosti 2'!$P$12,IF(D161&gt;=(-'DATI nascosti 2'!$L$10*10^-3),'DATI nascosti 2'!$L$16*D161*'DATI nascosti 2'!$P$12,-'DATI nascosti 2'!$L$14*'DATI nascosti 2'!$P$12))</f>
        <v>-431358.67509024427</v>
      </c>
      <c r="L161" s="71">
        <f>-'DATI nascosti 2'!$H$16*'DATI nascosti 2'!$C$6*I161*'DATI nascosti 2'!$H$10*F161</f>
        <v>-209699.35218165605</v>
      </c>
      <c r="M161" s="71">
        <f>IF(C161&gt;=('DATI nascosti 2'!$L$10*10^-3),'DATI nascosti 2'!$L$14*'DATI nascosti 2'!$P$11,IF(C161&gt;=(-'DATI nascosti 2'!$L$10*10^-3),'DATI nascosti 2'!$P$11*'DATI nascosti 2'!$L$16*C161,-'DATI nascosti 2'!$L$14*'DATI nascosti 2'!$P$11))</f>
        <v>614659.43222408998</v>
      </c>
      <c r="N161" s="71">
        <f t="shared" si="6"/>
        <v>-26398.595047810348</v>
      </c>
      <c r="O161" s="71">
        <f>-L161*('DATI nascosti 2'!$C$8/2-(J161*F161))-K161*('DATI nascosti 2'!$C$13/2)+M161*('DATI nascosti 2'!$C$13/2)</f>
        <v>723615126.83804464</v>
      </c>
      <c r="P161" s="69">
        <f>-'T2'!N161/10^3</f>
        <v>26.398595047810346</v>
      </c>
      <c r="Q161" s="69">
        <f>'T2'!O161/10^6</f>
        <v>723.6151268380446</v>
      </c>
      <c r="R161" s="72">
        <f>-N161/('DATI nascosti 2'!$C$6*'DATI nascosti 2'!$C$13*'DATI nascosti 2'!$H$10*'DATI nascosti 2'!$H$16)</f>
        <v>6.3523092920667176E-3</v>
      </c>
      <c r="S161" s="72">
        <f>O161/('DATI nascosti 2'!$H$16*'DATI nascosti 2'!$C$6*'DATI nascosti 2'!$C$13^2*'DATI nascosti 2'!$H$10)</f>
        <v>0.15075664862550489</v>
      </c>
      <c r="T161" s="73">
        <f t="shared" si="7"/>
        <v>-27411.122657380416</v>
      </c>
      <c r="U161" s="67" t="str">
        <f>IF(T161&gt;=0, IF(T161&lt;='DATI nascosti 2'!$C$8/6, "SI", "NO"),IF(T161&gt; -'DATI nascosti 2'!$C$8/6, "SI", "NO"))</f>
        <v>NO</v>
      </c>
      <c r="V161" s="67" t="str">
        <f>IF(Foglio3!G162&lt;1,IF(Foglio3!G162&gt;-1,"ROTTURA BILANCIATA",""),"")</f>
        <v/>
      </c>
    </row>
    <row r="162" spans="1:22" ht="18.75" x14ac:dyDescent="0.25">
      <c r="A162" s="20"/>
      <c r="B162" s="67">
        <f>'DATI nascosti 2'!$H$12*10^-3</f>
        <v>-3.5000000000000001E-3</v>
      </c>
      <c r="C162" s="68">
        <f>C161-('DATI nascosti 2'!$L$8*10^-3/100)</f>
        <v>5.1975000000000007E-2</v>
      </c>
      <c r="D162" s="68">
        <f>('DATI nascosti 2'!$H$12*(F162-'DATI nascosti 2'!$C$10))/(F162*1000)</f>
        <v>-1.3386363636363635E-3</v>
      </c>
      <c r="E162" s="67" t="s">
        <v>39</v>
      </c>
      <c r="F162" s="69">
        <f>(-'DATI nascosti 2'!$H$12*10^-3/(-'DATI nascosti 2'!$H$12*10^-3+C162))*'DATI nascosti 2'!$C$13</f>
        <v>72.870662460567814</v>
      </c>
      <c r="G162" s="70">
        <f t="shared" si="8"/>
        <v>39.978333333333296</v>
      </c>
      <c r="H162" s="70">
        <f t="shared" si="9"/>
        <v>81.720416666666537</v>
      </c>
      <c r="I162" s="70">
        <f>G162/('DATI nascosti 2'!$H$10*(-'DATI nascosti 2'!$H$12))</f>
        <v>0.80952380952380887</v>
      </c>
      <c r="J162" s="70">
        <f t="shared" si="4"/>
        <v>0.41596638655462226</v>
      </c>
      <c r="K162" s="71">
        <f>IF(D162&gt;=('DATI nascosti 2'!$L$10*10^-3),'DATI nascosti 2'!$L$14*'DATI nascosti 2'!$P$12,IF(D162&gt;=(-'DATI nascosti 2'!$L$10*10^-3),'DATI nascosti 2'!$L$16*D162*'DATI nascosti 2'!$P$12,-'DATI nascosti 2'!$L$14*'DATI nascosti 2'!$P$12))</f>
        <v>-440002.92365093448</v>
      </c>
      <c r="L162" s="71">
        <f>-'DATI nascosti 2'!$H$16*'DATI nascosti 2'!$C$6*I162*'DATI nascosti 2'!$H$10*F162</f>
        <v>-212250.89905362754</v>
      </c>
      <c r="M162" s="71">
        <f>IF(C162&gt;=('DATI nascosti 2'!$L$10*10^-3),'DATI nascosti 2'!$L$14*'DATI nascosti 2'!$P$11,IF(C162&gt;=(-'DATI nascosti 2'!$L$10*10^-3),'DATI nascosti 2'!$P$11*'DATI nascosti 2'!$L$16*C162,-'DATI nascosti 2'!$L$14*'DATI nascosti 2'!$P$11))</f>
        <v>614659.43222408998</v>
      </c>
      <c r="N162" s="71">
        <f t="shared" si="6"/>
        <v>-37594.390480472008</v>
      </c>
      <c r="O162" s="71">
        <f>-L162*('DATI nascosti 2'!$C$8/2-(J162*F162))-K162*('DATI nascosti 2'!$C$13/2)+M162*('DATI nascosti 2'!$C$13/2)</f>
        <v>729984354.57787287</v>
      </c>
      <c r="P162" s="69">
        <f>-'T2'!N162/10^3</f>
        <v>37.594390480472008</v>
      </c>
      <c r="Q162" s="69">
        <f>'T2'!O162/10^6</f>
        <v>729.98435457787286</v>
      </c>
      <c r="R162" s="72">
        <f>-N162/('DATI nascosti 2'!$C$6*'DATI nascosti 2'!$C$13*'DATI nascosti 2'!$H$10*'DATI nascosti 2'!$H$16)</f>
        <v>9.0463600637146514E-3</v>
      </c>
      <c r="S162" s="72">
        <f>O162/('DATI nascosti 2'!$H$16*'DATI nascosti 2'!$C$6*'DATI nascosti 2'!$C$13^2*'DATI nascosti 2'!$H$10)</f>
        <v>0.15208360185350728</v>
      </c>
      <c r="T162" s="73">
        <f t="shared" si="7"/>
        <v>-19417.37438081501</v>
      </c>
      <c r="U162" s="67" t="str">
        <f>IF(T162&gt;=0, IF(T162&lt;='DATI nascosti 2'!$C$8/6, "SI", "NO"),IF(T162&gt; -'DATI nascosti 2'!$C$8/6, "SI", "NO"))</f>
        <v>NO</v>
      </c>
      <c r="V162" s="67" t="str">
        <f>IF(Foglio3!G163&lt;1,IF(Foglio3!G163&gt;-1,"ROTTURA BILANCIATA",""),"")</f>
        <v/>
      </c>
    </row>
    <row r="163" spans="1:22" ht="18.75" x14ac:dyDescent="0.25">
      <c r="A163" s="20"/>
      <c r="B163" s="67">
        <f>'DATI nascosti 2'!$H$12*10^-3</f>
        <v>-3.5000000000000001E-3</v>
      </c>
      <c r="C163" s="68">
        <f>C162-('DATI nascosti 2'!$L$8*10^-3/100)</f>
        <v>5.1300000000000005E-2</v>
      </c>
      <c r="D163" s="68">
        <f>('DATI nascosti 2'!$H$12*(F163-'DATI nascosti 2'!$C$10))/(F163*1000)</f>
        <v>-1.3649350649350648E-3</v>
      </c>
      <c r="E163" s="67" t="s">
        <v>39</v>
      </c>
      <c r="F163" s="69">
        <f>(-'DATI nascosti 2'!$H$12*10^-3/(-'DATI nascosti 2'!$H$12*10^-3+C163))*'DATI nascosti 2'!$C$13</f>
        <v>73.768248175182478</v>
      </c>
      <c r="G163" s="70">
        <f t="shared" si="8"/>
        <v>39.978333333333296</v>
      </c>
      <c r="H163" s="70">
        <f t="shared" si="9"/>
        <v>81.720416666666537</v>
      </c>
      <c r="I163" s="70">
        <f>G163/('DATI nascosti 2'!$H$10*(-'DATI nascosti 2'!$H$12))</f>
        <v>0.80952380952380887</v>
      </c>
      <c r="J163" s="70">
        <f t="shared" si="4"/>
        <v>0.41596638655462226</v>
      </c>
      <c r="K163" s="71">
        <f>IF(D163&gt;=('DATI nascosti 2'!$L$10*10^-3),'DATI nascosti 2'!$L$14*'DATI nascosti 2'!$P$12,IF(D163&gt;=(-'DATI nascosti 2'!$L$10*10^-3),'DATI nascosti 2'!$L$16*D163*'DATI nascosti 2'!$P$12,-'DATI nascosti 2'!$L$14*'DATI nascosti 2'!$P$12))</f>
        <v>-448647.1722116248</v>
      </c>
      <c r="L163" s="71">
        <f>-'DATI nascosti 2'!$H$16*'DATI nascosti 2'!$C$6*I163*'DATI nascosti 2'!$H$10*F163</f>
        <v>-214865.30337591222</v>
      </c>
      <c r="M163" s="71">
        <f>IF(C163&gt;=('DATI nascosti 2'!$L$10*10^-3),'DATI nascosti 2'!$L$14*'DATI nascosti 2'!$P$11,IF(C163&gt;=(-'DATI nascosti 2'!$L$10*10^-3),'DATI nascosti 2'!$P$11*'DATI nascosti 2'!$L$16*C163,-'DATI nascosti 2'!$L$14*'DATI nascosti 2'!$P$11))</f>
        <v>614659.43222408998</v>
      </c>
      <c r="N163" s="71">
        <f t="shared" si="6"/>
        <v>-48853.043363447068</v>
      </c>
      <c r="O163" s="71">
        <f>-L163*('DATI nascosti 2'!$C$8/2-(J163*F163))-K163*('DATI nascosti 2'!$C$13/2)+M163*('DATI nascosti 2'!$C$13/2)</f>
        <v>736385580.26640224</v>
      </c>
      <c r="P163" s="69">
        <f>-'T2'!N163/10^3</f>
        <v>48.853043363447071</v>
      </c>
      <c r="Q163" s="69">
        <f>'T2'!O163/10^6</f>
        <v>736.38558026640226</v>
      </c>
      <c r="R163" s="72">
        <f>-N163/('DATI nascosti 2'!$C$6*'DATI nascosti 2'!$C$13*'DATI nascosti 2'!$H$10*'DATI nascosti 2'!$H$16)</f>
        <v>1.1755536260218653E-2</v>
      </c>
      <c r="S163" s="72">
        <f>O163/('DATI nascosti 2'!$H$16*'DATI nascosti 2'!$C$6*'DATI nascosti 2'!$C$13^2*'DATI nascosti 2'!$H$10)</f>
        <v>0.1534172214754671</v>
      </c>
      <c r="T163" s="73">
        <f t="shared" si="7"/>
        <v>-15073.484261522635</v>
      </c>
      <c r="U163" s="67" t="str">
        <f>IF(T163&gt;=0, IF(T163&lt;='DATI nascosti 2'!$C$8/6, "SI", "NO"),IF(T163&gt; -'DATI nascosti 2'!$C$8/6, "SI", "NO"))</f>
        <v>NO</v>
      </c>
      <c r="V163" s="67" t="str">
        <f>IF(Foglio3!G164&lt;1,IF(Foglio3!G164&gt;-1,"ROTTURA BILANCIATA",""),"")</f>
        <v/>
      </c>
    </row>
    <row r="164" spans="1:22" ht="18.75" x14ac:dyDescent="0.25">
      <c r="A164" s="20"/>
      <c r="B164" s="67">
        <f>'DATI nascosti 2'!$H$12*10^-3</f>
        <v>-3.5000000000000001E-3</v>
      </c>
      <c r="C164" s="68">
        <f>C163-('DATI nascosti 2'!$L$8*10^-3/100)</f>
        <v>5.0625000000000003E-2</v>
      </c>
      <c r="D164" s="68">
        <f>('DATI nascosti 2'!$H$12*(F164-'DATI nascosti 2'!$C$10))/(F164*1000)</f>
        <v>-1.3912337662337656E-3</v>
      </c>
      <c r="E164" s="67" t="s">
        <v>39</v>
      </c>
      <c r="F164" s="69">
        <f>(-'DATI nascosti 2'!$H$12*10^-3/(-'DATI nascosti 2'!$H$12*10^-3+C164))*'DATI nascosti 2'!$C$13</f>
        <v>74.68822170900691</v>
      </c>
      <c r="G164" s="70">
        <f t="shared" si="8"/>
        <v>39.978333333333296</v>
      </c>
      <c r="H164" s="70">
        <f t="shared" si="9"/>
        <v>81.720416666666537</v>
      </c>
      <c r="I164" s="70">
        <f>G164/('DATI nascosti 2'!$H$10*(-'DATI nascosti 2'!$H$12))</f>
        <v>0.80952380952380887</v>
      </c>
      <c r="J164" s="70">
        <f t="shared" si="4"/>
        <v>0.41596638655462226</v>
      </c>
      <c r="K164" s="71">
        <f>IF(D164&gt;=('DATI nascosti 2'!$L$10*10^-3),'DATI nascosti 2'!$L$14*'DATI nascosti 2'!$P$12,IF(D164&gt;=(-'DATI nascosti 2'!$L$10*10^-3),'DATI nascosti 2'!$L$16*D164*'DATI nascosti 2'!$P$12,-'DATI nascosti 2'!$L$14*'DATI nascosti 2'!$P$12))</f>
        <v>-457291.42077231483</v>
      </c>
      <c r="L164" s="71">
        <f>-'DATI nascosti 2'!$H$16*'DATI nascosti 2'!$C$6*I164*'DATI nascosti 2'!$H$10*F164</f>
        <v>-217544.91685912217</v>
      </c>
      <c r="M164" s="71">
        <f>IF(C164&gt;=('DATI nascosti 2'!$L$10*10^-3),'DATI nascosti 2'!$L$14*'DATI nascosti 2'!$P$11,IF(C164&gt;=(-'DATI nascosti 2'!$L$10*10^-3),'DATI nascosti 2'!$P$11*'DATI nascosti 2'!$L$16*C164,-'DATI nascosti 2'!$L$14*'DATI nascosti 2'!$P$11))</f>
        <v>614659.43222408998</v>
      </c>
      <c r="N164" s="71">
        <f t="shared" si="6"/>
        <v>-60176.905407347018</v>
      </c>
      <c r="O164" s="71">
        <f>-L164*('DATI nascosti 2'!$C$8/2-(J164*F164))-K164*('DATI nascosti 2'!$C$13/2)+M164*('DATI nascosti 2'!$C$13/2)</f>
        <v>742819927.99307299</v>
      </c>
      <c r="P164" s="69">
        <f>-'T2'!N164/10^3</f>
        <v>60.176905407347014</v>
      </c>
      <c r="Q164" s="69">
        <f>'T2'!O164/10^6</f>
        <v>742.81992799307295</v>
      </c>
      <c r="R164" s="72">
        <f>-N164/('DATI nascosti 2'!$C$6*'DATI nascosti 2'!$C$13*'DATI nascosti 2'!$H$10*'DATI nascosti 2'!$H$16)</f>
        <v>1.4480403775072015E-2</v>
      </c>
      <c r="S164" s="72">
        <f>O164/('DATI nascosti 2'!$H$16*'DATI nascosti 2'!$C$6*'DATI nascosti 2'!$C$13^2*'DATI nascosti 2'!$H$10)</f>
        <v>0.15475774168211714</v>
      </c>
      <c r="T164" s="73">
        <f t="shared" si="7"/>
        <v>-12343.936979889662</v>
      </c>
      <c r="U164" s="67" t="str">
        <f>IF(T164&gt;=0, IF(T164&lt;='DATI nascosti 2'!$C$8/6, "SI", "NO"),IF(T164&gt; -'DATI nascosti 2'!$C$8/6, "SI", "NO"))</f>
        <v>NO</v>
      </c>
      <c r="V164" s="67" t="str">
        <f>IF(Foglio3!G165&lt;1,IF(Foglio3!G165&gt;-1,"ROTTURA BILANCIATA",""),"")</f>
        <v/>
      </c>
    </row>
    <row r="165" spans="1:22" ht="18.75" x14ac:dyDescent="0.25">
      <c r="A165" s="20"/>
      <c r="B165" s="67">
        <f>'DATI nascosti 2'!$H$12*10^-3</f>
        <v>-3.5000000000000001E-3</v>
      </c>
      <c r="C165" s="68">
        <f>C164-('DATI nascosti 2'!$L$8*10^-3/100)</f>
        <v>4.9950000000000001E-2</v>
      </c>
      <c r="D165" s="68">
        <f>('DATI nascosti 2'!$H$12*(F165-'DATI nascosti 2'!$C$10))/(F165*1000)</f>
        <v>-1.4175324675324672E-3</v>
      </c>
      <c r="E165" s="67" t="s">
        <v>39</v>
      </c>
      <c r="F165" s="69">
        <f>(-'DATI nascosti 2'!$H$12*10^-3/(-'DATI nascosti 2'!$H$12*10^-3+C165))*'DATI nascosti 2'!$C$13</f>
        <v>75.631431244153404</v>
      </c>
      <c r="G165" s="70">
        <f t="shared" si="8"/>
        <v>39.978333333333296</v>
      </c>
      <c r="H165" s="70">
        <f t="shared" si="9"/>
        <v>81.720416666666537</v>
      </c>
      <c r="I165" s="70">
        <f>G165/('DATI nascosti 2'!$H$10*(-'DATI nascosti 2'!$H$12))</f>
        <v>0.80952380952380887</v>
      </c>
      <c r="J165" s="70">
        <f t="shared" si="4"/>
        <v>0.41596638655462226</v>
      </c>
      <c r="K165" s="71">
        <f>IF(D165&gt;=('DATI nascosti 2'!$L$10*10^-3),'DATI nascosti 2'!$L$14*'DATI nascosti 2'!$P$12,IF(D165&gt;=(-'DATI nascosti 2'!$L$10*10^-3),'DATI nascosti 2'!$L$16*D165*'DATI nascosti 2'!$P$12,-'DATI nascosti 2'!$L$14*'DATI nascosti 2'!$P$12))</f>
        <v>-465935.66933300509</v>
      </c>
      <c r="L165" s="71">
        <f>-'DATI nascosti 2'!$H$16*'DATI nascosti 2'!$C$6*I165*'DATI nascosti 2'!$H$10*F165</f>
        <v>-220292.21000935431</v>
      </c>
      <c r="M165" s="71">
        <f>IF(C165&gt;=('DATI nascosti 2'!$L$10*10^-3),'DATI nascosti 2'!$L$14*'DATI nascosti 2'!$P$11,IF(C165&gt;=(-'DATI nascosti 2'!$L$10*10^-3),'DATI nascosti 2'!$P$11*'DATI nascosti 2'!$L$16*C165,-'DATI nascosti 2'!$L$14*'DATI nascosti 2'!$P$11))</f>
        <v>614659.43222408998</v>
      </c>
      <c r="N165" s="71">
        <f t="shared" si="6"/>
        <v>-71568.447118269396</v>
      </c>
      <c r="O165" s="71">
        <f>-L165*('DATI nascosti 2'!$C$8/2-(J165*F165))-K165*('DATI nascosti 2'!$C$13/2)+M165*('DATI nascosti 2'!$C$13/2)</f>
        <v>749288574.89282</v>
      </c>
      <c r="P165" s="69">
        <f>-'T2'!N165/10^3</f>
        <v>71.56844711826939</v>
      </c>
      <c r="Q165" s="69">
        <f>'T2'!O165/10^6</f>
        <v>749.28857489281995</v>
      </c>
      <c r="R165" s="72">
        <f>-N165/('DATI nascosti 2'!$C$6*'DATI nascosti 2'!$C$13*'DATI nascosti 2'!$H$10*'DATI nascosti 2'!$H$16)</f>
        <v>1.7221557087594985E-2</v>
      </c>
      <c r="S165" s="72">
        <f>O165/('DATI nascosti 2'!$H$16*'DATI nascosti 2'!$C$6*'DATI nascosti 2'!$C$13^2*'DATI nascosti 2'!$H$10)</f>
        <v>0.15610540771559114</v>
      </c>
      <c r="T165" s="73">
        <f t="shared" si="7"/>
        <v>-10469.537974669118</v>
      </c>
      <c r="U165" s="67" t="str">
        <f>IF(T165&gt;=0, IF(T165&lt;='DATI nascosti 2'!$C$8/6, "SI", "NO"),IF(T165&gt; -'DATI nascosti 2'!$C$8/6, "SI", "NO"))</f>
        <v>NO</v>
      </c>
      <c r="V165" s="67" t="str">
        <f>IF(Foglio3!G166&lt;1,IF(Foglio3!G166&gt;-1,"ROTTURA BILANCIATA",""),"")</f>
        <v/>
      </c>
    </row>
    <row r="166" spans="1:22" ht="18.75" x14ac:dyDescent="0.25">
      <c r="A166" s="20"/>
      <c r="B166" s="67">
        <f>'DATI nascosti 2'!$H$12*10^-3</f>
        <v>-3.5000000000000001E-3</v>
      </c>
      <c r="C166" s="68">
        <f>C165-('DATI nascosti 2'!$L$8*10^-3/100)</f>
        <v>4.9274999999999999E-2</v>
      </c>
      <c r="D166" s="68">
        <f>('DATI nascosti 2'!$H$12*(F166-'DATI nascosti 2'!$C$10))/(F166*1000)</f>
        <v>-1.4438311688311689E-3</v>
      </c>
      <c r="E166" s="67" t="s">
        <v>39</v>
      </c>
      <c r="F166" s="69">
        <f>(-'DATI nascosti 2'!$H$12*10^-3/(-'DATI nascosti 2'!$H$12*10^-3+C166))*'DATI nascosti 2'!$C$13</f>
        <v>76.598768356229272</v>
      </c>
      <c r="G166" s="70">
        <f t="shared" si="8"/>
        <v>39.978333333333296</v>
      </c>
      <c r="H166" s="70">
        <f t="shared" si="9"/>
        <v>81.720416666666537</v>
      </c>
      <c r="I166" s="70">
        <f>G166/('DATI nascosti 2'!$H$10*(-'DATI nascosti 2'!$H$12))</f>
        <v>0.80952380952380887</v>
      </c>
      <c r="J166" s="70">
        <f t="shared" si="4"/>
        <v>0.41596638655462226</v>
      </c>
      <c r="K166" s="71">
        <f>IF(D166&gt;=('DATI nascosti 2'!$L$10*10^-3),'DATI nascosti 2'!$L$14*'DATI nascosti 2'!$P$12,IF(D166&gt;=(-'DATI nascosti 2'!$L$10*10^-3),'DATI nascosti 2'!$L$16*D166*'DATI nascosti 2'!$P$12,-'DATI nascosti 2'!$L$14*'DATI nascosti 2'!$P$12))</f>
        <v>-474579.91789369547</v>
      </c>
      <c r="L166" s="71">
        <f>-'DATI nascosti 2'!$H$16*'DATI nascosti 2'!$C$6*I166*'DATI nascosti 2'!$H$10*F166</f>
        <v>-223109.77972524849</v>
      </c>
      <c r="M166" s="71">
        <f>IF(C166&gt;=('DATI nascosti 2'!$L$10*10^-3),'DATI nascosti 2'!$L$14*'DATI nascosti 2'!$P$11,IF(C166&gt;=(-'DATI nascosti 2'!$L$10*10^-3),'DATI nascosti 2'!$P$11*'DATI nascosti 2'!$L$16*C166,-'DATI nascosti 2'!$L$14*'DATI nascosti 2'!$P$11))</f>
        <v>614659.43222408998</v>
      </c>
      <c r="N166" s="71">
        <f t="shared" si="6"/>
        <v>-83030.26539485401</v>
      </c>
      <c r="O166" s="71">
        <f>-L166*('DATI nascosti 2'!$C$8/2-(J166*F166))-K166*('DATI nascosti 2'!$C$13/2)+M166*('DATI nascosti 2'!$C$13/2)</f>
        <v>755792754.29630804</v>
      </c>
      <c r="P166" s="69">
        <f>-'T2'!N166/10^3</f>
        <v>83.030265394854013</v>
      </c>
      <c r="Q166" s="69">
        <f>'T2'!O166/10^6</f>
        <v>755.79275429630809</v>
      </c>
      <c r="R166" s="72">
        <f>-N166/('DATI nascosti 2'!$C$6*'DATI nascosti 2'!$C$13*'DATI nascosti 2'!$H$10*'DATI nascosti 2'!$H$16)</f>
        <v>1.9979621091018824E-2</v>
      </c>
      <c r="S166" s="72">
        <f>O166/('DATI nascosti 2'!$H$16*'DATI nascosti 2'!$C$6*'DATI nascosti 2'!$C$13^2*'DATI nascosti 2'!$H$10)</f>
        <v>0.15746047652573827</v>
      </c>
      <c r="T166" s="73">
        <f t="shared" si="7"/>
        <v>-9102.61759012937</v>
      </c>
      <c r="U166" s="67" t="str">
        <f>IF(T166&gt;=0, IF(T166&lt;='DATI nascosti 2'!$C$8/6, "SI", "NO"),IF(T166&gt; -'DATI nascosti 2'!$C$8/6, "SI", "NO"))</f>
        <v>NO</v>
      </c>
      <c r="V166" s="67" t="str">
        <f>IF(Foglio3!G167&lt;1,IF(Foglio3!G167&gt;-1,"ROTTURA BILANCIATA",""),"")</f>
        <v/>
      </c>
    </row>
    <row r="167" spans="1:22" ht="18.75" x14ac:dyDescent="0.25">
      <c r="A167" s="20"/>
      <c r="B167" s="67">
        <f>'DATI nascosti 2'!$H$12*10^-3</f>
        <v>-3.5000000000000001E-3</v>
      </c>
      <c r="C167" s="68">
        <f>C166-('DATI nascosti 2'!$L$8*10^-3/100)</f>
        <v>4.8599999999999997E-2</v>
      </c>
      <c r="D167" s="68">
        <f>('DATI nascosti 2'!$H$12*(F167-'DATI nascosti 2'!$C$10))/(F167*1000)</f>
        <v>-1.4701298701298702E-3</v>
      </c>
      <c r="E167" s="67" t="s">
        <v>39</v>
      </c>
      <c r="F167" s="69">
        <f>(-'DATI nascosti 2'!$H$12*10^-3/(-'DATI nascosti 2'!$H$12*10^-3+C167))*'DATI nascosti 2'!$C$13</f>
        <v>77.591170825335894</v>
      </c>
      <c r="G167" s="70">
        <f t="shared" si="8"/>
        <v>39.978333333333296</v>
      </c>
      <c r="H167" s="70">
        <f t="shared" si="9"/>
        <v>81.720416666666537</v>
      </c>
      <c r="I167" s="70">
        <f>G167/('DATI nascosti 2'!$H$10*(-'DATI nascosti 2'!$H$12))</f>
        <v>0.80952380952380887</v>
      </c>
      <c r="J167" s="70">
        <f t="shared" si="4"/>
        <v>0.41596638655462226</v>
      </c>
      <c r="K167" s="71">
        <f>IF(D167&gt;=('DATI nascosti 2'!$L$10*10^-3),'DATI nascosti 2'!$L$14*'DATI nascosti 2'!$P$12,IF(D167&gt;=(-'DATI nascosti 2'!$L$10*10^-3),'DATI nascosti 2'!$L$16*D167*'DATI nascosti 2'!$P$12,-'DATI nascosti 2'!$L$14*'DATI nascosti 2'!$P$12))</f>
        <v>-483224.16645438568</v>
      </c>
      <c r="L167" s="71">
        <f>-'DATI nascosti 2'!$H$16*'DATI nascosti 2'!$C$6*I167*'DATI nascosti 2'!$H$10*F167</f>
        <v>-226000.35748560441</v>
      </c>
      <c r="M167" s="71">
        <f>IF(C167&gt;=('DATI nascosti 2'!$L$10*10^-3),'DATI nascosti 2'!$L$14*'DATI nascosti 2'!$P$11,IF(C167&gt;=(-'DATI nascosti 2'!$L$10*10^-3),'DATI nascosti 2'!$P$11*'DATI nascosti 2'!$L$16*C167,-'DATI nascosti 2'!$L$14*'DATI nascosti 2'!$P$11))</f>
        <v>614659.43222408998</v>
      </c>
      <c r="N167" s="71">
        <f t="shared" si="6"/>
        <v>-94565.091715900111</v>
      </c>
      <c r="O167" s="71">
        <f>-L167*('DATI nascosti 2'!$C$8/2-(J167*F167))-K167*('DATI nascosti 2'!$C$13/2)+M167*('DATI nascosti 2'!$C$13/2)</f>
        <v>762333759.10599327</v>
      </c>
      <c r="P167" s="69">
        <f>-'T2'!N167/10^3</f>
        <v>94.56509171590011</v>
      </c>
      <c r="Q167" s="69">
        <f>'T2'!O167/10^6</f>
        <v>762.33375910599329</v>
      </c>
      <c r="R167" s="72">
        <f>-N167/('DATI nascosti 2'!$C$6*'DATI nascosti 2'!$C$13*'DATI nascosti 2'!$H$10*'DATI nascosti 2'!$H$16)</f>
        <v>2.2755253062676898E-2</v>
      </c>
      <c r="S167" s="72">
        <f>O167/('DATI nascosti 2'!$H$16*'DATI nascosti 2'!$C$6*'DATI nascosti 2'!$C$13^2*'DATI nascosti 2'!$H$10)</f>
        <v>0.15882321747348543</v>
      </c>
      <c r="T167" s="73">
        <f t="shared" si="7"/>
        <v>-8061.4711546651524</v>
      </c>
      <c r="U167" s="67" t="str">
        <f>IF(T167&gt;=0, IF(T167&lt;='DATI nascosti 2'!$C$8/6, "SI", "NO"),IF(T167&gt; -'DATI nascosti 2'!$C$8/6, "SI", "NO"))</f>
        <v>NO</v>
      </c>
      <c r="V167" s="67" t="str">
        <f>IF(Foglio3!G168&lt;1,IF(Foglio3!G168&gt;-1,"ROTTURA BILANCIATA",""),"")</f>
        <v/>
      </c>
    </row>
    <row r="168" spans="1:22" ht="18.75" x14ac:dyDescent="0.25">
      <c r="A168" s="20"/>
      <c r="B168" s="67">
        <f>'DATI nascosti 2'!$H$12*10^-3</f>
        <v>-3.5000000000000001E-3</v>
      </c>
      <c r="C168" s="68">
        <f>C167-('DATI nascosti 2'!$L$8*10^-3/100)</f>
        <v>4.7924999999999995E-2</v>
      </c>
      <c r="D168" s="68">
        <f>('DATI nascosti 2'!$H$12*(F168-'DATI nascosti 2'!$C$10))/(F168*1000)</f>
        <v>-1.4964285714285713E-3</v>
      </c>
      <c r="E168" s="67" t="s">
        <v>39</v>
      </c>
      <c r="F168" s="69">
        <f>(-'DATI nascosti 2'!$H$12*10^-3/(-'DATI nascosti 2'!$H$12*10^-3+C168))*'DATI nascosti 2'!$C$13</f>
        <v>78.609625668449198</v>
      </c>
      <c r="G168" s="70">
        <f t="shared" si="8"/>
        <v>39.978333333333296</v>
      </c>
      <c r="H168" s="70">
        <f t="shared" si="9"/>
        <v>81.720416666666537</v>
      </c>
      <c r="I168" s="70">
        <f>G168/('DATI nascosti 2'!$H$10*(-'DATI nascosti 2'!$H$12))</f>
        <v>0.80952380952380887</v>
      </c>
      <c r="J168" s="70">
        <f t="shared" ref="J168:J231" si="10">1-(H168/G168)/(-B168*10^3)</f>
        <v>0.41596638655462226</v>
      </c>
      <c r="K168" s="71">
        <f>IF(D168&gt;=('DATI nascosti 2'!$L$10*10^-3),'DATI nascosti 2'!$L$14*'DATI nascosti 2'!$P$12,IF(D168&gt;=(-'DATI nascosti 2'!$L$10*10^-3),'DATI nascosti 2'!$L$16*D168*'DATI nascosti 2'!$P$12,-'DATI nascosti 2'!$L$14*'DATI nascosti 2'!$P$12))</f>
        <v>-491868.41501507576</v>
      </c>
      <c r="L168" s="71">
        <f>-'DATI nascosti 2'!$H$16*'DATI nascosti 2'!$C$6*I168*'DATI nascosti 2'!$H$10*F168</f>
        <v>-228966.81818181797</v>
      </c>
      <c r="M168" s="71">
        <f>IF(C168&gt;=('DATI nascosti 2'!$L$10*10^-3),'DATI nascosti 2'!$L$14*'DATI nascosti 2'!$P$11,IF(C168&gt;=(-'DATI nascosti 2'!$L$10*10^-3),'DATI nascosti 2'!$P$11*'DATI nascosti 2'!$L$16*C168,-'DATI nascosti 2'!$L$14*'DATI nascosti 2'!$P$11))</f>
        <v>614659.43222408998</v>
      </c>
      <c r="N168" s="71">
        <f t="shared" si="6"/>
        <v>-106175.80097280373</v>
      </c>
      <c r="O168" s="71">
        <f>-L168*('DATI nascosti 2'!$C$8/2-(J168*F168))-K168*('DATI nascosti 2'!$C$13/2)+M168*('DATI nascosti 2'!$C$13/2)</f>
        <v>768912945.4169817</v>
      </c>
      <c r="P168" s="69">
        <f>-'T2'!N168/10^3</f>
        <v>106.17580097280373</v>
      </c>
      <c r="Q168" s="69">
        <f>'T2'!O168/10^6</f>
        <v>768.91294541698164</v>
      </c>
      <c r="R168" s="72">
        <f>-N168/('DATI nascosti 2'!$C$6*'DATI nascosti 2'!$C$13*'DATI nascosti 2'!$H$10*'DATI nascosti 2'!$H$16)</f>
        <v>2.5549144789359209E-2</v>
      </c>
      <c r="S168" s="72">
        <f>O168/('DATI nascosti 2'!$H$16*'DATI nascosti 2'!$C$6*'DATI nascosti 2'!$C$13^2*'DATI nascosti 2'!$H$10)</f>
        <v>0.16019391308520031</v>
      </c>
      <c r="T168" s="73">
        <f t="shared" si="7"/>
        <v>-7241.8850469885692</v>
      </c>
      <c r="U168" s="67" t="str">
        <f>IF(T168&gt;=0, IF(T168&lt;='DATI nascosti 2'!$C$8/6, "SI", "NO"),IF(T168&gt; -'DATI nascosti 2'!$C$8/6, "SI", "NO"))</f>
        <v>NO</v>
      </c>
      <c r="V168" s="67" t="str">
        <f>IF(Foglio3!G169&lt;1,IF(Foglio3!G169&gt;-1,"ROTTURA BILANCIATA",""),"")</f>
        <v/>
      </c>
    </row>
    <row r="169" spans="1:22" ht="18.75" x14ac:dyDescent="0.25">
      <c r="A169" s="20"/>
      <c r="B169" s="67">
        <f>'DATI nascosti 2'!$H$12*10^-3</f>
        <v>-3.5000000000000001E-3</v>
      </c>
      <c r="C169" s="68">
        <f>C168-('DATI nascosti 2'!$L$8*10^-3/100)</f>
        <v>4.7249999999999993E-2</v>
      </c>
      <c r="D169" s="68">
        <f>('DATI nascosti 2'!$H$12*(F169-'DATI nascosti 2'!$C$10))/(F169*1000)</f>
        <v>-1.522727272727273E-3</v>
      </c>
      <c r="E169" s="67" t="s">
        <v>39</v>
      </c>
      <c r="F169" s="69">
        <f>(-'DATI nascosti 2'!$H$12*10^-3/(-'DATI nascosti 2'!$H$12*10^-3+C169))*'DATI nascosti 2'!$C$13</f>
        <v>79.655172413793125</v>
      </c>
      <c r="G169" s="70">
        <f t="shared" si="8"/>
        <v>39.978333333333296</v>
      </c>
      <c r="H169" s="70">
        <f t="shared" si="9"/>
        <v>81.720416666666537</v>
      </c>
      <c r="I169" s="70">
        <f>G169/('DATI nascosti 2'!$H$10*(-'DATI nascosti 2'!$H$12))</f>
        <v>0.80952380952380887</v>
      </c>
      <c r="J169" s="70">
        <f t="shared" si="10"/>
        <v>0.41596638655462226</v>
      </c>
      <c r="K169" s="71">
        <f>IF(D169&gt;=('DATI nascosti 2'!$L$10*10^-3),'DATI nascosti 2'!$L$14*'DATI nascosti 2'!$P$12,IF(D169&gt;=(-'DATI nascosti 2'!$L$10*10^-3),'DATI nascosti 2'!$L$16*D169*'DATI nascosti 2'!$P$12,-'DATI nascosti 2'!$L$14*'DATI nascosti 2'!$P$12))</f>
        <v>-500512.66357576614</v>
      </c>
      <c r="L169" s="71">
        <f>-'DATI nascosti 2'!$H$16*'DATI nascosti 2'!$C$6*I169*'DATI nascosti 2'!$H$10*F169</f>
        <v>-232012.18965517226</v>
      </c>
      <c r="M169" s="71">
        <f>IF(C169&gt;=('DATI nascosti 2'!$L$10*10^-3),'DATI nascosti 2'!$L$14*'DATI nascosti 2'!$P$11,IF(C169&gt;=(-'DATI nascosti 2'!$L$10*10^-3),'DATI nascosti 2'!$P$11*'DATI nascosti 2'!$L$16*C169,-'DATI nascosti 2'!$L$14*'DATI nascosti 2'!$P$11))</f>
        <v>614659.43222408998</v>
      </c>
      <c r="N169" s="71">
        <f t="shared" si="6"/>
        <v>-117865.42100684845</v>
      </c>
      <c r="O169" s="71">
        <f>-L169*('DATI nascosti 2'!$C$8/2-(J169*F169))-K169*('DATI nascosti 2'!$C$13/2)+M169*('DATI nascosti 2'!$C$13/2)</f>
        <v>775531736.40348935</v>
      </c>
      <c r="P169" s="69">
        <f>-'T2'!N169/10^3</f>
        <v>117.86542100684845</v>
      </c>
      <c r="Q169" s="69">
        <f>'T2'!O169/10^6</f>
        <v>775.53173640348939</v>
      </c>
      <c r="R169" s="72">
        <f>-N169/('DATI nascosti 2'!$C$6*'DATI nascosti 2'!$C$13*'DATI nascosti 2'!$H$10*'DATI nascosti 2'!$H$16)</f>
        <v>2.8362024862276226E-2</v>
      </c>
      <c r="S169" s="72">
        <f>O169/('DATI nascosti 2'!$H$16*'DATI nascosti 2'!$C$6*'DATI nascosti 2'!$C$13^2*'DATI nascosti 2'!$H$10)</f>
        <v>0.1615728598623894</v>
      </c>
      <c r="T169" s="73">
        <f t="shared" si="7"/>
        <v>-6579.8071205160995</v>
      </c>
      <c r="U169" s="67" t="str">
        <f>IF(T169&gt;=0, IF(T169&lt;='DATI nascosti 2'!$C$8/6, "SI", "NO"),IF(T169&gt; -'DATI nascosti 2'!$C$8/6, "SI", "NO"))</f>
        <v>NO</v>
      </c>
      <c r="V169" s="67" t="str">
        <f>IF(Foglio3!G170&lt;1,IF(Foglio3!G170&gt;-1,"ROTTURA BILANCIATA",""),"")</f>
        <v/>
      </c>
    </row>
    <row r="170" spans="1:22" ht="18.75" x14ac:dyDescent="0.25">
      <c r="A170" s="20"/>
      <c r="B170" s="67">
        <f>'DATI nascosti 2'!$H$12*10^-3</f>
        <v>-3.5000000000000001E-3</v>
      </c>
      <c r="C170" s="68">
        <f>C169-('DATI nascosti 2'!$L$8*10^-3/100)</f>
        <v>4.6574999999999991E-2</v>
      </c>
      <c r="D170" s="68">
        <f>('DATI nascosti 2'!$H$12*(F170-'DATI nascosti 2'!$C$10))/(F170*1000)</f>
        <v>-1.5490259740259743E-3</v>
      </c>
      <c r="E170" s="67" t="s">
        <v>39</v>
      </c>
      <c r="F170" s="69">
        <f>(-'DATI nascosti 2'!$H$12*10^-3/(-'DATI nascosti 2'!$H$12*10^-3+C170))*'DATI nascosti 2'!$C$13</f>
        <v>80.728906640039952</v>
      </c>
      <c r="G170" s="70">
        <f t="shared" si="8"/>
        <v>39.978333333333296</v>
      </c>
      <c r="H170" s="70">
        <f t="shared" si="9"/>
        <v>81.720416666666537</v>
      </c>
      <c r="I170" s="70">
        <f>G170/('DATI nascosti 2'!$H$10*(-'DATI nascosti 2'!$H$12))</f>
        <v>0.80952380952380887</v>
      </c>
      <c r="J170" s="70">
        <f t="shared" si="10"/>
        <v>0.41596638655462226</v>
      </c>
      <c r="K170" s="71">
        <f>IF(D170&gt;=('DATI nascosti 2'!$L$10*10^-3),'DATI nascosti 2'!$L$14*'DATI nascosti 2'!$P$12,IF(D170&gt;=(-'DATI nascosti 2'!$L$10*10^-3),'DATI nascosti 2'!$L$16*D170*'DATI nascosti 2'!$P$12,-'DATI nascosti 2'!$L$14*'DATI nascosti 2'!$P$12))</f>
        <v>-509156.91213645635</v>
      </c>
      <c r="L170" s="71">
        <f>-'DATI nascosti 2'!$H$16*'DATI nascosti 2'!$C$6*I170*'DATI nascosti 2'!$H$10*F170</f>
        <v>-235139.6630054916</v>
      </c>
      <c r="M170" s="71">
        <f>IF(C170&gt;=('DATI nascosti 2'!$L$10*10^-3),'DATI nascosti 2'!$L$14*'DATI nascosti 2'!$P$11,IF(C170&gt;=(-'DATI nascosti 2'!$L$10*10^-3),'DATI nascosti 2'!$P$11*'DATI nascosti 2'!$L$16*C170,-'DATI nascosti 2'!$L$14*'DATI nascosti 2'!$P$11))</f>
        <v>614659.43222408998</v>
      </c>
      <c r="N170" s="71">
        <f t="shared" si="6"/>
        <v>-129637.14291785797</v>
      </c>
      <c r="O170" s="71">
        <f>-L170*('DATI nascosti 2'!$C$8/2-(J170*F170))-K170*('DATI nascosti 2'!$C$13/2)+M170*('DATI nascosti 2'!$C$13/2)</f>
        <v>782191626.49372923</v>
      </c>
      <c r="P170" s="69">
        <f>-'T2'!N170/10^3</f>
        <v>129.63714291785797</v>
      </c>
      <c r="Q170" s="69">
        <f>'T2'!O170/10^6</f>
        <v>782.19162649372925</v>
      </c>
      <c r="R170" s="72">
        <f>-N170/('DATI nascosti 2'!$C$6*'DATI nascosti 2'!$C$13*'DATI nascosti 2'!$H$10*'DATI nascosti 2'!$H$16)</f>
        <v>3.1194661157635951E-2</v>
      </c>
      <c r="S170" s="72">
        <f>O170/('DATI nascosti 2'!$H$16*'DATI nascosti 2'!$C$6*'DATI nascosti 2'!$C$13^2*'DATI nascosti 2'!$H$10)</f>
        <v>0.16296036915148623</v>
      </c>
      <c r="T170" s="73">
        <f t="shared" si="7"/>
        <v>-6033.6999789431457</v>
      </c>
      <c r="U170" s="67" t="str">
        <f>IF(T170&gt;=0, IF(T170&lt;='DATI nascosti 2'!$C$8/6, "SI", "NO"),IF(T170&gt; -'DATI nascosti 2'!$C$8/6, "SI", "NO"))</f>
        <v>NO</v>
      </c>
      <c r="V170" s="67" t="str">
        <f>IF(Foglio3!G171&lt;1,IF(Foglio3!G171&gt;-1,"ROTTURA BILANCIATA",""),"")</f>
        <v/>
      </c>
    </row>
    <row r="171" spans="1:22" ht="18.75" x14ac:dyDescent="0.25">
      <c r="A171" s="20"/>
      <c r="B171" s="67">
        <f>'DATI nascosti 2'!$H$12*10^-3</f>
        <v>-3.5000000000000001E-3</v>
      </c>
      <c r="C171" s="68">
        <f>C170-('DATI nascosti 2'!$L$8*10^-3/100)</f>
        <v>4.5899999999999989E-2</v>
      </c>
      <c r="D171" s="68">
        <f>('DATI nascosti 2'!$H$12*(F171-'DATI nascosti 2'!$C$10))/(F171*1000)</f>
        <v>-1.5753246753246759E-3</v>
      </c>
      <c r="E171" s="67" t="s">
        <v>39</v>
      </c>
      <c r="F171" s="69">
        <f>(-'DATI nascosti 2'!$H$12*10^-3/(-'DATI nascosti 2'!$H$12*10^-3+C171))*'DATI nascosti 2'!$C$13</f>
        <v>81.831983805668031</v>
      </c>
      <c r="G171" s="70">
        <f t="shared" si="8"/>
        <v>39.978333333333296</v>
      </c>
      <c r="H171" s="70">
        <f t="shared" si="9"/>
        <v>81.720416666666537</v>
      </c>
      <c r="I171" s="70">
        <f>G171/('DATI nascosti 2'!$H$10*(-'DATI nascosti 2'!$H$12))</f>
        <v>0.80952380952380887</v>
      </c>
      <c r="J171" s="70">
        <f t="shared" si="10"/>
        <v>0.41596638655462226</v>
      </c>
      <c r="K171" s="71">
        <f>IF(D171&gt;=('DATI nascosti 2'!$L$10*10^-3),'DATI nascosti 2'!$L$14*'DATI nascosti 2'!$P$12,IF(D171&gt;=(-'DATI nascosti 2'!$L$10*10^-3),'DATI nascosti 2'!$L$16*D171*'DATI nascosti 2'!$P$12,-'DATI nascosti 2'!$L$14*'DATI nascosti 2'!$P$12))</f>
        <v>-517801.16069714661</v>
      </c>
      <c r="L171" s="71">
        <f>-'DATI nascosti 2'!$H$16*'DATI nascosti 2'!$C$6*I171*'DATI nascosti 2'!$H$10*F171</f>
        <v>-238352.60374493912</v>
      </c>
      <c r="M171" s="71">
        <f>IF(C171&gt;=('DATI nascosti 2'!$L$10*10^-3),'DATI nascosti 2'!$L$14*'DATI nascosti 2'!$P$11,IF(C171&gt;=(-'DATI nascosti 2'!$L$10*10^-3),'DATI nascosti 2'!$P$11*'DATI nascosti 2'!$L$16*C171,-'DATI nascosti 2'!$L$14*'DATI nascosti 2'!$P$11))</f>
        <v>614659.43222408998</v>
      </c>
      <c r="N171" s="71">
        <f t="shared" si="6"/>
        <v>-141494.33221799578</v>
      </c>
      <c r="O171" s="71">
        <f>-L171*('DATI nascosti 2'!$C$8/2-(J171*F171))-K171*('DATI nascosti 2'!$C$13/2)+M171*('DATI nascosti 2'!$C$13/2)</f>
        <v>788894185.85830629</v>
      </c>
      <c r="P171" s="69">
        <f>-'T2'!N171/10^3</f>
        <v>141.49433221799578</v>
      </c>
      <c r="Q171" s="69">
        <f>'T2'!O171/10^6</f>
        <v>788.89418585830629</v>
      </c>
      <c r="R171" s="72">
        <f>-N171/('DATI nascosti 2'!$C$6*'DATI nascosti 2'!$C$13*'DATI nascosti 2'!$H$10*'DATI nascosti 2'!$H$16)</f>
        <v>3.4047863520589236E-2</v>
      </c>
      <c r="S171" s="72">
        <f>O171/('DATI nascosti 2'!$H$16*'DATI nascosti 2'!$C$6*'DATI nascosti 2'!$C$13^2*'DATI nascosti 2'!$H$10)</f>
        <v>0.16435676807895544</v>
      </c>
      <c r="T171" s="73">
        <f t="shared" si="7"/>
        <v>-5575.4472528474307</v>
      </c>
      <c r="U171" s="67" t="str">
        <f>IF(T171&gt;=0, IF(T171&lt;='DATI nascosti 2'!$C$8/6, "SI", "NO"),IF(T171&gt; -'DATI nascosti 2'!$C$8/6, "SI", "NO"))</f>
        <v>NO</v>
      </c>
      <c r="V171" s="67" t="str">
        <f>IF(Foglio3!G172&lt;1,IF(Foglio3!G172&gt;-1,"ROTTURA BILANCIATA",""),"")</f>
        <v/>
      </c>
    </row>
    <row r="172" spans="1:22" ht="18.75" x14ac:dyDescent="0.25">
      <c r="A172" s="20"/>
      <c r="B172" s="67">
        <f>'DATI nascosti 2'!$H$12*10^-3</f>
        <v>-3.5000000000000001E-3</v>
      </c>
      <c r="C172" s="68">
        <f>C171-('DATI nascosti 2'!$L$8*10^-3/100)</f>
        <v>4.5224999999999987E-2</v>
      </c>
      <c r="D172" s="68">
        <f>('DATI nascosti 2'!$H$12*(F172-'DATI nascosti 2'!$C$10))/(F172*1000)</f>
        <v>-1.6016233766233772E-3</v>
      </c>
      <c r="E172" s="67" t="s">
        <v>39</v>
      </c>
      <c r="F172" s="69">
        <f>(-'DATI nascosti 2'!$H$12*10^-3/(-'DATI nascosti 2'!$H$12*10^-3+C172))*'DATI nascosti 2'!$C$13</f>
        <v>82.965623396613665</v>
      </c>
      <c r="G172" s="70">
        <f t="shared" si="8"/>
        <v>39.978333333333296</v>
      </c>
      <c r="H172" s="70">
        <f t="shared" si="9"/>
        <v>81.720416666666537</v>
      </c>
      <c r="I172" s="70">
        <f>G172/('DATI nascosti 2'!$H$10*(-'DATI nascosti 2'!$H$12))</f>
        <v>0.80952380952380887</v>
      </c>
      <c r="J172" s="70">
        <f t="shared" si="10"/>
        <v>0.41596638655462226</v>
      </c>
      <c r="K172" s="71">
        <f>IF(D172&gt;=('DATI nascosti 2'!$L$10*10^-3),'DATI nascosti 2'!$L$14*'DATI nascosti 2'!$P$12,IF(D172&gt;=(-'DATI nascosti 2'!$L$10*10^-3),'DATI nascosti 2'!$L$16*D172*'DATI nascosti 2'!$P$12,-'DATI nascosti 2'!$L$14*'DATI nascosti 2'!$P$12))</f>
        <v>-526445.40925783687</v>
      </c>
      <c r="L172" s="71">
        <f>-'DATI nascosti 2'!$H$16*'DATI nascosti 2'!$C$6*I172*'DATI nascosti 2'!$H$10*F172</f>
        <v>-241654.5638789121</v>
      </c>
      <c r="M172" s="71">
        <f>IF(C172&gt;=('DATI nascosti 2'!$L$10*10^-3),'DATI nascosti 2'!$L$14*'DATI nascosti 2'!$P$11,IF(C172&gt;=(-'DATI nascosti 2'!$L$10*10^-3),'DATI nascosti 2'!$P$11*'DATI nascosti 2'!$L$16*C172,-'DATI nascosti 2'!$L$14*'DATI nascosti 2'!$P$11))</f>
        <v>614659.43222408998</v>
      </c>
      <c r="N172" s="71">
        <f t="shared" si="6"/>
        <v>-153440.54091265902</v>
      </c>
      <c r="O172" s="71">
        <f>-L172*('DATI nascosti 2'!$C$8/2-(J172*F172))-K172*('DATI nascosti 2'!$C$13/2)+M172*('DATI nascosti 2'!$C$13/2)</f>
        <v>795641065.23968852</v>
      </c>
      <c r="P172" s="69">
        <f>-'T2'!N172/10^3</f>
        <v>153.44054091265903</v>
      </c>
      <c r="Q172" s="69">
        <f>'T2'!O172/10^6</f>
        <v>795.64106523968849</v>
      </c>
      <c r="R172" s="72">
        <f>-N172/('DATI nascosti 2'!$C$6*'DATI nascosti 2'!$C$13*'DATI nascosti 2'!$H$10*'DATI nascosti 2'!$H$16)</f>
        <v>3.6922486672262306E-2</v>
      </c>
      <c r="S172" s="72">
        <f>O172/('DATI nascosti 2'!$H$16*'DATI nascosti 2'!$C$6*'DATI nascosti 2'!$C$13^2*'DATI nascosti 2'!$H$10)</f>
        <v>0.16576240055745578</v>
      </c>
      <c r="T172" s="73">
        <f t="shared" si="7"/>
        <v>-5185.3379850412612</v>
      </c>
      <c r="U172" s="67" t="str">
        <f>IF(T172&gt;=0, IF(T172&lt;='DATI nascosti 2'!$C$8/6, "SI", "NO"),IF(T172&gt; -'DATI nascosti 2'!$C$8/6, "SI", "NO"))</f>
        <v>NO</v>
      </c>
      <c r="V172" s="67" t="str">
        <f>IF(Foglio3!G173&lt;1,IF(Foglio3!G173&gt;-1,"ROTTURA BILANCIATA",""),"")</f>
        <v/>
      </c>
    </row>
    <row r="173" spans="1:22" ht="18.75" x14ac:dyDescent="0.25">
      <c r="A173" s="20"/>
      <c r="B173" s="67">
        <f>'DATI nascosti 2'!$H$12*10^-3</f>
        <v>-3.5000000000000001E-3</v>
      </c>
      <c r="C173" s="68">
        <f>C172-('DATI nascosti 2'!$L$8*10^-3/100)</f>
        <v>4.4549999999999985E-2</v>
      </c>
      <c r="D173" s="68">
        <f>('DATI nascosti 2'!$H$12*(F173-'DATI nascosti 2'!$C$10))/(F173*1000)</f>
        <v>-1.6279220779220783E-3</v>
      </c>
      <c r="E173" s="67" t="s">
        <v>39</v>
      </c>
      <c r="F173" s="69">
        <f>(-'DATI nascosti 2'!$H$12*10^-3/(-'DATI nascosti 2'!$H$12*10^-3+C173))*'DATI nascosti 2'!$C$13</f>
        <v>84.131113423517192</v>
      </c>
      <c r="G173" s="70">
        <f t="shared" si="8"/>
        <v>39.978333333333296</v>
      </c>
      <c r="H173" s="70">
        <f t="shared" si="9"/>
        <v>81.720416666666537</v>
      </c>
      <c r="I173" s="70">
        <f>G173/('DATI nascosti 2'!$H$10*(-'DATI nascosti 2'!$H$12))</f>
        <v>0.80952380952380887</v>
      </c>
      <c r="J173" s="70">
        <f t="shared" si="10"/>
        <v>0.41596638655462226</v>
      </c>
      <c r="K173" s="71">
        <f>IF(D173&gt;=('DATI nascosti 2'!$L$10*10^-3),'DATI nascosti 2'!$L$14*'DATI nascosti 2'!$P$12,IF(D173&gt;=(-'DATI nascosti 2'!$L$10*10^-3),'DATI nascosti 2'!$L$16*D173*'DATI nascosti 2'!$P$12,-'DATI nascosti 2'!$L$14*'DATI nascosti 2'!$P$12))</f>
        <v>-535089.65781852696</v>
      </c>
      <c r="L173" s="71">
        <f>-'DATI nascosti 2'!$H$16*'DATI nascosti 2'!$C$6*I173*'DATI nascosti 2'!$H$10*F173</f>
        <v>-245049.29500520276</v>
      </c>
      <c r="M173" s="71">
        <f>IF(C173&gt;=('DATI nascosti 2'!$L$10*10^-3),'DATI nascosti 2'!$L$14*'DATI nascosti 2'!$P$11,IF(C173&gt;=(-'DATI nascosti 2'!$L$10*10^-3),'DATI nascosti 2'!$P$11*'DATI nascosti 2'!$L$16*C173,-'DATI nascosti 2'!$L$14*'DATI nascosti 2'!$P$11))</f>
        <v>614659.43222408998</v>
      </c>
      <c r="N173" s="71">
        <f t="shared" si="6"/>
        <v>-165479.52059963974</v>
      </c>
      <c r="O173" s="71">
        <f>-L173*('DATI nascosti 2'!$C$8/2-(J173*F173))-K173*('DATI nascosti 2'!$C$13/2)+M173*('DATI nascosti 2'!$C$13/2)</f>
        <v>802434001.15310633</v>
      </c>
      <c r="P173" s="69">
        <f>-'T2'!N173/10^3</f>
        <v>165.47952059963976</v>
      </c>
      <c r="Q173" s="69">
        <f>'T2'!O173/10^6</f>
        <v>802.43400115310635</v>
      </c>
      <c r="R173" s="72">
        <f>-N173/('DATI nascosti 2'!$C$6*'DATI nascosti 2'!$C$13*'DATI nascosti 2'!$H$10*'DATI nascosti 2'!$H$16)</f>
        <v>3.9819433361815516E-2</v>
      </c>
      <c r="S173" s="72">
        <f>O173/('DATI nascosti 2'!$H$16*'DATI nascosti 2'!$C$6*'DATI nascosti 2'!$C$13^2*'DATI nascosti 2'!$H$10)</f>
        <v>0.16717762836938613</v>
      </c>
      <c r="T173" s="73">
        <f t="shared" si="7"/>
        <v>-4849.1438592846234</v>
      </c>
      <c r="U173" s="67" t="str">
        <f>IF(T173&gt;=0, IF(T173&lt;='DATI nascosti 2'!$C$8/6, "SI", "NO"),IF(T173&gt; -'DATI nascosti 2'!$C$8/6, "SI", "NO"))</f>
        <v>NO</v>
      </c>
      <c r="V173" s="67" t="str">
        <f>IF(Foglio3!G174&lt;1,IF(Foglio3!G174&gt;-1,"ROTTURA BILANCIATA",""),"")</f>
        <v/>
      </c>
    </row>
    <row r="174" spans="1:22" ht="18.75" x14ac:dyDescent="0.25">
      <c r="A174" s="20"/>
      <c r="B174" s="67">
        <f>'DATI nascosti 2'!$H$12*10^-3</f>
        <v>-3.5000000000000001E-3</v>
      </c>
      <c r="C174" s="68">
        <f>C173-('DATI nascosti 2'!$L$8*10^-3/100)</f>
        <v>4.3874999999999983E-2</v>
      </c>
      <c r="D174" s="68">
        <f>('DATI nascosti 2'!$H$12*(F174-'DATI nascosti 2'!$C$10))/(F174*1000)</f>
        <v>-1.65422077922078E-3</v>
      </c>
      <c r="E174" s="67" t="s">
        <v>39</v>
      </c>
      <c r="F174" s="69">
        <f>(-'DATI nascosti 2'!$H$12*10^-3/(-'DATI nascosti 2'!$H$12*10^-3+C174))*'DATI nascosti 2'!$C$13</f>
        <v>85.329815303430109</v>
      </c>
      <c r="G174" s="70">
        <f t="shared" si="8"/>
        <v>39.978333333333296</v>
      </c>
      <c r="H174" s="70">
        <f t="shared" si="9"/>
        <v>81.720416666666537</v>
      </c>
      <c r="I174" s="70">
        <f>G174/('DATI nascosti 2'!$H$10*(-'DATI nascosti 2'!$H$12))</f>
        <v>0.80952380952380887</v>
      </c>
      <c r="J174" s="70">
        <f t="shared" si="10"/>
        <v>0.41596638655462226</v>
      </c>
      <c r="K174" s="71">
        <f>IF(D174&gt;=('DATI nascosti 2'!$L$10*10^-3),'DATI nascosti 2'!$L$14*'DATI nascosti 2'!$P$12,IF(D174&gt;=(-'DATI nascosti 2'!$L$10*10^-3),'DATI nascosti 2'!$L$16*D174*'DATI nascosti 2'!$P$12,-'DATI nascosti 2'!$L$14*'DATI nascosti 2'!$P$12))</f>
        <v>-543733.90637921728</v>
      </c>
      <c r="L174" s="71">
        <f>-'DATI nascosti 2'!$H$16*'DATI nascosti 2'!$C$6*I174*'DATI nascosti 2'!$H$10*F174</f>
        <v>-248540.7625329814</v>
      </c>
      <c r="M174" s="71">
        <f>IF(C174&gt;=('DATI nascosti 2'!$L$10*10^-3),'DATI nascosti 2'!$L$14*'DATI nascosti 2'!$P$11,IF(C174&gt;=(-'DATI nascosti 2'!$L$10*10^-3),'DATI nascosti 2'!$P$11*'DATI nascosti 2'!$L$16*C174,-'DATI nascosti 2'!$L$14*'DATI nascosti 2'!$P$11))</f>
        <v>614659.43222408998</v>
      </c>
      <c r="N174" s="71">
        <f t="shared" si="6"/>
        <v>-177615.23668810865</v>
      </c>
      <c r="O174" s="71">
        <f>-L174*('DATI nascosti 2'!$C$8/2-(J174*F174))-K174*('DATI nascosti 2'!$C$13/2)+M174*('DATI nascosti 2'!$C$13/2)</f>
        <v>809274821.49232066</v>
      </c>
      <c r="P174" s="69">
        <f>-'T2'!N174/10^3</f>
        <v>177.61523668810864</v>
      </c>
      <c r="Q174" s="69">
        <f>'T2'!O174/10^6</f>
        <v>809.27482149232071</v>
      </c>
      <c r="R174" s="72">
        <f>-N174/('DATI nascosti 2'!$C$6*'DATI nascosti 2'!$C$13*'DATI nascosti 2'!$H$10*'DATI nascosti 2'!$H$16)</f>
        <v>4.2739657787965762E-2</v>
      </c>
      <c r="S174" s="72">
        <f>O174/('DATI nascosti 2'!$H$16*'DATI nascosti 2'!$C$6*'DATI nascosti 2'!$C$13^2*'DATI nascosti 2'!$H$10)</f>
        <v>0.16860283233478079</v>
      </c>
      <c r="T174" s="73">
        <f t="shared" si="7"/>
        <v>-4556.336700512933</v>
      </c>
      <c r="U174" s="67" t="str">
        <f>IF(T174&gt;=0, IF(T174&lt;='DATI nascosti 2'!$C$8/6, "SI", "NO"),IF(T174&gt; -'DATI nascosti 2'!$C$8/6, "SI", "NO"))</f>
        <v>NO</v>
      </c>
      <c r="V174" s="67" t="str">
        <f>IF(Foglio3!G175&lt;1,IF(Foglio3!G175&gt;-1,"ROTTURA BILANCIATA",""),"")</f>
        <v/>
      </c>
    </row>
    <row r="175" spans="1:22" ht="18.75" x14ac:dyDescent="0.25">
      <c r="A175" s="20"/>
      <c r="B175" s="67">
        <f>'DATI nascosti 2'!$H$12*10^-3</f>
        <v>-3.5000000000000001E-3</v>
      </c>
      <c r="C175" s="68">
        <f>C174-('DATI nascosti 2'!$L$8*10^-3/100)</f>
        <v>4.3199999999999981E-2</v>
      </c>
      <c r="D175" s="68">
        <f>('DATI nascosti 2'!$H$12*(F175-'DATI nascosti 2'!$C$10))/(F175*1000)</f>
        <v>-1.6805194805194809E-3</v>
      </c>
      <c r="E175" s="67" t="s">
        <v>39</v>
      </c>
      <c r="F175" s="69">
        <f>(-'DATI nascosti 2'!$H$12*10^-3/(-'DATI nascosti 2'!$H$12*10^-3+C175))*'DATI nascosti 2'!$C$13</f>
        <v>86.563169164882254</v>
      </c>
      <c r="G175" s="70">
        <f t="shared" si="8"/>
        <v>39.978333333333296</v>
      </c>
      <c r="H175" s="70">
        <f t="shared" si="9"/>
        <v>81.720416666666537</v>
      </c>
      <c r="I175" s="70">
        <f>G175/('DATI nascosti 2'!$H$10*(-'DATI nascosti 2'!$H$12))</f>
        <v>0.80952380952380887</v>
      </c>
      <c r="J175" s="70">
        <f t="shared" si="10"/>
        <v>0.41596638655462226</v>
      </c>
      <c r="K175" s="71">
        <f>IF(D175&gt;=('DATI nascosti 2'!$L$10*10^-3),'DATI nascosti 2'!$L$14*'DATI nascosti 2'!$P$12,IF(D175&gt;=(-'DATI nascosti 2'!$L$10*10^-3),'DATI nascosti 2'!$L$16*D175*'DATI nascosti 2'!$P$12,-'DATI nascosti 2'!$L$14*'DATI nascosti 2'!$P$12))</f>
        <v>-552378.15493990737</v>
      </c>
      <c r="L175" s="71">
        <f>-'DATI nascosti 2'!$H$16*'DATI nascosti 2'!$C$6*I175*'DATI nascosti 2'!$H$10*F175</f>
        <v>-252133.16113490349</v>
      </c>
      <c r="M175" s="71">
        <f>IF(C175&gt;=('DATI nascosti 2'!$L$10*10^-3),'DATI nascosti 2'!$L$14*'DATI nascosti 2'!$P$11,IF(C175&gt;=(-'DATI nascosti 2'!$L$10*10^-3),'DATI nascosti 2'!$P$11*'DATI nascosti 2'!$L$16*C175,-'DATI nascosti 2'!$L$14*'DATI nascosti 2'!$P$11))</f>
        <v>614659.43222408998</v>
      </c>
      <c r="N175" s="71">
        <f t="shared" si="6"/>
        <v>-189851.88385072094</v>
      </c>
      <c r="O175" s="71">
        <f>-L175*('DATI nascosti 2'!$C$8/2-(J175*F175))-K175*('DATI nascosti 2'!$C$13/2)+M175*('DATI nascosti 2'!$C$13/2)</f>
        <v>816165451.57714081</v>
      </c>
      <c r="P175" s="69">
        <f>-'T2'!N175/10^3</f>
        <v>189.85188385072095</v>
      </c>
      <c r="Q175" s="69">
        <f>'T2'!O175/10^6</f>
        <v>816.16545157714086</v>
      </c>
      <c r="R175" s="72">
        <f>-N175/('DATI nascosti 2'!$C$6*'DATI nascosti 2'!$C$13*'DATI nascosti 2'!$H$10*'DATI nascosti 2'!$H$16)</f>
        <v>4.5684169317235623E-2</v>
      </c>
      <c r="S175" s="72">
        <f>O175/('DATI nascosti 2'!$H$16*'DATI nascosti 2'!$C$6*'DATI nascosti 2'!$C$13^2*'DATI nascosti 2'!$H$10)</f>
        <v>0.17003841357123836</v>
      </c>
      <c r="T175" s="73">
        <f t="shared" si="7"/>
        <v>-4298.9589306308144</v>
      </c>
      <c r="U175" s="67" t="str">
        <f>IF(T175&gt;=0, IF(T175&lt;='DATI nascosti 2'!$C$8/6, "SI", "NO"),IF(T175&gt; -'DATI nascosti 2'!$C$8/6, "SI", "NO"))</f>
        <v>NO</v>
      </c>
      <c r="V175" s="67" t="str">
        <f>IF(Foglio3!G176&lt;1,IF(Foglio3!G176&gt;-1,"ROTTURA BILANCIATA",""),"")</f>
        <v/>
      </c>
    </row>
    <row r="176" spans="1:22" ht="18.75" x14ac:dyDescent="0.25">
      <c r="A176" s="20"/>
      <c r="B176" s="67">
        <f>'DATI nascosti 2'!$H$12*10^-3</f>
        <v>-3.5000000000000001E-3</v>
      </c>
      <c r="C176" s="68">
        <f>C175-('DATI nascosti 2'!$L$8*10^-3/100)</f>
        <v>4.2524999999999979E-2</v>
      </c>
      <c r="D176" s="68">
        <f>('DATI nascosti 2'!$H$12*(F176-'DATI nascosti 2'!$C$10))/(F176*1000)</f>
        <v>-1.7068181818181822E-3</v>
      </c>
      <c r="E176" s="67" t="s">
        <v>39</v>
      </c>
      <c r="F176" s="69">
        <f>(-'DATI nascosti 2'!$H$12*10^-3/(-'DATI nascosti 2'!$H$12*10^-3+C176))*'DATI nascosti 2'!$C$13</f>
        <v>87.832699619771887</v>
      </c>
      <c r="G176" s="70">
        <f t="shared" si="8"/>
        <v>39.978333333333296</v>
      </c>
      <c r="H176" s="70">
        <f t="shared" si="9"/>
        <v>81.720416666666537</v>
      </c>
      <c r="I176" s="70">
        <f>G176/('DATI nascosti 2'!$H$10*(-'DATI nascosti 2'!$H$12))</f>
        <v>0.80952380952380887</v>
      </c>
      <c r="J176" s="70">
        <f t="shared" si="10"/>
        <v>0.41596638655462226</v>
      </c>
      <c r="K176" s="71">
        <f>IF(D176&gt;=('DATI nascosti 2'!$L$10*10^-3),'DATI nascosti 2'!$L$14*'DATI nascosti 2'!$P$12,IF(D176&gt;=(-'DATI nascosti 2'!$L$10*10^-3),'DATI nascosti 2'!$L$16*D176*'DATI nascosti 2'!$P$12,-'DATI nascosti 2'!$L$14*'DATI nascosti 2'!$P$12))</f>
        <v>-561022.40350059757</v>
      </c>
      <c r="L176" s="71">
        <f>-'DATI nascosti 2'!$H$16*'DATI nascosti 2'!$C$6*I176*'DATI nascosti 2'!$H$10*F176</f>
        <v>-255830.9315589352</v>
      </c>
      <c r="M176" s="71">
        <f>IF(C176&gt;=('DATI nascosti 2'!$L$10*10^-3),'DATI nascosti 2'!$L$14*'DATI nascosti 2'!$P$11,IF(C176&gt;=(-'DATI nascosti 2'!$L$10*10^-3),'DATI nascosti 2'!$P$11*'DATI nascosti 2'!$L$16*C176,-'DATI nascosti 2'!$L$14*'DATI nascosti 2'!$P$11))</f>
        <v>614659.43222408998</v>
      </c>
      <c r="N176" s="71">
        <f t="shared" si="6"/>
        <v>-202193.9028354428</v>
      </c>
      <c r="O176" s="71">
        <f>-L176*('DATI nascosti 2'!$C$8/2-(J176*F176))-K176*('DATI nascosti 2'!$C$13/2)+M176*('DATI nascosti 2'!$C$13/2)</f>
        <v>823107920.68342209</v>
      </c>
      <c r="P176" s="69">
        <f>-'T2'!N176/10^3</f>
        <v>202.1939028354428</v>
      </c>
      <c r="Q176" s="69">
        <f>'T2'!O176/10^6</f>
        <v>823.10792068342209</v>
      </c>
      <c r="R176" s="72">
        <f>-N176/('DATI nascosti 2'!$C$6*'DATI nascosti 2'!$C$13*'DATI nascosti 2'!$H$10*'DATI nascosti 2'!$H$16)</f>
        <v>4.865403652939302E-2</v>
      </c>
      <c r="S176" s="72">
        <f>O176/('DATI nascosti 2'!$H$16*'DATI nascosti 2'!$C$6*'DATI nascosti 2'!$C$13^2*'DATI nascosti 2'!$H$10)</f>
        <v>0.17148479485436943</v>
      </c>
      <c r="T176" s="73">
        <f t="shared" si="7"/>
        <v>-4070.8839838425561</v>
      </c>
      <c r="U176" s="67" t="str">
        <f>IF(T176&gt;=0, IF(T176&lt;='DATI nascosti 2'!$C$8/6, "SI", "NO"),IF(T176&gt; -'DATI nascosti 2'!$C$8/6, "SI", "NO"))</f>
        <v>NO</v>
      </c>
      <c r="V176" s="67" t="str">
        <f>IF(Foglio3!G177&lt;1,IF(Foglio3!G177&gt;-1,"ROTTURA BILANCIATA",""),"")</f>
        <v/>
      </c>
    </row>
    <row r="177" spans="1:22" ht="18.75" x14ac:dyDescent="0.25">
      <c r="A177" s="20"/>
      <c r="B177" s="67">
        <f>'DATI nascosti 2'!$H$12*10^-3</f>
        <v>-3.5000000000000001E-3</v>
      </c>
      <c r="C177" s="68">
        <f>C176-('DATI nascosti 2'!$L$8*10^-3/100)</f>
        <v>4.1849999999999977E-2</v>
      </c>
      <c r="D177" s="68">
        <f>('DATI nascosti 2'!$H$12*(F177-'DATI nascosti 2'!$C$10))/(F177*1000)</f>
        <v>-1.7331168831168839E-3</v>
      </c>
      <c r="E177" s="67" t="s">
        <v>39</v>
      </c>
      <c r="F177" s="69">
        <f>(-'DATI nascosti 2'!$H$12*10^-3/(-'DATI nascosti 2'!$H$12*10^-3+C177))*'DATI nascosti 2'!$C$13</f>
        <v>89.140022050716681</v>
      </c>
      <c r="G177" s="70">
        <f t="shared" si="8"/>
        <v>39.978333333333296</v>
      </c>
      <c r="H177" s="70">
        <f t="shared" si="9"/>
        <v>81.720416666666537</v>
      </c>
      <c r="I177" s="70">
        <f>G177/('DATI nascosti 2'!$H$10*(-'DATI nascosti 2'!$H$12))</f>
        <v>0.80952380952380887</v>
      </c>
      <c r="J177" s="70">
        <f t="shared" si="10"/>
        <v>0.41596638655462226</v>
      </c>
      <c r="K177" s="71">
        <f>IF(D177&gt;=('DATI nascosti 2'!$L$10*10^-3),'DATI nascosti 2'!$L$14*'DATI nascosti 2'!$P$12,IF(D177&gt;=(-'DATI nascosti 2'!$L$10*10^-3),'DATI nascosti 2'!$L$16*D177*'DATI nascosti 2'!$P$12,-'DATI nascosti 2'!$L$14*'DATI nascosti 2'!$P$12))</f>
        <v>-569666.6520612879</v>
      </c>
      <c r="L177" s="71">
        <f>-'DATI nascosti 2'!$H$16*'DATI nascosti 2'!$C$6*I177*'DATI nascosti 2'!$H$10*F177</f>
        <v>-259638.77894156546</v>
      </c>
      <c r="M177" s="71">
        <f>IF(C177&gt;=('DATI nascosti 2'!$L$10*10^-3),'DATI nascosti 2'!$L$14*'DATI nascosti 2'!$P$11,IF(C177&gt;=(-'DATI nascosti 2'!$L$10*10^-3),'DATI nascosti 2'!$P$11*'DATI nascosti 2'!$L$16*C177,-'DATI nascosti 2'!$L$14*'DATI nascosti 2'!$P$11))</f>
        <v>614659.43222408998</v>
      </c>
      <c r="N177" s="71">
        <f t="shared" si="6"/>
        <v>-214645.99877876334</v>
      </c>
      <c r="O177" s="71">
        <f>-L177*('DATI nascosti 2'!$C$8/2-(J177*F177))-K177*('DATI nascosti 2'!$C$13/2)+M177*('DATI nascosti 2'!$C$13/2)</f>
        <v>830104369.10055518</v>
      </c>
      <c r="P177" s="69">
        <f>-'T2'!N177/10^3</f>
        <v>214.64599877876336</v>
      </c>
      <c r="Q177" s="69">
        <f>'T2'!O177/10^6</f>
        <v>830.10436910055523</v>
      </c>
      <c r="R177" s="72">
        <f>-N177/('DATI nascosti 2'!$C$6*'DATI nascosti 2'!$C$13*'DATI nascosti 2'!$H$10*'DATI nascosti 2'!$H$16)</f>
        <v>5.1650391624170018E-2</v>
      </c>
      <c r="S177" s="72">
        <f>O177/('DATI nascosti 2'!$H$16*'DATI nascosti 2'!$C$6*'DATI nascosti 2'!$C$13^2*'DATI nascosti 2'!$H$10)</f>
        <v>0.17294242208814101</v>
      </c>
      <c r="T177" s="73">
        <f t="shared" si="7"/>
        <v>-3867.3181602427526</v>
      </c>
      <c r="U177" s="67" t="str">
        <f>IF(T177&gt;=0, IF(T177&lt;='DATI nascosti 2'!$C$8/6, "SI", "NO"),IF(T177&gt; -'DATI nascosti 2'!$C$8/6, "SI", "NO"))</f>
        <v>NO</v>
      </c>
      <c r="V177" s="67" t="str">
        <f>IF(Foglio3!G178&lt;1,IF(Foglio3!G178&gt;-1,"ROTTURA BILANCIATA",""),"")</f>
        <v/>
      </c>
    </row>
    <row r="178" spans="1:22" ht="18.75" x14ac:dyDescent="0.25">
      <c r="A178" s="20"/>
      <c r="B178" s="67">
        <f>'DATI nascosti 2'!$H$12*10^-3</f>
        <v>-3.5000000000000001E-3</v>
      </c>
      <c r="C178" s="68">
        <f>C177-('DATI nascosti 2'!$L$8*10^-3/100)</f>
        <v>4.1174999999999976E-2</v>
      </c>
      <c r="D178" s="68">
        <f>('DATI nascosti 2'!$H$12*(F178-'DATI nascosti 2'!$C$10))/(F178*1000)</f>
        <v>-1.7594155844155852E-3</v>
      </c>
      <c r="E178" s="67" t="s">
        <v>39</v>
      </c>
      <c r="F178" s="69">
        <f>(-'DATI nascosti 2'!$H$12*10^-3/(-'DATI nascosti 2'!$H$12*10^-3+C178))*'DATI nascosti 2'!$C$13</f>
        <v>90.486849468382815</v>
      </c>
      <c r="G178" s="70">
        <f t="shared" si="8"/>
        <v>39.978333333333296</v>
      </c>
      <c r="H178" s="70">
        <f t="shared" si="9"/>
        <v>81.720416666666537</v>
      </c>
      <c r="I178" s="70">
        <f>G178/('DATI nascosti 2'!$H$10*(-'DATI nascosti 2'!$H$12))</f>
        <v>0.80952380952380887</v>
      </c>
      <c r="J178" s="70">
        <f t="shared" si="10"/>
        <v>0.41596638655462226</v>
      </c>
      <c r="K178" s="71">
        <f>IF(D178&gt;=('DATI nascosti 2'!$L$10*10^-3),'DATI nascosti 2'!$L$14*'DATI nascosti 2'!$P$12,IF(D178&gt;=(-'DATI nascosti 2'!$L$10*10^-3),'DATI nascosti 2'!$L$16*D178*'DATI nascosti 2'!$P$12,-'DATI nascosti 2'!$L$14*'DATI nascosti 2'!$P$12))</f>
        <v>-578310.9006219781</v>
      </c>
      <c r="L178" s="71">
        <f>-'DATI nascosti 2'!$H$16*'DATI nascosti 2'!$C$6*I178*'DATI nascosti 2'!$H$10*F178</f>
        <v>-263561.69278119743</v>
      </c>
      <c r="M178" s="71">
        <f>IF(C178&gt;=('DATI nascosti 2'!$L$10*10^-3),'DATI nascosti 2'!$L$14*'DATI nascosti 2'!$P$11,IF(C178&gt;=(-'DATI nascosti 2'!$L$10*10^-3),'DATI nascosti 2'!$P$11*'DATI nascosti 2'!$L$16*C178,-'DATI nascosti 2'!$L$14*'DATI nascosti 2'!$P$11))</f>
        <v>614659.43222408998</v>
      </c>
      <c r="N178" s="71">
        <f t="shared" si="6"/>
        <v>-227213.16117908549</v>
      </c>
      <c r="O178" s="71">
        <f>-L178*('DATI nascosti 2'!$C$8/2-(J178*F178))-K178*('DATI nascosti 2'!$C$13/2)+M178*('DATI nascosti 2'!$C$13/2)</f>
        <v>837157055.76626348</v>
      </c>
      <c r="P178" s="69">
        <f>-'T2'!N178/10^3</f>
        <v>227.21316117908549</v>
      </c>
      <c r="Q178" s="69">
        <f>'T2'!O178/10^6</f>
        <v>837.15705576626351</v>
      </c>
      <c r="R178" s="72">
        <f>-N178/('DATI nascosti 2'!$C$6*'DATI nascosti 2'!$C$13*'DATI nascosti 2'!$H$10*'DATI nascosti 2'!$H$16)</f>
        <v>5.4674435227471528E-2</v>
      </c>
      <c r="S178" s="72">
        <f>O178/('DATI nascosti 2'!$H$16*'DATI nascosti 2'!$C$6*'DATI nascosti 2'!$C$13^2*'DATI nascosti 2'!$H$10)</f>
        <v>0.17441176589549612</v>
      </c>
      <c r="T178" s="73">
        <f t="shared" si="7"/>
        <v>-3684.4567076219264</v>
      </c>
      <c r="U178" s="67" t="str">
        <f>IF(T178&gt;=0, IF(T178&lt;='DATI nascosti 2'!$C$8/6, "SI", "NO"),IF(T178&gt; -'DATI nascosti 2'!$C$8/6, "SI", "NO"))</f>
        <v>NO</v>
      </c>
      <c r="V178" s="67" t="str">
        <f>IF(Foglio3!G179&lt;1,IF(Foglio3!G179&gt;-1,"ROTTURA BILANCIATA",""),"")</f>
        <v/>
      </c>
    </row>
    <row r="179" spans="1:22" ht="18.75" x14ac:dyDescent="0.25">
      <c r="A179" s="20"/>
      <c r="B179" s="67">
        <f>'DATI nascosti 2'!$H$12*10^-3</f>
        <v>-3.5000000000000001E-3</v>
      </c>
      <c r="C179" s="68">
        <f>C178-('DATI nascosti 2'!$L$8*10^-3/100)</f>
        <v>4.0499999999999974E-2</v>
      </c>
      <c r="D179" s="68">
        <f>('DATI nascosti 2'!$H$12*(F179-'DATI nascosti 2'!$C$10))/(F179*1000)</f>
        <v>-1.7857142857142863E-3</v>
      </c>
      <c r="E179" s="67" t="s">
        <v>39</v>
      </c>
      <c r="F179" s="69">
        <f>(-'DATI nascosti 2'!$H$12*10^-3/(-'DATI nascosti 2'!$H$12*10^-3+C179))*'DATI nascosti 2'!$C$13</f>
        <v>91.875000000000043</v>
      </c>
      <c r="G179" s="70">
        <f t="shared" si="8"/>
        <v>39.978333333333296</v>
      </c>
      <c r="H179" s="70">
        <f t="shared" si="9"/>
        <v>81.720416666666537</v>
      </c>
      <c r="I179" s="70">
        <f>G179/('DATI nascosti 2'!$H$10*(-'DATI nascosti 2'!$H$12))</f>
        <v>0.80952380952380887</v>
      </c>
      <c r="J179" s="70">
        <f t="shared" si="10"/>
        <v>0.41596638655462226</v>
      </c>
      <c r="K179" s="71">
        <f>IF(D179&gt;=('DATI nascosti 2'!$L$10*10^-3),'DATI nascosti 2'!$L$14*'DATI nascosti 2'!$P$12,IF(D179&gt;=(-'DATI nascosti 2'!$L$10*10^-3),'DATI nascosti 2'!$L$16*D179*'DATI nascosti 2'!$P$12,-'DATI nascosti 2'!$L$14*'DATI nascosti 2'!$P$12))</f>
        <v>-586955.14918266819</v>
      </c>
      <c r="L179" s="71">
        <f>-'DATI nascosti 2'!$H$16*'DATI nascosti 2'!$C$6*I179*'DATI nascosti 2'!$H$10*F179</f>
        <v>-267604.96874999988</v>
      </c>
      <c r="M179" s="71">
        <f>IF(C179&gt;=('DATI nascosti 2'!$L$10*10^-3),'DATI nascosti 2'!$L$14*'DATI nascosti 2'!$P$11,IF(C179&gt;=(-'DATI nascosti 2'!$L$10*10^-3),'DATI nascosti 2'!$P$11*'DATI nascosti 2'!$L$16*C179,-'DATI nascosti 2'!$L$14*'DATI nascosti 2'!$P$11))</f>
        <v>614659.43222408998</v>
      </c>
      <c r="N179" s="71">
        <f t="shared" si="6"/>
        <v>-239900.68570857809</v>
      </c>
      <c r="O179" s="71">
        <f>-L179*('DATI nascosti 2'!$C$8/2-(J179*F179))-K179*('DATI nascosti 2'!$C$13/2)+M179*('DATI nascosti 2'!$C$13/2)</f>
        <v>844268366.53388715</v>
      </c>
      <c r="P179" s="69">
        <f>-'T2'!N179/10^3</f>
        <v>239.9006857085781</v>
      </c>
      <c r="Q179" s="69">
        <f>'T2'!O179/10^6</f>
        <v>844.26836653388716</v>
      </c>
      <c r="R179" s="72">
        <f>-N179/('DATI nascosti 2'!$C$6*'DATI nascosti 2'!$C$13*'DATI nascosti 2'!$H$10*'DATI nascosti 2'!$H$16)</f>
        <v>5.7727441639973974E-2</v>
      </c>
      <c r="S179" s="72">
        <f>O179/('DATI nascosti 2'!$H$16*'DATI nascosti 2'!$C$6*'DATI nascosti 2'!$C$13^2*'DATI nascosti 2'!$H$10)</f>
        <v>0.17589332334074473</v>
      </c>
      <c r="T179" s="73">
        <f t="shared" si="7"/>
        <v>-3519.2411561485537</v>
      </c>
      <c r="U179" s="67" t="str">
        <f>IF(T179&gt;=0, IF(T179&lt;='DATI nascosti 2'!$C$8/6, "SI", "NO"),IF(T179&gt; -'DATI nascosti 2'!$C$8/6, "SI", "NO"))</f>
        <v>NO</v>
      </c>
      <c r="V179" s="67" t="str">
        <f>IF(Foglio3!G180&lt;1,IF(Foglio3!G180&gt;-1,"ROTTURA BILANCIATA",""),"")</f>
        <v/>
      </c>
    </row>
    <row r="180" spans="1:22" ht="18.75" x14ac:dyDescent="0.25">
      <c r="A180" s="20"/>
      <c r="B180" s="67">
        <f>'DATI nascosti 2'!$H$12*10^-3</f>
        <v>-3.5000000000000001E-3</v>
      </c>
      <c r="C180" s="68">
        <f>C179-('DATI nascosti 2'!$L$8*10^-3/100)</f>
        <v>3.9824999999999972E-2</v>
      </c>
      <c r="D180" s="68">
        <f>('DATI nascosti 2'!$H$12*(F180-'DATI nascosti 2'!$C$10))/(F180*1000)</f>
        <v>-1.812012987012988E-3</v>
      </c>
      <c r="E180" s="67" t="s">
        <v>39</v>
      </c>
      <c r="F180" s="69">
        <f>(-'DATI nascosti 2'!$H$12*10^-3/(-'DATI nascosti 2'!$H$12*10^-3+C180))*'DATI nascosti 2'!$C$13</f>
        <v>93.306405077899655</v>
      </c>
      <c r="G180" s="70">
        <f t="shared" si="8"/>
        <v>39.978333333333296</v>
      </c>
      <c r="H180" s="70">
        <f t="shared" si="9"/>
        <v>81.720416666666537</v>
      </c>
      <c r="I180" s="70">
        <f>G180/('DATI nascosti 2'!$H$10*(-'DATI nascosti 2'!$H$12))</f>
        <v>0.80952380952380887</v>
      </c>
      <c r="J180" s="70">
        <f t="shared" si="10"/>
        <v>0.41596638655462226</v>
      </c>
      <c r="K180" s="71">
        <f>IF(D180&gt;=('DATI nascosti 2'!$L$10*10^-3),'DATI nascosti 2'!$L$14*'DATI nascosti 2'!$P$12,IF(D180&gt;=(-'DATI nascosti 2'!$L$10*10^-3),'DATI nascosti 2'!$L$16*D180*'DATI nascosti 2'!$P$12,-'DATI nascosti 2'!$L$14*'DATI nascosti 2'!$P$12))</f>
        <v>-595599.39774335863</v>
      </c>
      <c r="L180" s="71">
        <f>-'DATI nascosti 2'!$H$16*'DATI nascosti 2'!$C$6*I180*'DATI nascosti 2'!$H$10*F180</f>
        <v>-271774.23254472006</v>
      </c>
      <c r="M180" s="71">
        <f>IF(C180&gt;=('DATI nascosti 2'!$L$10*10^-3),'DATI nascosti 2'!$L$14*'DATI nascosti 2'!$P$11,IF(C180&gt;=(-'DATI nascosti 2'!$L$10*10^-3),'DATI nascosti 2'!$P$11*'DATI nascosti 2'!$L$16*C180,-'DATI nascosti 2'!$L$14*'DATI nascosti 2'!$P$11))</f>
        <v>614659.43222408998</v>
      </c>
      <c r="N180" s="71">
        <f t="shared" si="6"/>
        <v>-252714.1980639887</v>
      </c>
      <c r="O180" s="71">
        <f>-L180*('DATI nascosti 2'!$C$8/2-(J180*F180))-K180*('DATI nascosti 2'!$C$13/2)+M180*('DATI nascosti 2'!$C$13/2)</f>
        <v>851440823.13335395</v>
      </c>
      <c r="P180" s="69">
        <f>-'T2'!N180/10^3</f>
        <v>252.7141980639887</v>
      </c>
      <c r="Q180" s="69">
        <f>'T2'!O180/10^6</f>
        <v>851.440823133354</v>
      </c>
      <c r="R180" s="72">
        <f>-N180/('DATI nascosti 2'!$C$6*'DATI nascosti 2'!$C$13*'DATI nascosti 2'!$H$10*'DATI nascosti 2'!$H$16)</f>
        <v>6.0810764576360241E-2</v>
      </c>
      <c r="S180" s="72">
        <f>O180/('DATI nascosti 2'!$H$16*'DATI nascosti 2'!$C$6*'DATI nascosti 2'!$C$13^2*'DATI nascosti 2'!$H$10)</f>
        <v>0.17738761979647583</v>
      </c>
      <c r="T180" s="73">
        <f t="shared" si="7"/>
        <v>-3369.18475359174</v>
      </c>
      <c r="U180" s="67" t="str">
        <f>IF(T180&gt;=0, IF(T180&lt;='DATI nascosti 2'!$C$8/6, "SI", "NO"),IF(T180&gt; -'DATI nascosti 2'!$C$8/6, "SI", "NO"))</f>
        <v>NO</v>
      </c>
      <c r="V180" s="67" t="str">
        <f>IF(Foglio3!G181&lt;1,IF(Foglio3!G181&gt;-1,"ROTTURA BILANCIATA",""),"")</f>
        <v/>
      </c>
    </row>
    <row r="181" spans="1:22" ht="18.75" x14ac:dyDescent="0.25">
      <c r="A181" s="20"/>
      <c r="B181" s="67">
        <f>'DATI nascosti 2'!$H$12*10^-3</f>
        <v>-3.5000000000000001E-3</v>
      </c>
      <c r="C181" s="68">
        <f>C180-('DATI nascosti 2'!$L$8*10^-3/100)</f>
        <v>3.914999999999997E-2</v>
      </c>
      <c r="D181" s="68">
        <f>('DATI nascosti 2'!$H$12*(F181-'DATI nascosti 2'!$C$10))/(F181*1000)</f>
        <v>-1.8383116883116896E-3</v>
      </c>
      <c r="E181" s="67" t="s">
        <v>39</v>
      </c>
      <c r="F181" s="69">
        <f>(-'DATI nascosti 2'!$H$12*10^-3/(-'DATI nascosti 2'!$H$12*10^-3+C181))*'DATI nascosti 2'!$C$13</f>
        <v>94.783118405627263</v>
      </c>
      <c r="G181" s="70">
        <f t="shared" si="8"/>
        <v>39.978333333333296</v>
      </c>
      <c r="H181" s="70">
        <f t="shared" si="9"/>
        <v>81.720416666666537</v>
      </c>
      <c r="I181" s="70">
        <f>G181/('DATI nascosti 2'!$H$10*(-'DATI nascosti 2'!$H$12))</f>
        <v>0.80952380952380887</v>
      </c>
      <c r="J181" s="70">
        <f t="shared" si="10"/>
        <v>0.41596638655462226</v>
      </c>
      <c r="K181" s="71">
        <f>IF(D181&gt;=('DATI nascosti 2'!$L$10*10^-3),'DATI nascosti 2'!$L$14*'DATI nascosti 2'!$P$12,IF(D181&gt;=(-'DATI nascosti 2'!$L$10*10^-3),'DATI nascosti 2'!$L$16*D181*'DATI nascosti 2'!$P$12,-'DATI nascosti 2'!$L$14*'DATI nascosti 2'!$P$12))</f>
        <v>-604243.64630404883</v>
      </c>
      <c r="L181" s="71">
        <f>-'DATI nascosti 2'!$H$16*'DATI nascosti 2'!$C$6*I181*'DATI nascosti 2'!$H$10*F181</f>
        <v>-276075.46600234462</v>
      </c>
      <c r="M181" s="71">
        <f>IF(C181&gt;=('DATI nascosti 2'!$L$10*10^-3),'DATI nascosti 2'!$L$14*'DATI nascosti 2'!$P$11,IF(C181&gt;=(-'DATI nascosti 2'!$L$10*10^-3),'DATI nascosti 2'!$P$11*'DATI nascosti 2'!$L$16*C181,-'DATI nascosti 2'!$L$14*'DATI nascosti 2'!$P$11))</f>
        <v>614659.43222408998</v>
      </c>
      <c r="N181" s="71">
        <f t="shared" si="6"/>
        <v>-265659.68008230347</v>
      </c>
      <c r="O181" s="71">
        <f>-L181*('DATI nascosti 2'!$C$8/2-(J181*F181))-K181*('DATI nascosti 2'!$C$13/2)+M181*('DATI nascosti 2'!$C$13/2)</f>
        <v>858677092.89377701</v>
      </c>
      <c r="P181" s="69">
        <f>-'T2'!N181/10^3</f>
        <v>265.65968008230345</v>
      </c>
      <c r="Q181" s="69">
        <f>'T2'!O181/10^6</f>
        <v>858.67709289377706</v>
      </c>
      <c r="R181" s="72">
        <f>-N181/('DATI nascosti 2'!$C$6*'DATI nascosti 2'!$C$13*'DATI nascosti 2'!$H$10*'DATI nascosti 2'!$H$16)</f>
        <v>6.3925843449546119E-2</v>
      </c>
      <c r="S181" s="72">
        <f>O181/('DATI nascosti 2'!$H$16*'DATI nascosti 2'!$C$6*'DATI nascosti 2'!$C$13^2*'DATI nascosti 2'!$H$10)</f>
        <v>0.17889521096914573</v>
      </c>
      <c r="T181" s="73">
        <f t="shared" si="7"/>
        <v>-3232.2446997894149</v>
      </c>
      <c r="U181" s="67" t="str">
        <f>IF(T181&gt;=0, IF(T181&lt;='DATI nascosti 2'!$C$8/6, "SI", "NO"),IF(T181&gt; -'DATI nascosti 2'!$C$8/6, "SI", "NO"))</f>
        <v>NO</v>
      </c>
      <c r="V181" s="67" t="str">
        <f>IF(Foglio3!G182&lt;1,IF(Foglio3!G182&gt;-1,"ROTTURA BILANCIATA",""),"")</f>
        <v/>
      </c>
    </row>
    <row r="182" spans="1:22" ht="18.75" x14ac:dyDescent="0.25">
      <c r="A182" s="20"/>
      <c r="B182" s="67">
        <f>'DATI nascosti 2'!$H$12*10^-3</f>
        <v>-3.5000000000000001E-3</v>
      </c>
      <c r="C182" s="68">
        <f>C181-('DATI nascosti 2'!$L$8*10^-3/100)</f>
        <v>3.8474999999999968E-2</v>
      </c>
      <c r="D182" s="68">
        <f>('DATI nascosti 2'!$H$12*(F182-'DATI nascosti 2'!$C$10))/(F182*1000)</f>
        <v>-1.8646103896103909E-3</v>
      </c>
      <c r="E182" s="67" t="s">
        <v>39</v>
      </c>
      <c r="F182" s="69">
        <f>(-'DATI nascosti 2'!$H$12*10^-3/(-'DATI nascosti 2'!$H$12*10^-3+C182))*'DATI nascosti 2'!$C$13</f>
        <v>96.307325789160288</v>
      </c>
      <c r="G182" s="70">
        <f t="shared" si="8"/>
        <v>39.978333333333296</v>
      </c>
      <c r="H182" s="70">
        <f t="shared" si="9"/>
        <v>81.720416666666537</v>
      </c>
      <c r="I182" s="70">
        <f>G182/('DATI nascosti 2'!$H$10*(-'DATI nascosti 2'!$H$12))</f>
        <v>0.80952380952380887</v>
      </c>
      <c r="J182" s="70">
        <f t="shared" si="10"/>
        <v>0.41596638655462226</v>
      </c>
      <c r="K182" s="71">
        <f>IF(D182&gt;=('DATI nascosti 2'!$L$10*10^-3),'DATI nascosti 2'!$L$14*'DATI nascosti 2'!$P$12,IF(D182&gt;=(-'DATI nascosti 2'!$L$10*10^-3),'DATI nascosti 2'!$L$16*D182*'DATI nascosti 2'!$P$12,-'DATI nascosti 2'!$L$14*'DATI nascosti 2'!$P$12))</f>
        <v>-612887.89486473904</v>
      </c>
      <c r="L182" s="71">
        <f>-'DATI nascosti 2'!$H$16*'DATI nascosti 2'!$C$6*I182*'DATI nascosti 2'!$H$10*F182</f>
        <v>-280515.03573555686</v>
      </c>
      <c r="M182" s="71">
        <f>IF(C182&gt;=('DATI nascosti 2'!$L$10*10^-3),'DATI nascosti 2'!$L$14*'DATI nascosti 2'!$P$11,IF(C182&gt;=(-'DATI nascosti 2'!$L$10*10^-3),'DATI nascosti 2'!$P$11*'DATI nascosti 2'!$L$16*C182,-'DATI nascosti 2'!$L$14*'DATI nascosti 2'!$P$11))</f>
        <v>614659.43222408998</v>
      </c>
      <c r="N182" s="71">
        <f t="shared" si="6"/>
        <v>-278743.49837620591</v>
      </c>
      <c r="O182" s="71">
        <f>-L182*('DATI nascosti 2'!$C$8/2-(J182*F182))-K182*('DATI nascosti 2'!$C$13/2)+M182*('DATI nascosti 2'!$C$13/2)</f>
        <v>865979999.30320477</v>
      </c>
      <c r="P182" s="69">
        <f>-'T2'!N182/10^3</f>
        <v>278.74349837620593</v>
      </c>
      <c r="Q182" s="69">
        <f>'T2'!O182/10^6</f>
        <v>865.97999930320475</v>
      </c>
      <c r="R182" s="72">
        <f>-N182/('DATI nascosti 2'!$C$6*'DATI nascosti 2'!$C$13*'DATI nascosti 2'!$H$10*'DATI nascosti 2'!$H$16)</f>
        <v>6.7074210261247449E-2</v>
      </c>
      <c r="S182" s="72">
        <f>O182/('DATI nascosti 2'!$H$16*'DATI nascosti 2'!$C$6*'DATI nascosti 2'!$C$13^2*'DATI nascosti 2'!$H$10)</f>
        <v>0.18041668509907705</v>
      </c>
      <c r="T182" s="73">
        <f t="shared" si="7"/>
        <v>-3106.7271679802038</v>
      </c>
      <c r="U182" s="67" t="str">
        <f>IF(T182&gt;=0, IF(T182&lt;='DATI nascosti 2'!$C$8/6, "SI", "NO"),IF(T182&gt; -'DATI nascosti 2'!$C$8/6, "SI", "NO"))</f>
        <v>NO</v>
      </c>
      <c r="V182" s="67" t="str">
        <f>IF(Foglio3!G183&lt;1,IF(Foglio3!G183&gt;-1,"ROTTURA BILANCIATA",""),"")</f>
        <v/>
      </c>
    </row>
    <row r="183" spans="1:22" ht="18.75" x14ac:dyDescent="0.25">
      <c r="A183" s="20"/>
      <c r="B183" s="67">
        <f>'DATI nascosti 2'!$H$12*10^-3</f>
        <v>-3.5000000000000001E-3</v>
      </c>
      <c r="C183" s="68">
        <f>C182-('DATI nascosti 2'!$L$8*10^-3/100)</f>
        <v>3.7799999999999966E-2</v>
      </c>
      <c r="D183" s="68">
        <f>('DATI nascosti 2'!$H$12*(F183-'DATI nascosti 2'!$C$10))/(F183*1000)</f>
        <v>-1.8909090909090922E-3</v>
      </c>
      <c r="E183" s="67" t="s">
        <v>39</v>
      </c>
      <c r="F183" s="69">
        <f>(-'DATI nascosti 2'!$H$12*10^-3/(-'DATI nascosti 2'!$H$12*10^-3+C183))*'DATI nascosti 2'!$C$13</f>
        <v>97.881355932203462</v>
      </c>
      <c r="G183" s="70">
        <f t="shared" si="8"/>
        <v>39.978333333333296</v>
      </c>
      <c r="H183" s="70">
        <f t="shared" si="9"/>
        <v>81.720416666666537</v>
      </c>
      <c r="I183" s="70">
        <f>G183/('DATI nascosti 2'!$H$10*(-'DATI nascosti 2'!$H$12))</f>
        <v>0.80952380952380887</v>
      </c>
      <c r="J183" s="70">
        <f t="shared" si="10"/>
        <v>0.41596638655462226</v>
      </c>
      <c r="K183" s="71">
        <f>IF(D183&gt;=('DATI nascosti 2'!$L$10*10^-3),'DATI nascosti 2'!$L$14*'DATI nascosti 2'!$P$12,IF(D183&gt;=(-'DATI nascosti 2'!$L$10*10^-3),'DATI nascosti 2'!$L$16*D183*'DATI nascosti 2'!$P$12,-'DATI nascosti 2'!$L$14*'DATI nascosti 2'!$P$12))</f>
        <v>-614659.43222408998</v>
      </c>
      <c r="L183" s="71">
        <f>-'DATI nascosti 2'!$H$16*'DATI nascosti 2'!$C$6*I183*'DATI nascosti 2'!$H$10*F183</f>
        <v>-285099.72457627114</v>
      </c>
      <c r="M183" s="71">
        <f>IF(C183&gt;=('DATI nascosti 2'!$L$10*10^-3),'DATI nascosti 2'!$L$14*'DATI nascosti 2'!$P$11,IF(C183&gt;=(-'DATI nascosti 2'!$L$10*10^-3),'DATI nascosti 2'!$P$11*'DATI nascosti 2'!$L$16*C183,-'DATI nascosti 2'!$L$14*'DATI nascosti 2'!$P$11))</f>
        <v>614659.43222408998</v>
      </c>
      <c r="N183" s="71">
        <f t="shared" si="6"/>
        <v>-285099.72457627114</v>
      </c>
      <c r="O183" s="71">
        <f>-L183*('DATI nascosti 2'!$C$8/2-(J183*F183))-K183*('DATI nascosti 2'!$C$13/2)+M183*('DATI nascosti 2'!$C$13/2)</f>
        <v>869383542.7707845</v>
      </c>
      <c r="P183" s="69">
        <f>-'T2'!N183/10^3</f>
        <v>285.09972457627111</v>
      </c>
      <c r="Q183" s="69">
        <f>'T2'!O183/10^6</f>
        <v>869.38354277078452</v>
      </c>
      <c r="R183" s="72">
        <f>-N183/('DATI nascosti 2'!$C$6*'DATI nascosti 2'!$C$13*'DATI nascosti 2'!$H$10*'DATI nascosti 2'!$H$16)</f>
        <v>6.860371267150929E-2</v>
      </c>
      <c r="S183" s="72">
        <f>O183/('DATI nascosti 2'!$H$16*'DATI nascosti 2'!$C$6*'DATI nascosti 2'!$C$13^2*'DATI nascosti 2'!$H$10)</f>
        <v>0.18112577310400263</v>
      </c>
      <c r="T183" s="73">
        <f t="shared" si="7"/>
        <v>-3049.401552607264</v>
      </c>
      <c r="U183" s="67" t="str">
        <f>IF(T183&gt;=0, IF(T183&lt;='DATI nascosti 2'!$C$8/6, "SI", "NO"),IF(T183&gt; -'DATI nascosti 2'!$C$8/6, "SI", "NO"))</f>
        <v>NO</v>
      </c>
      <c r="V183" s="67" t="str">
        <f>IF(Foglio3!G184&lt;1,IF(Foglio3!G184&gt;-1,"ROTTURA BILANCIATA",""),"")</f>
        <v>ROTTURA BILANCIATA</v>
      </c>
    </row>
    <row r="184" spans="1:22" ht="18.75" x14ac:dyDescent="0.25">
      <c r="A184" s="20"/>
      <c r="B184" s="67">
        <f>'DATI nascosti 2'!$H$12*10^-3</f>
        <v>-3.5000000000000001E-3</v>
      </c>
      <c r="C184" s="68">
        <f>C183-('DATI nascosti 2'!$L$8*10^-3/100)</f>
        <v>3.7124999999999964E-2</v>
      </c>
      <c r="D184" s="68">
        <f>('DATI nascosti 2'!$H$12*(F184-'DATI nascosti 2'!$C$10))/(F184*1000)</f>
        <v>-1.9172077922077933E-3</v>
      </c>
      <c r="E184" s="67" t="s">
        <v>39</v>
      </c>
      <c r="F184" s="69">
        <f>(-'DATI nascosti 2'!$H$12*10^-3/(-'DATI nascosti 2'!$H$12*10^-3+C184))*'DATI nascosti 2'!$C$13</f>
        <v>99.50769230769238</v>
      </c>
      <c r="G184" s="70">
        <f t="shared" si="8"/>
        <v>39.978333333333296</v>
      </c>
      <c r="H184" s="70">
        <f t="shared" si="9"/>
        <v>81.720416666666537</v>
      </c>
      <c r="I184" s="70">
        <f>G184/('DATI nascosti 2'!$H$10*(-'DATI nascosti 2'!$H$12))</f>
        <v>0.80952380952380887</v>
      </c>
      <c r="J184" s="70">
        <f t="shared" si="10"/>
        <v>0.41596638655462226</v>
      </c>
      <c r="K184" s="71">
        <f>IF(D184&gt;=('DATI nascosti 2'!$L$10*10^-3),'DATI nascosti 2'!$L$14*'DATI nascosti 2'!$P$12,IF(D184&gt;=(-'DATI nascosti 2'!$L$10*10^-3),'DATI nascosti 2'!$L$16*D184*'DATI nascosti 2'!$P$12,-'DATI nascosti 2'!$L$14*'DATI nascosti 2'!$P$12))</f>
        <v>-614659.43222408998</v>
      </c>
      <c r="L184" s="71">
        <f>-'DATI nascosti 2'!$H$16*'DATI nascosti 2'!$C$6*I184*'DATI nascosti 2'!$H$10*F184</f>
        <v>-289836.76615384611</v>
      </c>
      <c r="M184" s="71">
        <f>IF(C184&gt;=('DATI nascosti 2'!$L$10*10^-3),'DATI nascosti 2'!$L$14*'DATI nascosti 2'!$P$11,IF(C184&gt;=(-'DATI nascosti 2'!$L$10*10^-3),'DATI nascosti 2'!$P$11*'DATI nascosti 2'!$L$16*C184,-'DATI nascosti 2'!$L$14*'DATI nascosti 2'!$P$11))</f>
        <v>614659.43222408998</v>
      </c>
      <c r="N184" s="71">
        <f t="shared" si="6"/>
        <v>-289836.76615384617</v>
      </c>
      <c r="O184" s="71">
        <f>-L184*('DATI nascosti 2'!$C$8/2-(J184*F184))-K184*('DATI nascosti 2'!$C$13/2)+M184*('DATI nascosti 2'!$C$13/2)</f>
        <v>871836822.45380616</v>
      </c>
      <c r="P184" s="69">
        <f>-'T2'!N184/10^3</f>
        <v>289.83676615384616</v>
      </c>
      <c r="Q184" s="69">
        <f>'T2'!O184/10^6</f>
        <v>871.83682245380612</v>
      </c>
      <c r="R184" s="72">
        <f>-N184/('DATI nascosti 2'!$C$6*'DATI nascosti 2'!$C$13*'DATI nascosti 2'!$H$10*'DATI nascosti 2'!$H$16)</f>
        <v>6.9743589743589768E-2</v>
      </c>
      <c r="S184" s="72">
        <f>O184/('DATI nascosti 2'!$H$16*'DATI nascosti 2'!$C$6*'DATI nascosti 2'!$C$13^2*'DATI nascosti 2'!$H$10)</f>
        <v>0.18163688489456109</v>
      </c>
      <c r="T184" s="73">
        <f t="shared" si="7"/>
        <v>-3008.0270147336405</v>
      </c>
      <c r="U184" s="67" t="str">
        <f>IF(T184&gt;=0, IF(T184&lt;='DATI nascosti 2'!$C$8/6, "SI", "NO"),IF(T184&gt; -'DATI nascosti 2'!$C$8/6, "SI", "NO"))</f>
        <v>NO</v>
      </c>
      <c r="V184" s="67" t="str">
        <f>IF(Foglio3!G185&lt;1,IF(Foglio3!G185&gt;-1,"ROTTURA BILANCIATA",""),"")</f>
        <v>ROTTURA BILANCIATA</v>
      </c>
    </row>
    <row r="185" spans="1:22" ht="18.75" x14ac:dyDescent="0.25">
      <c r="A185" s="20"/>
      <c r="B185" s="67">
        <f>'DATI nascosti 2'!$H$12*10^-3</f>
        <v>-3.5000000000000001E-3</v>
      </c>
      <c r="C185" s="68">
        <f>C184-('DATI nascosti 2'!$L$8*10^-3/100)</f>
        <v>3.6449999999999962E-2</v>
      </c>
      <c r="D185" s="68">
        <f>('DATI nascosti 2'!$H$12*(F185-'DATI nascosti 2'!$C$10))/(F185*1000)</f>
        <v>-1.9435064935064948E-3</v>
      </c>
      <c r="E185" s="67" t="s">
        <v>39</v>
      </c>
      <c r="F185" s="69">
        <f>(-'DATI nascosti 2'!$H$12*10^-3/(-'DATI nascosti 2'!$H$12*10^-3+C185))*'DATI nascosti 2'!$C$13</f>
        <v>101.18898623279108</v>
      </c>
      <c r="G185" s="70">
        <f t="shared" si="8"/>
        <v>39.978333333333296</v>
      </c>
      <c r="H185" s="70">
        <f t="shared" si="9"/>
        <v>81.720416666666537</v>
      </c>
      <c r="I185" s="70">
        <f>G185/('DATI nascosti 2'!$H$10*(-'DATI nascosti 2'!$H$12))</f>
        <v>0.80952380952380887</v>
      </c>
      <c r="J185" s="70">
        <f t="shared" si="10"/>
        <v>0.41596638655462226</v>
      </c>
      <c r="K185" s="71">
        <f>IF(D185&gt;=('DATI nascosti 2'!$L$10*10^-3),'DATI nascosti 2'!$L$14*'DATI nascosti 2'!$P$12,IF(D185&gt;=(-'DATI nascosti 2'!$L$10*10^-3),'DATI nascosti 2'!$L$16*D185*'DATI nascosti 2'!$P$12,-'DATI nascosti 2'!$L$14*'DATI nascosti 2'!$P$12))</f>
        <v>-614659.43222408998</v>
      </c>
      <c r="L185" s="71">
        <f>-'DATI nascosti 2'!$H$16*'DATI nascosti 2'!$C$6*I185*'DATI nascosti 2'!$H$10*F185</f>
        <v>-294733.88297872338</v>
      </c>
      <c r="M185" s="71">
        <f>IF(C185&gt;=('DATI nascosti 2'!$L$10*10^-3),'DATI nascosti 2'!$L$14*'DATI nascosti 2'!$P$11,IF(C185&gt;=(-'DATI nascosti 2'!$L$10*10^-3),'DATI nascosti 2'!$P$11*'DATI nascosti 2'!$L$16*C185,-'DATI nascosti 2'!$L$14*'DATI nascosti 2'!$P$11))</f>
        <v>614659.43222408998</v>
      </c>
      <c r="N185" s="71">
        <f t="shared" si="6"/>
        <v>-294733.88297872338</v>
      </c>
      <c r="O185" s="71">
        <f>-L185*('DATI nascosti 2'!$C$8/2-(J185*F185))-K185*('DATI nascosti 2'!$C$13/2)+M185*('DATI nascosti 2'!$C$13/2)</f>
        <v>874366266.19143593</v>
      </c>
      <c r="P185" s="69">
        <f>-'T2'!N185/10^3</f>
        <v>294.73388297872339</v>
      </c>
      <c r="Q185" s="69">
        <f>'T2'!O185/10^6</f>
        <v>874.3662661914359</v>
      </c>
      <c r="R185" s="72">
        <f>-N185/('DATI nascosti 2'!$C$6*'DATI nascosti 2'!$C$13*'DATI nascosti 2'!$H$10*'DATI nascosti 2'!$H$16)</f>
        <v>7.0921985815602842E-2</v>
      </c>
      <c r="S185" s="72">
        <f>O185/('DATI nascosti 2'!$H$16*'DATI nascosti 2'!$C$6*'DATI nascosti 2'!$C$13^2*'DATI nascosti 2'!$H$10)</f>
        <v>0.18216386456459385</v>
      </c>
      <c r="T185" s="73">
        <f t="shared" si="7"/>
        <v>-2966.629616366693</v>
      </c>
      <c r="U185" s="67" t="str">
        <f>IF(T185&gt;=0, IF(T185&lt;='DATI nascosti 2'!$C$8/6, "SI", "NO"),IF(T185&gt; -'DATI nascosti 2'!$C$8/6, "SI", "NO"))</f>
        <v>NO</v>
      </c>
      <c r="V185" s="67" t="str">
        <f>IF(Foglio3!G186&lt;1,IF(Foglio3!G186&gt;-1,"ROTTURA BILANCIATA",""),"")</f>
        <v>ROTTURA BILANCIATA</v>
      </c>
    </row>
    <row r="186" spans="1:22" ht="18.75" x14ac:dyDescent="0.25">
      <c r="A186" s="20"/>
      <c r="B186" s="67">
        <f>'DATI nascosti 2'!$H$12*10^-3</f>
        <v>-3.5000000000000001E-3</v>
      </c>
      <c r="C186" s="68">
        <f>C185-('DATI nascosti 2'!$L$8*10^-3/100)</f>
        <v>3.577499999999996E-2</v>
      </c>
      <c r="D186" s="68">
        <f>('DATI nascosti 2'!$H$12*(F186-'DATI nascosti 2'!$C$10))/(F186*1000)</f>
        <v>-1.9698051948051961E-3</v>
      </c>
      <c r="E186" s="67" t="s">
        <v>39</v>
      </c>
      <c r="F186" s="69">
        <f>(-'DATI nascosti 2'!$H$12*10^-3/(-'DATI nascosti 2'!$H$12*10^-3+C186))*'DATI nascosti 2'!$C$13</f>
        <v>102.92807129217069</v>
      </c>
      <c r="G186" s="70">
        <f t="shared" si="8"/>
        <v>39.978333333333296</v>
      </c>
      <c r="H186" s="70">
        <f t="shared" si="9"/>
        <v>81.720416666666537</v>
      </c>
      <c r="I186" s="70">
        <f>G186/('DATI nascosti 2'!$H$10*(-'DATI nascosti 2'!$H$12))</f>
        <v>0.80952380952380887</v>
      </c>
      <c r="J186" s="70">
        <f t="shared" si="10"/>
        <v>0.41596638655462226</v>
      </c>
      <c r="K186" s="71">
        <f>IF(D186&gt;=('DATI nascosti 2'!$L$10*10^-3),'DATI nascosti 2'!$L$14*'DATI nascosti 2'!$P$12,IF(D186&gt;=(-'DATI nascosti 2'!$L$10*10^-3),'DATI nascosti 2'!$L$16*D186*'DATI nascosti 2'!$P$12,-'DATI nascosti 2'!$L$14*'DATI nascosti 2'!$P$12))</f>
        <v>-614659.43222408998</v>
      </c>
      <c r="L186" s="71">
        <f>-'DATI nascosti 2'!$H$16*'DATI nascosti 2'!$C$6*I186*'DATI nascosti 2'!$H$10*F186</f>
        <v>-299799.32845321455</v>
      </c>
      <c r="M186" s="71">
        <f>IF(C186&gt;=('DATI nascosti 2'!$L$10*10^-3),'DATI nascosti 2'!$L$14*'DATI nascosti 2'!$P$11,IF(C186&gt;=(-'DATI nascosti 2'!$L$10*10^-3),'DATI nascosti 2'!$P$11*'DATI nascosti 2'!$L$16*C186,-'DATI nascosti 2'!$L$14*'DATI nascosti 2'!$P$11))</f>
        <v>614659.43222408998</v>
      </c>
      <c r="N186" s="71">
        <f t="shared" si="6"/>
        <v>-299799.32845321461</v>
      </c>
      <c r="O186" s="71">
        <f>-L186*('DATI nascosti 2'!$C$8/2-(J186*F186))-K186*('DATI nascosti 2'!$C$13/2)+M186*('DATI nascosti 2'!$C$13/2)</f>
        <v>876975447.59921753</v>
      </c>
      <c r="P186" s="69">
        <f>-'T2'!N186/10^3</f>
        <v>299.79932845321463</v>
      </c>
      <c r="Q186" s="69">
        <f>'T2'!O186/10^6</f>
        <v>876.97544759921755</v>
      </c>
      <c r="R186" s="72">
        <f>-N186/('DATI nascosti 2'!$C$6*'DATI nascosti 2'!$C$13*'DATI nascosti 2'!$H$10*'DATI nascosti 2'!$H$16)</f>
        <v>7.2140886908550861E-2</v>
      </c>
      <c r="S186" s="72">
        <f>O186/('DATI nascosti 2'!$H$16*'DATI nascosti 2'!$C$6*'DATI nascosti 2'!$C$13^2*'DATI nascosti 2'!$H$10)</f>
        <v>0.18270745663461035</v>
      </c>
      <c r="T186" s="73">
        <f t="shared" si="7"/>
        <v>-2925.2081788304422</v>
      </c>
      <c r="U186" s="67" t="str">
        <f>IF(T186&gt;=0, IF(T186&lt;='DATI nascosti 2'!$C$8/6, "SI", "NO"),IF(T186&gt; -'DATI nascosti 2'!$C$8/6, "SI", "NO"))</f>
        <v>NO</v>
      </c>
      <c r="V186" s="67" t="str">
        <f>IF(Foglio3!G187&lt;1,IF(Foglio3!G187&gt;-1,"ROTTURA BILANCIATA",""),"")</f>
        <v>ROTTURA BILANCIATA</v>
      </c>
    </row>
    <row r="187" spans="1:22" ht="18.75" x14ac:dyDescent="0.25">
      <c r="A187" s="20"/>
      <c r="B187" s="67">
        <f>'DATI nascosti 2'!$H$12*10^-3</f>
        <v>-3.5000000000000001E-3</v>
      </c>
      <c r="C187" s="68">
        <f>C186-('DATI nascosti 2'!$L$8*10^-3/100)</f>
        <v>3.5099999999999958E-2</v>
      </c>
      <c r="D187" s="68">
        <f>('DATI nascosti 2'!$H$12*(F187-'DATI nascosti 2'!$C$10))/(F187*1000)</f>
        <v>-1.9961038961038976E-3</v>
      </c>
      <c r="E187" s="67" t="s">
        <v>39</v>
      </c>
      <c r="F187" s="69">
        <f>(-'DATI nascosti 2'!$H$12*10^-3/(-'DATI nascosti 2'!$H$12*10^-3+C187))*'DATI nascosti 2'!$C$13</f>
        <v>104.72797927461151</v>
      </c>
      <c r="G187" s="70">
        <f t="shared" si="8"/>
        <v>39.978333333333296</v>
      </c>
      <c r="H187" s="70">
        <f t="shared" si="9"/>
        <v>81.720416666666537</v>
      </c>
      <c r="I187" s="70">
        <f>G187/('DATI nascosti 2'!$H$10*(-'DATI nascosti 2'!$H$12))</f>
        <v>0.80952380952380887</v>
      </c>
      <c r="J187" s="70">
        <f t="shared" si="10"/>
        <v>0.41596638655462226</v>
      </c>
      <c r="K187" s="71">
        <f>IF(D187&gt;=('DATI nascosti 2'!$L$10*10^-3),'DATI nascosti 2'!$L$14*'DATI nascosti 2'!$P$12,IF(D187&gt;=(-'DATI nascosti 2'!$L$10*10^-3),'DATI nascosti 2'!$L$16*D187*'DATI nascosti 2'!$P$12,-'DATI nascosti 2'!$L$14*'DATI nascosti 2'!$P$12))</f>
        <v>-614659.43222408998</v>
      </c>
      <c r="L187" s="71">
        <f>-'DATI nascosti 2'!$H$16*'DATI nascosti 2'!$C$6*I187*'DATI nascosti 2'!$H$10*F187</f>
        <v>-305041.93329015549</v>
      </c>
      <c r="M187" s="71">
        <f>IF(C187&gt;=('DATI nascosti 2'!$L$10*10^-3),'DATI nascosti 2'!$L$14*'DATI nascosti 2'!$P$11,IF(C187&gt;=(-'DATI nascosti 2'!$L$10*10^-3),'DATI nascosti 2'!$P$11*'DATI nascosti 2'!$L$16*C187,-'DATI nascosti 2'!$L$14*'DATI nascosti 2'!$P$11))</f>
        <v>614659.43222408998</v>
      </c>
      <c r="N187" s="71">
        <f t="shared" si="6"/>
        <v>-305041.93329015549</v>
      </c>
      <c r="O187" s="71">
        <f>-L187*('DATI nascosti 2'!$C$8/2-(J187*F187))-K187*('DATI nascosti 2'!$C$13/2)+M187*('DATI nascosti 2'!$C$13/2)</f>
        <v>879668165.11105847</v>
      </c>
      <c r="P187" s="69">
        <f>-'T2'!N187/10^3</f>
        <v>305.0419332901555</v>
      </c>
      <c r="Q187" s="69">
        <f>'T2'!O187/10^6</f>
        <v>879.66816511105844</v>
      </c>
      <c r="R187" s="72">
        <f>-N187/('DATI nascosti 2'!$C$6*'DATI nascosti 2'!$C$13*'DATI nascosti 2'!$H$10*'DATI nascosti 2'!$H$16)</f>
        <v>7.3402417962003488E-2</v>
      </c>
      <c r="S187" s="72">
        <f>O187/('DATI nascosti 2'!$H$16*'DATI nascosti 2'!$C$6*'DATI nascosti 2'!$C$13^2*'DATI nascosti 2'!$H$10)</f>
        <v>0.18326845246336559</v>
      </c>
      <c r="T187" s="73">
        <f t="shared" si="7"/>
        <v>-2883.7614410026677</v>
      </c>
      <c r="U187" s="67" t="str">
        <f>IF(T187&gt;=0, IF(T187&lt;='DATI nascosti 2'!$C$8/6, "SI", "NO"),IF(T187&gt; -'DATI nascosti 2'!$C$8/6, "SI", "NO"))</f>
        <v>NO</v>
      </c>
      <c r="V187" s="67" t="str">
        <f>IF(Foglio3!G188&lt;1,IF(Foglio3!G188&gt;-1,"ROTTURA BILANCIATA",""),"")</f>
        <v>ROTTURA BILANCIATA</v>
      </c>
    </row>
    <row r="188" spans="1:22" ht="18.75" x14ac:dyDescent="0.25">
      <c r="A188" s="20"/>
      <c r="B188" s="67">
        <f>'DATI nascosti 2'!$H$12*10^-3</f>
        <v>-3.5000000000000001E-3</v>
      </c>
      <c r="C188" s="68">
        <f>C187-('DATI nascosti 2'!$L$8*10^-3/100)</f>
        <v>3.4424999999999956E-2</v>
      </c>
      <c r="D188" s="68">
        <f>('DATI nascosti 2'!$H$12*(F188-'DATI nascosti 2'!$C$10))/(F188*1000)</f>
        <v>-2.0224025974025987E-3</v>
      </c>
      <c r="E188" s="67" t="s">
        <v>39</v>
      </c>
      <c r="F188" s="69">
        <f>(-'DATI nascosti 2'!$H$12*10^-3/(-'DATI nascosti 2'!$H$12*10^-3+C188))*'DATI nascosti 2'!$C$13</f>
        <v>106.59195781147012</v>
      </c>
      <c r="G188" s="70">
        <f t="shared" si="8"/>
        <v>39.978333333333296</v>
      </c>
      <c r="H188" s="70">
        <f t="shared" si="9"/>
        <v>81.720416666666537</v>
      </c>
      <c r="I188" s="70">
        <f>G188/('DATI nascosti 2'!$H$10*(-'DATI nascosti 2'!$H$12))</f>
        <v>0.80952380952380887</v>
      </c>
      <c r="J188" s="70">
        <f t="shared" si="10"/>
        <v>0.41596638655462226</v>
      </c>
      <c r="K188" s="71">
        <f>IF(D188&gt;=('DATI nascosti 2'!$L$10*10^-3),'DATI nascosti 2'!$L$14*'DATI nascosti 2'!$P$12,IF(D188&gt;=(-'DATI nascosti 2'!$L$10*10^-3),'DATI nascosti 2'!$L$16*D188*'DATI nascosti 2'!$P$12,-'DATI nascosti 2'!$L$14*'DATI nascosti 2'!$P$12))</f>
        <v>-614659.43222408998</v>
      </c>
      <c r="L188" s="71">
        <f>-'DATI nascosti 2'!$H$16*'DATI nascosti 2'!$C$6*I188*'DATI nascosti 2'!$H$10*F188</f>
        <v>-310471.15688859596</v>
      </c>
      <c r="M188" s="71">
        <f>IF(C188&gt;=('DATI nascosti 2'!$L$10*10^-3),'DATI nascosti 2'!$L$14*'DATI nascosti 2'!$P$11,IF(C188&gt;=(-'DATI nascosti 2'!$L$10*10^-3),'DATI nascosti 2'!$P$11*'DATI nascosti 2'!$L$16*C188,-'DATI nascosti 2'!$L$14*'DATI nascosti 2'!$P$11))</f>
        <v>614659.43222408998</v>
      </c>
      <c r="N188" s="71">
        <f t="shared" si="6"/>
        <v>-310471.15688859602</v>
      </c>
      <c r="O188" s="71">
        <f>-L188*('DATI nascosti 2'!$C$8/2-(J188*F188))-K188*('DATI nascosti 2'!$C$13/2)+M188*('DATI nascosti 2'!$C$13/2)</f>
        <v>882448459.70820832</v>
      </c>
      <c r="P188" s="69">
        <f>-'T2'!N188/10^3</f>
        <v>310.471156888596</v>
      </c>
      <c r="Q188" s="69">
        <f>'T2'!O188/10^6</f>
        <v>882.44845970820836</v>
      </c>
      <c r="R188" s="72">
        <f>-N188/('DATI nascosti 2'!$C$6*'DATI nascosti 2'!$C$13*'DATI nascosti 2'!$H$10*'DATI nascosti 2'!$H$16)</f>
        <v>7.4708855196660109E-2</v>
      </c>
      <c r="S188" s="72">
        <f>O188/('DATI nascosti 2'!$H$16*'DATI nascosti 2'!$C$6*'DATI nascosti 2'!$C$13^2*'DATI nascosti 2'!$H$10)</f>
        <v>0.18384769394148318</v>
      </c>
      <c r="T188" s="73">
        <f t="shared" si="7"/>
        <v>-2842.2880519778864</v>
      </c>
      <c r="U188" s="67" t="str">
        <f>IF(T188&gt;=0, IF(T188&lt;='DATI nascosti 2'!$C$8/6, "SI", "NO"),IF(T188&gt; -'DATI nascosti 2'!$C$8/6, "SI", "NO"))</f>
        <v>NO</v>
      </c>
      <c r="V188" s="67" t="str">
        <f>IF(Foglio3!G189&lt;1,IF(Foglio3!G189&gt;-1,"ROTTURA BILANCIATA",""),"")</f>
        <v>ROTTURA BILANCIATA</v>
      </c>
    </row>
    <row r="189" spans="1:22" ht="18.75" x14ac:dyDescent="0.25">
      <c r="A189" s="20"/>
      <c r="B189" s="67">
        <f>'DATI nascosti 2'!$H$12*10^-3</f>
        <v>-3.5000000000000001E-3</v>
      </c>
      <c r="C189" s="68">
        <f>C188-('DATI nascosti 2'!$L$8*10^-3/100)</f>
        <v>3.3749999999999954E-2</v>
      </c>
      <c r="D189" s="68">
        <f>('DATI nascosti 2'!$H$12*(F189-'DATI nascosti 2'!$C$10))/(F189*1000)</f>
        <v>-2.0487012987013007E-3</v>
      </c>
      <c r="E189" s="67" t="s">
        <v>39</v>
      </c>
      <c r="F189" s="69">
        <f>(-'DATI nascosti 2'!$H$12*10^-3/(-'DATI nascosti 2'!$H$12*10^-3+C189))*'DATI nascosti 2'!$C$13</f>
        <v>108.52348993288604</v>
      </c>
      <c r="G189" s="70">
        <f t="shared" si="8"/>
        <v>39.978333333333296</v>
      </c>
      <c r="H189" s="70">
        <f t="shared" si="9"/>
        <v>81.720416666666537</v>
      </c>
      <c r="I189" s="70">
        <f>G189/('DATI nascosti 2'!$H$10*(-'DATI nascosti 2'!$H$12))</f>
        <v>0.80952380952380887</v>
      </c>
      <c r="J189" s="70">
        <f t="shared" si="10"/>
        <v>0.41596638655462226</v>
      </c>
      <c r="K189" s="71">
        <f>IF(D189&gt;=('DATI nascosti 2'!$L$10*10^-3),'DATI nascosti 2'!$L$14*'DATI nascosti 2'!$P$12,IF(D189&gt;=(-'DATI nascosti 2'!$L$10*10^-3),'DATI nascosti 2'!$L$16*D189*'DATI nascosti 2'!$P$12,-'DATI nascosti 2'!$L$14*'DATI nascosti 2'!$P$12))</f>
        <v>-614659.43222408998</v>
      </c>
      <c r="L189" s="71">
        <f>-'DATI nascosti 2'!$H$16*'DATI nascosti 2'!$C$6*I189*'DATI nascosti 2'!$H$10*F189</f>
        <v>-316097.1442953021</v>
      </c>
      <c r="M189" s="71">
        <f>IF(C189&gt;=('DATI nascosti 2'!$L$10*10^-3),'DATI nascosti 2'!$L$14*'DATI nascosti 2'!$P$11,IF(C189&gt;=(-'DATI nascosti 2'!$L$10*10^-3),'DATI nascosti 2'!$P$11*'DATI nascosti 2'!$L$16*C189,-'DATI nascosti 2'!$L$14*'DATI nascosti 2'!$P$11))</f>
        <v>614659.43222408998</v>
      </c>
      <c r="N189" s="71">
        <f t="shared" si="6"/>
        <v>-316097.1442953021</v>
      </c>
      <c r="O189" s="71">
        <f>-L189*('DATI nascosti 2'!$C$8/2-(J189*F189))-K189*('DATI nascosti 2'!$C$13/2)+M189*('DATI nascosti 2'!$C$13/2)</f>
        <v>885320634.32366157</v>
      </c>
      <c r="P189" s="69">
        <f>-'T2'!N189/10^3</f>
        <v>316.09714429530209</v>
      </c>
      <c r="Q189" s="69">
        <f>'T2'!O189/10^6</f>
        <v>885.32063432366158</v>
      </c>
      <c r="R189" s="72">
        <f>-N189/('DATI nascosti 2'!$C$6*'DATI nascosti 2'!$C$13*'DATI nascosti 2'!$H$10*'DATI nascosti 2'!$H$16)</f>
        <v>7.6062639821029121E-2</v>
      </c>
      <c r="S189" s="72">
        <f>O189/('DATI nascosti 2'!$H$16*'DATI nascosti 2'!$C$6*'DATI nascosti 2'!$C$13^2*'DATI nascosti 2'!$H$10)</f>
        <v>0.18444607753413284</v>
      </c>
      <c r="T189" s="73">
        <f t="shared" si="7"/>
        <v>-2800.7865629326388</v>
      </c>
      <c r="U189" s="67" t="str">
        <f>IF(T189&gt;=0, IF(T189&lt;='DATI nascosti 2'!$C$8/6, "SI", "NO"),IF(T189&gt; -'DATI nascosti 2'!$C$8/6, "SI", "NO"))</f>
        <v>NO</v>
      </c>
      <c r="V189" s="67" t="str">
        <f>IF(Foglio3!G190&lt;1,IF(Foglio3!G190&gt;-1,"ROTTURA BILANCIATA",""),"")</f>
        <v>ROTTURA BILANCIATA</v>
      </c>
    </row>
    <row r="190" spans="1:22" ht="18.75" x14ac:dyDescent="0.25">
      <c r="A190" s="20"/>
      <c r="B190" s="67">
        <f>'DATI nascosti 2'!$H$12*10^-3</f>
        <v>-3.5000000000000001E-3</v>
      </c>
      <c r="C190" s="68">
        <f>C189-('DATI nascosti 2'!$L$8*10^-3/100)</f>
        <v>3.3074999999999952E-2</v>
      </c>
      <c r="D190" s="68">
        <f>('DATI nascosti 2'!$H$12*(F190-'DATI nascosti 2'!$C$10))/(F190*1000)</f>
        <v>-2.0750000000000018E-3</v>
      </c>
      <c r="E190" s="67" t="s">
        <v>39</v>
      </c>
      <c r="F190" s="69">
        <f>(-'DATI nascosti 2'!$H$12*10^-3/(-'DATI nascosti 2'!$H$12*10^-3+C190))*'DATI nascosti 2'!$C$13</f>
        <v>110.52631578947383</v>
      </c>
      <c r="G190" s="70">
        <f t="shared" si="8"/>
        <v>39.978333333333296</v>
      </c>
      <c r="H190" s="70">
        <f t="shared" si="9"/>
        <v>81.720416666666537</v>
      </c>
      <c r="I190" s="70">
        <f>G190/('DATI nascosti 2'!$H$10*(-'DATI nascosti 2'!$H$12))</f>
        <v>0.80952380952380887</v>
      </c>
      <c r="J190" s="70">
        <f t="shared" si="10"/>
        <v>0.41596638655462226</v>
      </c>
      <c r="K190" s="71">
        <f>IF(D190&gt;=('DATI nascosti 2'!$L$10*10^-3),'DATI nascosti 2'!$L$14*'DATI nascosti 2'!$P$12,IF(D190&gt;=(-'DATI nascosti 2'!$L$10*10^-3),'DATI nascosti 2'!$L$16*D190*'DATI nascosti 2'!$P$12,-'DATI nascosti 2'!$L$14*'DATI nascosti 2'!$P$12))</f>
        <v>-614659.43222408998</v>
      </c>
      <c r="L190" s="71">
        <f>-'DATI nascosti 2'!$H$16*'DATI nascosti 2'!$C$6*I190*'DATI nascosti 2'!$H$10*F190</f>
        <v>-321930.78947368433</v>
      </c>
      <c r="M190" s="71">
        <f>IF(C190&gt;=('DATI nascosti 2'!$L$10*10^-3),'DATI nascosti 2'!$L$14*'DATI nascosti 2'!$P$11,IF(C190&gt;=(-'DATI nascosti 2'!$L$10*10^-3),'DATI nascosti 2'!$P$11*'DATI nascosti 2'!$L$16*C190,-'DATI nascosti 2'!$L$14*'DATI nascosti 2'!$P$11))</f>
        <v>614659.43222408998</v>
      </c>
      <c r="N190" s="71">
        <f t="shared" si="6"/>
        <v>-321930.78947368427</v>
      </c>
      <c r="O190" s="71">
        <f>-L190*('DATI nascosti 2'!$C$8/2-(J190*F190))-K190*('DATI nascosti 2'!$C$13/2)+M190*('DATI nascosti 2'!$C$13/2)</f>
        <v>888289275.1052506</v>
      </c>
      <c r="P190" s="69">
        <f>-'T2'!N190/10^3</f>
        <v>321.93078947368429</v>
      </c>
      <c r="Q190" s="69">
        <f>'T2'!O190/10^6</f>
        <v>888.28927510525057</v>
      </c>
      <c r="R190" s="72">
        <f>-N190/('DATI nascosti 2'!$C$6*'DATI nascosti 2'!$C$13*'DATI nascosti 2'!$H$10*'DATI nascosti 2'!$H$16)</f>
        <v>7.7466393255866975E-2</v>
      </c>
      <c r="S190" s="72">
        <f>O190/('DATI nascosti 2'!$H$16*'DATI nascosti 2'!$C$6*'DATI nascosti 2'!$C$13^2*'DATI nascosti 2'!$H$10)</f>
        <v>0.18506455871094427</v>
      </c>
      <c r="T190" s="73">
        <f t="shared" si="7"/>
        <v>-2759.2554180899879</v>
      </c>
      <c r="U190" s="67" t="str">
        <f>IF(T190&gt;=0, IF(T190&lt;='DATI nascosti 2'!$C$8/6, "SI", "NO"),IF(T190&gt; -'DATI nascosti 2'!$C$8/6, "SI", "NO"))</f>
        <v>NO</v>
      </c>
      <c r="V190" s="67" t="str">
        <f>IF(Foglio3!G191&lt;1,IF(Foglio3!G191&gt;-1,"ROTTURA BILANCIATA",""),"")</f>
        <v>ROTTURA BILANCIATA</v>
      </c>
    </row>
    <row r="191" spans="1:22" ht="18.75" x14ac:dyDescent="0.25">
      <c r="A191" s="20"/>
      <c r="B191" s="67">
        <f>'DATI nascosti 2'!$H$12*10^-3</f>
        <v>-3.5000000000000001E-3</v>
      </c>
      <c r="C191" s="68">
        <f>C190-('DATI nascosti 2'!$L$8*10^-3/100)</f>
        <v>3.239999999999995E-2</v>
      </c>
      <c r="D191" s="68">
        <f>('DATI nascosti 2'!$H$12*(F191-'DATI nascosti 2'!$C$10))/(F191*1000)</f>
        <v>-2.1012987012987028E-3</v>
      </c>
      <c r="E191" s="67" t="s">
        <v>39</v>
      </c>
      <c r="F191" s="69">
        <f>(-'DATI nascosti 2'!$H$12*10^-3/(-'DATI nascosti 2'!$H$12*10^-3+C191))*'DATI nascosti 2'!$C$13</f>
        <v>112.60445682451268</v>
      </c>
      <c r="G191" s="70">
        <f t="shared" si="8"/>
        <v>39.978333333333296</v>
      </c>
      <c r="H191" s="70">
        <f t="shared" si="9"/>
        <v>81.720416666666537</v>
      </c>
      <c r="I191" s="70">
        <f>G191/('DATI nascosti 2'!$H$10*(-'DATI nascosti 2'!$H$12))</f>
        <v>0.80952380952380887</v>
      </c>
      <c r="J191" s="70">
        <f t="shared" si="10"/>
        <v>0.41596638655462226</v>
      </c>
      <c r="K191" s="71">
        <f>IF(D191&gt;=('DATI nascosti 2'!$L$10*10^-3),'DATI nascosti 2'!$L$14*'DATI nascosti 2'!$P$12,IF(D191&gt;=(-'DATI nascosti 2'!$L$10*10^-3),'DATI nascosti 2'!$L$16*D191*'DATI nascosti 2'!$P$12,-'DATI nascosti 2'!$L$14*'DATI nascosti 2'!$P$12))</f>
        <v>-614659.43222408998</v>
      </c>
      <c r="L191" s="71">
        <f>-'DATI nascosti 2'!$H$16*'DATI nascosti 2'!$C$6*I191*'DATI nascosti 2'!$H$10*F191</f>
        <v>-327983.80571030657</v>
      </c>
      <c r="M191" s="71">
        <f>IF(C191&gt;=('DATI nascosti 2'!$L$10*10^-3),'DATI nascosti 2'!$L$14*'DATI nascosti 2'!$P$11,IF(C191&gt;=(-'DATI nascosti 2'!$L$10*10^-3),'DATI nascosti 2'!$P$11*'DATI nascosti 2'!$L$16*C191,-'DATI nascosti 2'!$L$14*'DATI nascosti 2'!$P$11))</f>
        <v>614659.43222408998</v>
      </c>
      <c r="N191" s="71">
        <f t="shared" si="6"/>
        <v>-327983.80571030662</v>
      </c>
      <c r="O191" s="71">
        <f>-L191*('DATI nascosti 2'!$C$8/2-(J191*F191))-K191*('DATI nascosti 2'!$C$13/2)+M191*('DATI nascosti 2'!$C$13/2)</f>
        <v>891359274.74317884</v>
      </c>
      <c r="P191" s="69">
        <f>-'T2'!N191/10^3</f>
        <v>327.98380571030663</v>
      </c>
      <c r="Q191" s="69">
        <f>'T2'!O191/10^6</f>
        <v>891.35927474317884</v>
      </c>
      <c r="R191" s="72">
        <f>-N191/('DATI nascosti 2'!$C$6*'DATI nascosti 2'!$C$13*'DATI nascosti 2'!$H$10*'DATI nascosti 2'!$H$16)</f>
        <v>7.8922934076137485E-2</v>
      </c>
      <c r="S191" s="72">
        <f>O191/('DATI nascosti 2'!$H$16*'DATI nascosti 2'!$C$6*'DATI nascosti 2'!$C$13^2*'DATI nascosti 2'!$H$10)</f>
        <v>0.18570415680602276</v>
      </c>
      <c r="T191" s="73">
        <f t="shared" si="7"/>
        <v>-2717.6929446647023</v>
      </c>
      <c r="U191" s="67" t="str">
        <f>IF(T191&gt;=0, IF(T191&lt;='DATI nascosti 2'!$C$8/6, "SI", "NO"),IF(T191&gt; -'DATI nascosti 2'!$C$8/6, "SI", "NO"))</f>
        <v>NO</v>
      </c>
      <c r="V191" s="67" t="str">
        <f>IF(Foglio3!G192&lt;1,IF(Foglio3!G192&gt;-1,"ROTTURA BILANCIATA",""),"")</f>
        <v>ROTTURA BILANCIATA</v>
      </c>
    </row>
    <row r="192" spans="1:22" ht="18.75" x14ac:dyDescent="0.25">
      <c r="A192" s="20"/>
      <c r="B192" s="67">
        <f>'DATI nascosti 2'!$H$12*10^-3</f>
        <v>-3.5000000000000001E-3</v>
      </c>
      <c r="C192" s="68">
        <f>C191-('DATI nascosti 2'!$L$8*10^-3/100)</f>
        <v>3.1724999999999948E-2</v>
      </c>
      <c r="D192" s="68">
        <f>('DATI nascosti 2'!$H$12*(F192-'DATI nascosti 2'!$C$10))/(F192*1000)</f>
        <v>-2.1275974025974048E-3</v>
      </c>
      <c r="E192" s="67" t="s">
        <v>39</v>
      </c>
      <c r="F192" s="69">
        <f>(-'DATI nascosti 2'!$H$12*10^-3/(-'DATI nascosti 2'!$H$12*10^-3+C192))*'DATI nascosti 2'!$C$13</f>
        <v>114.76224272533729</v>
      </c>
      <c r="G192" s="70">
        <f t="shared" si="8"/>
        <v>39.978333333333296</v>
      </c>
      <c r="H192" s="70">
        <f t="shared" si="9"/>
        <v>81.720416666666537</v>
      </c>
      <c r="I192" s="70">
        <f>G192/('DATI nascosti 2'!$H$10*(-'DATI nascosti 2'!$H$12))</f>
        <v>0.80952380952380887</v>
      </c>
      <c r="J192" s="70">
        <f t="shared" si="10"/>
        <v>0.41596638655462226</v>
      </c>
      <c r="K192" s="71">
        <f>IF(D192&gt;=('DATI nascosti 2'!$L$10*10^-3),'DATI nascosti 2'!$L$14*'DATI nascosti 2'!$P$12,IF(D192&gt;=(-'DATI nascosti 2'!$L$10*10^-3),'DATI nascosti 2'!$L$16*D192*'DATI nascosti 2'!$P$12,-'DATI nascosti 2'!$L$14*'DATI nascosti 2'!$P$12))</f>
        <v>-614659.43222408998</v>
      </c>
      <c r="L192" s="71">
        <f>-'DATI nascosti 2'!$H$16*'DATI nascosti 2'!$C$6*I192*'DATI nascosti 2'!$H$10*F192</f>
        <v>-334268.80411639478</v>
      </c>
      <c r="M192" s="71">
        <f>IF(C192&gt;=('DATI nascosti 2'!$L$10*10^-3),'DATI nascosti 2'!$L$14*'DATI nascosti 2'!$P$11,IF(C192&gt;=(-'DATI nascosti 2'!$L$10*10^-3),'DATI nascosti 2'!$P$11*'DATI nascosti 2'!$L$16*C192,-'DATI nascosti 2'!$L$14*'DATI nascosti 2'!$P$11))</f>
        <v>614659.43222408998</v>
      </c>
      <c r="N192" s="71">
        <f t="shared" si="6"/>
        <v>-334268.80411639484</v>
      </c>
      <c r="O192" s="71">
        <f>-L192*('DATI nascosti 2'!$C$8/2-(J192*F192))-K192*('DATI nascosti 2'!$C$13/2)+M192*('DATI nascosti 2'!$C$13/2)</f>
        <v>894535858.09320748</v>
      </c>
      <c r="P192" s="69">
        <f>-'T2'!N192/10^3</f>
        <v>334.26880411639485</v>
      </c>
      <c r="Q192" s="69">
        <f>'T2'!O192/10^6</f>
        <v>894.53585809320748</v>
      </c>
      <c r="R192" s="72">
        <f>-N192/('DATI nascosti 2'!$C$6*'DATI nascosti 2'!$C$13*'DATI nascosti 2'!$H$10*'DATI nascosti 2'!$H$16)</f>
        <v>8.0435296900875405E-2</v>
      </c>
      <c r="S192" s="72">
        <f>O192/('DATI nascosti 2'!$H$16*'DATI nascosti 2'!$C$6*'DATI nascosti 2'!$C$13^2*'DATI nascosti 2'!$H$10)</f>
        <v>0.18636596035623665</v>
      </c>
      <c r="T192" s="73">
        <f t="shared" si="7"/>
        <v>-2676.0973416523893</v>
      </c>
      <c r="U192" s="67" t="str">
        <f>IF(T192&gt;=0, IF(T192&lt;='DATI nascosti 2'!$C$8/6, "SI", "NO"),IF(T192&gt; -'DATI nascosti 2'!$C$8/6, "SI", "NO"))</f>
        <v>NO</v>
      </c>
      <c r="V192" s="67" t="str">
        <f>IF(Foglio3!G193&lt;1,IF(Foglio3!G193&gt;-1,"ROTTURA BILANCIATA",""),"")</f>
        <v>ROTTURA BILANCIATA</v>
      </c>
    </row>
    <row r="193" spans="1:22" ht="18.75" x14ac:dyDescent="0.25">
      <c r="A193" s="20"/>
      <c r="B193" s="67">
        <f>'DATI nascosti 2'!$H$12*10^-3</f>
        <v>-3.5000000000000001E-3</v>
      </c>
      <c r="C193" s="68">
        <f>C192-('DATI nascosti 2'!$L$8*10^-3/100)</f>
        <v>3.1049999999999949E-2</v>
      </c>
      <c r="D193" s="68">
        <f>('DATI nascosti 2'!$H$12*(F193-'DATI nascosti 2'!$C$10))/(F193*1000)</f>
        <v>-2.1538961038961059E-3</v>
      </c>
      <c r="E193" s="67" t="s">
        <v>39</v>
      </c>
      <c r="F193" s="69">
        <f>(-'DATI nascosti 2'!$H$12*10^-3/(-'DATI nascosti 2'!$H$12*10^-3+C193))*'DATI nascosti 2'!$C$13</f>
        <v>117.00434153400886</v>
      </c>
      <c r="G193" s="70">
        <f t="shared" si="8"/>
        <v>39.978333333333296</v>
      </c>
      <c r="H193" s="70">
        <f t="shared" si="9"/>
        <v>81.720416666666537</v>
      </c>
      <c r="I193" s="70">
        <f>G193/('DATI nascosti 2'!$H$10*(-'DATI nascosti 2'!$H$12))</f>
        <v>0.80952380952380887</v>
      </c>
      <c r="J193" s="70">
        <f t="shared" si="10"/>
        <v>0.41596638655462226</v>
      </c>
      <c r="K193" s="71">
        <f>IF(D193&gt;=('DATI nascosti 2'!$L$10*10^-3),'DATI nascosti 2'!$L$14*'DATI nascosti 2'!$P$12,IF(D193&gt;=(-'DATI nascosti 2'!$L$10*10^-3),'DATI nascosti 2'!$L$16*D193*'DATI nascosti 2'!$P$12,-'DATI nascosti 2'!$L$14*'DATI nascosti 2'!$P$12))</f>
        <v>-614659.43222408998</v>
      </c>
      <c r="L193" s="71">
        <f>-'DATI nascosti 2'!$H$16*'DATI nascosti 2'!$C$6*I193*'DATI nascosti 2'!$H$10*F193</f>
        <v>-340799.38133140397</v>
      </c>
      <c r="M193" s="71">
        <f>IF(C193&gt;=('DATI nascosti 2'!$L$10*10^-3),'DATI nascosti 2'!$L$14*'DATI nascosti 2'!$P$11,IF(C193&gt;=(-'DATI nascosti 2'!$L$10*10^-3),'DATI nascosti 2'!$P$11*'DATI nascosti 2'!$L$16*C193,-'DATI nascosti 2'!$L$14*'DATI nascosti 2'!$P$11))</f>
        <v>614659.43222408998</v>
      </c>
      <c r="N193" s="71">
        <f t="shared" si="6"/>
        <v>-340799.38133140397</v>
      </c>
      <c r="O193" s="71">
        <f>-L193*('DATI nascosti 2'!$C$8/2-(J193*F193))-K193*('DATI nascosti 2'!$C$13/2)+M193*('DATI nascosti 2'!$C$13/2)</f>
        <v>897824610.35556555</v>
      </c>
      <c r="P193" s="69">
        <f>-'T2'!N193/10^3</f>
        <v>340.79938133140399</v>
      </c>
      <c r="Q193" s="69">
        <f>'T2'!O193/10^6</f>
        <v>897.8246103555656</v>
      </c>
      <c r="R193" s="72">
        <f>-N193/('DATI nascosti 2'!$C$6*'DATI nascosti 2'!$C$13*'DATI nascosti 2'!$H$10*'DATI nascosti 2'!$H$16)</f>
        <v>8.2006753497346915E-2</v>
      </c>
      <c r="S193" s="72">
        <f>O193/('DATI nascosti 2'!$H$16*'DATI nascosti 2'!$C$6*'DATI nascosti 2'!$C$13^2*'DATI nascosti 2'!$H$10)</f>
        <v>0.18705113297196005</v>
      </c>
      <c r="T193" s="73">
        <f t="shared" si="7"/>
        <v>-2634.4666673044599</v>
      </c>
      <c r="U193" s="67" t="str">
        <f>IF(T193&gt;=0, IF(T193&lt;='DATI nascosti 2'!$C$8/6, "SI", "NO"),IF(T193&gt; -'DATI nascosti 2'!$C$8/6, "SI", "NO"))</f>
        <v>NO</v>
      </c>
      <c r="V193" s="67" t="str">
        <f>IF(Foglio3!G194&lt;1,IF(Foglio3!G194&gt;-1,"ROTTURA BILANCIATA",""),"")</f>
        <v>ROTTURA BILANCIATA</v>
      </c>
    </row>
    <row r="194" spans="1:22" ht="18.75" x14ac:dyDescent="0.25">
      <c r="A194" s="20"/>
      <c r="B194" s="67">
        <f>'DATI nascosti 2'!$H$12*10^-3</f>
        <v>-3.5000000000000001E-3</v>
      </c>
      <c r="C194" s="68">
        <f>C193-('DATI nascosti 2'!$L$8*10^-3/100)</f>
        <v>3.0374999999999951E-2</v>
      </c>
      <c r="D194" s="68">
        <f>('DATI nascosti 2'!$H$12*(F194-'DATI nascosti 2'!$C$10))/(F194*1000)</f>
        <v>-2.180194805194807E-3</v>
      </c>
      <c r="E194" s="67" t="s">
        <v>39</v>
      </c>
      <c r="F194" s="69">
        <f>(-'DATI nascosti 2'!$H$12*10^-3/(-'DATI nascosti 2'!$H$12*10^-3+C194))*'DATI nascosti 2'!$C$13</f>
        <v>119.33579335793374</v>
      </c>
      <c r="G194" s="70">
        <f t="shared" si="8"/>
        <v>39.978333333333296</v>
      </c>
      <c r="H194" s="70">
        <f t="shared" si="9"/>
        <v>81.720416666666537</v>
      </c>
      <c r="I194" s="70">
        <f>G194/('DATI nascosti 2'!$H$10*(-'DATI nascosti 2'!$H$12))</f>
        <v>0.80952380952380887</v>
      </c>
      <c r="J194" s="70">
        <f t="shared" si="10"/>
        <v>0.41596638655462226</v>
      </c>
      <c r="K194" s="71">
        <f>IF(D194&gt;=('DATI nascosti 2'!$L$10*10^-3),'DATI nascosti 2'!$L$14*'DATI nascosti 2'!$P$12,IF(D194&gt;=(-'DATI nascosti 2'!$L$10*10^-3),'DATI nascosti 2'!$L$16*D194*'DATI nascosti 2'!$P$12,-'DATI nascosti 2'!$L$14*'DATI nascosti 2'!$P$12))</f>
        <v>-614659.43222408998</v>
      </c>
      <c r="L194" s="71">
        <f>-'DATI nascosti 2'!$H$16*'DATI nascosti 2'!$C$6*I194*'DATI nascosti 2'!$H$10*F194</f>
        <v>-347590.21771217725</v>
      </c>
      <c r="M194" s="71">
        <f>IF(C194&gt;=('DATI nascosti 2'!$L$10*10^-3),'DATI nascosti 2'!$L$14*'DATI nascosti 2'!$P$11,IF(C194&gt;=(-'DATI nascosti 2'!$L$10*10^-3),'DATI nascosti 2'!$P$11*'DATI nascosti 2'!$L$16*C194,-'DATI nascosti 2'!$L$14*'DATI nascosti 2'!$P$11))</f>
        <v>614659.43222408998</v>
      </c>
      <c r="N194" s="71">
        <f t="shared" ref="N194:N257" si="11">K194+L194+M194</f>
        <v>-347590.2177121772</v>
      </c>
      <c r="O194" s="71">
        <f>-L194*('DATI nascosti 2'!$C$8/2-(J194*F194))-K194*('DATI nascosti 2'!$C$13/2)+M194*('DATI nascosti 2'!$C$13/2)</f>
        <v>901231508.10234952</v>
      </c>
      <c r="P194" s="69">
        <f>-'T2'!N194/10^3</f>
        <v>347.59021771217721</v>
      </c>
      <c r="Q194" s="69">
        <f>'T2'!O194/10^6</f>
        <v>901.23150810234949</v>
      </c>
      <c r="R194" s="72">
        <f>-N194/('DATI nascosti 2'!$C$6*'DATI nascosti 2'!$C$13*'DATI nascosti 2'!$H$10*'DATI nascosti 2'!$H$16)</f>
        <v>8.3640836408364116E-2</v>
      </c>
      <c r="S194" s="72">
        <f>O194/('DATI nascosti 2'!$H$16*'DATI nascosti 2'!$C$6*'DATI nascosti 2'!$C$13^2*'DATI nascosti 2'!$H$10)</f>
        <v>0.18776091980126425</v>
      </c>
      <c r="T194" s="73">
        <f t="shared" ref="T194:T258" si="12">O194/N194</f>
        <v>-2592.7988251056481</v>
      </c>
      <c r="U194" s="67" t="str">
        <f>IF(T194&gt;=0, IF(T194&lt;='DATI nascosti 2'!$C$8/6, "SI", "NO"),IF(T194&gt; -'DATI nascosti 2'!$C$8/6, "SI", "NO"))</f>
        <v>NO</v>
      </c>
      <c r="V194" s="67" t="str">
        <f>IF(Foglio3!G195&lt;1,IF(Foglio3!G195&gt;-1,"ROTTURA BILANCIATA",""),"")</f>
        <v>ROTTURA BILANCIATA</v>
      </c>
    </row>
    <row r="195" spans="1:22" ht="18.75" x14ac:dyDescent="0.25">
      <c r="A195" s="20"/>
      <c r="B195" s="67">
        <f>'DATI nascosti 2'!$H$12*10^-3</f>
        <v>-3.5000000000000001E-3</v>
      </c>
      <c r="C195" s="68">
        <f>C194-('DATI nascosti 2'!$L$8*10^-3/100)</f>
        <v>2.9699999999999952E-2</v>
      </c>
      <c r="D195" s="68">
        <f>('DATI nascosti 2'!$H$12*(F195-'DATI nascosti 2'!$C$10))/(F195*1000)</f>
        <v>-2.2064935064935085E-3</v>
      </c>
      <c r="E195" s="67" t="s">
        <v>39</v>
      </c>
      <c r="F195" s="69">
        <f>(-'DATI nascosti 2'!$H$12*10^-3/(-'DATI nascosti 2'!$H$12*10^-3+C195))*'DATI nascosti 2'!$C$13</f>
        <v>121.76204819277127</v>
      </c>
      <c r="G195" s="70">
        <f t="shared" si="8"/>
        <v>39.978333333333296</v>
      </c>
      <c r="H195" s="70">
        <f t="shared" si="9"/>
        <v>81.720416666666537</v>
      </c>
      <c r="I195" s="70">
        <f>G195/('DATI nascosti 2'!$H$10*(-'DATI nascosti 2'!$H$12))</f>
        <v>0.80952380952380887</v>
      </c>
      <c r="J195" s="70">
        <f t="shared" si="10"/>
        <v>0.41596638655462226</v>
      </c>
      <c r="K195" s="71">
        <f>IF(D195&gt;=('DATI nascosti 2'!$L$10*10^-3),'DATI nascosti 2'!$L$14*'DATI nascosti 2'!$P$12,IF(D195&gt;=(-'DATI nascosti 2'!$L$10*10^-3),'DATI nascosti 2'!$L$16*D195*'DATI nascosti 2'!$P$12,-'DATI nascosti 2'!$L$14*'DATI nascosti 2'!$P$12))</f>
        <v>-614659.43222408998</v>
      </c>
      <c r="L195" s="71">
        <f>-'DATI nascosti 2'!$H$16*'DATI nascosti 2'!$C$6*I195*'DATI nascosti 2'!$H$10*F195</f>
        <v>-354657.18750000023</v>
      </c>
      <c r="M195" s="71">
        <f>IF(C195&gt;=('DATI nascosti 2'!$L$10*10^-3),'DATI nascosti 2'!$L$14*'DATI nascosti 2'!$P$11,IF(C195&gt;=(-'DATI nascosti 2'!$L$10*10^-3),'DATI nascosti 2'!$P$11*'DATI nascosti 2'!$L$16*C195,-'DATI nascosti 2'!$L$14*'DATI nascosti 2'!$P$11))</f>
        <v>614659.43222408998</v>
      </c>
      <c r="N195" s="71">
        <f t="shared" si="11"/>
        <v>-354657.18750000023</v>
      </c>
      <c r="O195" s="71">
        <f>-L195*('DATI nascosti 2'!$C$8/2-(J195*F195))-K195*('DATI nascosti 2'!$C$13/2)+M195*('DATI nascosti 2'!$C$13/2)</f>
        <v>904762953.48322535</v>
      </c>
      <c r="P195" s="69">
        <f>-'T2'!N195/10^3</f>
        <v>354.65718750000025</v>
      </c>
      <c r="Q195" s="69">
        <f>'T2'!O195/10^6</f>
        <v>904.76295348322537</v>
      </c>
      <c r="R195" s="72">
        <f>-N195/('DATI nascosti 2'!$C$6*'DATI nascosti 2'!$C$13*'DATI nascosti 2'!$H$10*'DATI nascosti 2'!$H$16)</f>
        <v>8.5341365461847465E-2</v>
      </c>
      <c r="S195" s="72">
        <f>O195/('DATI nascosti 2'!$H$16*'DATI nascosti 2'!$C$6*'DATI nascosti 2'!$C$13^2*'DATI nascosti 2'!$H$10)</f>
        <v>0.18849665465627097</v>
      </c>
      <c r="T195" s="73">
        <f t="shared" si="12"/>
        <v>-2551.0915480409508</v>
      </c>
      <c r="U195" s="67" t="str">
        <f>IF(T195&gt;=0, IF(T195&lt;='DATI nascosti 2'!$C$8/6, "SI", "NO"),IF(T195&gt; -'DATI nascosti 2'!$C$8/6, "SI", "NO"))</f>
        <v>NO</v>
      </c>
      <c r="V195" s="67" t="str">
        <f>IF(Foglio3!G196&lt;1,IF(Foglio3!G196&gt;-1,"ROTTURA BILANCIATA",""),"")</f>
        <v>ROTTURA BILANCIATA</v>
      </c>
    </row>
    <row r="196" spans="1:22" ht="18.75" x14ac:dyDescent="0.25">
      <c r="A196" s="20"/>
      <c r="B196" s="67">
        <f>'DATI nascosti 2'!$H$12*10^-3</f>
        <v>-3.5000000000000001E-3</v>
      </c>
      <c r="C196" s="68">
        <f>C195-('DATI nascosti 2'!$L$8*10^-3/100)</f>
        <v>2.9024999999999954E-2</v>
      </c>
      <c r="D196" s="68">
        <f>('DATI nascosti 2'!$H$12*(F196-'DATI nascosti 2'!$C$10))/(F196*1000)</f>
        <v>-2.2327922077922096E-3</v>
      </c>
      <c r="E196" s="67" t="s">
        <v>39</v>
      </c>
      <c r="F196" s="69">
        <f>(-'DATI nascosti 2'!$H$12*10^-3/(-'DATI nascosti 2'!$H$12*10^-3+C196))*'DATI nascosti 2'!$C$13</f>
        <v>124.28900845503476</v>
      </c>
      <c r="G196" s="70">
        <f t="shared" si="8"/>
        <v>39.978333333333296</v>
      </c>
      <c r="H196" s="70">
        <f t="shared" si="9"/>
        <v>81.720416666666537</v>
      </c>
      <c r="I196" s="70">
        <f>G196/('DATI nascosti 2'!$H$10*(-'DATI nascosti 2'!$H$12))</f>
        <v>0.80952380952380887</v>
      </c>
      <c r="J196" s="70">
        <f t="shared" si="10"/>
        <v>0.41596638655462226</v>
      </c>
      <c r="K196" s="71">
        <f>IF(D196&gt;=('DATI nascosti 2'!$L$10*10^-3),'DATI nascosti 2'!$L$14*'DATI nascosti 2'!$P$12,IF(D196&gt;=(-'DATI nascosti 2'!$L$10*10^-3),'DATI nascosti 2'!$L$16*D196*'DATI nascosti 2'!$P$12,-'DATI nascosti 2'!$L$14*'DATI nascosti 2'!$P$12))</f>
        <v>-614659.43222408998</v>
      </c>
      <c r="L196" s="71">
        <f>-'DATI nascosti 2'!$H$16*'DATI nascosti 2'!$C$6*I196*'DATI nascosti 2'!$H$10*F196</f>
        <v>-362017.48270561127</v>
      </c>
      <c r="M196" s="71">
        <f>IF(C196&gt;=('DATI nascosti 2'!$L$10*10^-3),'DATI nascosti 2'!$L$14*'DATI nascosti 2'!$P$11,IF(C196&gt;=(-'DATI nascosti 2'!$L$10*10^-3),'DATI nascosti 2'!$P$11*'DATI nascosti 2'!$L$16*C196,-'DATI nascosti 2'!$L$14*'DATI nascosti 2'!$P$11))</f>
        <v>614659.43222408998</v>
      </c>
      <c r="N196" s="71">
        <f t="shared" si="11"/>
        <v>-362017.48270561127</v>
      </c>
      <c r="O196" s="71">
        <f>-L196*('DATI nascosti 2'!$C$8/2-(J196*F196))-K196*('DATI nascosti 2'!$C$13/2)+M196*('DATI nascosti 2'!$C$13/2)</f>
        <v>908425811.98119092</v>
      </c>
      <c r="P196" s="69">
        <f>-'T2'!N196/10^3</f>
        <v>362.01748270561126</v>
      </c>
      <c r="Q196" s="69">
        <f>'T2'!O196/10^6</f>
        <v>908.42581198119092</v>
      </c>
      <c r="R196" s="72">
        <f>-N196/('DATI nascosti 2'!$C$6*'DATI nascosti 2'!$C$13*'DATI nascosti 2'!$H$10*'DATI nascosti 2'!$H$16)</f>
        <v>8.7112477581347755E-2</v>
      </c>
      <c r="S196" s="72">
        <f>O196/('DATI nascosti 2'!$H$16*'DATI nascosti 2'!$C$6*'DATI nascosti 2'!$C$13^2*'DATI nascosti 2'!$H$10)</f>
        <v>0.18925976787911869</v>
      </c>
      <c r="T196" s="73">
        <f t="shared" si="12"/>
        <v>-2509.3423809035021</v>
      </c>
      <c r="U196" s="67" t="str">
        <f>IF(T196&gt;=0, IF(T196&lt;='DATI nascosti 2'!$C$8/6, "SI", "NO"),IF(T196&gt; -'DATI nascosti 2'!$C$8/6, "SI", "NO"))</f>
        <v>NO</v>
      </c>
      <c r="V196" s="67" t="str">
        <f>IF(Foglio3!G197&lt;1,IF(Foglio3!G197&gt;-1,"ROTTURA BILANCIATA",""),"")</f>
        <v>ROTTURA BILANCIATA</v>
      </c>
    </row>
    <row r="197" spans="1:22" ht="18.75" x14ac:dyDescent="0.25">
      <c r="A197" s="20"/>
      <c r="B197" s="67">
        <f>'DATI nascosti 2'!$H$12*10^-3</f>
        <v>-3.5000000000000001E-3</v>
      </c>
      <c r="C197" s="68">
        <f>C196-('DATI nascosti 2'!$L$8*10^-3/100)</f>
        <v>2.8349999999999955E-2</v>
      </c>
      <c r="D197" s="68">
        <f>('DATI nascosti 2'!$H$12*(F197-'DATI nascosti 2'!$C$10))/(F197*1000)</f>
        <v>-2.2590909090909107E-3</v>
      </c>
      <c r="E197" s="67" t="s">
        <v>39</v>
      </c>
      <c r="F197" s="69">
        <f>(-'DATI nascosti 2'!$H$12*10^-3/(-'DATI nascosti 2'!$H$12*10^-3+C197))*'DATI nascosti 2'!$C$13</f>
        <v>126.92307692307712</v>
      </c>
      <c r="G197" s="70">
        <f t="shared" si="8"/>
        <v>39.978333333333296</v>
      </c>
      <c r="H197" s="70">
        <f t="shared" si="9"/>
        <v>81.720416666666537</v>
      </c>
      <c r="I197" s="70">
        <f>G197/('DATI nascosti 2'!$H$10*(-'DATI nascosti 2'!$H$12))</f>
        <v>0.80952380952380887</v>
      </c>
      <c r="J197" s="70">
        <f t="shared" si="10"/>
        <v>0.41596638655462226</v>
      </c>
      <c r="K197" s="71">
        <f>IF(D197&gt;=('DATI nascosti 2'!$L$10*10^-3),'DATI nascosti 2'!$L$14*'DATI nascosti 2'!$P$12,IF(D197&gt;=(-'DATI nascosti 2'!$L$10*10^-3),'DATI nascosti 2'!$L$16*D197*'DATI nascosti 2'!$P$12,-'DATI nascosti 2'!$L$14*'DATI nascosti 2'!$P$12))</f>
        <v>-614659.43222408998</v>
      </c>
      <c r="L197" s="71">
        <f>-'DATI nascosti 2'!$H$16*'DATI nascosti 2'!$C$6*I197*'DATI nascosti 2'!$H$10*F197</f>
        <v>-369689.75274725299</v>
      </c>
      <c r="M197" s="71">
        <f>IF(C197&gt;=('DATI nascosti 2'!$L$10*10^-3),'DATI nascosti 2'!$L$14*'DATI nascosti 2'!$P$11,IF(C197&gt;=(-'DATI nascosti 2'!$L$10*10^-3),'DATI nascosti 2'!$P$11*'DATI nascosti 2'!$L$16*C197,-'DATI nascosti 2'!$L$14*'DATI nascosti 2'!$P$11))</f>
        <v>614659.43222408998</v>
      </c>
      <c r="N197" s="71">
        <f t="shared" si="11"/>
        <v>-369689.75274725305</v>
      </c>
      <c r="O197" s="71">
        <f>-L197*('DATI nascosti 2'!$C$8/2-(J197*F197))-K197*('DATI nascosti 2'!$C$13/2)+M197*('DATI nascosti 2'!$C$13/2)</f>
        <v>912227454.13761401</v>
      </c>
      <c r="P197" s="69">
        <f>-'T2'!N197/10^3</f>
        <v>369.68975274725307</v>
      </c>
      <c r="Q197" s="69">
        <f>'T2'!O197/10^6</f>
        <v>912.22745413761402</v>
      </c>
      <c r="R197" s="72">
        <f>-N197/('DATI nascosti 2'!$C$6*'DATI nascosti 2'!$C$13*'DATI nascosti 2'!$H$10*'DATI nascosti 2'!$H$16)</f>
        <v>8.8958660387231908E-2</v>
      </c>
      <c r="S197" s="72">
        <f>O197/('DATI nascosti 2'!$H$16*'DATI nascosti 2'!$C$6*'DATI nascosti 2'!$C$13^2*'DATI nascosti 2'!$H$10)</f>
        <v>0.19005179503488054</v>
      </c>
      <c r="T197" s="73">
        <f t="shared" si="12"/>
        <v>-2467.5486603527238</v>
      </c>
      <c r="U197" s="67" t="str">
        <f>IF(T197&gt;=0, IF(T197&lt;='DATI nascosti 2'!$C$8/6, "SI", "NO"),IF(T197&gt; -'DATI nascosti 2'!$C$8/6, "SI", "NO"))</f>
        <v>NO</v>
      </c>
      <c r="V197" s="67" t="str">
        <f>IF(Foglio3!G198&lt;1,IF(Foglio3!G198&gt;-1,"ROTTURA BILANCIATA",""),"")</f>
        <v>ROTTURA BILANCIATA</v>
      </c>
    </row>
    <row r="198" spans="1:22" ht="18.75" x14ac:dyDescent="0.25">
      <c r="A198" s="20"/>
      <c r="B198" s="67">
        <f>'DATI nascosti 2'!$H$12*10^-3</f>
        <v>-3.5000000000000001E-3</v>
      </c>
      <c r="C198" s="68">
        <f>C197-('DATI nascosti 2'!$L$8*10^-3/100)</f>
        <v>2.7674999999999957E-2</v>
      </c>
      <c r="D198" s="68">
        <f>('DATI nascosti 2'!$H$12*(F198-'DATI nascosti 2'!$C$10))/(F198*1000)</f>
        <v>-2.2853896103896122E-3</v>
      </c>
      <c r="E198" s="67" t="s">
        <v>39</v>
      </c>
      <c r="F198" s="69">
        <f>(-'DATI nascosti 2'!$H$12*10^-3/(-'DATI nascosti 2'!$H$12*10^-3+C198))*'DATI nascosti 2'!$C$13</f>
        <v>129.67121090617502</v>
      </c>
      <c r="G198" s="70">
        <f t="shared" si="8"/>
        <v>39.978333333333296</v>
      </c>
      <c r="H198" s="70">
        <f t="shared" si="9"/>
        <v>81.720416666666537</v>
      </c>
      <c r="I198" s="70">
        <f>G198/('DATI nascosti 2'!$H$10*(-'DATI nascosti 2'!$H$12))</f>
        <v>0.80952380952380887</v>
      </c>
      <c r="J198" s="70">
        <f t="shared" si="10"/>
        <v>0.41596638655462226</v>
      </c>
      <c r="K198" s="71">
        <f>IF(D198&gt;=('DATI nascosti 2'!$L$10*10^-3),'DATI nascosti 2'!$L$14*'DATI nascosti 2'!$P$12,IF(D198&gt;=(-'DATI nascosti 2'!$L$10*10^-3),'DATI nascosti 2'!$L$16*D198*'DATI nascosti 2'!$P$12,-'DATI nascosti 2'!$L$14*'DATI nascosti 2'!$P$12))</f>
        <v>-614659.43222408998</v>
      </c>
      <c r="L198" s="71">
        <f>-'DATI nascosti 2'!$H$16*'DATI nascosti 2'!$C$6*I198*'DATI nascosti 2'!$H$10*F198</f>
        <v>-377694.26222935069</v>
      </c>
      <c r="M198" s="71">
        <f>IF(C198&gt;=('DATI nascosti 2'!$L$10*10^-3),'DATI nascosti 2'!$L$14*'DATI nascosti 2'!$P$11,IF(C198&gt;=(-'DATI nascosti 2'!$L$10*10^-3),'DATI nascosti 2'!$P$11*'DATI nascosti 2'!$L$16*C198,-'DATI nascosti 2'!$L$14*'DATI nascosti 2'!$P$11))</f>
        <v>614659.43222408998</v>
      </c>
      <c r="N198" s="71">
        <f t="shared" si="11"/>
        <v>-377694.26222935063</v>
      </c>
      <c r="O198" s="71">
        <f>-L198*('DATI nascosti 2'!$C$8/2-(J198*F198))-K198*('DATI nascosti 2'!$C$13/2)+M198*('DATI nascosti 2'!$C$13/2)</f>
        <v>916175801.7193594</v>
      </c>
      <c r="P198" s="69">
        <f>-'T2'!N198/10^3</f>
        <v>377.69426222935061</v>
      </c>
      <c r="Q198" s="69">
        <f>'T2'!O198/10^6</f>
        <v>916.17580171935936</v>
      </c>
      <c r="R198" s="72">
        <f>-N198/('DATI nascosti 2'!$C$6*'DATI nascosti 2'!$C$13*'DATI nascosti 2'!$H$10*'DATI nascosti 2'!$H$16)</f>
        <v>9.0884790163058074E-2</v>
      </c>
      <c r="S198" s="72">
        <f>O198/('DATI nascosti 2'!$H$16*'DATI nascosti 2'!$C$6*'DATI nascosti 2'!$C$13^2*'DATI nascosti 2'!$H$10)</f>
        <v>0.19087438652993891</v>
      </c>
      <c r="T198" s="73">
        <f t="shared" si="12"/>
        <v>-2425.7074923818195</v>
      </c>
      <c r="U198" s="67" t="str">
        <f>IF(T198&gt;=0, IF(T198&lt;='DATI nascosti 2'!$C$8/6, "SI", "NO"),IF(T198&gt; -'DATI nascosti 2'!$C$8/6, "SI", "NO"))</f>
        <v>NO</v>
      </c>
      <c r="V198" s="67" t="str">
        <f>IF(Foglio3!G199&lt;1,IF(Foglio3!G199&gt;-1,"ROTTURA BILANCIATA",""),"")</f>
        <v>ROTTURA BILANCIATA</v>
      </c>
    </row>
    <row r="199" spans="1:22" ht="18.75" x14ac:dyDescent="0.25">
      <c r="A199" s="20"/>
      <c r="B199" s="67">
        <f>'DATI nascosti 2'!$H$12*10^-3</f>
        <v>-3.5000000000000001E-3</v>
      </c>
      <c r="C199" s="68">
        <f>C198-('DATI nascosti 2'!$L$8*10^-3/100)</f>
        <v>2.6999999999999958E-2</v>
      </c>
      <c r="D199" s="68">
        <f>('DATI nascosti 2'!$H$12*(F199-'DATI nascosti 2'!$C$10))/(F199*1000)</f>
        <v>-2.3116883116883133E-3</v>
      </c>
      <c r="E199" s="67" t="s">
        <v>39</v>
      </c>
      <c r="F199" s="69">
        <f>(-'DATI nascosti 2'!$H$12*10^-3/(-'DATI nascosti 2'!$H$12*10^-3+C199))*'DATI nascosti 2'!$C$13</f>
        <v>132.54098360655755</v>
      </c>
      <c r="G199" s="70">
        <f t="shared" si="8"/>
        <v>39.978333333333296</v>
      </c>
      <c r="H199" s="70">
        <f t="shared" si="9"/>
        <v>81.720416666666537</v>
      </c>
      <c r="I199" s="70">
        <f>G199/('DATI nascosti 2'!$H$10*(-'DATI nascosti 2'!$H$12))</f>
        <v>0.80952380952380887</v>
      </c>
      <c r="J199" s="70">
        <f t="shared" si="10"/>
        <v>0.41596638655462226</v>
      </c>
      <c r="K199" s="71">
        <f>IF(D199&gt;=('DATI nascosti 2'!$L$10*10^-3),'DATI nascosti 2'!$L$14*'DATI nascosti 2'!$P$12,IF(D199&gt;=(-'DATI nascosti 2'!$L$10*10^-3),'DATI nascosti 2'!$L$16*D199*'DATI nascosti 2'!$P$12,-'DATI nascosti 2'!$L$14*'DATI nascosti 2'!$P$12))</f>
        <v>-614659.43222408998</v>
      </c>
      <c r="L199" s="71">
        <f>-'DATI nascosti 2'!$H$16*'DATI nascosti 2'!$C$6*I199*'DATI nascosti 2'!$H$10*F199</f>
        <v>-386053.06967213133</v>
      </c>
      <c r="M199" s="71">
        <f>IF(C199&gt;=('DATI nascosti 2'!$L$10*10^-3),'DATI nascosti 2'!$L$14*'DATI nascosti 2'!$P$11,IF(C199&gt;=(-'DATI nascosti 2'!$L$10*10^-3),'DATI nascosti 2'!$P$11*'DATI nascosti 2'!$L$16*C199,-'DATI nascosti 2'!$L$14*'DATI nascosti 2'!$P$11))</f>
        <v>614659.43222408998</v>
      </c>
      <c r="N199" s="71">
        <f t="shared" si="11"/>
        <v>-386053.06967213133</v>
      </c>
      <c r="O199" s="71">
        <f>-L199*('DATI nascosti 2'!$C$8/2-(J199*F199))-K199*('DATI nascosti 2'!$C$13/2)+M199*('DATI nascosti 2'!$C$13/2)</f>
        <v>920279378.86122525</v>
      </c>
      <c r="P199" s="69">
        <f>-'T2'!N199/10^3</f>
        <v>386.0530696721313</v>
      </c>
      <c r="Q199" s="69">
        <f>'T2'!O199/10^6</f>
        <v>920.27937886122527</v>
      </c>
      <c r="R199" s="72">
        <f>-N199/('DATI nascosti 2'!$C$6*'DATI nascosti 2'!$C$13*'DATI nascosti 2'!$H$10*'DATI nascosti 2'!$H$16)</f>
        <v>9.289617486338804E-2</v>
      </c>
      <c r="S199" s="72">
        <f>O199/('DATI nascosti 2'!$H$16*'DATI nascosti 2'!$C$6*'DATI nascosti 2'!$C$13^2*'DATI nascosti 2'!$H$10)</f>
        <v>0.19172931826690684</v>
      </c>
      <c r="T199" s="73">
        <f t="shared" si="12"/>
        <v>-2383.8157267932197</v>
      </c>
      <c r="U199" s="67" t="str">
        <f>IF(T199&gt;=0, IF(T199&lt;='DATI nascosti 2'!$C$8/6, "SI", "NO"),IF(T199&gt; -'DATI nascosti 2'!$C$8/6, "SI", "NO"))</f>
        <v>NO</v>
      </c>
      <c r="V199" s="67" t="str">
        <f>IF(Foglio3!G200&lt;1,IF(Foglio3!G200&gt;-1,"ROTTURA BILANCIATA",""),"")</f>
        <v>ROTTURA BILANCIATA</v>
      </c>
    </row>
    <row r="200" spans="1:22" ht="18.75" x14ac:dyDescent="0.25">
      <c r="A200" s="20"/>
      <c r="B200" s="67">
        <f>'DATI nascosti 2'!$H$12*10^-3</f>
        <v>-3.5000000000000001E-3</v>
      </c>
      <c r="C200" s="68">
        <f>C199-('DATI nascosti 2'!$L$8*10^-3/100)</f>
        <v>2.632499999999996E-2</v>
      </c>
      <c r="D200" s="68">
        <f>('DATI nascosti 2'!$H$12*(F200-'DATI nascosti 2'!$C$10))/(F200*1000)</f>
        <v>-2.3379870129870144E-3</v>
      </c>
      <c r="E200" s="67" t="s">
        <v>39</v>
      </c>
      <c r="F200" s="69">
        <f>(-'DATI nascosti 2'!$H$12*10^-3/(-'DATI nascosti 2'!$H$12*10^-3+C200))*'DATI nascosti 2'!$C$13</f>
        <v>135.5406538139147</v>
      </c>
      <c r="G200" s="70">
        <f t="shared" si="8"/>
        <v>39.978333333333296</v>
      </c>
      <c r="H200" s="70">
        <f t="shared" si="9"/>
        <v>81.720416666666537</v>
      </c>
      <c r="I200" s="70">
        <f>G200/('DATI nascosti 2'!$H$10*(-'DATI nascosti 2'!$H$12))</f>
        <v>0.80952380952380887</v>
      </c>
      <c r="J200" s="70">
        <f t="shared" si="10"/>
        <v>0.41596638655462226</v>
      </c>
      <c r="K200" s="71">
        <f>IF(D200&gt;=('DATI nascosti 2'!$L$10*10^-3),'DATI nascosti 2'!$L$14*'DATI nascosti 2'!$P$12,IF(D200&gt;=(-'DATI nascosti 2'!$L$10*10^-3),'DATI nascosti 2'!$L$16*D200*'DATI nascosti 2'!$P$12,-'DATI nascosti 2'!$L$14*'DATI nascosti 2'!$P$12))</f>
        <v>-614659.43222408998</v>
      </c>
      <c r="L200" s="71">
        <f>-'DATI nascosti 2'!$H$16*'DATI nascosti 2'!$C$6*I200*'DATI nascosti 2'!$H$10*F200</f>
        <v>-394790.23051131627</v>
      </c>
      <c r="M200" s="71">
        <f>IF(C200&gt;=('DATI nascosti 2'!$L$10*10^-3),'DATI nascosti 2'!$L$14*'DATI nascosti 2'!$P$11,IF(C200&gt;=(-'DATI nascosti 2'!$L$10*10^-3),'DATI nascosti 2'!$P$11*'DATI nascosti 2'!$L$16*C200,-'DATI nascosti 2'!$L$14*'DATI nascosti 2'!$P$11))</f>
        <v>614659.43222408998</v>
      </c>
      <c r="N200" s="71">
        <f t="shared" si="11"/>
        <v>-394790.23051131633</v>
      </c>
      <c r="O200" s="71">
        <f>-L200*('DATI nascosti 2'!$C$8/2-(J200*F200))-K200*('DATI nascosti 2'!$C$13/2)+M200*('DATI nascosti 2'!$C$13/2)</f>
        <v>924547368.78476429</v>
      </c>
      <c r="P200" s="69">
        <f>-'T2'!N200/10^3</f>
        <v>394.79023051131634</v>
      </c>
      <c r="Q200" s="69">
        <f>'T2'!O200/10^6</f>
        <v>924.54736878476433</v>
      </c>
      <c r="R200" s="72">
        <f>-N200/('DATI nascosti 2'!$C$6*'DATI nascosti 2'!$C$13*'DATI nascosti 2'!$H$10*'DATI nascosti 2'!$H$16)</f>
        <v>9.4998602961721246E-2</v>
      </c>
      <c r="S200" s="72">
        <f>O200/('DATI nascosti 2'!$H$16*'DATI nascosti 2'!$C$6*'DATI nascosti 2'!$C$13^2*'DATI nascosti 2'!$H$10)</f>
        <v>0.19261850346132328</v>
      </c>
      <c r="T200" s="73">
        <f t="shared" si="12"/>
        <v>-2341.8699282080206</v>
      </c>
      <c r="U200" s="67" t="str">
        <f>IF(T200&gt;=0, IF(T200&lt;='DATI nascosti 2'!$C$8/6, "SI", "NO"),IF(T200&gt; -'DATI nascosti 2'!$C$8/6, "SI", "NO"))</f>
        <v>NO</v>
      </c>
      <c r="V200" s="67" t="str">
        <f>IF(Foglio3!G201&lt;1,IF(Foglio3!G201&gt;-1,"ROTTURA BILANCIATA",""),"")</f>
        <v>ROTTURA BILANCIATA</v>
      </c>
    </row>
    <row r="201" spans="1:22" ht="18.75" x14ac:dyDescent="0.25">
      <c r="A201" s="20"/>
      <c r="B201" s="67">
        <f>'DATI nascosti 2'!$H$12*10^-3</f>
        <v>-3.5000000000000001E-3</v>
      </c>
      <c r="C201" s="68">
        <f>C200-('DATI nascosti 2'!$L$8*10^-3/100)</f>
        <v>2.5649999999999961E-2</v>
      </c>
      <c r="D201" s="68">
        <f>('DATI nascosti 2'!$H$12*(F201-'DATI nascosti 2'!$C$10))/(F201*1000)</f>
        <v>-2.3642857142857159E-3</v>
      </c>
      <c r="E201" s="67" t="s">
        <v>39</v>
      </c>
      <c r="F201" s="69">
        <f>(-'DATI nascosti 2'!$H$12*10^-3/(-'DATI nascosti 2'!$H$12*10^-3+C201))*'DATI nascosti 2'!$C$13</f>
        <v>138.67924528301907</v>
      </c>
      <c r="G201" s="70">
        <f t="shared" si="8"/>
        <v>39.978333333333296</v>
      </c>
      <c r="H201" s="70">
        <f t="shared" si="9"/>
        <v>81.720416666666537</v>
      </c>
      <c r="I201" s="70">
        <f>G201/('DATI nascosti 2'!$H$10*(-'DATI nascosti 2'!$H$12))</f>
        <v>0.80952380952380887</v>
      </c>
      <c r="J201" s="70">
        <f t="shared" si="10"/>
        <v>0.41596638655462226</v>
      </c>
      <c r="K201" s="71">
        <f>IF(D201&gt;=('DATI nascosti 2'!$L$10*10^-3),'DATI nascosti 2'!$L$14*'DATI nascosti 2'!$P$12,IF(D201&gt;=(-'DATI nascosti 2'!$L$10*10^-3),'DATI nascosti 2'!$L$16*D201*'DATI nascosti 2'!$P$12,-'DATI nascosti 2'!$L$14*'DATI nascosti 2'!$P$12))</f>
        <v>-614659.43222408998</v>
      </c>
      <c r="L201" s="71">
        <f>-'DATI nascosti 2'!$H$16*'DATI nascosti 2'!$C$6*I201*'DATI nascosti 2'!$H$10*F201</f>
        <v>-403932.02830188704</v>
      </c>
      <c r="M201" s="71">
        <f>IF(C201&gt;=('DATI nascosti 2'!$L$10*10^-3),'DATI nascosti 2'!$L$14*'DATI nascosti 2'!$P$11,IF(C201&gt;=(-'DATI nascosti 2'!$L$10*10^-3),'DATI nascosti 2'!$P$11*'DATI nascosti 2'!$L$16*C201,-'DATI nascosti 2'!$L$14*'DATI nascosti 2'!$P$11))</f>
        <v>614659.43222408998</v>
      </c>
      <c r="N201" s="71">
        <f t="shared" si="11"/>
        <v>-403932.02830188698</v>
      </c>
      <c r="O201" s="71">
        <f>-L201*('DATI nascosti 2'!$C$8/2-(J201*F201))-K201*('DATI nascosti 2'!$C$13/2)+M201*('DATI nascosti 2'!$C$13/2)</f>
        <v>928989676.7704438</v>
      </c>
      <c r="P201" s="69">
        <f>-'T2'!N201/10^3</f>
        <v>403.93202830188699</v>
      </c>
      <c r="Q201" s="69">
        <f>'T2'!O201/10^6</f>
        <v>928.98967677044379</v>
      </c>
      <c r="R201" s="72">
        <f>-N201/('DATI nascosti 2'!$C$6*'DATI nascosti 2'!$C$13*'DATI nascosti 2'!$H$10*'DATI nascosti 2'!$H$16)</f>
        <v>9.7198399085191609E-2</v>
      </c>
      <c r="S201" s="72">
        <f>O201/('DATI nascosti 2'!$H$16*'DATI nascosti 2'!$C$6*'DATI nascosti 2'!$C$13^2*'DATI nascosti 2'!$H$10)</f>
        <v>0.19354400576115738</v>
      </c>
      <c r="T201" s="73">
        <f t="shared" si="12"/>
        <v>-2299.8663430475585</v>
      </c>
      <c r="U201" s="67" t="str">
        <f>IF(T201&gt;=0, IF(T201&lt;='DATI nascosti 2'!$C$8/6, "SI", "NO"),IF(T201&gt; -'DATI nascosti 2'!$C$8/6, "SI", "NO"))</f>
        <v>NO</v>
      </c>
      <c r="V201" s="67" t="str">
        <f>IF(Foglio3!G202&lt;1,IF(Foglio3!G202&gt;-1,"ROTTURA BILANCIATA",""),"")</f>
        <v>ROTTURA BILANCIATA</v>
      </c>
    </row>
    <row r="202" spans="1:22" ht="18.75" x14ac:dyDescent="0.25">
      <c r="A202" s="20"/>
      <c r="B202" s="67">
        <f>'DATI nascosti 2'!$H$12*10^-3</f>
        <v>-3.5000000000000001E-3</v>
      </c>
      <c r="C202" s="68">
        <f>C201-('DATI nascosti 2'!$L$8*10^-3/100)</f>
        <v>2.4974999999999963E-2</v>
      </c>
      <c r="D202" s="68">
        <f>('DATI nascosti 2'!$H$12*(F202-'DATI nascosti 2'!$C$10))/(F202*1000)</f>
        <v>-2.390584415584417E-3</v>
      </c>
      <c r="E202" s="67" t="s">
        <v>39</v>
      </c>
      <c r="F202" s="69">
        <f>(-'DATI nascosti 2'!$H$12*10^-3/(-'DATI nascosti 2'!$H$12*10^-3+C202))*'DATI nascosti 2'!$C$13</f>
        <v>141.96663740122935</v>
      </c>
      <c r="G202" s="70">
        <f t="shared" si="8"/>
        <v>39.978333333333296</v>
      </c>
      <c r="H202" s="70">
        <f t="shared" si="9"/>
        <v>81.720416666666537</v>
      </c>
      <c r="I202" s="70">
        <f>G202/('DATI nascosti 2'!$H$10*(-'DATI nascosti 2'!$H$12))</f>
        <v>0.80952380952380887</v>
      </c>
      <c r="J202" s="70">
        <f t="shared" si="10"/>
        <v>0.41596638655462226</v>
      </c>
      <c r="K202" s="71">
        <f>IF(D202&gt;=('DATI nascosti 2'!$L$10*10^-3),'DATI nascosti 2'!$L$14*'DATI nascosti 2'!$P$12,IF(D202&gt;=(-'DATI nascosti 2'!$L$10*10^-3),'DATI nascosti 2'!$L$16*D202*'DATI nascosti 2'!$P$12,-'DATI nascosti 2'!$L$14*'DATI nascosti 2'!$P$12))</f>
        <v>-614659.43222408998</v>
      </c>
      <c r="L202" s="71">
        <f>-'DATI nascosti 2'!$H$16*'DATI nascosti 2'!$C$6*I202*'DATI nascosti 2'!$H$10*F202</f>
        <v>-413507.23880597035</v>
      </c>
      <c r="M202" s="71">
        <f>IF(C202&gt;=('DATI nascosti 2'!$L$10*10^-3),'DATI nascosti 2'!$L$14*'DATI nascosti 2'!$P$11,IF(C202&gt;=(-'DATI nascosti 2'!$L$10*10^-3),'DATI nascosti 2'!$P$11*'DATI nascosti 2'!$L$16*C202,-'DATI nascosti 2'!$L$14*'DATI nascosti 2'!$P$11))</f>
        <v>614659.43222408998</v>
      </c>
      <c r="N202" s="71">
        <f t="shared" si="11"/>
        <v>-413507.23880597041</v>
      </c>
      <c r="O202" s="71">
        <f>-L202*('DATI nascosti 2'!$C$8/2-(J202*F202))-K202*('DATI nascosti 2'!$C$13/2)+M202*('DATI nascosti 2'!$C$13/2)</f>
        <v>933617000.14441991</v>
      </c>
      <c r="P202" s="69">
        <f>-'T2'!N202/10^3</f>
        <v>413.50723880597042</v>
      </c>
      <c r="Q202" s="69">
        <f>'T2'!O202/10^6</f>
        <v>933.61700014441988</v>
      </c>
      <c r="R202" s="72">
        <f>-N202/('DATI nascosti 2'!$C$6*'DATI nascosti 2'!$C$13*'DATI nascosti 2'!$H$10*'DATI nascosti 2'!$H$16)</f>
        <v>9.9502487562189143E-2</v>
      </c>
      <c r="S202" s="72">
        <f>O202/('DATI nascosti 2'!$H$16*'DATI nascosti 2'!$C$6*'DATI nascosti 2'!$C$13^2*'DATI nascosti 2'!$H$10)</f>
        <v>0.19450805382772474</v>
      </c>
      <c r="T202" s="73">
        <f t="shared" si="12"/>
        <v>-2257.80086181877</v>
      </c>
      <c r="U202" s="67" t="str">
        <f>IF(T202&gt;=0, IF(T202&lt;='DATI nascosti 2'!$C$8/6, "SI", "NO"),IF(T202&gt; -'DATI nascosti 2'!$C$8/6, "SI", "NO"))</f>
        <v>NO</v>
      </c>
      <c r="V202" s="67" t="str">
        <f>IF(Foglio3!G203&lt;1,IF(Foglio3!G203&gt;-1,"ROTTURA BILANCIATA",""),"")</f>
        <v>ROTTURA BILANCIATA</v>
      </c>
    </row>
    <row r="203" spans="1:22" ht="18.75" x14ac:dyDescent="0.25">
      <c r="A203" s="20"/>
      <c r="B203" s="67">
        <f>'DATI nascosti 2'!$H$12*10^-3</f>
        <v>-3.5000000000000001E-3</v>
      </c>
      <c r="C203" s="68">
        <f>C202-('DATI nascosti 2'!$L$8*10^-3/100)</f>
        <v>2.4299999999999964E-2</v>
      </c>
      <c r="D203" s="68">
        <f>('DATI nascosti 2'!$H$12*(F203-'DATI nascosti 2'!$C$10))/(F203*1000)</f>
        <v>-2.4168831168831185E-3</v>
      </c>
      <c r="E203" s="67" t="s">
        <v>39</v>
      </c>
      <c r="F203" s="69">
        <f>(-'DATI nascosti 2'!$H$12*10^-3/(-'DATI nascosti 2'!$H$12*10^-3+C203))*'DATI nascosti 2'!$C$13</f>
        <v>145.41366906474838</v>
      </c>
      <c r="G203" s="70">
        <f t="shared" ref="G203:G239" si="13">$G$138</f>
        <v>39.978333333333296</v>
      </c>
      <c r="H203" s="70">
        <f t="shared" ref="H203:H239" si="14">$H$138</f>
        <v>81.720416666666537</v>
      </c>
      <c r="I203" s="70">
        <f>G203/('DATI nascosti 2'!$H$10*(-'DATI nascosti 2'!$H$12))</f>
        <v>0.80952380952380887</v>
      </c>
      <c r="J203" s="70">
        <f t="shared" si="10"/>
        <v>0.41596638655462226</v>
      </c>
      <c r="K203" s="71">
        <f>IF(D203&gt;=('DATI nascosti 2'!$L$10*10^-3),'DATI nascosti 2'!$L$14*'DATI nascosti 2'!$P$12,IF(D203&gt;=(-'DATI nascosti 2'!$L$10*10^-3),'DATI nascosti 2'!$L$16*D203*'DATI nascosti 2'!$P$12,-'DATI nascosti 2'!$L$14*'DATI nascosti 2'!$P$12))</f>
        <v>-614659.43222408998</v>
      </c>
      <c r="L203" s="71">
        <f>-'DATI nascosti 2'!$H$16*'DATI nascosti 2'!$C$6*I203*'DATI nascosti 2'!$H$10*F203</f>
        <v>-423547.43255395698</v>
      </c>
      <c r="M203" s="71">
        <f>IF(C203&gt;=('DATI nascosti 2'!$L$10*10^-3),'DATI nascosti 2'!$L$14*'DATI nascosti 2'!$P$11,IF(C203&gt;=(-'DATI nascosti 2'!$L$10*10^-3),'DATI nascosti 2'!$P$11*'DATI nascosti 2'!$L$16*C203,-'DATI nascosti 2'!$L$14*'DATI nascosti 2'!$P$11))</f>
        <v>614659.43222408998</v>
      </c>
      <c r="N203" s="71">
        <f t="shared" si="11"/>
        <v>-423547.43255395698</v>
      </c>
      <c r="O203" s="71">
        <f>-L203*('DATI nascosti 2'!$C$8/2-(J203*F203))-K203*('DATI nascosti 2'!$C$13/2)+M203*('DATI nascosti 2'!$C$13/2)</f>
        <v>938440906.13408935</v>
      </c>
      <c r="P203" s="69">
        <f>-'T2'!N203/10^3</f>
        <v>423.54743255395698</v>
      </c>
      <c r="Q203" s="69">
        <f>'T2'!O203/10^6</f>
        <v>938.44090613408935</v>
      </c>
      <c r="R203" s="72">
        <f>-N203/('DATI nascosti 2'!$C$6*'DATI nascosti 2'!$C$13*'DATI nascosti 2'!$H$10*'DATI nascosti 2'!$H$16)</f>
        <v>0.10191846522781781</v>
      </c>
      <c r="S203" s="72">
        <f>O203/('DATI nascosti 2'!$H$16*'DATI nascosti 2'!$C$6*'DATI nascosti 2'!$C$13^2*'DATI nascosti 2'!$H$10)</f>
        <v>0.19551305755597023</v>
      </c>
      <c r="T203" s="73">
        <f t="shared" si="12"/>
        <v>-2215.6689759051687</v>
      </c>
      <c r="U203" s="67" t="str">
        <f>IF(T203&gt;=0, IF(T203&lt;='DATI nascosti 2'!$C$8/6, "SI", "NO"),IF(T203&gt; -'DATI nascosti 2'!$C$8/6, "SI", "NO"))</f>
        <v>NO</v>
      </c>
      <c r="V203" s="67" t="str">
        <f>IF(Foglio3!G204&lt;1,IF(Foglio3!G204&gt;-1,"ROTTURA BILANCIATA",""),"")</f>
        <v>ROTTURA BILANCIATA</v>
      </c>
    </row>
    <row r="204" spans="1:22" ht="18.75" x14ac:dyDescent="0.25">
      <c r="A204" s="20"/>
      <c r="B204" s="67">
        <f>'DATI nascosti 2'!$H$12*10^-3</f>
        <v>-3.5000000000000001E-3</v>
      </c>
      <c r="C204" s="68">
        <f>C203-('DATI nascosti 2'!$L$8*10^-3/100)</f>
        <v>2.3624999999999965E-2</v>
      </c>
      <c r="D204" s="68">
        <f>('DATI nascosti 2'!$H$12*(F204-'DATI nascosti 2'!$C$10))/(F204*1000)</f>
        <v>-2.4431818181818196E-3</v>
      </c>
      <c r="E204" s="67" t="s">
        <v>39</v>
      </c>
      <c r="F204" s="69">
        <f>(-'DATI nascosti 2'!$H$12*10^-3/(-'DATI nascosti 2'!$H$12*10^-3+C204))*'DATI nascosti 2'!$C$13</f>
        <v>149.03225806451633</v>
      </c>
      <c r="G204" s="70">
        <f t="shared" si="13"/>
        <v>39.978333333333296</v>
      </c>
      <c r="H204" s="70">
        <f t="shared" si="14"/>
        <v>81.720416666666537</v>
      </c>
      <c r="I204" s="70">
        <f>G204/('DATI nascosti 2'!$H$10*(-'DATI nascosti 2'!$H$12))</f>
        <v>0.80952380952380887</v>
      </c>
      <c r="J204" s="70">
        <f t="shared" si="10"/>
        <v>0.41596638655462226</v>
      </c>
      <c r="K204" s="71">
        <f>IF(D204&gt;=('DATI nascosti 2'!$L$10*10^-3),'DATI nascosti 2'!$L$14*'DATI nascosti 2'!$P$12,IF(D204&gt;=(-'DATI nascosti 2'!$L$10*10^-3),'DATI nascosti 2'!$L$16*D204*'DATI nascosti 2'!$P$12,-'DATI nascosti 2'!$L$14*'DATI nascosti 2'!$P$12))</f>
        <v>-614659.43222408998</v>
      </c>
      <c r="L204" s="71">
        <f>-'DATI nascosti 2'!$H$16*'DATI nascosti 2'!$C$6*I204*'DATI nascosti 2'!$H$10*F204</f>
        <v>-434087.32258064538</v>
      </c>
      <c r="M204" s="71">
        <f>IF(C204&gt;=('DATI nascosti 2'!$L$10*10^-3),'DATI nascosti 2'!$L$14*'DATI nascosti 2'!$P$11,IF(C204&gt;=(-'DATI nascosti 2'!$L$10*10^-3),'DATI nascosti 2'!$P$11*'DATI nascosti 2'!$L$16*C204,-'DATI nascosti 2'!$L$14*'DATI nascosti 2'!$P$11))</f>
        <v>614659.43222408998</v>
      </c>
      <c r="N204" s="71">
        <f t="shared" si="11"/>
        <v>-434087.32258064533</v>
      </c>
      <c r="O204" s="71">
        <f>-L204*('DATI nascosti 2'!$C$8/2-(J204*F204))-K204*('DATI nascosti 2'!$C$13/2)+M204*('DATI nascosti 2'!$C$13/2)</f>
        <v>943473918.54764819</v>
      </c>
      <c r="P204" s="69">
        <f>-'T2'!N204/10^3</f>
        <v>434.08732258064532</v>
      </c>
      <c r="Q204" s="69">
        <f>'T2'!O204/10^6</f>
        <v>943.47391854764817</v>
      </c>
      <c r="R204" s="72">
        <f>-N204/('DATI nascosti 2'!$C$6*'DATI nascosti 2'!$C$13*'DATI nascosti 2'!$H$10*'DATI nascosti 2'!$H$16)</f>
        <v>0.10445468509984646</v>
      </c>
      <c r="S204" s="72">
        <f>O204/('DATI nascosti 2'!$H$16*'DATI nascosti 2'!$C$6*'DATI nascosti 2'!$C$13^2*'DATI nascosti 2'!$H$10)</f>
        <v>0.19656162613312839</v>
      </c>
      <c r="T204" s="73">
        <f t="shared" si="12"/>
        <v>-2173.4657279063208</v>
      </c>
      <c r="U204" s="67" t="str">
        <f>IF(T204&gt;=0, IF(T204&lt;='DATI nascosti 2'!$C$8/6, "SI", "NO"),IF(T204&gt; -'DATI nascosti 2'!$C$8/6, "SI", "NO"))</f>
        <v>NO</v>
      </c>
      <c r="V204" s="67" t="str">
        <f>IF(Foglio3!G205&lt;1,IF(Foglio3!G205&gt;-1,"ROTTURA BILANCIATA",""),"")</f>
        <v>ROTTURA BILANCIATA</v>
      </c>
    </row>
    <row r="205" spans="1:22" ht="18.75" x14ac:dyDescent="0.25">
      <c r="A205" s="20"/>
      <c r="B205" s="67">
        <f>'DATI nascosti 2'!$H$12*10^-3</f>
        <v>-3.5000000000000001E-3</v>
      </c>
      <c r="C205" s="68">
        <f>C204-('DATI nascosti 2'!$L$8*10^-3/100)</f>
        <v>2.2949999999999967E-2</v>
      </c>
      <c r="D205" s="68">
        <f>('DATI nascosti 2'!$H$12*(F205-'DATI nascosti 2'!$C$10))/(F205*1000)</f>
        <v>-2.4694805194805211E-3</v>
      </c>
      <c r="E205" s="67" t="s">
        <v>39</v>
      </c>
      <c r="F205" s="69">
        <f>(-'DATI nascosti 2'!$H$12*10^-3/(-'DATI nascosti 2'!$H$12*10^-3+C205))*'DATI nascosti 2'!$C$13</f>
        <v>152.83553875236316</v>
      </c>
      <c r="G205" s="70">
        <f t="shared" si="13"/>
        <v>39.978333333333296</v>
      </c>
      <c r="H205" s="70">
        <f t="shared" si="14"/>
        <v>81.720416666666537</v>
      </c>
      <c r="I205" s="70">
        <f>G205/('DATI nascosti 2'!$H$10*(-'DATI nascosti 2'!$H$12))</f>
        <v>0.80952380952380887</v>
      </c>
      <c r="J205" s="70">
        <f t="shared" si="10"/>
        <v>0.41596638655462226</v>
      </c>
      <c r="K205" s="71">
        <f>IF(D205&gt;=('DATI nascosti 2'!$L$10*10^-3),'DATI nascosti 2'!$L$14*'DATI nascosti 2'!$P$12,IF(D205&gt;=(-'DATI nascosti 2'!$L$10*10^-3),'DATI nascosti 2'!$L$16*D205*'DATI nascosti 2'!$P$12,-'DATI nascosti 2'!$L$14*'DATI nascosti 2'!$P$12))</f>
        <v>-614659.43222408998</v>
      </c>
      <c r="L205" s="71">
        <f>-'DATI nascosti 2'!$H$16*'DATI nascosti 2'!$C$6*I205*'DATI nascosti 2'!$H$10*F205</f>
        <v>-445165.16540642746</v>
      </c>
      <c r="M205" s="71">
        <f>IF(C205&gt;=('DATI nascosti 2'!$L$10*10^-3),'DATI nascosti 2'!$L$14*'DATI nascosti 2'!$P$11,IF(C205&gt;=(-'DATI nascosti 2'!$L$10*10^-3),'DATI nascosti 2'!$P$11*'DATI nascosti 2'!$L$16*C205,-'DATI nascosti 2'!$L$14*'DATI nascosti 2'!$P$11))</f>
        <v>614659.43222408998</v>
      </c>
      <c r="N205" s="71">
        <f t="shared" si="11"/>
        <v>-445165.16540642758</v>
      </c>
      <c r="O205" s="71">
        <f>-L205*('DATI nascosti 2'!$C$8/2-(J205*F205))-K205*('DATI nascosti 2'!$C$13/2)+M205*('DATI nascosti 2'!$C$13/2)</f>
        <v>948729614.34092009</v>
      </c>
      <c r="P205" s="69">
        <f>-'T2'!N205/10^3</f>
        <v>445.1651654064276</v>
      </c>
      <c r="Q205" s="69">
        <f>'T2'!O205/10^6</f>
        <v>948.72961434092008</v>
      </c>
      <c r="R205" s="72">
        <f>-N205/('DATI nascosti 2'!$C$6*'DATI nascosti 2'!$C$13*'DATI nascosti 2'!$H$10*'DATI nascosti 2'!$H$16)</f>
        <v>0.10712035286704485</v>
      </c>
      <c r="S205" s="72">
        <f>O205/('DATI nascosti 2'!$H$16*'DATI nascosti 2'!$C$6*'DATI nascosti 2'!$C$13^2*'DATI nascosti 2'!$H$10)</f>
        <v>0.19765658815727935</v>
      </c>
      <c r="T205" s="73">
        <f t="shared" si="12"/>
        <v>-2131.1856543733547</v>
      </c>
      <c r="U205" s="67" t="str">
        <f>IF(T205&gt;=0, IF(T205&lt;='DATI nascosti 2'!$C$8/6, "SI", "NO"),IF(T205&gt; -'DATI nascosti 2'!$C$8/6, "SI", "NO"))</f>
        <v>NO</v>
      </c>
      <c r="V205" s="67" t="str">
        <f>IF(Foglio3!G206&lt;1,IF(Foglio3!G206&gt;-1,"ROTTURA BILANCIATA",""),"")</f>
        <v>ROTTURA BILANCIATA</v>
      </c>
    </row>
    <row r="206" spans="1:22" ht="18.75" x14ac:dyDescent="0.25">
      <c r="A206" s="20"/>
      <c r="B206" s="67">
        <f>'DATI nascosti 2'!$H$12*10^-3</f>
        <v>-3.5000000000000001E-3</v>
      </c>
      <c r="C206" s="68">
        <f>C205-('DATI nascosti 2'!$L$8*10^-3/100)</f>
        <v>2.2274999999999968E-2</v>
      </c>
      <c r="D206" s="68">
        <f>('DATI nascosti 2'!$H$12*(F206-'DATI nascosti 2'!$C$10))/(F206*1000)</f>
        <v>-2.4957792207792222E-3</v>
      </c>
      <c r="E206" s="67" t="s">
        <v>39</v>
      </c>
      <c r="F206" s="69">
        <f>(-'DATI nascosti 2'!$H$12*10^-3/(-'DATI nascosti 2'!$H$12*10^-3+C206))*'DATI nascosti 2'!$C$13</f>
        <v>156.83802133850651</v>
      </c>
      <c r="G206" s="70">
        <f t="shared" si="13"/>
        <v>39.978333333333296</v>
      </c>
      <c r="H206" s="70">
        <f t="shared" si="14"/>
        <v>81.720416666666537</v>
      </c>
      <c r="I206" s="70">
        <f>G206/('DATI nascosti 2'!$H$10*(-'DATI nascosti 2'!$H$12))</f>
        <v>0.80952380952380887</v>
      </c>
      <c r="J206" s="70">
        <f t="shared" si="10"/>
        <v>0.41596638655462226</v>
      </c>
      <c r="K206" s="71">
        <f>IF(D206&gt;=('DATI nascosti 2'!$L$10*10^-3),'DATI nascosti 2'!$L$14*'DATI nascosti 2'!$P$12,IF(D206&gt;=(-'DATI nascosti 2'!$L$10*10^-3),'DATI nascosti 2'!$L$16*D206*'DATI nascosti 2'!$P$12,-'DATI nascosti 2'!$L$14*'DATI nascosti 2'!$P$12))</f>
        <v>-614659.43222408998</v>
      </c>
      <c r="L206" s="71">
        <f>-'DATI nascosti 2'!$H$16*'DATI nascosti 2'!$C$6*I206*'DATI nascosti 2'!$H$10*F206</f>
        <v>-456823.22502424847</v>
      </c>
      <c r="M206" s="71">
        <f>IF(C206&gt;=('DATI nascosti 2'!$L$10*10^-3),'DATI nascosti 2'!$L$14*'DATI nascosti 2'!$P$11,IF(C206&gt;=(-'DATI nascosti 2'!$L$10*10^-3),'DATI nascosti 2'!$P$11*'DATI nascosti 2'!$L$16*C206,-'DATI nascosti 2'!$L$14*'DATI nascosti 2'!$P$11))</f>
        <v>614659.43222408998</v>
      </c>
      <c r="N206" s="71">
        <f t="shared" si="11"/>
        <v>-456823.22502424847</v>
      </c>
      <c r="O206" s="71">
        <f>-L206*('DATI nascosti 2'!$C$8/2-(J206*F206))-K206*('DATI nascosti 2'!$C$13/2)+M206*('DATI nascosti 2'!$C$13/2)</f>
        <v>954222731.24718153</v>
      </c>
      <c r="P206" s="69">
        <f>-'T2'!N206/10^3</f>
        <v>456.82322502424847</v>
      </c>
      <c r="Q206" s="69">
        <f>'T2'!O206/10^6</f>
        <v>954.22273124718151</v>
      </c>
      <c r="R206" s="72">
        <f>-N206/('DATI nascosti 2'!$C$6*'DATI nascosti 2'!$C$13*'DATI nascosti 2'!$H$10*'DATI nascosti 2'!$H$16)</f>
        <v>0.1099256385386357</v>
      </c>
      <c r="S206" s="72">
        <f>O206/('DATI nascosti 2'!$H$16*'DATI nascosti 2'!$C$6*'DATI nascosti 2'!$C$13^2*'DATI nascosti 2'!$H$10)</f>
        <v>0.19880101406074918</v>
      </c>
      <c r="T206" s="73">
        <f t="shared" si="12"/>
        <v>-2088.8227195465615</v>
      </c>
      <c r="U206" s="67" t="str">
        <f>IF(T206&gt;=0, IF(T206&lt;='DATI nascosti 2'!$C$8/6, "SI", "NO"),IF(T206&gt; -'DATI nascosti 2'!$C$8/6, "SI", "NO"))</f>
        <v>NO</v>
      </c>
      <c r="V206" s="67" t="str">
        <f>IF(Foglio3!G207&lt;1,IF(Foglio3!G207&gt;-1,"ROTTURA BILANCIATA",""),"")</f>
        <v>ROTTURA BILANCIATA</v>
      </c>
    </row>
    <row r="207" spans="1:22" ht="18.75" x14ac:dyDescent="0.25">
      <c r="A207" s="20"/>
      <c r="B207" s="67">
        <f>'DATI nascosti 2'!$H$12*10^-3</f>
        <v>-3.5000000000000001E-3</v>
      </c>
      <c r="C207" s="68">
        <f>C206-('DATI nascosti 2'!$L$8*10^-3/100)</f>
        <v>2.159999999999997E-2</v>
      </c>
      <c r="D207" s="68">
        <f>('DATI nascosti 2'!$H$12*(F207-'DATI nascosti 2'!$C$10))/(F207*1000)</f>
        <v>-2.5220779220779233E-3</v>
      </c>
      <c r="E207" s="67" t="s">
        <v>39</v>
      </c>
      <c r="F207" s="69">
        <f>(-'DATI nascosti 2'!$H$12*10^-3/(-'DATI nascosti 2'!$H$12*10^-3+C207))*'DATI nascosti 2'!$C$13</f>
        <v>161.05577689243049</v>
      </c>
      <c r="G207" s="70">
        <f t="shared" si="13"/>
        <v>39.978333333333296</v>
      </c>
      <c r="H207" s="70">
        <f t="shared" si="14"/>
        <v>81.720416666666537</v>
      </c>
      <c r="I207" s="70">
        <f>G207/('DATI nascosti 2'!$H$10*(-'DATI nascosti 2'!$H$12))</f>
        <v>0.80952380952380887</v>
      </c>
      <c r="J207" s="70">
        <f t="shared" si="10"/>
        <v>0.41596638655462226</v>
      </c>
      <c r="K207" s="71">
        <f>IF(D207&gt;=('DATI nascosti 2'!$L$10*10^-3),'DATI nascosti 2'!$L$14*'DATI nascosti 2'!$P$12,IF(D207&gt;=(-'DATI nascosti 2'!$L$10*10^-3),'DATI nascosti 2'!$L$16*D207*'DATI nascosti 2'!$P$12,-'DATI nascosti 2'!$L$14*'DATI nascosti 2'!$P$12))</f>
        <v>-614659.43222408998</v>
      </c>
      <c r="L207" s="71">
        <f>-'DATI nascosti 2'!$H$16*'DATI nascosti 2'!$C$6*I207*'DATI nascosti 2'!$H$10*F207</f>
        <v>-469108.31175298826</v>
      </c>
      <c r="M207" s="71">
        <f>IF(C207&gt;=('DATI nascosti 2'!$L$10*10^-3),'DATI nascosti 2'!$L$14*'DATI nascosti 2'!$P$11,IF(C207&gt;=(-'DATI nascosti 2'!$L$10*10^-3),'DATI nascosti 2'!$P$11*'DATI nascosti 2'!$L$16*C207,-'DATI nascosti 2'!$L$14*'DATI nascosti 2'!$P$11))</f>
        <v>614659.43222408998</v>
      </c>
      <c r="N207" s="71">
        <f t="shared" si="11"/>
        <v>-469108.31175298826</v>
      </c>
      <c r="O207" s="71">
        <f>-L207*('DATI nascosti 2'!$C$8/2-(J207*F207))-K207*('DATI nascosti 2'!$C$13/2)+M207*('DATI nascosti 2'!$C$13/2)</f>
        <v>959969287.75796425</v>
      </c>
      <c r="P207" s="69">
        <f>-'T2'!N207/10^3</f>
        <v>469.10831175298824</v>
      </c>
      <c r="Q207" s="69">
        <f>'T2'!O207/10^6</f>
        <v>959.96928775796425</v>
      </c>
      <c r="R207" s="72">
        <f>-N207/('DATI nascosti 2'!$C$6*'DATI nascosti 2'!$C$13*'DATI nascosti 2'!$H$10*'DATI nascosti 2'!$H$16)</f>
        <v>0.11288180610889782</v>
      </c>
      <c r="S207" s="72">
        <f>O207/('DATI nascosti 2'!$H$16*'DATI nascosti 2'!$C$6*'DATI nascosti 2'!$C$13^2*'DATI nascosti 2'!$H$10)</f>
        <v>0.1999982411066904</v>
      </c>
      <c r="T207" s="73">
        <f t="shared" si="12"/>
        <v>-2046.3702384012367</v>
      </c>
      <c r="U207" s="67" t="str">
        <f>IF(T207&gt;=0, IF(T207&lt;='DATI nascosti 2'!$C$8/6, "SI", "NO"),IF(T207&gt; -'DATI nascosti 2'!$C$8/6, "SI", "NO"))</f>
        <v>NO</v>
      </c>
      <c r="V207" s="67" t="str">
        <f>IF(Foglio3!G208&lt;1,IF(Foglio3!G208&gt;-1,"ROTTURA BILANCIATA",""),"")</f>
        <v>ROTTURA BILANCIATA</v>
      </c>
    </row>
    <row r="208" spans="1:22" ht="18.75" x14ac:dyDescent="0.25">
      <c r="A208" s="20"/>
      <c r="B208" s="67">
        <f>'DATI nascosti 2'!$H$12*10^-3</f>
        <v>-3.5000000000000001E-3</v>
      </c>
      <c r="C208" s="68">
        <f>C207-('DATI nascosti 2'!$L$8*10^-3/100)</f>
        <v>2.0924999999999971E-2</v>
      </c>
      <c r="D208" s="68">
        <f>('DATI nascosti 2'!$H$12*(F208-'DATI nascosti 2'!$C$10))/(F208*1000)</f>
        <v>-2.5483766233766244E-3</v>
      </c>
      <c r="E208" s="67" t="s">
        <v>39</v>
      </c>
      <c r="F208" s="69">
        <f>(-'DATI nascosti 2'!$H$12*10^-3/(-'DATI nascosti 2'!$H$12*10^-3+C208))*'DATI nascosti 2'!$C$13</f>
        <v>165.5066530194475</v>
      </c>
      <c r="G208" s="70">
        <f t="shared" si="13"/>
        <v>39.978333333333296</v>
      </c>
      <c r="H208" s="70">
        <f t="shared" si="14"/>
        <v>81.720416666666537</v>
      </c>
      <c r="I208" s="70">
        <f>G208/('DATI nascosti 2'!$H$10*(-'DATI nascosti 2'!$H$12))</f>
        <v>0.80952380952380887</v>
      </c>
      <c r="J208" s="70">
        <f t="shared" si="10"/>
        <v>0.41596638655462226</v>
      </c>
      <c r="K208" s="71">
        <f>IF(D208&gt;=('DATI nascosti 2'!$L$10*10^-3),'DATI nascosti 2'!$L$14*'DATI nascosti 2'!$P$12,IF(D208&gt;=(-'DATI nascosti 2'!$L$10*10^-3),'DATI nascosti 2'!$L$16*D208*'DATI nascosti 2'!$P$12,-'DATI nascosti 2'!$L$14*'DATI nascosti 2'!$P$12))</f>
        <v>-614659.43222408998</v>
      </c>
      <c r="L208" s="71">
        <f>-'DATI nascosti 2'!$H$16*'DATI nascosti 2'!$C$6*I208*'DATI nascosti 2'!$H$10*F208</f>
        <v>-482072.410440123</v>
      </c>
      <c r="M208" s="71">
        <f>IF(C208&gt;=('DATI nascosti 2'!$L$10*10^-3),'DATI nascosti 2'!$L$14*'DATI nascosti 2'!$P$11,IF(C208&gt;=(-'DATI nascosti 2'!$L$10*10^-3),'DATI nascosti 2'!$P$11*'DATI nascosti 2'!$L$16*C208,-'DATI nascosti 2'!$L$14*'DATI nascosti 2'!$P$11))</f>
        <v>614659.43222408998</v>
      </c>
      <c r="N208" s="71">
        <f t="shared" si="11"/>
        <v>-482072.41044012294</v>
      </c>
      <c r="O208" s="71">
        <f>-L208*('DATI nascosti 2'!$C$8/2-(J208*F208))-K208*('DATI nascosti 2'!$C$13/2)+M208*('DATI nascosti 2'!$C$13/2)</f>
        <v>965986716.8470521</v>
      </c>
      <c r="P208" s="69">
        <f>-'T2'!N208/10^3</f>
        <v>482.07241044012295</v>
      </c>
      <c r="Q208" s="69">
        <f>'T2'!O208/10^6</f>
        <v>965.98671684705209</v>
      </c>
      <c r="R208" s="72">
        <f>-N208/('DATI nascosti 2'!$C$6*'DATI nascosti 2'!$C$13*'DATI nascosti 2'!$H$10*'DATI nascosti 2'!$H$16)</f>
        <v>0.11600136472193796</v>
      </c>
      <c r="S208" s="72">
        <f>O208/('DATI nascosti 2'!$H$16*'DATI nascosti 2'!$C$6*'DATI nascosti 2'!$C$13^2*'DATI nascosti 2'!$H$10)</f>
        <v>0.20125190124889406</v>
      </c>
      <c r="T208" s="73">
        <f t="shared" si="12"/>
        <v>-2003.8207869334913</v>
      </c>
      <c r="U208" s="67" t="str">
        <f>IF(T208&gt;=0, IF(T208&lt;='DATI nascosti 2'!$C$8/6, "SI", "NO"),IF(T208&gt; -'DATI nascosti 2'!$C$8/6, "SI", "NO"))</f>
        <v>NO</v>
      </c>
      <c r="V208" s="67" t="str">
        <f>IF(Foglio3!G209&lt;1,IF(Foglio3!G209&gt;-1,"ROTTURA BILANCIATA",""),"")</f>
        <v>ROTTURA BILANCIATA</v>
      </c>
    </row>
    <row r="209" spans="1:22" ht="18.75" x14ac:dyDescent="0.25">
      <c r="A209" s="20"/>
      <c r="B209" s="67">
        <f>'DATI nascosti 2'!$H$12*10^-3</f>
        <v>-3.5000000000000001E-3</v>
      </c>
      <c r="C209" s="68">
        <f>C208-('DATI nascosti 2'!$L$8*10^-3/100)</f>
        <v>2.0249999999999973E-2</v>
      </c>
      <c r="D209" s="68">
        <f>('DATI nascosti 2'!$H$12*(F209-'DATI nascosti 2'!$C$10))/(F209*1000)</f>
        <v>-2.5746753246753259E-3</v>
      </c>
      <c r="E209" s="67" t="s">
        <v>39</v>
      </c>
      <c r="F209" s="69">
        <f>(-'DATI nascosti 2'!$H$12*10^-3/(-'DATI nascosti 2'!$H$12*10^-3+C209))*'DATI nascosti 2'!$C$13</f>
        <v>170.21052631578968</v>
      </c>
      <c r="G209" s="70">
        <f t="shared" si="13"/>
        <v>39.978333333333296</v>
      </c>
      <c r="H209" s="70">
        <f t="shared" si="14"/>
        <v>81.720416666666537</v>
      </c>
      <c r="I209" s="70">
        <f>G209/('DATI nascosti 2'!$H$10*(-'DATI nascosti 2'!$H$12))</f>
        <v>0.80952380952380887</v>
      </c>
      <c r="J209" s="70">
        <f t="shared" si="10"/>
        <v>0.41596638655462226</v>
      </c>
      <c r="K209" s="71">
        <f>IF(D209&gt;=('DATI nascosti 2'!$L$10*10^-3),'DATI nascosti 2'!$L$14*'DATI nascosti 2'!$P$12,IF(D209&gt;=(-'DATI nascosti 2'!$L$10*10^-3),'DATI nascosti 2'!$L$16*D209*'DATI nascosti 2'!$P$12,-'DATI nascosti 2'!$L$14*'DATI nascosti 2'!$P$12))</f>
        <v>-614659.43222408998</v>
      </c>
      <c r="L209" s="71">
        <f>-'DATI nascosti 2'!$H$16*'DATI nascosti 2'!$C$6*I209*'DATI nascosti 2'!$H$10*F209</f>
        <v>-495773.41578947386</v>
      </c>
      <c r="M209" s="71">
        <f>IF(C209&gt;=('DATI nascosti 2'!$L$10*10^-3),'DATI nascosti 2'!$L$14*'DATI nascosti 2'!$P$11,IF(C209&gt;=(-'DATI nascosti 2'!$L$10*10^-3),'DATI nascosti 2'!$P$11*'DATI nascosti 2'!$L$16*C209,-'DATI nascosti 2'!$L$14*'DATI nascosti 2'!$P$11))</f>
        <v>614659.43222408998</v>
      </c>
      <c r="N209" s="71">
        <f t="shared" si="11"/>
        <v>-495773.4157894738</v>
      </c>
      <c r="O209" s="71">
        <f>-L209*('DATI nascosti 2'!$C$8/2-(J209*F209))-K209*('DATI nascosti 2'!$C$13/2)+M209*('DATI nascosti 2'!$C$13/2)</f>
        <v>972294014.91328382</v>
      </c>
      <c r="P209" s="69">
        <f>-'T2'!N209/10^3</f>
        <v>495.7734157894738</v>
      </c>
      <c r="Q209" s="69">
        <f>'T2'!O209/10^6</f>
        <v>972.29401491328383</v>
      </c>
      <c r="R209" s="72">
        <f>-N209/('DATI nascosti 2'!$C$6*'DATI nascosti 2'!$C$13*'DATI nascosti 2'!$H$10*'DATI nascosti 2'!$H$16)</f>
        <v>0.11929824561403514</v>
      </c>
      <c r="S209" s="72">
        <f>O209/('DATI nascosti 2'!$H$16*'DATI nascosti 2'!$C$6*'DATI nascosti 2'!$C$13^2*'DATI nascosti 2'!$H$10)</f>
        <v>0.20256595216226039</v>
      </c>
      <c r="T209" s="73">
        <f t="shared" si="12"/>
        <v>-1961.1660971474128</v>
      </c>
      <c r="U209" s="67" t="str">
        <f>IF(T209&gt;=0, IF(T209&lt;='DATI nascosti 2'!$C$8/6, "SI", "NO"),IF(T209&gt; -'DATI nascosti 2'!$C$8/6, "SI", "NO"))</f>
        <v>NO</v>
      </c>
      <c r="V209" s="67" t="str">
        <f>IF(Foglio3!G210&lt;1,IF(Foglio3!G210&gt;-1,"ROTTURA BILANCIATA",""),"")</f>
        <v>ROTTURA BILANCIATA</v>
      </c>
    </row>
    <row r="210" spans="1:22" ht="18.75" x14ac:dyDescent="0.25">
      <c r="A210" s="20"/>
      <c r="B210" s="67">
        <f>'DATI nascosti 2'!$H$12*10^-3</f>
        <v>-3.5000000000000001E-3</v>
      </c>
      <c r="C210" s="68">
        <f>C209-('DATI nascosti 2'!$L$8*10^-3/100)</f>
        <v>1.9574999999999974E-2</v>
      </c>
      <c r="D210" s="68">
        <f>('DATI nascosti 2'!$H$12*(F210-'DATI nascosti 2'!$C$10))/(F210*1000)</f>
        <v>-2.600974025974027E-3</v>
      </c>
      <c r="E210" s="67" t="s">
        <v>39</v>
      </c>
      <c r="F210" s="69">
        <f>(-'DATI nascosti 2'!$H$12*10^-3/(-'DATI nascosti 2'!$H$12*10^-3+C210))*'DATI nascosti 2'!$C$13</f>
        <v>175.18959913326128</v>
      </c>
      <c r="G210" s="70">
        <f t="shared" si="13"/>
        <v>39.978333333333296</v>
      </c>
      <c r="H210" s="70">
        <f t="shared" si="14"/>
        <v>81.720416666666537</v>
      </c>
      <c r="I210" s="70">
        <f>G210/('DATI nascosti 2'!$H$10*(-'DATI nascosti 2'!$H$12))</f>
        <v>0.80952380952380887</v>
      </c>
      <c r="J210" s="70">
        <f t="shared" si="10"/>
        <v>0.41596638655462226</v>
      </c>
      <c r="K210" s="71">
        <f>IF(D210&gt;=('DATI nascosti 2'!$L$10*10^-3),'DATI nascosti 2'!$L$14*'DATI nascosti 2'!$P$12,IF(D210&gt;=(-'DATI nascosti 2'!$L$10*10^-3),'DATI nascosti 2'!$L$16*D210*'DATI nascosti 2'!$P$12,-'DATI nascosti 2'!$L$14*'DATI nascosti 2'!$P$12))</f>
        <v>-614659.43222408998</v>
      </c>
      <c r="L210" s="71">
        <f>-'DATI nascosti 2'!$H$16*'DATI nascosti 2'!$C$6*I210*'DATI nascosti 2'!$H$10*F210</f>
        <v>-510275.99674972921</v>
      </c>
      <c r="M210" s="71">
        <f>IF(C210&gt;=('DATI nascosti 2'!$L$10*10^-3),'DATI nascosti 2'!$L$14*'DATI nascosti 2'!$P$11,IF(C210&gt;=(-'DATI nascosti 2'!$L$10*10^-3),'DATI nascosti 2'!$P$11*'DATI nascosti 2'!$L$16*C210,-'DATI nascosti 2'!$L$14*'DATI nascosti 2'!$P$11))</f>
        <v>614659.43222408998</v>
      </c>
      <c r="N210" s="71">
        <f t="shared" si="11"/>
        <v>-510275.99674972915</v>
      </c>
      <c r="O210" s="71">
        <f>-L210*('DATI nascosti 2'!$C$8/2-(J210*F210))-K210*('DATI nascosti 2'!$C$13/2)+M210*('DATI nascosti 2'!$C$13/2)</f>
        <v>978911907.45995069</v>
      </c>
      <c r="P210" s="69">
        <f>-'T2'!N210/10^3</f>
        <v>510.27599674972913</v>
      </c>
      <c r="Q210" s="69">
        <f>'T2'!O210/10^6</f>
        <v>978.91190745995073</v>
      </c>
      <c r="R210" s="72">
        <f>-N210/('DATI nascosti 2'!$C$6*'DATI nascosti 2'!$C$13*'DATI nascosti 2'!$H$10*'DATI nascosti 2'!$H$16)</f>
        <v>0.1227880101119538</v>
      </c>
      <c r="S210" s="72">
        <f>O210/('DATI nascosti 2'!$H$16*'DATI nascosti 2'!$C$6*'DATI nascosti 2'!$C$13^2*'DATI nascosti 2'!$H$10)</f>
        <v>0.20394471176014051</v>
      </c>
      <c r="T210" s="73">
        <f t="shared" si="12"/>
        <v>-1918.3969336109485</v>
      </c>
      <c r="U210" s="67" t="str">
        <f>IF(T210&gt;=0, IF(T210&lt;='DATI nascosti 2'!$C$8/6, "SI", "NO"),IF(T210&gt; -'DATI nascosti 2'!$C$8/6, "SI", "NO"))</f>
        <v>NO</v>
      </c>
      <c r="V210" s="67" t="str">
        <f>IF(Foglio3!G211&lt;1,IF(Foglio3!G211&gt;-1,"ROTTURA BILANCIATA",""),"")</f>
        <v>ROTTURA BILANCIATA</v>
      </c>
    </row>
    <row r="211" spans="1:22" ht="18.75" x14ac:dyDescent="0.25">
      <c r="A211" s="20"/>
      <c r="B211" s="67">
        <f>'DATI nascosti 2'!$H$12*10^-3</f>
        <v>-3.5000000000000001E-3</v>
      </c>
      <c r="C211" s="68">
        <f>C210-('DATI nascosti 2'!$L$8*10^-3/100)</f>
        <v>1.8899999999999976E-2</v>
      </c>
      <c r="D211" s="68">
        <f>('DATI nascosti 2'!$H$12*(F211-'DATI nascosti 2'!$C$10))/(F211*1000)</f>
        <v>-2.6272727272727281E-3</v>
      </c>
      <c r="E211" s="67" t="s">
        <v>39</v>
      </c>
      <c r="F211" s="69">
        <f>(-'DATI nascosti 2'!$H$12*10^-3/(-'DATI nascosti 2'!$H$12*10^-3+C211))*'DATI nascosti 2'!$C$13</f>
        <v>180.4687500000002</v>
      </c>
      <c r="G211" s="70">
        <f t="shared" si="13"/>
        <v>39.978333333333296</v>
      </c>
      <c r="H211" s="70">
        <f t="shared" si="14"/>
        <v>81.720416666666537</v>
      </c>
      <c r="I211" s="70">
        <f>G211/('DATI nascosti 2'!$H$10*(-'DATI nascosti 2'!$H$12))</f>
        <v>0.80952380952380887</v>
      </c>
      <c r="J211" s="70">
        <f t="shared" si="10"/>
        <v>0.41596638655462226</v>
      </c>
      <c r="K211" s="71">
        <f>IF(D211&gt;=('DATI nascosti 2'!$L$10*10^-3),'DATI nascosti 2'!$L$14*'DATI nascosti 2'!$P$12,IF(D211&gt;=(-'DATI nascosti 2'!$L$10*10^-3),'DATI nascosti 2'!$L$16*D211*'DATI nascosti 2'!$P$12,-'DATI nascosti 2'!$L$14*'DATI nascosti 2'!$P$12))</f>
        <v>-614659.43222408998</v>
      </c>
      <c r="L211" s="71">
        <f>-'DATI nascosti 2'!$H$16*'DATI nascosti 2'!$C$6*I211*'DATI nascosti 2'!$H$10*F211</f>
        <v>-525652.61718750012</v>
      </c>
      <c r="M211" s="71">
        <f>IF(C211&gt;=('DATI nascosti 2'!$L$10*10^-3),'DATI nascosti 2'!$L$14*'DATI nascosti 2'!$P$11,IF(C211&gt;=(-'DATI nascosti 2'!$L$10*10^-3),'DATI nascosti 2'!$P$11*'DATI nascosti 2'!$L$16*C211,-'DATI nascosti 2'!$L$14*'DATI nascosti 2'!$P$11))</f>
        <v>614659.43222408998</v>
      </c>
      <c r="N211" s="71">
        <f t="shared" si="11"/>
        <v>-525652.61718750023</v>
      </c>
      <c r="O211" s="71">
        <f>-L211*('DATI nascosti 2'!$C$8/2-(J211*F211))-K211*('DATI nascosti 2'!$C$13/2)+M211*('DATI nascosti 2'!$C$13/2)</f>
        <v>985863032.99751043</v>
      </c>
      <c r="P211" s="69">
        <f>-'T2'!N211/10^3</f>
        <v>525.65261718750025</v>
      </c>
      <c r="Q211" s="69">
        <f>'T2'!O211/10^6</f>
        <v>985.86303299751046</v>
      </c>
      <c r="R211" s="72">
        <f>-N211/('DATI nascosti 2'!$C$6*'DATI nascosti 2'!$C$13*'DATI nascosti 2'!$H$10*'DATI nascosti 2'!$H$16)</f>
        <v>0.12648809523809532</v>
      </c>
      <c r="S211" s="72">
        <f>O211/('DATI nascosti 2'!$H$16*'DATI nascosti 2'!$C$6*'DATI nascosti 2'!$C$13^2*'DATI nascosti 2'!$H$10)</f>
        <v>0.20539289650829076</v>
      </c>
      <c r="T211" s="73">
        <f t="shared" si="12"/>
        <v>-1875.5029476926454</v>
      </c>
      <c r="U211" s="67" t="str">
        <f>IF(T211&gt;=0, IF(T211&lt;='DATI nascosti 2'!$C$8/6, "SI", "NO"),IF(T211&gt; -'DATI nascosti 2'!$C$8/6, "SI", "NO"))</f>
        <v>NO</v>
      </c>
      <c r="V211" s="67" t="str">
        <f>IF(Foglio3!G212&lt;1,IF(Foglio3!G212&gt;-1,"ROTTURA BILANCIATA",""),"")</f>
        <v>ROTTURA BILANCIATA</v>
      </c>
    </row>
    <row r="212" spans="1:22" ht="18.75" x14ac:dyDescent="0.25">
      <c r="A212" s="20"/>
      <c r="B212" s="67">
        <f>'DATI nascosti 2'!$H$12*10^-3</f>
        <v>-3.5000000000000001E-3</v>
      </c>
      <c r="C212" s="68">
        <f>C211-('DATI nascosti 2'!$L$8*10^-3/100)</f>
        <v>1.8224999999999977E-2</v>
      </c>
      <c r="D212" s="68">
        <f>('DATI nascosti 2'!$H$12*(F212-'DATI nascosti 2'!$C$10))/(F212*1000)</f>
        <v>-2.6535714285714292E-3</v>
      </c>
      <c r="E212" s="67" t="s">
        <v>39</v>
      </c>
      <c r="F212" s="69">
        <f>(-'DATI nascosti 2'!$H$12*10^-3/(-'DATI nascosti 2'!$H$12*10^-3+C212))*'DATI nascosti 2'!$C$13</f>
        <v>186.07594936708881</v>
      </c>
      <c r="G212" s="70">
        <f t="shared" si="13"/>
        <v>39.978333333333296</v>
      </c>
      <c r="H212" s="70">
        <f t="shared" si="14"/>
        <v>81.720416666666537</v>
      </c>
      <c r="I212" s="70">
        <f>G212/('DATI nascosti 2'!$H$10*(-'DATI nascosti 2'!$H$12))</f>
        <v>0.80952380952380887</v>
      </c>
      <c r="J212" s="70">
        <f t="shared" si="10"/>
        <v>0.41596638655462226</v>
      </c>
      <c r="K212" s="71">
        <f>IF(D212&gt;=('DATI nascosti 2'!$L$10*10^-3),'DATI nascosti 2'!$L$14*'DATI nascosti 2'!$P$12,IF(D212&gt;=(-'DATI nascosti 2'!$L$10*10^-3),'DATI nascosti 2'!$L$16*D212*'DATI nascosti 2'!$P$12,-'DATI nascosti 2'!$L$14*'DATI nascosti 2'!$P$12))</f>
        <v>-614659.43222408998</v>
      </c>
      <c r="L212" s="71">
        <f>-'DATI nascosti 2'!$H$16*'DATI nascosti 2'!$C$6*I212*'DATI nascosti 2'!$H$10*F212</f>
        <v>-541984.74683544319</v>
      </c>
      <c r="M212" s="71">
        <f>IF(C212&gt;=('DATI nascosti 2'!$L$10*10^-3),'DATI nascosti 2'!$L$14*'DATI nascosti 2'!$P$11,IF(C212&gt;=(-'DATI nascosti 2'!$L$10*10^-3),'DATI nascosti 2'!$P$11*'DATI nascosti 2'!$L$16*C212,-'DATI nascosti 2'!$L$14*'DATI nascosti 2'!$P$11))</f>
        <v>614659.43222408998</v>
      </c>
      <c r="N212" s="71">
        <f t="shared" si="11"/>
        <v>-541984.74683544319</v>
      </c>
      <c r="O212" s="71">
        <f>-L212*('DATI nascosti 2'!$C$8/2-(J212*F212))-K212*('DATI nascosti 2'!$C$13/2)+M212*('DATI nascosti 2'!$C$13/2)</f>
        <v>993172146.50211191</v>
      </c>
      <c r="P212" s="69">
        <f>-'T2'!N212/10^3</f>
        <v>541.98474683544316</v>
      </c>
      <c r="Q212" s="69">
        <f>'T2'!O212/10^6</f>
        <v>993.1721465021119</v>
      </c>
      <c r="R212" s="72">
        <f>-N212/('DATI nascosti 2'!$C$6*'DATI nascosti 2'!$C$13*'DATI nascosti 2'!$H$10*'DATI nascosti 2'!$H$16)</f>
        <v>0.13041810510164947</v>
      </c>
      <c r="S212" s="72">
        <f>O212/('DATI nascosti 2'!$H$16*'DATI nascosti 2'!$C$6*'DATI nascosti 2'!$C$13^2*'DATI nascosti 2'!$H$10)</f>
        <v>0.20691566381304857</v>
      </c>
      <c r="T212" s="73">
        <f t="shared" si="12"/>
        <v>-1832.4725046250383</v>
      </c>
      <c r="U212" s="67" t="str">
        <f>IF(T212&gt;=0, IF(T212&lt;='DATI nascosti 2'!$C$8/6, "SI", "NO"),IF(T212&gt; -'DATI nascosti 2'!$C$8/6, "SI", "NO"))</f>
        <v>NO</v>
      </c>
      <c r="V212" s="67" t="str">
        <f>IF(Foglio3!G213&lt;1,IF(Foglio3!G213&gt;-1,"ROTTURA BILANCIATA",""),"")</f>
        <v>ROTTURA BILANCIATA</v>
      </c>
    </row>
    <row r="213" spans="1:22" ht="18.75" x14ac:dyDescent="0.25">
      <c r="A213" s="20"/>
      <c r="B213" s="67">
        <f>'DATI nascosti 2'!$H$12*10^-3</f>
        <v>-3.5000000000000001E-3</v>
      </c>
      <c r="C213" s="68">
        <f>C212-('DATI nascosti 2'!$L$8*10^-3/100)</f>
        <v>1.7549999999999979E-2</v>
      </c>
      <c r="D213" s="68">
        <f>('DATI nascosti 2'!$H$12*(F213-'DATI nascosti 2'!$C$10))/(F213*1000)</f>
        <v>-2.6798701298701307E-3</v>
      </c>
      <c r="E213" s="67" t="s">
        <v>39</v>
      </c>
      <c r="F213" s="69">
        <f>(-'DATI nascosti 2'!$H$12*10^-3/(-'DATI nascosti 2'!$H$12*10^-3+C213))*'DATI nascosti 2'!$C$13</f>
        <v>192.04275534441825</v>
      </c>
      <c r="G213" s="70">
        <f t="shared" si="13"/>
        <v>39.978333333333296</v>
      </c>
      <c r="H213" s="70">
        <f t="shared" si="14"/>
        <v>81.720416666666537</v>
      </c>
      <c r="I213" s="70">
        <f>G213/('DATI nascosti 2'!$H$10*(-'DATI nascosti 2'!$H$12))</f>
        <v>0.80952380952380887</v>
      </c>
      <c r="J213" s="70">
        <f t="shared" si="10"/>
        <v>0.41596638655462226</v>
      </c>
      <c r="K213" s="71">
        <f>IF(D213&gt;=('DATI nascosti 2'!$L$10*10^-3),'DATI nascosti 2'!$L$14*'DATI nascosti 2'!$P$12,IF(D213&gt;=(-'DATI nascosti 2'!$L$10*10^-3),'DATI nascosti 2'!$L$16*D213*'DATI nascosti 2'!$P$12,-'DATI nascosti 2'!$L$14*'DATI nascosti 2'!$P$12))</f>
        <v>-614659.43222408998</v>
      </c>
      <c r="L213" s="71">
        <f>-'DATI nascosti 2'!$H$16*'DATI nascosti 2'!$C$6*I213*'DATI nascosti 2'!$H$10*F213</f>
        <v>-559364.30522565334</v>
      </c>
      <c r="M213" s="71">
        <f>IF(C213&gt;=('DATI nascosti 2'!$L$10*10^-3),'DATI nascosti 2'!$L$14*'DATI nascosti 2'!$P$11,IF(C213&gt;=(-'DATI nascosti 2'!$L$10*10^-3),'DATI nascosti 2'!$P$11*'DATI nascosti 2'!$L$16*C213,-'DATI nascosti 2'!$L$14*'DATI nascosti 2'!$P$11))</f>
        <v>614659.43222408998</v>
      </c>
      <c r="N213" s="71">
        <f t="shared" si="11"/>
        <v>-559364.30522565334</v>
      </c>
      <c r="O213" s="71">
        <f>-L213*('DATI nascosti 2'!$C$8/2-(J213*F213))-K213*('DATI nascosti 2'!$C$13/2)+M213*('DATI nascosti 2'!$C$13/2)</f>
        <v>1000866343.4077108</v>
      </c>
      <c r="P213" s="69">
        <f>-'T2'!N213/10^3</f>
        <v>559.36430522565331</v>
      </c>
      <c r="Q213" s="69">
        <f>'T2'!O213/10^6</f>
        <v>1000.8663434077108</v>
      </c>
      <c r="R213" s="72">
        <f>-N213/('DATI nascosti 2'!$C$6*'DATI nascosti 2'!$C$13*'DATI nascosti 2'!$H$10*'DATI nascosti 2'!$H$16)</f>
        <v>0.13460015835312752</v>
      </c>
      <c r="S213" s="72">
        <f>O213/('DATI nascosti 2'!$H$16*'DATI nascosti 2'!$C$6*'DATI nascosti 2'!$C$13^2*'DATI nascosti 2'!$H$10)</f>
        <v>0.20851865868743907</v>
      </c>
      <c r="T213" s="73">
        <f t="shared" si="12"/>
        <v>-1789.2924772951878</v>
      </c>
      <c r="U213" s="67" t="str">
        <f>IF(T213&gt;=0, IF(T213&lt;='DATI nascosti 2'!$C$8/6, "SI", "NO"),IF(T213&gt; -'DATI nascosti 2'!$C$8/6, "SI", "NO"))</f>
        <v>NO</v>
      </c>
      <c r="V213" s="67" t="str">
        <f>IF(Foglio3!G214&lt;1,IF(Foglio3!G214&gt;-1,"ROTTURA BILANCIATA",""),"")</f>
        <v>ROTTURA BILANCIATA</v>
      </c>
    </row>
    <row r="214" spans="1:22" ht="18.75" x14ac:dyDescent="0.25">
      <c r="A214" s="20"/>
      <c r="B214" s="67">
        <f>'DATI nascosti 2'!$H$12*10^-3</f>
        <v>-3.5000000000000001E-3</v>
      </c>
      <c r="C214" s="68">
        <f>C213-('DATI nascosti 2'!$L$8*10^-3/100)</f>
        <v>1.687499999999998E-2</v>
      </c>
      <c r="D214" s="68">
        <f>('DATI nascosti 2'!$H$12*(F214-'DATI nascosti 2'!$C$10))/(F214*1000)</f>
        <v>-2.7061688311688314E-3</v>
      </c>
      <c r="E214" s="67" t="s">
        <v>39</v>
      </c>
      <c r="F214" s="69">
        <f>(-'DATI nascosti 2'!$H$12*10^-3/(-'DATI nascosti 2'!$H$12*10^-3+C214))*'DATI nascosti 2'!$C$13</f>
        <v>198.40490797546033</v>
      </c>
      <c r="G214" s="70">
        <f t="shared" si="13"/>
        <v>39.978333333333296</v>
      </c>
      <c r="H214" s="70">
        <f t="shared" si="14"/>
        <v>81.720416666666537</v>
      </c>
      <c r="I214" s="70">
        <f>G214/('DATI nascosti 2'!$H$10*(-'DATI nascosti 2'!$H$12))</f>
        <v>0.80952380952380887</v>
      </c>
      <c r="J214" s="70">
        <f t="shared" si="10"/>
        <v>0.41596638655462226</v>
      </c>
      <c r="K214" s="71">
        <f>IF(D214&gt;=('DATI nascosti 2'!$L$10*10^-3),'DATI nascosti 2'!$L$14*'DATI nascosti 2'!$P$12,IF(D214&gt;=(-'DATI nascosti 2'!$L$10*10^-3),'DATI nascosti 2'!$L$16*D214*'DATI nascosti 2'!$P$12,-'DATI nascosti 2'!$L$14*'DATI nascosti 2'!$P$12))</f>
        <v>-614659.43222408998</v>
      </c>
      <c r="L214" s="71">
        <f>-'DATI nascosti 2'!$H$16*'DATI nascosti 2'!$C$6*I214*'DATI nascosti 2'!$H$10*F214</f>
        <v>-577895.39263803686</v>
      </c>
      <c r="M214" s="71">
        <f>IF(C214&gt;=('DATI nascosti 2'!$L$10*10^-3),'DATI nascosti 2'!$L$14*'DATI nascosti 2'!$P$11,IF(C214&gt;=(-'DATI nascosti 2'!$L$10*10^-3),'DATI nascosti 2'!$P$11*'DATI nascosti 2'!$L$16*C214,-'DATI nascosti 2'!$L$14*'DATI nascosti 2'!$P$11))</f>
        <v>614659.43222408998</v>
      </c>
      <c r="N214" s="71">
        <f t="shared" si="11"/>
        <v>-577895.39263803675</v>
      </c>
      <c r="O214" s="71">
        <f>-L214*('DATI nascosti 2'!$C$8/2-(J214*F214))-K214*('DATI nascosti 2'!$C$13/2)+M214*('DATI nascosti 2'!$C$13/2)</f>
        <v>1008975304.4344888</v>
      </c>
      <c r="P214" s="69">
        <f>-'T2'!N214/10^3</f>
        <v>577.8953926380367</v>
      </c>
      <c r="Q214" s="69">
        <f>'T2'!O214/10^6</f>
        <v>1008.9753044344887</v>
      </c>
      <c r="R214" s="72">
        <f>-N214/('DATI nascosti 2'!$C$6*'DATI nascosti 2'!$C$13*'DATI nascosti 2'!$H$10*'DATI nascosti 2'!$H$16)</f>
        <v>0.13905930470347649</v>
      </c>
      <c r="S214" s="72">
        <f>O214/('DATI nascosti 2'!$H$16*'DATI nascosti 2'!$C$6*'DATI nascosti 2'!$C$13^2*'DATI nascosti 2'!$H$10)</f>
        <v>0.21020806475827911</v>
      </c>
      <c r="T214" s="73">
        <f t="shared" si="12"/>
        <v>-1745.9479990463565</v>
      </c>
      <c r="U214" s="67" t="str">
        <f>IF(T214&gt;=0, IF(T214&lt;='DATI nascosti 2'!$C$8/6, "SI", "NO"),IF(T214&gt; -'DATI nascosti 2'!$C$8/6, "SI", "NO"))</f>
        <v>NO</v>
      </c>
      <c r="V214" s="67" t="str">
        <f>IF(Foglio3!G215&lt;1,IF(Foglio3!G215&gt;-1,"ROTTURA BILANCIATA",""),"")</f>
        <v>ROTTURA BILANCIATA</v>
      </c>
    </row>
    <row r="215" spans="1:22" ht="18.75" x14ac:dyDescent="0.25">
      <c r="A215" s="20"/>
      <c r="B215" s="67">
        <f>'DATI nascosti 2'!$H$12*10^-3</f>
        <v>-3.5000000000000001E-3</v>
      </c>
      <c r="C215" s="68">
        <f>C214-('DATI nascosti 2'!$L$8*10^-3/100)</f>
        <v>1.6199999999999982E-2</v>
      </c>
      <c r="D215" s="68">
        <f>('DATI nascosti 2'!$H$12*(F215-'DATI nascosti 2'!$C$10))/(F215*1000)</f>
        <v>-2.7324675324675333E-3</v>
      </c>
      <c r="E215" s="67" t="s">
        <v>39</v>
      </c>
      <c r="F215" s="69">
        <f>(-'DATI nascosti 2'!$H$12*10^-3/(-'DATI nascosti 2'!$H$12*10^-3+C215))*'DATI nascosti 2'!$C$13</f>
        <v>205.20304568527939</v>
      </c>
      <c r="G215" s="70">
        <f t="shared" si="13"/>
        <v>39.978333333333296</v>
      </c>
      <c r="H215" s="70">
        <f t="shared" si="14"/>
        <v>81.720416666666537</v>
      </c>
      <c r="I215" s="70">
        <f>G215/('DATI nascosti 2'!$H$10*(-'DATI nascosti 2'!$H$12))</f>
        <v>0.80952380952380887</v>
      </c>
      <c r="J215" s="70">
        <f t="shared" si="10"/>
        <v>0.41596638655462226</v>
      </c>
      <c r="K215" s="71">
        <f>IF(D215&gt;=('DATI nascosti 2'!$L$10*10^-3),'DATI nascosti 2'!$L$14*'DATI nascosti 2'!$P$12,IF(D215&gt;=(-'DATI nascosti 2'!$L$10*10^-3),'DATI nascosti 2'!$L$16*D215*'DATI nascosti 2'!$P$12,-'DATI nascosti 2'!$L$14*'DATI nascosti 2'!$P$12))</f>
        <v>-614659.43222408998</v>
      </c>
      <c r="L215" s="71">
        <f>-'DATI nascosti 2'!$H$16*'DATI nascosti 2'!$C$6*I215*'DATI nascosti 2'!$H$10*F215</f>
        <v>-597696.37690355338</v>
      </c>
      <c r="M215" s="71">
        <f>IF(C215&gt;=('DATI nascosti 2'!$L$10*10^-3),'DATI nascosti 2'!$L$14*'DATI nascosti 2'!$P$11,IF(C215&gt;=(-'DATI nascosti 2'!$L$10*10^-3),'DATI nascosti 2'!$P$11*'DATI nascosti 2'!$L$16*C215,-'DATI nascosti 2'!$L$14*'DATI nascosti 2'!$P$11))</f>
        <v>614659.43222408998</v>
      </c>
      <c r="N215" s="71">
        <f t="shared" si="11"/>
        <v>-597696.37690355326</v>
      </c>
      <c r="O215" s="71">
        <f>-L215*('DATI nascosti 2'!$C$8/2-(J215*F215))-K215*('DATI nascosti 2'!$C$13/2)+M215*('DATI nascosti 2'!$C$13/2)</f>
        <v>1017531560.3751117</v>
      </c>
      <c r="P215" s="69">
        <f>-'T2'!N215/10^3</f>
        <v>597.6963769035533</v>
      </c>
      <c r="Q215" s="69">
        <f>'T2'!O215/10^6</f>
        <v>1017.5315603751117</v>
      </c>
      <c r="R215" s="72">
        <f>-N215/('DATI nascosti 2'!$C$6*'DATI nascosti 2'!$C$13*'DATI nascosti 2'!$H$10*'DATI nascosti 2'!$H$16)</f>
        <v>0.14382402707275807</v>
      </c>
      <c r="S215" s="72">
        <f>O215/('DATI nascosti 2'!$H$16*'DATI nascosti 2'!$C$6*'DATI nascosti 2'!$C$13^2*'DATI nascosti 2'!$H$10)</f>
        <v>0.21199065943126066</v>
      </c>
      <c r="T215" s="73">
        <f t="shared" si="12"/>
        <v>-1702.4221656597138</v>
      </c>
      <c r="U215" s="67" t="str">
        <f>IF(T215&gt;=0, IF(T215&lt;='DATI nascosti 2'!$C$8/6, "SI", "NO"),IF(T215&gt; -'DATI nascosti 2'!$C$8/6, "SI", "NO"))</f>
        <v>NO</v>
      </c>
      <c r="V215" s="67" t="str">
        <f>IF(Foglio3!G216&lt;1,IF(Foglio3!G216&gt;-1,"ROTTURA BILANCIATA",""),"")</f>
        <v>ROTTURA BILANCIATA</v>
      </c>
    </row>
    <row r="216" spans="1:22" ht="18.75" x14ac:dyDescent="0.25">
      <c r="A216" s="20"/>
      <c r="B216" s="67">
        <f>'DATI nascosti 2'!$H$12*10^-3</f>
        <v>-3.5000000000000001E-3</v>
      </c>
      <c r="C216" s="68">
        <f>C215-('DATI nascosti 2'!$L$8*10^-3/100)</f>
        <v>1.5524999999999982E-2</v>
      </c>
      <c r="D216" s="68">
        <f>('DATI nascosti 2'!$H$12*(F216-'DATI nascosti 2'!$C$10))/(F216*1000)</f>
        <v>-2.7587662337662344E-3</v>
      </c>
      <c r="E216" s="67" t="s">
        <v>39</v>
      </c>
      <c r="F216" s="69">
        <f>(-'DATI nascosti 2'!$H$12*10^-3/(-'DATI nascosti 2'!$H$12*10^-3+C216))*'DATI nascosti 2'!$C$13</f>
        <v>212.48357424441542</v>
      </c>
      <c r="G216" s="70">
        <f t="shared" si="13"/>
        <v>39.978333333333296</v>
      </c>
      <c r="H216" s="70">
        <f t="shared" si="14"/>
        <v>81.720416666666537</v>
      </c>
      <c r="I216" s="70">
        <f>G216/('DATI nascosti 2'!$H$10*(-'DATI nascosti 2'!$H$12))</f>
        <v>0.80952380952380887</v>
      </c>
      <c r="J216" s="70">
        <f t="shared" si="10"/>
        <v>0.41596638655462226</v>
      </c>
      <c r="K216" s="71">
        <f>IF(D216&gt;=('DATI nascosti 2'!$L$10*10^-3),'DATI nascosti 2'!$L$14*'DATI nascosti 2'!$P$12,IF(D216&gt;=(-'DATI nascosti 2'!$L$10*10^-3),'DATI nascosti 2'!$L$16*D216*'DATI nascosti 2'!$P$12,-'DATI nascosti 2'!$L$14*'DATI nascosti 2'!$P$12))</f>
        <v>-614659.43222408998</v>
      </c>
      <c r="L216" s="71">
        <f>-'DATI nascosti 2'!$H$16*'DATI nascosti 2'!$C$6*I216*'DATI nascosti 2'!$H$10*F216</f>
        <v>-618902.42444152432</v>
      </c>
      <c r="M216" s="71">
        <f>IF(C216&gt;=('DATI nascosti 2'!$L$10*10^-3),'DATI nascosti 2'!$L$14*'DATI nascosti 2'!$P$11,IF(C216&gt;=(-'DATI nascosti 2'!$L$10*10^-3),'DATI nascosti 2'!$P$11*'DATI nascosti 2'!$L$16*C216,-'DATI nascosti 2'!$L$14*'DATI nascosti 2'!$P$11))</f>
        <v>614659.43222408998</v>
      </c>
      <c r="N216" s="71">
        <f t="shared" si="11"/>
        <v>-618902.42444152432</v>
      </c>
      <c r="O216" s="71">
        <f>-L216*('DATI nascosti 2'!$C$8/2-(J216*F216))-K216*('DATI nascosti 2'!$C$13/2)+M216*('DATI nascosti 2'!$C$13/2)</f>
        <v>1026570773.9840196</v>
      </c>
      <c r="P216" s="69">
        <f>-'T2'!N216/10^3</f>
        <v>618.90242444152432</v>
      </c>
      <c r="Q216" s="69">
        <f>'T2'!O216/10^6</f>
        <v>1026.5707739840195</v>
      </c>
      <c r="R216" s="72">
        <f>-N216/('DATI nascosti 2'!$C$6*'DATI nascosti 2'!$C$13*'DATI nascosti 2'!$H$10*'DATI nascosti 2'!$H$16)</f>
        <v>0.14892685063512925</v>
      </c>
      <c r="S216" s="72">
        <f>O216/('DATI nascosti 2'!$H$16*'DATI nascosti 2'!$C$6*'DATI nascosti 2'!$C$13^2*'DATI nascosti 2'!$H$10)</f>
        <v>0.21387387261924867</v>
      </c>
      <c r="T216" s="73">
        <f t="shared" si="12"/>
        <v>-1658.6956738945737</v>
      </c>
      <c r="U216" s="67" t="str">
        <f>IF(T216&gt;=0, IF(T216&lt;='DATI nascosti 2'!$C$8/6, "SI", "NO"),IF(T216&gt; -'DATI nascosti 2'!$C$8/6, "SI", "NO"))</f>
        <v>NO</v>
      </c>
      <c r="V216" s="67" t="str">
        <f>IF(Foglio3!G217&lt;1,IF(Foglio3!G217&gt;-1,"ROTTURA BILANCIATA",""),"")</f>
        <v>ROTTURA BILANCIATA</v>
      </c>
    </row>
    <row r="217" spans="1:22" ht="18.75" x14ac:dyDescent="0.25">
      <c r="A217" s="20"/>
      <c r="B217" s="67">
        <f>'DATI nascosti 2'!$H$12*10^-3</f>
        <v>-3.5000000000000001E-3</v>
      </c>
      <c r="C217" s="68">
        <f>C216-('DATI nascosti 2'!$L$8*10^-3/100)</f>
        <v>1.4849999999999981E-2</v>
      </c>
      <c r="D217" s="68">
        <f>('DATI nascosti 2'!$H$12*(F217-'DATI nascosti 2'!$C$10))/(F217*1000)</f>
        <v>-2.7850649350649359E-3</v>
      </c>
      <c r="E217" s="67" t="s">
        <v>39</v>
      </c>
      <c r="F217" s="69">
        <f>(-'DATI nascosti 2'!$H$12*10^-3/(-'DATI nascosti 2'!$H$12*10^-3+C217))*'DATI nascosti 2'!$C$13</f>
        <v>220.29972752043619</v>
      </c>
      <c r="G217" s="70">
        <f t="shared" si="13"/>
        <v>39.978333333333296</v>
      </c>
      <c r="H217" s="70">
        <f t="shared" si="14"/>
        <v>81.720416666666537</v>
      </c>
      <c r="I217" s="70">
        <f>G217/('DATI nascosti 2'!$H$10*(-'DATI nascosti 2'!$H$12))</f>
        <v>0.80952380952380887</v>
      </c>
      <c r="J217" s="70">
        <f t="shared" si="10"/>
        <v>0.41596638655462226</v>
      </c>
      <c r="K217" s="71">
        <f>IF(D217&gt;=('DATI nascosti 2'!$L$10*10^-3),'DATI nascosti 2'!$L$14*'DATI nascosti 2'!$P$12,IF(D217&gt;=(-'DATI nascosti 2'!$L$10*10^-3),'DATI nascosti 2'!$L$16*D217*'DATI nascosti 2'!$P$12,-'DATI nascosti 2'!$L$14*'DATI nascosti 2'!$P$12))</f>
        <v>-614659.43222408998</v>
      </c>
      <c r="L217" s="71">
        <f>-'DATI nascosti 2'!$H$16*'DATI nascosti 2'!$C$6*I217*'DATI nascosti 2'!$H$10*F217</f>
        <v>-641668.58991825627</v>
      </c>
      <c r="M217" s="71">
        <f>IF(C217&gt;=('DATI nascosti 2'!$L$10*10^-3),'DATI nascosti 2'!$L$14*'DATI nascosti 2'!$P$11,IF(C217&gt;=(-'DATI nascosti 2'!$L$10*10^-3),'DATI nascosti 2'!$P$11*'DATI nascosti 2'!$L$16*C217,-'DATI nascosti 2'!$L$14*'DATI nascosti 2'!$P$11))</f>
        <v>614659.43222408998</v>
      </c>
      <c r="N217" s="71">
        <f t="shared" si="11"/>
        <v>-641668.58991825627</v>
      </c>
      <c r="O217" s="71">
        <f>-L217*('DATI nascosti 2'!$C$8/2-(J217*F217))-K217*('DATI nascosti 2'!$C$13/2)+M217*('DATI nascosti 2'!$C$13/2)</f>
        <v>1036132032.8915255</v>
      </c>
      <c r="P217" s="69">
        <f>-'T2'!N217/10^3</f>
        <v>641.66858991825632</v>
      </c>
      <c r="Q217" s="69">
        <f>'T2'!O217/10^6</f>
        <v>1036.1320328915256</v>
      </c>
      <c r="R217" s="72">
        <f>-N217/('DATI nascosti 2'!$C$6*'DATI nascosti 2'!$C$13*'DATI nascosti 2'!$H$10*'DATI nascosti 2'!$H$16)</f>
        <v>0.15440508628519534</v>
      </c>
      <c r="S217" s="72">
        <f>O217/('DATI nascosti 2'!$H$16*'DATI nascosti 2'!$C$6*'DATI nascosti 2'!$C$13^2*'DATI nascosti 2'!$H$10)</f>
        <v>0.21586584776746714</v>
      </c>
      <c r="T217" s="73">
        <f t="shared" si="12"/>
        <v>-1614.7463802514019</v>
      </c>
      <c r="U217" s="67" t="str">
        <f>IF(T217&gt;=0, IF(T217&lt;='DATI nascosti 2'!$C$8/6, "SI", "NO"),IF(T217&gt; -'DATI nascosti 2'!$C$8/6, "SI", "NO"))</f>
        <v>NO</v>
      </c>
      <c r="V217" s="67" t="str">
        <f>IF(Foglio3!G218&lt;1,IF(Foglio3!G218&gt;-1,"ROTTURA BILANCIATA",""),"")</f>
        <v>ROTTURA BILANCIATA</v>
      </c>
    </row>
    <row r="218" spans="1:22" ht="18.75" x14ac:dyDescent="0.25">
      <c r="A218" s="20"/>
      <c r="B218" s="67">
        <f>'DATI nascosti 2'!$H$12*10^-3</f>
        <v>-3.5000000000000001E-3</v>
      </c>
      <c r="C218" s="68">
        <f>C217-('DATI nascosti 2'!$L$8*10^-3/100)</f>
        <v>1.4174999999999981E-2</v>
      </c>
      <c r="D218" s="68">
        <f>('DATI nascosti 2'!$H$12*(F218-'DATI nascosti 2'!$C$10))/(F218*1000)</f>
        <v>-2.811363636363637E-3</v>
      </c>
      <c r="E218" s="67" t="s">
        <v>39</v>
      </c>
      <c r="F218" s="69">
        <f>(-'DATI nascosti 2'!$H$12*10^-3/(-'DATI nascosti 2'!$H$12*10^-3+C218))*'DATI nascosti 2'!$C$13</f>
        <v>228.71287128712896</v>
      </c>
      <c r="G218" s="70">
        <f t="shared" si="13"/>
        <v>39.978333333333296</v>
      </c>
      <c r="H218" s="70">
        <f t="shared" si="14"/>
        <v>81.720416666666537</v>
      </c>
      <c r="I218" s="70">
        <f>G218/('DATI nascosti 2'!$H$10*(-'DATI nascosti 2'!$H$12))</f>
        <v>0.80952380952380887</v>
      </c>
      <c r="J218" s="70">
        <f t="shared" si="10"/>
        <v>0.41596638655462226</v>
      </c>
      <c r="K218" s="71">
        <f>IF(D218&gt;=('DATI nascosti 2'!$L$10*10^-3),'DATI nascosti 2'!$L$14*'DATI nascosti 2'!$P$12,IF(D218&gt;=(-'DATI nascosti 2'!$L$10*10^-3),'DATI nascosti 2'!$L$16*D218*'DATI nascosti 2'!$P$12,-'DATI nascosti 2'!$L$14*'DATI nascosti 2'!$P$12))</f>
        <v>-614659.43222408998</v>
      </c>
      <c r="L218" s="71">
        <f>-'DATI nascosti 2'!$H$16*'DATI nascosti 2'!$C$6*I218*'DATI nascosti 2'!$H$10*F218</f>
        <v>-666173.61386138631</v>
      </c>
      <c r="M218" s="71">
        <f>IF(C218&gt;=('DATI nascosti 2'!$L$10*10^-3),'DATI nascosti 2'!$L$14*'DATI nascosti 2'!$P$11,IF(C218&gt;=(-'DATI nascosti 2'!$L$10*10^-3),'DATI nascosti 2'!$P$11*'DATI nascosti 2'!$L$16*C218,-'DATI nascosti 2'!$L$14*'DATI nascosti 2'!$P$11))</f>
        <v>614659.43222408998</v>
      </c>
      <c r="N218" s="71">
        <f t="shared" si="11"/>
        <v>-666173.61386138643</v>
      </c>
      <c r="O218" s="71">
        <f>-L218*('DATI nascosti 2'!$C$8/2-(J218*F218))-K218*('DATI nascosti 2'!$C$13/2)+M218*('DATI nascosti 2'!$C$13/2)</f>
        <v>1046258142.2827392</v>
      </c>
      <c r="P218" s="69">
        <f>-'T2'!N218/10^3</f>
        <v>666.17361386138646</v>
      </c>
      <c r="Q218" s="69">
        <f>'T2'!O218/10^6</f>
        <v>1046.2581422827391</v>
      </c>
      <c r="R218" s="72">
        <f>-N218/('DATI nascosti 2'!$C$6*'DATI nascosti 2'!$C$13*'DATI nascosti 2'!$H$10*'DATI nascosti 2'!$H$16)</f>
        <v>0.16030174446016041</v>
      </c>
      <c r="S218" s="72">
        <f>O218/('DATI nascosti 2'!$H$16*'DATI nascosti 2'!$C$6*'DATI nascosti 2'!$C$13^2*'DATI nascosti 2'!$H$10)</f>
        <v>0.21797550282968961</v>
      </c>
      <c r="T218" s="73">
        <f t="shared" si="12"/>
        <v>-1570.5487586310173</v>
      </c>
      <c r="U218" s="67" t="str">
        <f>IF(T218&gt;=0, IF(T218&lt;='DATI nascosti 2'!$C$8/6, "SI", "NO"),IF(T218&gt; -'DATI nascosti 2'!$C$8/6, "SI", "NO"))</f>
        <v>NO</v>
      </c>
      <c r="V218" s="67" t="str">
        <f>IF(Foglio3!G219&lt;1,IF(Foglio3!G219&gt;-1,"ROTTURA BILANCIATA",""),"")</f>
        <v>ROTTURA BILANCIATA</v>
      </c>
    </row>
    <row r="219" spans="1:22" ht="18.75" x14ac:dyDescent="0.25">
      <c r="A219" s="20"/>
      <c r="B219" s="67">
        <f>'DATI nascosti 2'!$H$12*10^-3</f>
        <v>-3.5000000000000001E-3</v>
      </c>
      <c r="C219" s="68">
        <f>C218-('DATI nascosti 2'!$L$8*10^-3/100)</f>
        <v>1.3499999999999981E-2</v>
      </c>
      <c r="D219" s="68">
        <f>('DATI nascosti 2'!$H$12*(F219-'DATI nascosti 2'!$C$10))/(F219*1000)</f>
        <v>-2.8376623376623385E-3</v>
      </c>
      <c r="E219" s="67" t="s">
        <v>39</v>
      </c>
      <c r="F219" s="69">
        <f>(-'DATI nascosti 2'!$H$12*10^-3/(-'DATI nascosti 2'!$H$12*10^-3+C219))*'DATI nascosti 2'!$C$13</f>
        <v>237.7941176470591</v>
      </c>
      <c r="G219" s="70">
        <f t="shared" si="13"/>
        <v>39.978333333333296</v>
      </c>
      <c r="H219" s="70">
        <f t="shared" si="14"/>
        <v>81.720416666666537</v>
      </c>
      <c r="I219" s="70">
        <f>G219/('DATI nascosti 2'!$H$10*(-'DATI nascosti 2'!$H$12))</f>
        <v>0.80952380952380887</v>
      </c>
      <c r="J219" s="70">
        <f t="shared" si="10"/>
        <v>0.41596638655462226</v>
      </c>
      <c r="K219" s="71">
        <f>IF(D219&gt;=('DATI nascosti 2'!$L$10*10^-3),'DATI nascosti 2'!$L$14*'DATI nascosti 2'!$P$12,IF(D219&gt;=(-'DATI nascosti 2'!$L$10*10^-3),'DATI nascosti 2'!$L$16*D219*'DATI nascosti 2'!$P$12,-'DATI nascosti 2'!$L$14*'DATI nascosti 2'!$P$12))</f>
        <v>-614659.43222408998</v>
      </c>
      <c r="L219" s="71">
        <f>-'DATI nascosti 2'!$H$16*'DATI nascosti 2'!$C$6*I219*'DATI nascosti 2'!$H$10*F219</f>
        <v>-692624.62500000023</v>
      </c>
      <c r="M219" s="71">
        <f>IF(C219&gt;=('DATI nascosti 2'!$L$10*10^-3),'DATI nascosti 2'!$L$14*'DATI nascosti 2'!$P$11,IF(C219&gt;=(-'DATI nascosti 2'!$L$10*10^-3),'DATI nascosti 2'!$P$11*'DATI nascosti 2'!$L$16*C219,-'DATI nascosti 2'!$L$14*'DATI nascosti 2'!$P$11))</f>
        <v>614659.43222408998</v>
      </c>
      <c r="N219" s="71">
        <f t="shared" si="11"/>
        <v>-692624.62500000023</v>
      </c>
      <c r="O219" s="71">
        <f>-L219*('DATI nascosti 2'!$C$8/2-(J219*F219))-K219*('DATI nascosti 2'!$C$13/2)+M219*('DATI nascosti 2'!$C$13/2)</f>
        <v>1056995897.8125739</v>
      </c>
      <c r="P219" s="69">
        <f>-'T2'!N219/10^3</f>
        <v>692.62462500000026</v>
      </c>
      <c r="Q219" s="69">
        <f>'T2'!O219/10^6</f>
        <v>1056.995897812574</v>
      </c>
      <c r="R219" s="72">
        <f>-N219/('DATI nascosti 2'!$C$6*'DATI nascosti 2'!$C$13*'DATI nascosti 2'!$H$10*'DATI nascosti 2'!$H$16)</f>
        <v>0.16666666666666677</v>
      </c>
      <c r="S219" s="72">
        <f>O219/('DATI nascosti 2'!$H$16*'DATI nascosti 2'!$C$6*'DATI nascosti 2'!$C$13^2*'DATI nascosti 2'!$H$10)</f>
        <v>0.22021258712685104</v>
      </c>
      <c r="T219" s="73">
        <f t="shared" si="12"/>
        <v>-1526.0732287890769</v>
      </c>
      <c r="U219" s="67" t="str">
        <f>IF(T219&gt;=0, IF(T219&lt;='DATI nascosti 2'!$C$8/6, "SI", "NO"),IF(T219&gt; -'DATI nascosti 2'!$C$8/6, "SI", "NO"))</f>
        <v>NO</v>
      </c>
      <c r="V219" s="67" t="str">
        <f>IF(Foglio3!G220&lt;1,IF(Foglio3!G220&gt;-1,"ROTTURA BILANCIATA",""),"")</f>
        <v>ROTTURA BILANCIATA</v>
      </c>
    </row>
    <row r="220" spans="1:22" ht="18.75" x14ac:dyDescent="0.25">
      <c r="A220" s="20"/>
      <c r="B220" s="67">
        <f>'DATI nascosti 2'!$H$12*10^-3</f>
        <v>-3.5000000000000001E-3</v>
      </c>
      <c r="C220" s="68">
        <f>C219-('DATI nascosti 2'!$L$8*10^-3/100)</f>
        <v>1.2824999999999981E-2</v>
      </c>
      <c r="D220" s="68">
        <f>('DATI nascosti 2'!$H$12*(F220-'DATI nascosti 2'!$C$10))/(F220*1000)</f>
        <v>-2.8639610389610396E-3</v>
      </c>
      <c r="E220" s="67" t="s">
        <v>39</v>
      </c>
      <c r="F220" s="69">
        <f>(-'DATI nascosti 2'!$H$12*10^-3/(-'DATI nascosti 2'!$H$12*10^-3+C220))*'DATI nascosti 2'!$C$13</f>
        <v>247.6263399693724</v>
      </c>
      <c r="G220" s="70">
        <f t="shared" si="13"/>
        <v>39.978333333333296</v>
      </c>
      <c r="H220" s="70">
        <f t="shared" si="14"/>
        <v>81.720416666666537</v>
      </c>
      <c r="I220" s="70">
        <f>G220/('DATI nascosti 2'!$H$10*(-'DATI nascosti 2'!$H$12))</f>
        <v>0.80952380952380887</v>
      </c>
      <c r="J220" s="70">
        <f t="shared" si="10"/>
        <v>0.41596638655462226</v>
      </c>
      <c r="K220" s="71">
        <f>IF(D220&gt;=('DATI nascosti 2'!$L$10*10^-3),'DATI nascosti 2'!$L$14*'DATI nascosti 2'!$P$12,IF(D220&gt;=(-'DATI nascosti 2'!$L$10*10^-3),'DATI nascosti 2'!$L$16*D220*'DATI nascosti 2'!$P$12,-'DATI nascosti 2'!$L$14*'DATI nascosti 2'!$P$12))</f>
        <v>-614659.43222408998</v>
      </c>
      <c r="L220" s="71">
        <f>-'DATI nascosti 2'!$H$16*'DATI nascosti 2'!$C$6*I220*'DATI nascosti 2'!$H$10*F220</f>
        <v>-721263.00918836158</v>
      </c>
      <c r="M220" s="71">
        <f>IF(C220&gt;=('DATI nascosti 2'!$L$10*10^-3),'DATI nascosti 2'!$L$14*'DATI nascosti 2'!$P$11,IF(C220&gt;=(-'DATI nascosti 2'!$L$10*10^-3),'DATI nascosti 2'!$P$11*'DATI nascosti 2'!$L$16*C220,-'DATI nascosti 2'!$L$14*'DATI nascosti 2'!$P$11))</f>
        <v>614659.43222408998</v>
      </c>
      <c r="N220" s="71">
        <f t="shared" si="11"/>
        <v>-721263.0091883617</v>
      </c>
      <c r="O220" s="71">
        <f>-L220*('DATI nascosti 2'!$C$8/2-(J220*F220))-K220*('DATI nascosti 2'!$C$13/2)+M220*('DATI nascosti 2'!$C$13/2)</f>
        <v>1068396306.0640242</v>
      </c>
      <c r="P220" s="69">
        <f>-'T2'!N220/10^3</f>
        <v>721.26300918836171</v>
      </c>
      <c r="Q220" s="69">
        <f>'T2'!O220/10^6</f>
        <v>1068.3963060640242</v>
      </c>
      <c r="R220" s="72">
        <f>-N220/('DATI nascosti 2'!$C$6*'DATI nascosti 2'!$C$13*'DATI nascosti 2'!$H$10*'DATI nascosti 2'!$H$16)</f>
        <v>0.17355793772332834</v>
      </c>
      <c r="S220" s="72">
        <f>O220/('DATI nascosti 2'!$H$16*'DATI nascosti 2'!$C$6*'DATI nascosti 2'!$C$13^2*'DATI nascosti 2'!$H$10)</f>
        <v>0.22258772727692125</v>
      </c>
      <c r="T220" s="73">
        <f t="shared" si="12"/>
        <v>-1481.2853181896742</v>
      </c>
      <c r="U220" s="67" t="str">
        <f>IF(T220&gt;=0, IF(T220&lt;='DATI nascosti 2'!$C$8/6, "SI", "NO"),IF(T220&gt; -'DATI nascosti 2'!$C$8/6, "SI", "NO"))</f>
        <v>NO</v>
      </c>
      <c r="V220" s="67" t="str">
        <f>IF(Foglio3!G221&lt;1,IF(Foglio3!G221&gt;-1,"ROTTURA BILANCIATA",""),"")</f>
        <v>ROTTURA BILANCIATA</v>
      </c>
    </row>
    <row r="221" spans="1:22" ht="18.75" x14ac:dyDescent="0.25">
      <c r="A221" s="20"/>
      <c r="B221" s="67">
        <f>'DATI nascosti 2'!$H$12*10^-3</f>
        <v>-3.5000000000000001E-3</v>
      </c>
      <c r="C221" s="68">
        <f>C220-('DATI nascosti 2'!$L$8*10^-3/100)</f>
        <v>1.214999999999998E-2</v>
      </c>
      <c r="D221" s="68">
        <f>('DATI nascosti 2'!$H$12*(F221-'DATI nascosti 2'!$C$10))/(F221*1000)</f>
        <v>-2.8902597402597411E-3</v>
      </c>
      <c r="E221" s="67" t="s">
        <v>39</v>
      </c>
      <c r="F221" s="69">
        <f>(-'DATI nascosti 2'!$H$12*10^-3/(-'DATI nascosti 2'!$H$12*10^-3+C221))*'DATI nascosti 2'!$C$13</f>
        <v>258.30670926517604</v>
      </c>
      <c r="G221" s="70">
        <f t="shared" si="13"/>
        <v>39.978333333333296</v>
      </c>
      <c r="H221" s="70">
        <f t="shared" si="14"/>
        <v>81.720416666666537</v>
      </c>
      <c r="I221" s="70">
        <f>G221/('DATI nascosti 2'!$H$10*(-'DATI nascosti 2'!$H$12))</f>
        <v>0.80952380952380887</v>
      </c>
      <c r="J221" s="70">
        <f t="shared" si="10"/>
        <v>0.41596638655462226</v>
      </c>
      <c r="K221" s="71">
        <f>IF(D221&gt;=('DATI nascosti 2'!$L$10*10^-3),'DATI nascosti 2'!$L$14*'DATI nascosti 2'!$P$12,IF(D221&gt;=(-'DATI nascosti 2'!$L$10*10^-3),'DATI nascosti 2'!$L$16*D221*'DATI nascosti 2'!$P$12,-'DATI nascosti 2'!$L$14*'DATI nascosti 2'!$P$12))</f>
        <v>-614659.43222408998</v>
      </c>
      <c r="L221" s="71">
        <f>-'DATI nascosti 2'!$H$16*'DATI nascosti 2'!$C$6*I221*'DATI nascosti 2'!$H$10*F221</f>
        <v>-752371.79712460085</v>
      </c>
      <c r="M221" s="71">
        <f>IF(C221&gt;=('DATI nascosti 2'!$L$10*10^-3),'DATI nascosti 2'!$L$14*'DATI nascosti 2'!$P$11,IF(C221&gt;=(-'DATI nascosti 2'!$L$10*10^-3),'DATI nascosti 2'!$P$11*'DATI nascosti 2'!$L$16*C221,-'DATI nascosti 2'!$L$14*'DATI nascosti 2'!$P$11))</f>
        <v>614659.43222408998</v>
      </c>
      <c r="N221" s="71">
        <f t="shared" si="11"/>
        <v>-752371.79712460074</v>
      </c>
      <c r="O221" s="71">
        <f>-L221*('DATI nascosti 2'!$C$8/2-(J221*F221))-K221*('DATI nascosti 2'!$C$13/2)+M221*('DATI nascosti 2'!$C$13/2)</f>
        <v>1080514698.8681262</v>
      </c>
      <c r="P221" s="69">
        <f>-'T2'!N221/10^3</f>
        <v>752.37179712460079</v>
      </c>
      <c r="Q221" s="69">
        <f>'T2'!O221/10^6</f>
        <v>1080.5146988681261</v>
      </c>
      <c r="R221" s="72">
        <f>-N221/('DATI nascosti 2'!$C$6*'DATI nascosti 2'!$C$13*'DATI nascosti 2'!$H$10*'DATI nascosti 2'!$H$16)</f>
        <v>0.18104366347177855</v>
      </c>
      <c r="S221" s="72">
        <f>O221/('DATI nascosti 2'!$H$16*'DATI nascosti 2'!$C$6*'DATI nascosti 2'!$C$13^2*'DATI nascosti 2'!$H$10)</f>
        <v>0.22511245101211583</v>
      </c>
      <c r="T221" s="73">
        <f t="shared" si="12"/>
        <v>-1436.1446069584417</v>
      </c>
      <c r="U221" s="67" t="str">
        <f>IF(T221&gt;=0, IF(T221&lt;='DATI nascosti 2'!$C$8/6, "SI", "NO"),IF(T221&gt; -'DATI nascosti 2'!$C$8/6, "SI", "NO"))</f>
        <v>NO</v>
      </c>
      <c r="V221" s="67" t="str">
        <f>IF(Foglio3!G222&lt;1,IF(Foglio3!G222&gt;-1,"ROTTURA BILANCIATA",""),"")</f>
        <v>ROTTURA BILANCIATA</v>
      </c>
    </row>
    <row r="222" spans="1:22" ht="18.75" x14ac:dyDescent="0.25">
      <c r="A222" s="20"/>
      <c r="B222" s="67">
        <f>'DATI nascosti 2'!$H$12*10^-3</f>
        <v>-3.5000000000000001E-3</v>
      </c>
      <c r="C222" s="68">
        <f>C221-('DATI nascosti 2'!$L$8*10^-3/100)</f>
        <v>1.147499999999998E-2</v>
      </c>
      <c r="D222" s="68">
        <f>('DATI nascosti 2'!$H$12*(F222-'DATI nascosti 2'!$C$10))/(F222*1000)</f>
        <v>-2.9165584415584422E-3</v>
      </c>
      <c r="E222" s="67" t="s">
        <v>39</v>
      </c>
      <c r="F222" s="69">
        <f>(-'DATI nascosti 2'!$H$12*10^-3/(-'DATI nascosti 2'!$H$12*10^-3+C222))*'DATI nascosti 2'!$C$13</f>
        <v>269.94991652754629</v>
      </c>
      <c r="G222" s="70">
        <f t="shared" si="13"/>
        <v>39.978333333333296</v>
      </c>
      <c r="H222" s="70">
        <f t="shared" si="14"/>
        <v>81.720416666666537</v>
      </c>
      <c r="I222" s="70">
        <f>G222/('DATI nascosti 2'!$H$10*(-'DATI nascosti 2'!$H$12))</f>
        <v>0.80952380952380887</v>
      </c>
      <c r="J222" s="70">
        <f t="shared" si="10"/>
        <v>0.41596638655462226</v>
      </c>
      <c r="K222" s="71">
        <f>IF(D222&gt;=('DATI nascosti 2'!$L$10*10^-3),'DATI nascosti 2'!$L$14*'DATI nascosti 2'!$P$12,IF(D222&gt;=(-'DATI nascosti 2'!$L$10*10^-3),'DATI nascosti 2'!$L$16*D222*'DATI nascosti 2'!$P$12,-'DATI nascosti 2'!$L$14*'DATI nascosti 2'!$P$12))</f>
        <v>-614659.43222408998</v>
      </c>
      <c r="L222" s="71">
        <f>-'DATI nascosti 2'!$H$16*'DATI nascosti 2'!$C$6*I222*'DATI nascosti 2'!$H$10*F222</f>
        <v>-786285.05008347286</v>
      </c>
      <c r="M222" s="71">
        <f>IF(C222&gt;=('DATI nascosti 2'!$L$10*10^-3),'DATI nascosti 2'!$L$14*'DATI nascosti 2'!$P$11,IF(C222&gt;=(-'DATI nascosti 2'!$L$10*10^-3),'DATI nascosti 2'!$P$11*'DATI nascosti 2'!$L$16*C222,-'DATI nascosti 2'!$L$14*'DATI nascosti 2'!$P$11))</f>
        <v>614659.43222408998</v>
      </c>
      <c r="N222" s="71">
        <f t="shared" si="11"/>
        <v>-786285.05008347286</v>
      </c>
      <c r="O222" s="71">
        <f>-L222*('DATI nascosti 2'!$C$8/2-(J222*F222))-K222*('DATI nascosti 2'!$C$13/2)+M222*('DATI nascosti 2'!$C$13/2)</f>
        <v>1093410654.1846545</v>
      </c>
      <c r="P222" s="69">
        <f>-'T2'!N222/10^3</f>
        <v>786.28505008347281</v>
      </c>
      <c r="Q222" s="69">
        <f>'T2'!O222/10^6</f>
        <v>1093.4106541846545</v>
      </c>
      <c r="R222" s="72">
        <f>-N222/('DATI nascosti 2'!$C$6*'DATI nascosti 2'!$C$13*'DATI nascosti 2'!$H$10*'DATI nascosti 2'!$H$16)</f>
        <v>0.18920422927100738</v>
      </c>
      <c r="S222" s="72">
        <f>O222/('DATI nascosti 2'!$H$16*'DATI nascosti 2'!$C$6*'DATI nascosti 2'!$C$13^2*'DATI nascosti 2'!$H$10)</f>
        <v>0.22779917069532554</v>
      </c>
      <c r="T222" s="73">
        <f t="shared" si="12"/>
        <v>-1390.6033874974182</v>
      </c>
      <c r="U222" s="67" t="str">
        <f>IF(T222&gt;=0, IF(T222&lt;='DATI nascosti 2'!$C$8/6, "SI", "NO"),IF(T222&gt; -'DATI nascosti 2'!$C$8/6, "SI", "NO"))</f>
        <v>NO</v>
      </c>
      <c r="V222" s="67" t="str">
        <f>IF(Foglio3!G223&lt;1,IF(Foglio3!G223&gt;-1,"ROTTURA BILANCIATA",""),"")</f>
        <v>ROTTURA BILANCIATA</v>
      </c>
    </row>
    <row r="223" spans="1:22" ht="18.75" x14ac:dyDescent="0.25">
      <c r="A223" s="20"/>
      <c r="B223" s="67">
        <f>'DATI nascosti 2'!$H$12*10^-3</f>
        <v>-3.5000000000000001E-3</v>
      </c>
      <c r="C223" s="68">
        <f>C222-('DATI nascosti 2'!$L$8*10^-3/100)</f>
        <v>1.079999999999998E-2</v>
      </c>
      <c r="D223" s="68">
        <f>('DATI nascosti 2'!$H$12*(F223-'DATI nascosti 2'!$C$10))/(F223*1000)</f>
        <v>-2.9428571428571433E-3</v>
      </c>
      <c r="E223" s="67" t="s">
        <v>39</v>
      </c>
      <c r="F223" s="69">
        <f>(-'DATI nascosti 2'!$H$12*10^-3/(-'DATI nascosti 2'!$H$12*10^-3+C223))*'DATI nascosti 2'!$C$13</f>
        <v>282.69230769230808</v>
      </c>
      <c r="G223" s="70">
        <f t="shared" si="13"/>
        <v>39.978333333333296</v>
      </c>
      <c r="H223" s="70">
        <f t="shared" si="14"/>
        <v>81.720416666666537</v>
      </c>
      <c r="I223" s="70">
        <f>G223/('DATI nascosti 2'!$H$10*(-'DATI nascosti 2'!$H$12))</f>
        <v>0.80952380952380887</v>
      </c>
      <c r="J223" s="70">
        <f t="shared" si="10"/>
        <v>0.41596638655462226</v>
      </c>
      <c r="K223" s="71">
        <f>IF(D223&gt;=('DATI nascosti 2'!$L$10*10^-3),'DATI nascosti 2'!$L$14*'DATI nascosti 2'!$P$12,IF(D223&gt;=(-'DATI nascosti 2'!$L$10*10^-3),'DATI nascosti 2'!$L$16*D223*'DATI nascosti 2'!$P$12,-'DATI nascosti 2'!$L$14*'DATI nascosti 2'!$P$12))</f>
        <v>-614659.43222408998</v>
      </c>
      <c r="L223" s="71">
        <f>-'DATI nascosti 2'!$H$16*'DATI nascosti 2'!$C$6*I223*'DATI nascosti 2'!$H$10*F223</f>
        <v>-823399.90384615422</v>
      </c>
      <c r="M223" s="71">
        <f>IF(C223&gt;=('DATI nascosti 2'!$L$10*10^-3),'DATI nascosti 2'!$L$14*'DATI nascosti 2'!$P$11,IF(C223&gt;=(-'DATI nascosti 2'!$L$10*10^-3),'DATI nascosti 2'!$P$11*'DATI nascosti 2'!$L$16*C223,-'DATI nascosti 2'!$L$14*'DATI nascosti 2'!$P$11))</f>
        <v>614659.43222408998</v>
      </c>
      <c r="N223" s="71">
        <f t="shared" si="11"/>
        <v>-823399.90384615422</v>
      </c>
      <c r="O223" s="71">
        <f>-L223*('DATI nascosti 2'!$C$8/2-(J223*F223))-K223*('DATI nascosti 2'!$C$13/2)+M223*('DATI nascosti 2'!$C$13/2)</f>
        <v>1107147581.9961908</v>
      </c>
      <c r="P223" s="69">
        <f>-'T2'!N223/10^3</f>
        <v>823.39990384615419</v>
      </c>
      <c r="Q223" s="69">
        <f>'T2'!O223/10^6</f>
        <v>1107.1475819961909</v>
      </c>
      <c r="R223" s="72">
        <f>-N223/('DATI nascosti 2'!$C$6*'DATI nascosti 2'!$C$13*'DATI nascosti 2'!$H$10*'DATI nascosti 2'!$H$16)</f>
        <v>0.19813519813519828</v>
      </c>
      <c r="S223" s="72">
        <f>O223/('DATI nascosti 2'!$H$16*'DATI nascosti 2'!$C$6*'DATI nascosti 2'!$C$13^2*'DATI nascosti 2'!$H$10)</f>
        <v>0.23066109704604598</v>
      </c>
      <c r="T223" s="73">
        <f t="shared" si="12"/>
        <v>-1344.6049444803587</v>
      </c>
      <c r="U223" s="67" t="str">
        <f>IF(T223&gt;=0, IF(T223&lt;='DATI nascosti 2'!$C$8/6, "SI", "NO"),IF(T223&gt; -'DATI nascosti 2'!$C$8/6, "SI", "NO"))</f>
        <v>NO</v>
      </c>
      <c r="V223" s="67" t="str">
        <f>IF(Foglio3!G224&lt;1,IF(Foglio3!G224&gt;-1,"ROTTURA BILANCIATA",""),"")</f>
        <v>ROTTURA BILANCIATA</v>
      </c>
    </row>
    <row r="224" spans="1:22" ht="18.75" x14ac:dyDescent="0.25">
      <c r="A224" s="20"/>
      <c r="B224" s="67">
        <f>'DATI nascosti 2'!$H$12*10^-3</f>
        <v>-3.5000000000000001E-3</v>
      </c>
      <c r="C224" s="68">
        <f>C223-('DATI nascosti 2'!$L$8*10^-3/100)</f>
        <v>1.012499999999998E-2</v>
      </c>
      <c r="D224" s="68">
        <f>('DATI nascosti 2'!$H$12*(F224-'DATI nascosti 2'!$C$10))/(F224*1000)</f>
        <v>-2.9691558441558448E-3</v>
      </c>
      <c r="E224" s="67" t="s">
        <v>39</v>
      </c>
      <c r="F224" s="69">
        <f>(-'DATI nascosti 2'!$H$12*10^-3/(-'DATI nascosti 2'!$H$12*10^-3+C224))*'DATI nascosti 2'!$C$13</f>
        <v>296.6972477064225</v>
      </c>
      <c r="G224" s="70">
        <f t="shared" si="13"/>
        <v>39.978333333333296</v>
      </c>
      <c r="H224" s="70">
        <f t="shared" si="14"/>
        <v>81.720416666666537</v>
      </c>
      <c r="I224" s="70">
        <f>G224/('DATI nascosti 2'!$H$10*(-'DATI nascosti 2'!$H$12))</f>
        <v>0.80952380952380887</v>
      </c>
      <c r="J224" s="70">
        <f t="shared" si="10"/>
        <v>0.41596638655462226</v>
      </c>
      <c r="K224" s="71">
        <f>IF(D224&gt;=('DATI nascosti 2'!$L$10*10^-3),'DATI nascosti 2'!$L$14*'DATI nascosti 2'!$P$12,IF(D224&gt;=(-'DATI nascosti 2'!$L$10*10^-3),'DATI nascosti 2'!$L$16*D224*'DATI nascosti 2'!$P$12,-'DATI nascosti 2'!$L$14*'DATI nascosti 2'!$P$12))</f>
        <v>-614659.43222408998</v>
      </c>
      <c r="L224" s="71">
        <f>-'DATI nascosti 2'!$H$16*'DATI nascosti 2'!$C$6*I224*'DATI nascosti 2'!$H$10*F224</f>
        <v>-864192.19266055105</v>
      </c>
      <c r="M224" s="71">
        <f>IF(C224&gt;=('DATI nascosti 2'!$L$10*10^-3),'DATI nascosti 2'!$L$14*'DATI nascosti 2'!$P$11,IF(C224&gt;=(-'DATI nascosti 2'!$L$10*10^-3),'DATI nascosti 2'!$P$11*'DATI nascosti 2'!$L$16*C224,-'DATI nascosti 2'!$L$14*'DATI nascosti 2'!$P$11))</f>
        <v>614659.43222408998</v>
      </c>
      <c r="N224" s="71">
        <f t="shared" si="11"/>
        <v>-864192.19266055105</v>
      </c>
      <c r="O224" s="71">
        <f>-L224*('DATI nascosti 2'!$C$8/2-(J224*F224))-K224*('DATI nascosti 2'!$C$13/2)+M224*('DATI nascosti 2'!$C$13/2)</f>
        <v>1121791745.2768157</v>
      </c>
      <c r="P224" s="69">
        <f>-'T2'!N224/10^3</f>
        <v>864.19219266055109</v>
      </c>
      <c r="Q224" s="69">
        <f>'T2'!O224/10^6</f>
        <v>1121.7917452768156</v>
      </c>
      <c r="R224" s="72">
        <f>-N224/('DATI nascosti 2'!$C$6*'DATI nascosti 2'!$C$13*'DATI nascosti 2'!$H$10*'DATI nascosti 2'!$H$16)</f>
        <v>0.20795107033639162</v>
      </c>
      <c r="S224" s="72">
        <f>O224/('DATI nascosti 2'!$H$16*'DATI nascosti 2'!$C$6*'DATI nascosti 2'!$C$13^2*'DATI nascosti 2'!$H$10)</f>
        <v>0.23371203517079003</v>
      </c>
      <c r="T224" s="73">
        <f t="shared" si="12"/>
        <v>-1298.0813235805845</v>
      </c>
      <c r="U224" s="67" t="str">
        <f>IF(T224&gt;=0, IF(T224&lt;='DATI nascosti 2'!$C$8/6, "SI", "NO"),IF(T224&gt; -'DATI nascosti 2'!$C$8/6, "SI", "NO"))</f>
        <v>NO</v>
      </c>
      <c r="V224" s="67" t="str">
        <f>IF(Foglio3!G225&lt;1,IF(Foglio3!G225&gt;-1,"ROTTURA BILANCIATA",""),"")</f>
        <v>ROTTURA BILANCIATA</v>
      </c>
    </row>
    <row r="225" spans="1:22" ht="18.75" x14ac:dyDescent="0.25">
      <c r="A225" s="20"/>
      <c r="B225" s="67">
        <f>'DATI nascosti 2'!$H$12*10^-3</f>
        <v>-3.5000000000000001E-3</v>
      </c>
      <c r="C225" s="68">
        <f>C224-('DATI nascosti 2'!$L$8*10^-3/100)</f>
        <v>9.4499999999999792E-3</v>
      </c>
      <c r="D225" s="68">
        <f>('DATI nascosti 2'!$H$12*(F225-'DATI nascosti 2'!$C$10))/(F225*1000)</f>
        <v>-2.9954545454545459E-3</v>
      </c>
      <c r="E225" s="67" t="s">
        <v>39</v>
      </c>
      <c r="F225" s="69">
        <f>(-'DATI nascosti 2'!$H$12*10^-3/(-'DATI nascosti 2'!$H$12*10^-3+C225))*'DATI nascosti 2'!$C$13</f>
        <v>312.1621621621627</v>
      </c>
      <c r="G225" s="70">
        <f t="shared" si="13"/>
        <v>39.978333333333296</v>
      </c>
      <c r="H225" s="70">
        <f t="shared" si="14"/>
        <v>81.720416666666537</v>
      </c>
      <c r="I225" s="70">
        <f>G225/('DATI nascosti 2'!$H$10*(-'DATI nascosti 2'!$H$12))</f>
        <v>0.80952380952380887</v>
      </c>
      <c r="J225" s="70">
        <f t="shared" si="10"/>
        <v>0.41596638655462226</v>
      </c>
      <c r="K225" s="71">
        <f>IF(D225&gt;=('DATI nascosti 2'!$L$10*10^-3),'DATI nascosti 2'!$L$14*'DATI nascosti 2'!$P$12,IF(D225&gt;=(-'DATI nascosti 2'!$L$10*10^-3),'DATI nascosti 2'!$L$16*D225*'DATI nascosti 2'!$P$12,-'DATI nascosti 2'!$L$14*'DATI nascosti 2'!$P$12))</f>
        <v>-614659.43222408998</v>
      </c>
      <c r="L225" s="71">
        <f>-'DATI nascosti 2'!$H$16*'DATI nascosti 2'!$C$6*I225*'DATI nascosti 2'!$H$10*F225</f>
        <v>-909236.95945946022</v>
      </c>
      <c r="M225" s="71">
        <f>IF(C225&gt;=('DATI nascosti 2'!$L$10*10^-3),'DATI nascosti 2'!$L$14*'DATI nascosti 2'!$P$11,IF(C225&gt;=(-'DATI nascosti 2'!$L$10*10^-3),'DATI nascosti 2'!$P$11*'DATI nascosti 2'!$L$16*C225,-'DATI nascosti 2'!$L$14*'DATI nascosti 2'!$P$11))</f>
        <v>614659.43222408998</v>
      </c>
      <c r="N225" s="71">
        <f t="shared" si="11"/>
        <v>-909236.95945946011</v>
      </c>
      <c r="O225" s="71">
        <f>-L225*('DATI nascosti 2'!$C$8/2-(J225*F225))-K225*('DATI nascosti 2'!$C$13/2)+M225*('DATI nascosti 2'!$C$13/2)</f>
        <v>1137410340.3017311</v>
      </c>
      <c r="P225" s="69">
        <f>-'T2'!N225/10^3</f>
        <v>909.23695945946008</v>
      </c>
      <c r="Q225" s="69">
        <f>'T2'!O225/10^6</f>
        <v>1137.4103403017311</v>
      </c>
      <c r="R225" s="72">
        <f>-N225/('DATI nascosti 2'!$C$6*'DATI nascosti 2'!$C$13*'DATI nascosti 2'!$H$10*'DATI nascosti 2'!$H$16)</f>
        <v>0.21879021879021898</v>
      </c>
      <c r="S225" s="72">
        <f>O225/('DATI nascosti 2'!$H$16*'DATI nascosti 2'!$C$6*'DATI nascosti 2'!$C$13^2*'DATI nascosti 2'!$H$10)</f>
        <v>0.23696598461831481</v>
      </c>
      <c r="T225" s="73">
        <f t="shared" si="12"/>
        <v>-1250.9504023878656</v>
      </c>
      <c r="U225" s="67" t="str">
        <f>IF(T225&gt;=0, IF(T225&lt;='DATI nascosti 2'!$C$8/6, "SI", "NO"),IF(T225&gt; -'DATI nascosti 2'!$C$8/6, "SI", "NO"))</f>
        <v>NO</v>
      </c>
      <c r="V225" s="67" t="str">
        <f>IF(Foglio3!G226&lt;1,IF(Foglio3!G226&gt;-1,"ROTTURA BILANCIATA",""),"")</f>
        <v>ROTTURA BILANCIATA</v>
      </c>
    </row>
    <row r="226" spans="1:22" ht="18.75" x14ac:dyDescent="0.25">
      <c r="A226" s="20"/>
      <c r="B226" s="67">
        <f>'DATI nascosti 2'!$H$12*10^-3</f>
        <v>-3.5000000000000001E-3</v>
      </c>
      <c r="C226" s="68">
        <f>C225-('DATI nascosti 2'!$L$8*10^-3/100)</f>
        <v>8.774999999999979E-3</v>
      </c>
      <c r="D226" s="68">
        <f>('DATI nascosti 2'!$H$12*(F226-'DATI nascosti 2'!$C$10))/(F226*1000)</f>
        <v>-3.0217532467532475E-3</v>
      </c>
      <c r="E226" s="67" t="s">
        <v>39</v>
      </c>
      <c r="F226" s="69">
        <f>(-'DATI nascosti 2'!$H$12*10^-3/(-'DATI nascosti 2'!$H$12*10^-3+C226))*'DATI nascosti 2'!$C$13</f>
        <v>329.32790224032641</v>
      </c>
      <c r="G226" s="70">
        <f t="shared" si="13"/>
        <v>39.978333333333296</v>
      </c>
      <c r="H226" s="70">
        <f t="shared" si="14"/>
        <v>81.720416666666537</v>
      </c>
      <c r="I226" s="70">
        <f>G226/('DATI nascosti 2'!$H$10*(-'DATI nascosti 2'!$H$12))</f>
        <v>0.80952380952380887</v>
      </c>
      <c r="J226" s="70">
        <f t="shared" si="10"/>
        <v>0.41596638655462226</v>
      </c>
      <c r="K226" s="71">
        <f>IF(D226&gt;=('DATI nascosti 2'!$L$10*10^-3),'DATI nascosti 2'!$L$14*'DATI nascosti 2'!$P$12,IF(D226&gt;=(-'DATI nascosti 2'!$L$10*10^-3),'DATI nascosti 2'!$L$16*D226*'DATI nascosti 2'!$P$12,-'DATI nascosti 2'!$L$14*'DATI nascosti 2'!$P$12))</f>
        <v>-614659.43222408998</v>
      </c>
      <c r="L226" s="71">
        <f>-'DATI nascosti 2'!$H$16*'DATI nascosti 2'!$C$6*I226*'DATI nascosti 2'!$H$10*F226</f>
        <v>-959235.73319755669</v>
      </c>
      <c r="M226" s="71">
        <f>IF(C226&gt;=('DATI nascosti 2'!$L$10*10^-3),'DATI nascosti 2'!$L$14*'DATI nascosti 2'!$P$11,IF(C226&gt;=(-'DATI nascosti 2'!$L$10*10^-3),'DATI nascosti 2'!$P$11*'DATI nascosti 2'!$L$16*C226,-'DATI nascosti 2'!$L$14*'DATI nascosti 2'!$P$11))</f>
        <v>614659.43222408998</v>
      </c>
      <c r="N226" s="71">
        <f t="shared" si="11"/>
        <v>-959235.73319755658</v>
      </c>
      <c r="O226" s="71">
        <f>-L226*('DATI nascosti 2'!$C$8/2-(J226*F226))-K226*('DATI nascosti 2'!$C$13/2)+M226*('DATI nascosti 2'!$C$13/2)</f>
        <v>1154068016.553226</v>
      </c>
      <c r="P226" s="69">
        <f>-'T2'!N226/10^3</f>
        <v>959.23573319755656</v>
      </c>
      <c r="Q226" s="69">
        <f>'T2'!O226/10^6</f>
        <v>1154.068016553226</v>
      </c>
      <c r="R226" s="72">
        <f>-N226/('DATI nascosti 2'!$C$6*'DATI nascosti 2'!$C$13*'DATI nascosti 2'!$H$10*'DATI nascosti 2'!$H$16)</f>
        <v>0.23082145281737967</v>
      </c>
      <c r="S226" s="72">
        <f>O226/('DATI nascosti 2'!$H$16*'DATI nascosti 2'!$C$6*'DATI nascosti 2'!$C$13^2*'DATI nascosti 2'!$H$10)</f>
        <v>0.24043641434321206</v>
      </c>
      <c r="T226" s="73">
        <f t="shared" si="12"/>
        <v>-1203.1119949068279</v>
      </c>
      <c r="U226" s="67" t="str">
        <f>IF(T226&gt;=0, IF(T226&lt;='DATI nascosti 2'!$C$8/6, "SI", "NO"),IF(T226&gt; -'DATI nascosti 2'!$C$8/6, "SI", "NO"))</f>
        <v>NO</v>
      </c>
      <c r="V226" s="67" t="str">
        <f>IF(Foglio3!G227&lt;1,IF(Foglio3!G227&gt;-1,"ROTTURA BILANCIATA",""),"")</f>
        <v>ROTTURA BILANCIATA</v>
      </c>
    </row>
    <row r="227" spans="1:22" ht="18.75" x14ac:dyDescent="0.25">
      <c r="A227" s="20"/>
      <c r="B227" s="67">
        <f>'DATI nascosti 2'!$H$12*10^-3</f>
        <v>-3.5000000000000001E-3</v>
      </c>
      <c r="C227" s="68">
        <f>C226-('DATI nascosti 2'!$L$8*10^-3/100)</f>
        <v>8.0999999999999787E-3</v>
      </c>
      <c r="D227" s="68">
        <f>('DATI nascosti 2'!$H$12*(F227-'DATI nascosti 2'!$C$10))/(F227*1000)</f>
        <v>-3.0480519480519486E-3</v>
      </c>
      <c r="E227" s="67" t="s">
        <v>39</v>
      </c>
      <c r="F227" s="69">
        <f>(-'DATI nascosti 2'!$H$12*10^-3/(-'DATI nascosti 2'!$H$12*10^-3+C227))*'DATI nascosti 2'!$C$13</f>
        <v>348.49137931034545</v>
      </c>
      <c r="G227" s="70">
        <f t="shared" si="13"/>
        <v>39.978333333333296</v>
      </c>
      <c r="H227" s="70">
        <f t="shared" si="14"/>
        <v>81.720416666666537</v>
      </c>
      <c r="I227" s="70">
        <f>G227/('DATI nascosti 2'!$H$10*(-'DATI nascosti 2'!$H$12))</f>
        <v>0.80952380952380887</v>
      </c>
      <c r="J227" s="70">
        <f t="shared" si="10"/>
        <v>0.41596638655462226</v>
      </c>
      <c r="K227" s="71">
        <f>IF(D227&gt;=('DATI nascosti 2'!$L$10*10^-3),'DATI nascosti 2'!$L$14*'DATI nascosti 2'!$P$12,IF(D227&gt;=(-'DATI nascosti 2'!$L$10*10^-3),'DATI nascosti 2'!$L$16*D227*'DATI nascosti 2'!$P$12,-'DATI nascosti 2'!$L$14*'DATI nascosti 2'!$P$12))</f>
        <v>-614659.43222408998</v>
      </c>
      <c r="L227" s="71">
        <f>-'DATI nascosti 2'!$H$16*'DATI nascosti 2'!$C$6*I227*'DATI nascosti 2'!$H$10*F227</f>
        <v>-1015053.3297413802</v>
      </c>
      <c r="M227" s="71">
        <f>IF(C227&gt;=('DATI nascosti 2'!$L$10*10^-3),'DATI nascosti 2'!$L$14*'DATI nascosti 2'!$P$11,IF(C227&gt;=(-'DATI nascosti 2'!$L$10*10^-3),'DATI nascosti 2'!$P$11*'DATI nascosti 2'!$L$16*C227,-'DATI nascosti 2'!$L$14*'DATI nascosti 2'!$P$11))</f>
        <v>614659.43222408998</v>
      </c>
      <c r="N227" s="71">
        <f t="shared" si="11"/>
        <v>-1015053.3297413802</v>
      </c>
      <c r="O227" s="71">
        <f>-L227*('DATI nascosti 2'!$C$8/2-(J227*F227))-K227*('DATI nascosti 2'!$C$13/2)+M227*('DATI nascosti 2'!$C$13/2)</f>
        <v>1171820801.0529034</v>
      </c>
      <c r="P227" s="69">
        <f>-'T2'!N227/10^3</f>
        <v>1015.0533297413801</v>
      </c>
      <c r="Q227" s="69">
        <f>'T2'!O227/10^6</f>
        <v>1171.8208010529033</v>
      </c>
      <c r="R227" s="72">
        <f>-N227/('DATI nascosti 2'!$C$6*'DATI nascosti 2'!$C$13*'DATI nascosti 2'!$H$10*'DATI nascosti 2'!$H$16)</f>
        <v>0.24425287356321865</v>
      </c>
      <c r="S227" s="72">
        <f>O227/('DATI nascosti 2'!$H$16*'DATI nascosti 2'!$C$6*'DATI nascosti 2'!$C$13^2*'DATI nascosti 2'!$H$10)</f>
        <v>0.24413499691242524</v>
      </c>
      <c r="T227" s="73">
        <f t="shared" si="12"/>
        <v>-1154.4425959880011</v>
      </c>
      <c r="U227" s="67" t="str">
        <f>IF(T227&gt;=0, IF(T227&lt;='DATI nascosti 2'!$C$8/6, "SI", "NO"),IF(T227&gt; -'DATI nascosti 2'!$C$8/6, "SI", "NO"))</f>
        <v>NO</v>
      </c>
      <c r="V227" s="67" t="str">
        <f>IF(Foglio3!G228&lt;1,IF(Foglio3!G228&gt;-1,"ROTTURA BILANCIATA",""),"")</f>
        <v>ROTTURA BILANCIATA</v>
      </c>
    </row>
    <row r="228" spans="1:22" ht="18.75" x14ac:dyDescent="0.25">
      <c r="A228" s="20"/>
      <c r="B228" s="67">
        <f>'DATI nascosti 2'!$H$12*10^-3</f>
        <v>-3.5000000000000001E-3</v>
      </c>
      <c r="C228" s="68">
        <f>C227-('DATI nascosti 2'!$L$8*10^-3/100)</f>
        <v>7.4249999999999785E-3</v>
      </c>
      <c r="D228" s="68">
        <f>('DATI nascosti 2'!$H$12*(F228-'DATI nascosti 2'!$C$10))/(F228*1000)</f>
        <v>-3.0743506493506501E-3</v>
      </c>
      <c r="E228" s="67" t="s">
        <v>39</v>
      </c>
      <c r="F228" s="69">
        <f>(-'DATI nascosti 2'!$H$12*10^-3/(-'DATI nascosti 2'!$H$12*10^-3+C228))*'DATI nascosti 2'!$C$13</f>
        <v>370.02288329519524</v>
      </c>
      <c r="G228" s="70">
        <f t="shared" si="13"/>
        <v>39.978333333333296</v>
      </c>
      <c r="H228" s="70">
        <f t="shared" si="14"/>
        <v>81.720416666666537</v>
      </c>
      <c r="I228" s="70">
        <f>G228/('DATI nascosti 2'!$H$10*(-'DATI nascosti 2'!$H$12))</f>
        <v>0.80952380952380887</v>
      </c>
      <c r="J228" s="70">
        <f t="shared" si="10"/>
        <v>0.41596638655462226</v>
      </c>
      <c r="K228" s="71">
        <f>IF(D228&gt;=('DATI nascosti 2'!$L$10*10^-3),'DATI nascosti 2'!$L$14*'DATI nascosti 2'!$P$12,IF(D228&gt;=(-'DATI nascosti 2'!$L$10*10^-3),'DATI nascosti 2'!$L$16*D228*'DATI nascosti 2'!$P$12,-'DATI nascosti 2'!$L$14*'DATI nascosti 2'!$P$12))</f>
        <v>-614659.43222408998</v>
      </c>
      <c r="L228" s="71">
        <f>-'DATI nascosti 2'!$H$16*'DATI nascosti 2'!$C$6*I228*'DATI nascosti 2'!$H$10*F228</f>
        <v>-1077768.2951945092</v>
      </c>
      <c r="M228" s="71">
        <f>IF(C228&gt;=('DATI nascosti 2'!$L$10*10^-3),'DATI nascosti 2'!$L$14*'DATI nascosti 2'!$P$11,IF(C228&gt;=(-'DATI nascosti 2'!$L$10*10^-3),'DATI nascosti 2'!$P$11*'DATI nascosti 2'!$L$16*C228,-'DATI nascosti 2'!$L$14*'DATI nascosti 2'!$P$11))</f>
        <v>614659.43222408998</v>
      </c>
      <c r="N228" s="71">
        <f t="shared" si="11"/>
        <v>-1077768.2951945092</v>
      </c>
      <c r="O228" s="71">
        <f>-L228*('DATI nascosti 2'!$C$8/2-(J228*F228))-K228*('DATI nascosti 2'!$C$13/2)+M228*('DATI nascosti 2'!$C$13/2)</f>
        <v>1190705670.5830507</v>
      </c>
      <c r="P228" s="69">
        <f>-'T2'!N228/10^3</f>
        <v>1077.7682951945092</v>
      </c>
      <c r="Q228" s="69">
        <f>'T2'!O228/10^6</f>
        <v>1190.7056705830507</v>
      </c>
      <c r="R228" s="72">
        <f>-N228/('DATI nascosti 2'!$C$6*'DATI nascosti 2'!$C$13*'DATI nascosti 2'!$H$10*'DATI nascosti 2'!$H$16)</f>
        <v>0.25934401220442443</v>
      </c>
      <c r="S228" s="72">
        <f>O228/('DATI nascosti 2'!$H$16*'DATI nascosti 2'!$C$6*'DATI nascosti 2'!$C$13^2*'DATI nascosti 2'!$H$10)</f>
        <v>0.24806943600097142</v>
      </c>
      <c r="T228" s="73">
        <f t="shared" si="12"/>
        <v>-1104.7881774701484</v>
      </c>
      <c r="U228" s="67" t="str">
        <f>IF(T228&gt;=0, IF(T228&lt;='DATI nascosti 2'!$C$8/6, "SI", "NO"),IF(T228&gt; -'DATI nascosti 2'!$C$8/6, "SI", "NO"))</f>
        <v>NO</v>
      </c>
      <c r="V228" s="67" t="str">
        <f>IF(Foglio3!G229&lt;1,IF(Foglio3!G229&gt;-1,"ROTTURA BILANCIATA",""),"")</f>
        <v>ROTTURA BILANCIATA</v>
      </c>
    </row>
    <row r="229" spans="1:22" ht="18.75" x14ac:dyDescent="0.25">
      <c r="A229" s="20"/>
      <c r="B229" s="67">
        <f>'DATI nascosti 2'!$H$12*10^-3</f>
        <v>-3.5000000000000001E-3</v>
      </c>
      <c r="C229" s="68">
        <f>C228-('DATI nascosti 2'!$L$8*10^-3/100)</f>
        <v>6.7499999999999782E-3</v>
      </c>
      <c r="D229" s="68">
        <f>('DATI nascosti 2'!$H$12*(F229-'DATI nascosti 2'!$C$10))/(F229*1000)</f>
        <v>-3.1006493506493512E-3</v>
      </c>
      <c r="E229" s="67" t="s">
        <v>39</v>
      </c>
      <c r="F229" s="69">
        <f>(-'DATI nascosti 2'!$H$12*10^-3/(-'DATI nascosti 2'!$H$12*10^-3+C229))*'DATI nascosti 2'!$C$13</f>
        <v>394.39024390243986</v>
      </c>
      <c r="G229" s="70">
        <f t="shared" si="13"/>
        <v>39.978333333333296</v>
      </c>
      <c r="H229" s="70">
        <f t="shared" si="14"/>
        <v>81.720416666666537</v>
      </c>
      <c r="I229" s="70">
        <f>G229/('DATI nascosti 2'!$H$10*(-'DATI nascosti 2'!$H$12))</f>
        <v>0.80952380952380887</v>
      </c>
      <c r="J229" s="70">
        <f t="shared" si="10"/>
        <v>0.41596638655462226</v>
      </c>
      <c r="K229" s="71">
        <f>IF(D229&gt;=('DATI nascosti 2'!$L$10*10^-3),'DATI nascosti 2'!$L$14*'DATI nascosti 2'!$P$12,IF(D229&gt;=(-'DATI nascosti 2'!$L$10*10^-3),'DATI nascosti 2'!$L$16*D229*'DATI nascosti 2'!$P$12,-'DATI nascosti 2'!$L$14*'DATI nascosti 2'!$P$12))</f>
        <v>-614659.43222408998</v>
      </c>
      <c r="L229" s="71">
        <f>-'DATI nascosti 2'!$H$16*'DATI nascosti 2'!$C$6*I229*'DATI nascosti 2'!$H$10*F229</f>
        <v>-1148743.2804878063</v>
      </c>
      <c r="M229" s="71">
        <f>IF(C229&gt;=('DATI nascosti 2'!$L$10*10^-3),'DATI nascosti 2'!$L$14*'DATI nascosti 2'!$P$11,IF(C229&gt;=(-'DATI nascosti 2'!$L$10*10^-3),'DATI nascosti 2'!$P$11*'DATI nascosti 2'!$L$16*C229,-'DATI nascosti 2'!$L$14*'DATI nascosti 2'!$P$11))</f>
        <v>614659.43222408998</v>
      </c>
      <c r="N229" s="71">
        <f t="shared" si="11"/>
        <v>-1148743.2804878063</v>
      </c>
      <c r="O229" s="71">
        <f>-L229*('DATI nascosti 2'!$C$8/2-(J229*F229))-K229*('DATI nascosti 2'!$C$13/2)+M229*('DATI nascosti 2'!$C$13/2)</f>
        <v>1210722733.878253</v>
      </c>
      <c r="P229" s="69">
        <f>-'T2'!N229/10^3</f>
        <v>1148.7432804878063</v>
      </c>
      <c r="Q229" s="69">
        <f>'T2'!O229/10^6</f>
        <v>1210.7227338782529</v>
      </c>
      <c r="R229" s="72">
        <f>-N229/('DATI nascosti 2'!$C$6*'DATI nascosti 2'!$C$13*'DATI nascosti 2'!$H$10*'DATI nascosti 2'!$H$16)</f>
        <v>0.27642276422764267</v>
      </c>
      <c r="S229" s="72">
        <f>O229/('DATI nascosti 2'!$H$16*'DATI nascosti 2'!$C$6*'DATI nascosti 2'!$C$13^2*'DATI nascosti 2'!$H$10)</f>
        <v>0.25223975426241474</v>
      </c>
      <c r="T229" s="73">
        <f t="shared" si="12"/>
        <v>-1053.954137920291</v>
      </c>
      <c r="U229" s="67" t="str">
        <f>IF(T229&gt;=0, IF(T229&lt;='DATI nascosti 2'!$C$8/6, "SI", "NO"),IF(T229&gt; -'DATI nascosti 2'!$C$8/6, "SI", "NO"))</f>
        <v>NO</v>
      </c>
      <c r="V229" s="67" t="str">
        <f>IF(Foglio3!G230&lt;1,IF(Foglio3!G230&gt;-1,"ROTTURA BILANCIATA",""),"")</f>
        <v>ROTTURA BILANCIATA</v>
      </c>
    </row>
    <row r="230" spans="1:22" ht="18.75" x14ac:dyDescent="0.25">
      <c r="A230" s="20"/>
      <c r="B230" s="67">
        <f>'DATI nascosti 2'!$H$12*10^-3</f>
        <v>-3.5000000000000001E-3</v>
      </c>
      <c r="C230" s="68">
        <f>C229-('DATI nascosti 2'!$L$8*10^-3/100)</f>
        <v>6.074999999999978E-3</v>
      </c>
      <c r="D230" s="68">
        <f>('DATI nascosti 2'!$H$12*(F230-'DATI nascosti 2'!$C$10))/(F230*1000)</f>
        <v>-3.1269480519480527E-3</v>
      </c>
      <c r="E230" s="67" t="s">
        <v>39</v>
      </c>
      <c r="F230" s="69">
        <f>(-'DATI nascosti 2'!$H$12*10^-3/(-'DATI nascosti 2'!$H$12*10^-3+C230))*'DATI nascosti 2'!$C$13</f>
        <v>422.19321148825168</v>
      </c>
      <c r="G230" s="70">
        <f t="shared" si="13"/>
        <v>39.978333333333296</v>
      </c>
      <c r="H230" s="70">
        <f t="shared" si="14"/>
        <v>81.720416666666537</v>
      </c>
      <c r="I230" s="70">
        <f>G230/('DATI nascosti 2'!$H$10*(-'DATI nascosti 2'!$H$12))</f>
        <v>0.80952380952380887</v>
      </c>
      <c r="J230" s="70">
        <f t="shared" si="10"/>
        <v>0.41596638655462226</v>
      </c>
      <c r="K230" s="71">
        <f>IF(D230&gt;=('DATI nascosti 2'!$L$10*10^-3),'DATI nascosti 2'!$L$14*'DATI nascosti 2'!$P$12,IF(D230&gt;=(-'DATI nascosti 2'!$L$10*10^-3),'DATI nascosti 2'!$L$16*D230*'DATI nascosti 2'!$P$12,-'DATI nascosti 2'!$L$14*'DATI nascosti 2'!$P$12))</f>
        <v>-614659.43222408998</v>
      </c>
      <c r="L230" s="71">
        <f>-'DATI nascosti 2'!$H$16*'DATI nascosti 2'!$C$6*I230*'DATI nascosti 2'!$H$10*F230</f>
        <v>-1229725.1827676259</v>
      </c>
      <c r="M230" s="71">
        <f>IF(C230&gt;=('DATI nascosti 2'!$L$10*10^-3),'DATI nascosti 2'!$L$14*'DATI nascosti 2'!$P$11,IF(C230&gt;=(-'DATI nascosti 2'!$L$10*10^-3),'DATI nascosti 2'!$P$11*'DATI nascosti 2'!$L$16*C230,-'DATI nascosti 2'!$L$14*'DATI nascosti 2'!$P$11))</f>
        <v>614659.43222408998</v>
      </c>
      <c r="N230" s="71">
        <f t="shared" si="11"/>
        <v>-1229725.1827676259</v>
      </c>
      <c r="O230" s="71">
        <f>-L230*('DATI nascosti 2'!$C$8/2-(J230*F230))-K230*('DATI nascosti 2'!$C$13/2)+M230*('DATI nascosti 2'!$C$13/2)</f>
        <v>1231804649.7117376</v>
      </c>
      <c r="P230" s="69">
        <f>-'T2'!N230/10^3</f>
        <v>1229.7251827676259</v>
      </c>
      <c r="Q230" s="69">
        <f>'T2'!O230/10^6</f>
        <v>1231.8046497117377</v>
      </c>
      <c r="R230" s="72">
        <f>-N230/('DATI nascosti 2'!$C$6*'DATI nascosti 2'!$C$13*'DATI nascosti 2'!$H$10*'DATI nascosti 2'!$H$16)</f>
        <v>0.2959094865100092</v>
      </c>
      <c r="S230" s="72">
        <f>O230/('DATI nascosti 2'!$H$16*'DATI nascosti 2'!$C$6*'DATI nascosti 2'!$C$13^2*'DATI nascosti 2'!$H$10)</f>
        <v>0.25663192194905354</v>
      </c>
      <c r="T230" s="73">
        <f t="shared" si="12"/>
        <v>-1001.6910013499371</v>
      </c>
      <c r="U230" s="67" t="str">
        <f>IF(T230&gt;=0, IF(T230&lt;='DATI nascosti 2'!$C$8/6, "SI", "NO"),IF(T230&gt; -'DATI nascosti 2'!$C$8/6, "SI", "NO"))</f>
        <v>NO</v>
      </c>
      <c r="V230" s="67" t="str">
        <f>IF(Foglio3!G231&lt;1,IF(Foglio3!G231&gt;-1,"ROTTURA BILANCIATA",""),"")</f>
        <v>ROTTURA BILANCIATA</v>
      </c>
    </row>
    <row r="231" spans="1:22" ht="18.75" x14ac:dyDescent="0.25">
      <c r="A231" s="20"/>
      <c r="B231" s="67">
        <f>'DATI nascosti 2'!$H$12*10^-3</f>
        <v>-3.5000000000000001E-3</v>
      </c>
      <c r="C231" s="68">
        <f>C230-('DATI nascosti 2'!$L$8*10^-3/100)</f>
        <v>5.3999999999999777E-3</v>
      </c>
      <c r="D231" s="68">
        <f>('DATI nascosti 2'!$H$12*(F231-'DATI nascosti 2'!$C$10))/(F231*1000)</f>
        <v>-3.1532467532467542E-3</v>
      </c>
      <c r="E231" s="67" t="s">
        <v>39</v>
      </c>
      <c r="F231" s="69">
        <f>(-'DATI nascosti 2'!$H$12*10^-3/(-'DATI nascosti 2'!$H$12*10^-3+C231))*'DATI nascosti 2'!$C$13</f>
        <v>454.2134831460686</v>
      </c>
      <c r="G231" s="70">
        <f t="shared" si="13"/>
        <v>39.978333333333296</v>
      </c>
      <c r="H231" s="70">
        <f t="shared" si="14"/>
        <v>81.720416666666537</v>
      </c>
      <c r="I231" s="70">
        <f>G231/('DATI nascosti 2'!$H$10*(-'DATI nascosti 2'!$H$12))</f>
        <v>0.80952380952380887</v>
      </c>
      <c r="J231" s="70">
        <f t="shared" si="10"/>
        <v>0.41596638655462226</v>
      </c>
      <c r="K231" s="71">
        <f>IF(D231&gt;=('DATI nascosti 2'!$L$10*10^-3),'DATI nascosti 2'!$L$14*'DATI nascosti 2'!$P$12,IF(D231&gt;=(-'DATI nascosti 2'!$L$10*10^-3),'DATI nascosti 2'!$L$16*D231*'DATI nascosti 2'!$P$12,-'DATI nascosti 2'!$L$14*'DATI nascosti 2'!$P$12))</f>
        <v>-614659.43222408998</v>
      </c>
      <c r="L231" s="71">
        <f>-'DATI nascosti 2'!$H$16*'DATI nascosti 2'!$C$6*I231*'DATI nascosti 2'!$H$10*F231</f>
        <v>-1322990.8567415753</v>
      </c>
      <c r="M231" s="71">
        <f>IF(C231&gt;=('DATI nascosti 2'!$L$10*10^-3),'DATI nascosti 2'!$L$14*'DATI nascosti 2'!$P$11,IF(C231&gt;=(-'DATI nascosti 2'!$L$10*10^-3),'DATI nascosti 2'!$P$11*'DATI nascosti 2'!$L$16*C231,-'DATI nascosti 2'!$L$14*'DATI nascosti 2'!$P$11))</f>
        <v>614659.43222408998</v>
      </c>
      <c r="N231" s="71">
        <f t="shared" si="11"/>
        <v>-1322990.8567415753</v>
      </c>
      <c r="O231" s="71">
        <f>-L231*('DATI nascosti 2'!$C$8/2-(J231*F231))-K231*('DATI nascosti 2'!$C$13/2)+M231*('DATI nascosti 2'!$C$13/2)</f>
        <v>1253763518.6171794</v>
      </c>
      <c r="P231" s="69">
        <f>-'T2'!N231/10^3</f>
        <v>1322.9908567415753</v>
      </c>
      <c r="Q231" s="69">
        <f>'T2'!O231/10^6</f>
        <v>1253.7635186171794</v>
      </c>
      <c r="R231" s="72">
        <f>-N231/('DATI nascosti 2'!$C$6*'DATI nascosti 2'!$C$13*'DATI nascosti 2'!$H$10*'DATI nascosti 2'!$H$16)</f>
        <v>0.31835205992509424</v>
      </c>
      <c r="S231" s="72">
        <f>O231/('DATI nascosti 2'!$H$16*'DATI nascosti 2'!$C$6*'DATI nascosti 2'!$C$13^2*'DATI nascosti 2'!$H$10)</f>
        <v>0.26120679243062672</v>
      </c>
      <c r="T231" s="73">
        <f t="shared" si="12"/>
        <v>-947.67360804374903</v>
      </c>
      <c r="U231" s="67" t="str">
        <f>IF(T231&gt;=0, IF(T231&lt;='DATI nascosti 2'!$C$8/6, "SI", "NO"),IF(T231&gt; -'DATI nascosti 2'!$C$8/6, "SI", "NO"))</f>
        <v>NO</v>
      </c>
      <c r="V231" s="67" t="str">
        <f>IF(Foglio3!G232&lt;1,IF(Foglio3!G232&gt;-1,"ROTTURA BILANCIATA",""),"")</f>
        <v>ROTTURA BILANCIATA</v>
      </c>
    </row>
    <row r="232" spans="1:22" ht="18.75" x14ac:dyDescent="0.25">
      <c r="A232" s="20"/>
      <c r="B232" s="67">
        <f>'DATI nascosti 2'!$H$12*10^-3</f>
        <v>-3.5000000000000001E-3</v>
      </c>
      <c r="C232" s="68">
        <f>C231-('DATI nascosti 2'!$L$8*10^-3/100)</f>
        <v>4.7249999999999775E-3</v>
      </c>
      <c r="D232" s="68">
        <f>('DATI nascosti 2'!$H$12*(F232-'DATI nascosti 2'!$C$10))/(F232*1000)</f>
        <v>-3.1795454545454557E-3</v>
      </c>
      <c r="E232" s="67" t="s">
        <v>39</v>
      </c>
      <c r="F232" s="69">
        <f>(-'DATI nascosti 2'!$H$12*10^-3/(-'DATI nascosti 2'!$H$12*10^-3+C232))*'DATI nascosti 2'!$C$13</f>
        <v>491.48936170212903</v>
      </c>
      <c r="G232" s="70">
        <f t="shared" si="13"/>
        <v>39.978333333333296</v>
      </c>
      <c r="H232" s="70">
        <f t="shared" si="14"/>
        <v>81.720416666666537</v>
      </c>
      <c r="I232" s="70">
        <f>G232/('DATI nascosti 2'!$H$10*(-'DATI nascosti 2'!$H$12))</f>
        <v>0.80952380952380887</v>
      </c>
      <c r="J232" s="70">
        <f t="shared" ref="J232:J242" si="15">1-(H232/G232)/(-B232*10^3)</f>
        <v>0.41596638655462226</v>
      </c>
      <c r="K232" s="71">
        <f>IF(D232&gt;=('DATI nascosti 2'!$L$10*10^-3),'DATI nascosti 2'!$L$14*'DATI nascosti 2'!$P$12,IF(D232&gt;=(-'DATI nascosti 2'!$L$10*10^-3),'DATI nascosti 2'!$L$16*D232*'DATI nascosti 2'!$P$12,-'DATI nascosti 2'!$L$14*'DATI nascosti 2'!$P$12))</f>
        <v>-614659.43222408998</v>
      </c>
      <c r="L232" s="71">
        <f>-'DATI nascosti 2'!$H$16*'DATI nascosti 2'!$C$6*I232*'DATI nascosti 2'!$H$10*F232</f>
        <v>-1431564.5744680879</v>
      </c>
      <c r="M232" s="71">
        <f>IF(C232&gt;=('DATI nascosti 2'!$L$10*10^-3),'DATI nascosti 2'!$L$14*'DATI nascosti 2'!$P$11,IF(C232&gt;=(-'DATI nascosti 2'!$L$10*10^-3),'DATI nascosti 2'!$P$11*'DATI nascosti 2'!$L$16*C232,-'DATI nascosti 2'!$L$14*'DATI nascosti 2'!$P$11))</f>
        <v>614659.43222408998</v>
      </c>
      <c r="N232" s="71">
        <f t="shared" si="11"/>
        <v>-1431564.5744680879</v>
      </c>
      <c r="O232" s="71">
        <f>-L232*('DATI nascosti 2'!$C$8/2-(J232*F232))-K232*('DATI nascosti 2'!$C$13/2)+M232*('DATI nascosti 2'!$C$13/2)</f>
        <v>1276196955.5587969</v>
      </c>
      <c r="P232" s="69">
        <f>-'T2'!N232/10^3</f>
        <v>1431.5645744680878</v>
      </c>
      <c r="Q232" s="69">
        <f>'T2'!O232/10^6</f>
        <v>1276.1969555587968</v>
      </c>
      <c r="R232" s="72">
        <f>-N232/('DATI nascosti 2'!$C$6*'DATI nascosti 2'!$C$13*'DATI nascosti 2'!$H$10*'DATI nascosti 2'!$H$16)</f>
        <v>0.3444782168186431</v>
      </c>
      <c r="S232" s="72">
        <f>O232/('DATI nascosti 2'!$H$16*'DATI nascosti 2'!$C$6*'DATI nascosti 2'!$C$13^2*'DATI nascosti 2'!$H$10)</f>
        <v>0.26588053354663688</v>
      </c>
      <c r="T232" s="73">
        <f t="shared" si="12"/>
        <v>-891.47005892694756</v>
      </c>
      <c r="U232" s="67" t="str">
        <f>IF(T232&gt;=0, IF(T232&lt;='DATI nascosti 2'!$C$8/6, "SI", "NO"),IF(T232&gt; -'DATI nascosti 2'!$C$8/6, "SI", "NO"))</f>
        <v>NO</v>
      </c>
      <c r="V232" s="67" t="str">
        <f>IF(Foglio3!G233&lt;1,IF(Foglio3!G233&gt;-1,"ROTTURA BILANCIATA",""),"")</f>
        <v>ROTTURA BILANCIATA</v>
      </c>
    </row>
    <row r="233" spans="1:22" ht="18.75" x14ac:dyDescent="0.25">
      <c r="A233" s="20"/>
      <c r="B233" s="67">
        <f>'DATI nascosti 2'!$H$12*10^-3</f>
        <v>-3.5000000000000001E-3</v>
      </c>
      <c r="C233" s="68">
        <f>C232-('DATI nascosti 2'!$L$8*10^-3/100)</f>
        <v>4.0499999999999772E-3</v>
      </c>
      <c r="D233" s="68">
        <f>('DATI nascosti 2'!$H$12*(F233-'DATI nascosti 2'!$C$10))/(F233*1000)</f>
        <v>-3.2058441558441568E-3</v>
      </c>
      <c r="E233" s="67" t="s">
        <v>39</v>
      </c>
      <c r="F233" s="69">
        <f>(-'DATI nascosti 2'!$H$12*10^-3/(-'DATI nascosti 2'!$H$12*10^-3+C233))*'DATI nascosti 2'!$C$13</f>
        <v>535.43046357616061</v>
      </c>
      <c r="G233" s="70">
        <f t="shared" si="13"/>
        <v>39.978333333333296</v>
      </c>
      <c r="H233" s="70">
        <f t="shared" si="14"/>
        <v>81.720416666666537</v>
      </c>
      <c r="I233" s="70">
        <f>G233/('DATI nascosti 2'!$H$10*(-'DATI nascosti 2'!$H$12))</f>
        <v>0.80952380952380887</v>
      </c>
      <c r="J233" s="70">
        <f t="shared" si="15"/>
        <v>0.41596638655462226</v>
      </c>
      <c r="K233" s="71">
        <f>IF(D233&gt;=('DATI nascosti 2'!$L$10*10^-3),'DATI nascosti 2'!$L$14*'DATI nascosti 2'!$P$12,IF(D233&gt;=(-'DATI nascosti 2'!$L$10*10^-3),'DATI nascosti 2'!$L$16*D233*'DATI nascosti 2'!$P$12,-'DATI nascosti 2'!$L$14*'DATI nascosti 2'!$P$12))</f>
        <v>-614659.43222408998</v>
      </c>
      <c r="L233" s="71">
        <f>-'DATI nascosti 2'!$H$16*'DATI nascosti 2'!$C$6*I233*'DATI nascosti 2'!$H$10*F233</f>
        <v>-1559552.1357615928</v>
      </c>
      <c r="M233" s="71">
        <f>IF(C233&gt;=('DATI nascosti 2'!$L$10*10^-3),'DATI nascosti 2'!$L$14*'DATI nascosti 2'!$P$11,IF(C233&gt;=(-'DATI nascosti 2'!$L$10*10^-3),'DATI nascosti 2'!$P$11*'DATI nascosti 2'!$L$16*C233,-'DATI nascosti 2'!$L$14*'DATI nascosti 2'!$P$11))</f>
        <v>614659.43222408998</v>
      </c>
      <c r="N233" s="71">
        <f t="shared" si="11"/>
        <v>-1559552.1357615928</v>
      </c>
      <c r="O233" s="71">
        <f>-L233*('DATI nascosti 2'!$C$8/2-(J233*F233))-K233*('DATI nascosti 2'!$C$13/2)+M233*('DATI nascosti 2'!$C$13/2)</f>
        <v>1298317797.1918292</v>
      </c>
      <c r="P233" s="69">
        <f>-'T2'!N233/10^3</f>
        <v>1559.5521357615928</v>
      </c>
      <c r="Q233" s="69">
        <f>'T2'!O233/10^6</f>
        <v>1298.3177971918292</v>
      </c>
      <c r="R233" s="72">
        <f>-N233/('DATI nascosti 2'!$C$6*'DATI nascosti 2'!$C$13*'DATI nascosti 2'!$H$10*'DATI nascosti 2'!$H$16)</f>
        <v>0.37527593818984639</v>
      </c>
      <c r="S233" s="72">
        <f>O233/('DATI nascosti 2'!$H$16*'DATI nascosti 2'!$C$6*'DATI nascosti 2'!$C$13^2*'DATI nascosti 2'!$H$10)</f>
        <v>0.2704891491292653</v>
      </c>
      <c r="T233" s="73">
        <f t="shared" si="12"/>
        <v>-832.49400095098952</v>
      </c>
      <c r="U233" s="67" t="str">
        <f>IF(T233&gt;=0, IF(T233&lt;='DATI nascosti 2'!$C$8/6, "SI", "NO"),IF(T233&gt; -'DATI nascosti 2'!$C$8/6, "SI", "NO"))</f>
        <v>NO</v>
      </c>
      <c r="V233" s="67" t="str">
        <f>IF(Foglio3!G234&lt;1,IF(Foglio3!G234&gt;-1,"ROTTURA BILANCIATA",""),"")</f>
        <v>ROTTURA BILANCIATA</v>
      </c>
    </row>
    <row r="234" spans="1:22" ht="18.75" x14ac:dyDescent="0.25">
      <c r="A234" s="20"/>
      <c r="B234" s="67">
        <f>'DATI nascosti 2'!$H$12*10^-3</f>
        <v>-3.5000000000000001E-3</v>
      </c>
      <c r="C234" s="68">
        <f>C233-('DATI nascosti 2'!$L$8*10^-3/100)</f>
        <v>3.374999999999977E-3</v>
      </c>
      <c r="D234" s="68">
        <f>('DATI nascosti 2'!$H$12*(F234-'DATI nascosti 2'!$C$10))/(F234*1000)</f>
        <v>-3.2321428571428579E-3</v>
      </c>
      <c r="E234" s="67" t="s">
        <v>39</v>
      </c>
      <c r="F234" s="69">
        <f>(-'DATI nascosti 2'!$H$12*10^-3/(-'DATI nascosti 2'!$H$12*10^-3+C234))*'DATI nascosti 2'!$C$13</f>
        <v>588.00000000000205</v>
      </c>
      <c r="G234" s="70">
        <f t="shared" si="13"/>
        <v>39.978333333333296</v>
      </c>
      <c r="H234" s="70">
        <f t="shared" si="14"/>
        <v>81.720416666666537</v>
      </c>
      <c r="I234" s="70">
        <f>G234/('DATI nascosti 2'!$H$10*(-'DATI nascosti 2'!$H$12))</f>
        <v>0.80952380952380887</v>
      </c>
      <c r="J234" s="70">
        <f t="shared" si="15"/>
        <v>0.41596638655462226</v>
      </c>
      <c r="K234" s="71">
        <f>IF(D234&gt;=('DATI nascosti 2'!$L$10*10^-3),'DATI nascosti 2'!$L$14*'DATI nascosti 2'!$P$12,IF(D234&gt;=(-'DATI nascosti 2'!$L$10*10^-3),'DATI nascosti 2'!$L$16*D234*'DATI nascosti 2'!$P$12,-'DATI nascosti 2'!$L$14*'DATI nascosti 2'!$P$12))</f>
        <v>-614659.43222408998</v>
      </c>
      <c r="L234" s="71">
        <f>-'DATI nascosti 2'!$H$16*'DATI nascosti 2'!$C$6*I234*'DATI nascosti 2'!$H$10*F234</f>
        <v>-1712671.8000000045</v>
      </c>
      <c r="M234" s="71">
        <f>IF(C234&gt;=('DATI nascosti 2'!$L$10*10^-3),'DATI nascosti 2'!$L$14*'DATI nascosti 2'!$P$11,IF(C234&gt;=(-'DATI nascosti 2'!$L$10*10^-3),'DATI nascosti 2'!$P$11*'DATI nascosti 2'!$L$16*C234,-'DATI nascosti 2'!$L$14*'DATI nascosti 2'!$P$11))</f>
        <v>614659.43222408998</v>
      </c>
      <c r="N234" s="71">
        <f t="shared" si="11"/>
        <v>-1712671.8000000047</v>
      </c>
      <c r="O234" s="71">
        <f>-L234*('DATI nascosti 2'!$C$8/2-(J234*F234))-K234*('DATI nascosti 2'!$C$13/2)+M234*('DATI nascosti 2'!$C$13/2)</f>
        <v>1318635351.0188236</v>
      </c>
      <c r="P234" s="69">
        <f>-'T2'!N234/10^3</f>
        <v>1712.6718000000046</v>
      </c>
      <c r="Q234" s="69">
        <f>'T2'!O234/10^6</f>
        <v>1318.6353510188237</v>
      </c>
      <c r="R234" s="72">
        <f>-N234/('DATI nascosti 2'!$C$6*'DATI nascosti 2'!$C$13*'DATI nascosti 2'!$H$10*'DATI nascosti 2'!$H$16)</f>
        <v>0.41212121212121333</v>
      </c>
      <c r="S234" s="72">
        <f>O234/('DATI nascosti 2'!$H$16*'DATI nascosti 2'!$C$6*'DATI nascosti 2'!$C$13^2*'DATI nascosti 2'!$H$10)</f>
        <v>0.27472207103708984</v>
      </c>
      <c r="T234" s="73">
        <f t="shared" si="12"/>
        <v>-769.92880423372412</v>
      </c>
      <c r="U234" s="67" t="str">
        <f>IF(T234&gt;=0, IF(T234&lt;='DATI nascosti 2'!$C$8/6, "SI", "NO"),IF(T234&gt; -'DATI nascosti 2'!$C$8/6, "SI", "NO"))</f>
        <v>NO</v>
      </c>
      <c r="V234" s="67" t="str">
        <f>IF(Foglio3!G235&lt;1,IF(Foglio3!G235&gt;-1,"ROTTURA BILANCIATA",""),"")</f>
        <v>ROTTURA BILANCIATA</v>
      </c>
    </row>
    <row r="235" spans="1:22" ht="18.75" x14ac:dyDescent="0.25">
      <c r="A235" s="20"/>
      <c r="B235" s="67">
        <f>'DATI nascosti 2'!$H$12*10^-3</f>
        <v>-3.5000000000000001E-3</v>
      </c>
      <c r="C235" s="68">
        <f>C234-('DATI nascosti 2'!$L$8*10^-3/100)</f>
        <v>2.6999999999999767E-3</v>
      </c>
      <c r="D235" s="68">
        <f>('DATI nascosti 2'!$H$12*(F235-'DATI nascosti 2'!$C$10))/(F235*1000)</f>
        <v>-3.2584415584415599E-3</v>
      </c>
      <c r="E235" s="67" t="s">
        <v>39</v>
      </c>
      <c r="F235" s="69">
        <f>(-'DATI nascosti 2'!$H$12*10^-3/(-'DATI nascosti 2'!$H$12*10^-3+C235))*'DATI nascosti 2'!$C$13</f>
        <v>652.01612903226055</v>
      </c>
      <c r="G235" s="70">
        <f t="shared" si="13"/>
        <v>39.978333333333296</v>
      </c>
      <c r="H235" s="70">
        <f t="shared" si="14"/>
        <v>81.720416666666537</v>
      </c>
      <c r="I235" s="70">
        <f>G235/('DATI nascosti 2'!$H$10*(-'DATI nascosti 2'!$H$12))</f>
        <v>0.80952380952380887</v>
      </c>
      <c r="J235" s="70">
        <f t="shared" si="15"/>
        <v>0.41596638655462226</v>
      </c>
      <c r="K235" s="71">
        <f>IF(D235&gt;=('DATI nascosti 2'!$L$10*10^-3),'DATI nascosti 2'!$L$14*'DATI nascosti 2'!$P$12,IF(D235&gt;=(-'DATI nascosti 2'!$L$10*10^-3),'DATI nascosti 2'!$L$16*D235*'DATI nascosti 2'!$P$12,-'DATI nascosti 2'!$L$14*'DATI nascosti 2'!$P$12))</f>
        <v>-614659.43222408998</v>
      </c>
      <c r="L235" s="71">
        <f>-'DATI nascosti 2'!$H$16*'DATI nascosti 2'!$C$6*I235*'DATI nascosti 2'!$H$10*F235</f>
        <v>-1899132.0362903283</v>
      </c>
      <c r="M235" s="71">
        <f>IF(C235&gt;=('DATI nascosti 2'!$L$10*10^-3),'DATI nascosti 2'!$L$14*'DATI nascosti 2'!$P$11,IF(C235&gt;=(-'DATI nascosti 2'!$L$10*10^-3),'DATI nascosti 2'!$P$11*'DATI nascosti 2'!$L$16*C235,-'DATI nascosti 2'!$L$14*'DATI nascosti 2'!$P$11))</f>
        <v>614659.43222408998</v>
      </c>
      <c r="N235" s="71">
        <f t="shared" si="11"/>
        <v>-1899132.0362903283</v>
      </c>
      <c r="O235" s="71">
        <f>-L235*('DATI nascosti 2'!$C$8/2-(J235*F235))-K235*('DATI nascosti 2'!$C$13/2)+M235*('DATI nascosti 2'!$C$13/2)</f>
        <v>1334334365.3060699</v>
      </c>
      <c r="P235" s="69">
        <f>-'T2'!N235/10^3</f>
        <v>1899.1320362903282</v>
      </c>
      <c r="Q235" s="69">
        <f>'T2'!O235/10^6</f>
        <v>1334.3343653060699</v>
      </c>
      <c r="R235" s="72">
        <f>-N235/('DATI nascosti 2'!$C$6*'DATI nascosti 2'!$C$13*'DATI nascosti 2'!$H$10*'DATI nascosti 2'!$H$16)</f>
        <v>0.45698924731182944</v>
      </c>
      <c r="S235" s="72">
        <f>O235/('DATI nascosti 2'!$H$16*'DATI nascosti 2'!$C$6*'DATI nascosti 2'!$C$13^2*'DATI nascosti 2'!$H$10)</f>
        <v>0.27799277488626306</v>
      </c>
      <c r="T235" s="73">
        <f t="shared" si="12"/>
        <v>-702.602209750773</v>
      </c>
      <c r="U235" s="67" t="str">
        <f>IF(T235&gt;=0, IF(T235&lt;='DATI nascosti 2'!$C$8/6, "SI", "NO"),IF(T235&gt; -'DATI nascosti 2'!$C$8/6, "SI", "NO"))</f>
        <v>NO</v>
      </c>
      <c r="V235" s="67" t="str">
        <f>IF(Foglio3!G236&lt;1,IF(Foglio3!G236&gt;-1,"ROTTURA BILANCIATA",""),"")</f>
        <v>ROTTURA BILANCIATA</v>
      </c>
    </row>
    <row r="236" spans="1:22" ht="18.75" x14ac:dyDescent="0.25">
      <c r="A236" s="20"/>
      <c r="B236" s="67">
        <f>'DATI nascosti 2'!$H$12*10^-3</f>
        <v>-3.5000000000000001E-3</v>
      </c>
      <c r="C236" s="68">
        <f>C235-('DATI nascosti 2'!$L$8*10^-3/100)</f>
        <v>2.0249999999999765E-3</v>
      </c>
      <c r="D236" s="68">
        <f>('DATI nascosti 2'!$H$12*(F236-'DATI nascosti 2'!$C$10))/(F236*1000)</f>
        <v>-3.2847402597402605E-3</v>
      </c>
      <c r="E236" s="67" t="s">
        <v>39</v>
      </c>
      <c r="F236" s="69">
        <f>(-'DATI nascosti 2'!$H$12*10^-3/(-'DATI nascosti 2'!$H$12*10^-3+C236))*'DATI nascosti 2'!$C$13</f>
        <v>731.67420814479954</v>
      </c>
      <c r="G236" s="70">
        <f t="shared" si="13"/>
        <v>39.978333333333296</v>
      </c>
      <c r="H236" s="70">
        <f t="shared" si="14"/>
        <v>81.720416666666537</v>
      </c>
      <c r="I236" s="70">
        <f>G236/('DATI nascosti 2'!$H$10*(-'DATI nascosti 2'!$H$12))</f>
        <v>0.80952380952380887</v>
      </c>
      <c r="J236" s="70">
        <f t="shared" si="15"/>
        <v>0.41596638655462226</v>
      </c>
      <c r="K236" s="71">
        <f>IF(D236&gt;=('DATI nascosti 2'!$L$10*10^-3),'DATI nascosti 2'!$L$14*'DATI nascosti 2'!$P$12,IF(D236&gt;=(-'DATI nascosti 2'!$L$10*10^-3),'DATI nascosti 2'!$L$16*D236*'DATI nascosti 2'!$P$12,-'DATI nascosti 2'!$L$14*'DATI nascosti 2'!$P$12))</f>
        <v>-614659.43222408998</v>
      </c>
      <c r="L236" s="71">
        <f>-'DATI nascosti 2'!$H$16*'DATI nascosti 2'!$C$6*I236*'DATI nascosti 2'!$H$10*F236</f>
        <v>-2131152.6923076995</v>
      </c>
      <c r="M236" s="71">
        <f>IF(C236&gt;=('DATI nascosti 2'!$L$10*10^-3),'DATI nascosti 2'!$L$14*'DATI nascosti 2'!$P$11,IF(C236&gt;=(-'DATI nascosti 2'!$L$10*10^-3),'DATI nascosti 2'!$P$11*'DATI nascosti 2'!$L$16*C236,-'DATI nascosti 2'!$L$14*'DATI nascosti 2'!$P$11))</f>
        <v>614659.43222408998</v>
      </c>
      <c r="N236" s="71">
        <f t="shared" si="11"/>
        <v>-2131152.6923076995</v>
      </c>
      <c r="O236" s="71">
        <f>-L236*('DATI nascosti 2'!$C$8/2-(J236*F236))-K236*('DATI nascosti 2'!$C$13/2)+M236*('DATI nascosti 2'!$C$13/2)</f>
        <v>1340002938.5975208</v>
      </c>
      <c r="P236" s="69">
        <f>-'T2'!N236/10^3</f>
        <v>2131.1526923076995</v>
      </c>
      <c r="Q236" s="69">
        <f>'T2'!O236/10^6</f>
        <v>1340.0029385975208</v>
      </c>
      <c r="R236" s="72">
        <f>-N236/('DATI nascosti 2'!$C$6*'DATI nascosti 2'!$C$13*'DATI nascosti 2'!$H$10*'DATI nascosti 2'!$H$16)</f>
        <v>0.51282051282051466</v>
      </c>
      <c r="S236" s="72">
        <f>O236/('DATI nascosti 2'!$H$16*'DATI nascosti 2'!$C$6*'DATI nascosti 2'!$C$13^2*'DATI nascosti 2'!$H$10)</f>
        <v>0.27917375505128728</v>
      </c>
      <c r="T236" s="73">
        <f t="shared" si="12"/>
        <v>-628.76908981425947</v>
      </c>
      <c r="U236" s="67" t="str">
        <f>IF(T236&gt;=0, IF(T236&lt;='DATI nascosti 2'!$C$8/6, "SI", "NO"),IF(T236&gt; -'DATI nascosti 2'!$C$8/6, "SI", "NO"))</f>
        <v>NO</v>
      </c>
      <c r="V236" s="67" t="str">
        <f>IF(Foglio3!G237&lt;1,IF(Foglio3!G237&gt;-1,"ROTTURA BILANCIATA",""),"")</f>
        <v>ROTTURA BILANCIATA</v>
      </c>
    </row>
    <row r="237" spans="1:22" ht="18.75" x14ac:dyDescent="0.25">
      <c r="A237" s="20"/>
      <c r="B237" s="67">
        <f>'DATI nascosti 2'!$H$12*10^-3</f>
        <v>-3.5000000000000001E-3</v>
      </c>
      <c r="C237" s="68">
        <f>C236-('DATI nascosti 2'!$L$8*10^-3/100)</f>
        <v>1.3499999999999764E-3</v>
      </c>
      <c r="D237" s="68">
        <f>('DATI nascosti 2'!$H$12*(F237-'DATI nascosti 2'!$C$10))/(F237*1000)</f>
        <v>-3.311038961038962E-3</v>
      </c>
      <c r="E237" s="67" t="s">
        <v>39</v>
      </c>
      <c r="F237" s="69">
        <f>(-'DATI nascosti 2'!$H$12*10^-3/(-'DATI nascosti 2'!$H$12*10^-3+C237))*'DATI nascosti 2'!$C$13</f>
        <v>833.50515463917918</v>
      </c>
      <c r="G237" s="70">
        <f t="shared" si="13"/>
        <v>39.978333333333296</v>
      </c>
      <c r="H237" s="70">
        <f t="shared" si="14"/>
        <v>81.720416666666537</v>
      </c>
      <c r="I237" s="70">
        <f>G237/('DATI nascosti 2'!$H$10*(-'DATI nascosti 2'!$H$12))</f>
        <v>0.80952380952380887</v>
      </c>
      <c r="J237" s="70">
        <f t="shared" si="15"/>
        <v>0.41596638655462226</v>
      </c>
      <c r="K237" s="71">
        <f>IF(D237&gt;=('DATI nascosti 2'!$L$10*10^-3),'DATI nascosti 2'!$L$14*'DATI nascosti 2'!$P$12,IF(D237&gt;=(-'DATI nascosti 2'!$L$10*10^-3),'DATI nascosti 2'!$L$16*D237*'DATI nascosti 2'!$P$12,-'DATI nascosti 2'!$L$14*'DATI nascosti 2'!$P$12))</f>
        <v>-614659.43222408998</v>
      </c>
      <c r="L237" s="71">
        <f>-'DATI nascosti 2'!$H$16*'DATI nascosti 2'!$C$6*I237*'DATI nascosti 2'!$H$10*F237</f>
        <v>-2427756.4175257827</v>
      </c>
      <c r="M237" s="71">
        <f>IF(C237&gt;=('DATI nascosti 2'!$L$10*10^-3),'DATI nascosti 2'!$L$14*'DATI nascosti 2'!$P$11,IF(C237&gt;=(-'DATI nascosti 2'!$L$10*10^-3),'DATI nascosti 2'!$P$11*'DATI nascosti 2'!$L$16*C237,-'DATI nascosti 2'!$L$14*'DATI nascosti 2'!$P$11))</f>
        <v>443738.09278208925</v>
      </c>
      <c r="N237" s="71">
        <f t="shared" si="11"/>
        <v>-2598677.756967783</v>
      </c>
      <c r="O237" s="71">
        <f>-L237*('DATI nascosti 2'!$C$8/2-(J237*F237))-K237*('DATI nascosti 2'!$C$13/2)+M237*('DATI nascosti 2'!$C$13/2)</f>
        <v>1226150684.5116103</v>
      </c>
      <c r="P237" s="69">
        <f>-'T2'!N237/10^3</f>
        <v>2598.6777569677829</v>
      </c>
      <c r="Q237" s="69">
        <f>'T2'!O237/10^6</f>
        <v>1226.1506845116103</v>
      </c>
      <c r="R237" s="72">
        <f>-N237/('DATI nascosti 2'!$C$6*'DATI nascosti 2'!$C$13*'DATI nascosti 2'!$H$10*'DATI nascosti 2'!$H$16)</f>
        <v>0.62532134125989325</v>
      </c>
      <c r="S237" s="72">
        <f>O237/('DATI nascosti 2'!$H$16*'DATI nascosti 2'!$C$6*'DATI nascosti 2'!$C$13^2*'DATI nascosti 2'!$H$10)</f>
        <v>0.2554539852069887</v>
      </c>
      <c r="T237" s="73">
        <f t="shared" si="12"/>
        <v>-471.83637187179397</v>
      </c>
      <c r="U237" s="67" t="str">
        <f>IF(T237&gt;=0, IF(T237&lt;='DATI nascosti 2'!$C$8/6, "SI", "NO"),IF(T237&gt; -'DATI nascosti 2'!$C$8/6, "SI", "NO"))</f>
        <v>NO</v>
      </c>
      <c r="V237" s="67" t="str">
        <f>IF(Foglio3!G238&lt;1,IF(Foglio3!G238&gt;-1,"ROTTURA BILANCIATA",""),"")</f>
        <v/>
      </c>
    </row>
    <row r="238" spans="1:22" ht="18.75" x14ac:dyDescent="0.25">
      <c r="A238" s="20"/>
      <c r="B238" s="67">
        <f>'DATI nascosti 2'!$H$12*10^-3</f>
        <v>-3.5000000000000001E-3</v>
      </c>
      <c r="C238" s="68">
        <f>C237-('DATI nascosti 2'!$L$8*10^-3/100)</f>
        <v>6.749999999999764E-4</v>
      </c>
      <c r="D238" s="68">
        <f>('DATI nascosti 2'!$H$12*(F238-'DATI nascosti 2'!$C$10))/(F238*1000)</f>
        <v>-3.3373376623376636E-3</v>
      </c>
      <c r="E238" s="67" t="s">
        <v>39</v>
      </c>
      <c r="F238" s="69">
        <f>(-'DATI nascosti 2'!$H$12*10^-3/(-'DATI nascosti 2'!$H$12*10^-3+C238))*'DATI nascosti 2'!$C$13</f>
        <v>968.26347305389766</v>
      </c>
      <c r="G238" s="70">
        <f t="shared" si="13"/>
        <v>39.978333333333296</v>
      </c>
      <c r="H238" s="70">
        <f t="shared" si="14"/>
        <v>81.720416666666537</v>
      </c>
      <c r="I238" s="70">
        <f>G238/('DATI nascosti 2'!$H$10*(-'DATI nascosti 2'!$H$12))</f>
        <v>0.80952380952380887</v>
      </c>
      <c r="J238" s="70">
        <f t="shared" si="15"/>
        <v>0.41596638655462226</v>
      </c>
      <c r="K238" s="71">
        <f>IF(D238&gt;=('DATI nascosti 2'!$L$10*10^-3),'DATI nascosti 2'!$L$14*'DATI nascosti 2'!$P$12,IF(D238&gt;=(-'DATI nascosti 2'!$L$10*10^-3),'DATI nascosti 2'!$L$16*D238*'DATI nascosti 2'!$P$12,-'DATI nascosti 2'!$L$14*'DATI nascosti 2'!$P$12))</f>
        <v>-614659.43222408998</v>
      </c>
      <c r="L238" s="71">
        <f>-'DATI nascosti 2'!$H$16*'DATI nascosti 2'!$C$6*I238*'DATI nascosti 2'!$H$10*F238</f>
        <v>-2820267.9341317499</v>
      </c>
      <c r="M238" s="71">
        <f>IF(C238&gt;=('DATI nascosti 2'!$L$10*10^-3),'DATI nascosti 2'!$L$14*'DATI nascosti 2'!$P$11,IF(C238&gt;=(-'DATI nascosti 2'!$L$10*10^-3),'DATI nascosti 2'!$P$11*'DATI nascosti 2'!$L$16*C238,-'DATI nascosti 2'!$L$14*'DATI nascosti 2'!$P$11))</f>
        <v>221869.04639104076</v>
      </c>
      <c r="N238" s="71">
        <f t="shared" si="11"/>
        <v>-3213058.3199647996</v>
      </c>
      <c r="O238" s="71">
        <f>-L238*('DATI nascosti 2'!$C$8/2-(J238*F238))-K238*('DATI nascosti 2'!$C$13/2)+M238*('DATI nascosti 2'!$C$13/2)</f>
        <v>1039350578.4773962</v>
      </c>
      <c r="P238" s="69">
        <f>-'T2'!N238/10^3</f>
        <v>3213.0583199647995</v>
      </c>
      <c r="Q238" s="69">
        <f>'T2'!O238/10^6</f>
        <v>1039.3505784773963</v>
      </c>
      <c r="R238" s="72">
        <f>-N238/('DATI nascosti 2'!$C$6*'DATI nascosti 2'!$C$13*'DATI nascosti 2'!$H$10*'DATI nascosti 2'!$H$16)</f>
        <v>0.77316009374361094</v>
      </c>
      <c r="S238" s="72">
        <f>O238/('DATI nascosti 2'!$H$16*'DATI nascosti 2'!$C$6*'DATI nascosti 2'!$C$13^2*'DATI nascosti 2'!$H$10)</f>
        <v>0.21653639365294983</v>
      </c>
      <c r="T238" s="73">
        <f t="shared" si="12"/>
        <v>-323.47703495428084</v>
      </c>
      <c r="U238" s="67" t="str">
        <f>IF(T238&gt;=0, IF(T238&lt;='DATI nascosti 2'!$C$8/6, "SI", "NO"),IF(T238&gt; -'DATI nascosti 2'!$C$8/6, "SI", "NO"))</f>
        <v>NO</v>
      </c>
      <c r="V238" s="67" t="str">
        <f>IF(Foglio3!G239&lt;1,IF(Foglio3!G239&gt;-1,"ROTTURA BILANCIATA",""),"")</f>
        <v/>
      </c>
    </row>
    <row r="239" spans="1:22" ht="18.75" x14ac:dyDescent="0.25">
      <c r="A239" s="20"/>
      <c r="B239" s="67">
        <f>'DATI nascosti 2'!$H$12*10^-3</f>
        <v>-3.5000000000000001E-3</v>
      </c>
      <c r="C239" s="68">
        <f>C238-('DATI nascosti 2'!$L$8*10^-3/100)</f>
        <v>-2.3635607360183997E-17</v>
      </c>
      <c r="D239" s="68">
        <f>('DATI nascosti 2'!$H$12*(F239-'DATI nascosti 2'!$C$10))/(F239*1000)</f>
        <v>-3.3636363636363647E-3</v>
      </c>
      <c r="E239" s="67" t="s">
        <v>39</v>
      </c>
      <c r="F239" s="69">
        <f>(-'DATI nascosti 2'!$H$12*10^-3/(-'DATI nascosti 2'!$H$12*10^-3+C239))*'DATI nascosti 2'!$C$13</f>
        <v>1155.000000000008</v>
      </c>
      <c r="G239" s="70">
        <f t="shared" si="13"/>
        <v>39.978333333333296</v>
      </c>
      <c r="H239" s="70">
        <f t="shared" si="14"/>
        <v>81.720416666666537</v>
      </c>
      <c r="I239" s="70">
        <f>G239/('DATI nascosti 2'!$H$10*(-'DATI nascosti 2'!$H$12))</f>
        <v>0.80952380952380887</v>
      </c>
      <c r="J239" s="70">
        <f t="shared" si="15"/>
        <v>0.41596638655462226</v>
      </c>
      <c r="K239" s="71">
        <f>IF(D239&gt;=('DATI nascosti 2'!$L$10*10^-3),'DATI nascosti 2'!$L$14*'DATI nascosti 2'!$P$12,IF(D239&gt;=(-'DATI nascosti 2'!$L$10*10^-3),'DATI nascosti 2'!$L$16*D239*'DATI nascosti 2'!$P$12,-'DATI nascosti 2'!$L$14*'DATI nascosti 2'!$P$12))</f>
        <v>-614659.43222408998</v>
      </c>
      <c r="L239" s="71">
        <f>-'DATI nascosti 2'!$H$16*'DATI nascosti 2'!$C$6*I239*'DATI nascosti 2'!$H$10*F239</f>
        <v>-3364176.75000002</v>
      </c>
      <c r="M239" s="71">
        <f>IF(C239&gt;=('DATI nascosti 2'!$L$10*10^-3),'DATI nascosti 2'!$L$14*'DATI nascosti 2'!$P$11,IF(C239&gt;=(-'DATI nascosti 2'!$L$10*10^-3),'DATI nascosti 2'!$P$11*'DATI nascosti 2'!$L$16*C239,-'DATI nascosti 2'!$L$14*'DATI nascosti 2'!$P$11))</f>
        <v>-7.7689032087070674E-9</v>
      </c>
      <c r="N239" s="71">
        <f t="shared" si="11"/>
        <v>-3978836.1822241177</v>
      </c>
      <c r="O239" s="71">
        <f>-L239*('DATI nascosti 2'!$C$8/2-(J239*F239))-K239*('DATI nascosti 2'!$C$13/2)+M239*('DATI nascosti 2'!$C$13/2)</f>
        <v>757182836.48439693</v>
      </c>
      <c r="P239" s="69">
        <f>-'T2'!N239/10^3</f>
        <v>3978.8361822241177</v>
      </c>
      <c r="Q239" s="69">
        <f>'T2'!O239/10^6</f>
        <v>757.18283648439694</v>
      </c>
      <c r="R239" s="72">
        <f>-N239/('DATI nascosti 2'!$C$6*'DATI nascosti 2'!$C$13*'DATI nascosti 2'!$H$10*'DATI nascosti 2'!$H$16)</f>
        <v>0.95742966647196492</v>
      </c>
      <c r="S239" s="72">
        <f>O239/('DATI nascosti 2'!$H$16*'DATI nascosti 2'!$C$6*'DATI nascosti 2'!$C$13^2*'DATI nascosti 2'!$H$10)</f>
        <v>0.15775008369979782</v>
      </c>
      <c r="T239" s="73">
        <f t="shared" si="12"/>
        <v>-190.30259146310004</v>
      </c>
      <c r="U239" s="67" t="str">
        <f>IF(T239&gt;=0, IF(T239&lt;='DATI nascosti 2'!$C$8/6, "SI", "NO"),IF(T239&gt; -'DATI nascosti 2'!$C$8/6, "SI", "NO"))</f>
        <v>SI</v>
      </c>
      <c r="V239" s="67" t="str">
        <f>IF(Foglio3!G240&lt;1,IF(Foglio3!G240&gt;-1,"ROTTURA BILANCIATA",""),"")</f>
        <v/>
      </c>
    </row>
    <row r="240" spans="1:22" ht="26.25" x14ac:dyDescent="0.25">
      <c r="A240" s="82"/>
      <c r="B240" s="67">
        <f>'DATI nascosti 2'!$H$12*10^-3</f>
        <v>-3.5000000000000001E-3</v>
      </c>
      <c r="C240" s="68">
        <f>$C$239</f>
        <v>-2.3635607360183997E-17</v>
      </c>
      <c r="D240" s="68">
        <f>(('DATI nascosti 2'!$C$13+F240-'DATI nascosti 2'!$C$8)/F240*B240)</f>
        <v>-3.3636363636363651E-3</v>
      </c>
      <c r="E240" s="83" t="str">
        <f>IF(((F240-'DATI nascosti 2'!$C$8)/F240*B240)&gt;0,"&gt;0,0000",(F240-'DATI nascosti 2'!$C$8)/F240*B240)</f>
        <v>&gt;0,0000</v>
      </c>
      <c r="F240" s="69">
        <f>('DATI nascosti 2'!$C$13*B240)/(B240-C240)</f>
        <v>1155.000000000008</v>
      </c>
      <c r="G240" s="70">
        <f>IF(E240&gt;0,$G$239,(IF(E240&lt;('DATI nascosti 2'!$H$14*10^-3),'DATI nascosti 2'!$H$10*(-'DATI nascosti 2'!$H$12), $G$239-((2*'DATI nascosti 2'!$H$10/(-'DATI nascosti 2'!$H$14)*((-E240*10^3)^2)/2)-('DATI nascosti 2'!$H$10/(-'DATI nascosti 2'!$H$14)^2*(-E240*10^3)^3/3))+(-E240*10^3*'DATI nascosti 2'!$H$10))))</f>
        <v>39.978333333333296</v>
      </c>
      <c r="H240" s="70">
        <f>IF(E240&gt;0,H239,(IF(E240&lt;('DATI nascosti 2'!$H$14*10^-3),'DATI nascosti 2'!$H$10/2*(-'DATI nascosti 2'!$H$12)^2,$H$239-((2*'DATI nascosti 2'!$H$10/(-'DATI nascosti 2'!$H$14)*((-E240*10^3)^3)/3)-('DATI nascosti 2'!$H$10/(-'DATI nascosti 2'!$H$14)^2*(-E240*10^3)^4/4))+'DATI nascosti 2'!$H$10/2*((-E240*10^3)^2))))</f>
        <v>81.720416666666537</v>
      </c>
      <c r="I240" s="70">
        <f>G240/('DATI nascosti 2'!$H$10*(-'DATI nascosti 2'!$H$12))</f>
        <v>0.80952380952380887</v>
      </c>
      <c r="J240" s="70">
        <f t="shared" si="15"/>
        <v>0.41596638655462226</v>
      </c>
      <c r="K240" s="71">
        <f>IF(D240&gt;=('DATI nascosti 2'!$L$10*10^-3),'DATI nascosti 2'!$L$14*'DATI nascosti 2'!$P$12,IF(D240&gt;=(-'DATI nascosti 2'!$L$10*10^-3),'DATI nascosti 2'!$L$16*D240*'DATI nascosti 2'!$P$12,-'DATI nascosti 2'!$L$14*'DATI nascosti 2'!$P$12))</f>
        <v>-614659.43222408998</v>
      </c>
      <c r="L240" s="71">
        <f>IF(F240&lt;'DATI nascosti 2'!$C$8,( -'DATI nascosti 2'!$H$16*'DATI nascosti 2'!$C$6*I240*'DATI nascosti 2'!$H$10*F240),( -'DATI nascosti 2'!$H$16*'DATI nascosti 2'!$C$6*I240*'DATI nascosti 2'!$H$10*'DATI nascosti 2'!$C$8))</f>
        <v>-3364176.75000002</v>
      </c>
      <c r="M240" s="71">
        <f>IF(C240&gt;=('DATI nascosti 2'!$L$10*10^-3),'DATI nascosti 2'!$L$14*'DATI nascosti 2'!$P$11,IF(C240&gt;=(-'DATI nascosti 2'!$L$10*10^-3),'DATI nascosti 2'!$P$11*'DATI nascosti 2'!$L$16*C240,-'DATI nascosti 2'!$L$14*'DATI nascosti 2'!$P$11))</f>
        <v>-7.7689032087070674E-9</v>
      </c>
      <c r="N240" s="71">
        <f t="shared" si="11"/>
        <v>-3978836.1822241177</v>
      </c>
      <c r="O240" s="71">
        <f>IF(F240&lt;='DATI nascosti 2'!$C$8,-L240*('DATI nascosti 2'!$C$8/2-(J240*F240))-K240*('DATI nascosti 2'!$C$13/2)+M240*('DATI nascosti 2'!$C$13/2),-L240*('DATI nascosti 2'!$C$8/2-(J240*'DATI nascosti 2'!$C$8))-K240*('DATI nascosti 2'!$C$13/2)+M240*('DATI nascosti 2'!$C$13/2))</f>
        <v>757182836.48439693</v>
      </c>
      <c r="P240" s="69">
        <f>-'T2'!N240/10^3</f>
        <v>3978.8361822241177</v>
      </c>
      <c r="Q240" s="69">
        <f>'T2'!O240/10^6</f>
        <v>757.18283648439694</v>
      </c>
      <c r="R240" s="72">
        <f>-N240/('DATI nascosti 2'!$C$6*'DATI nascosti 2'!$C$13*'DATI nascosti 2'!$H$10*'DATI nascosti 2'!$H$16)</f>
        <v>0.95742966647196492</v>
      </c>
      <c r="S240" s="72">
        <f>O240/('DATI nascosti 2'!$H$16*'DATI nascosti 2'!$C$6*'DATI nascosti 2'!$C$13^2*'DATI nascosti 2'!$H$10)</f>
        <v>0.15775008369979782</v>
      </c>
      <c r="T240" s="70">
        <f t="shared" si="12"/>
        <v>-190.30259146310004</v>
      </c>
      <c r="U240" s="67" t="str">
        <f>IF(T240&gt;=0, IF(T240&lt;='DATI nascosti 2'!$C$8/6, "SI", "NO"),IF(T240&gt; -'DATI nascosti 2'!$C$8/6, "SI", "NO"))</f>
        <v>SI</v>
      </c>
      <c r="V240" s="67" t="str">
        <f>IF(Foglio3!G241&lt;1,IF(Foglio3!G241&gt;-1,"ROTTURA BILANCIATA",""),"")</f>
        <v/>
      </c>
    </row>
    <row r="241" spans="1:22" ht="18.75" x14ac:dyDescent="0.25">
      <c r="A241" s="20"/>
      <c r="B241" s="67">
        <f>'DATI nascosti 2'!$H$12*10^-3</f>
        <v>-3.5000000000000001E-3</v>
      </c>
      <c r="C241" s="68">
        <f>C240-0.0001</f>
        <v>-1.0000000000002364E-4</v>
      </c>
      <c r="D241" s="68">
        <f>(('DATI nascosti 2'!$C$13+F241-'DATI nascosti 2'!$C$8)/F241*B241)</f>
        <v>-3.3675324675324692E-3</v>
      </c>
      <c r="E241" s="83" t="str">
        <f>IF(((F241-'DATI nascosti 2'!$C$8)/F241*B241)&gt;0,"&gt;0,0000",(F241-'DATI nascosti 2'!$C$8)/F241*B241)</f>
        <v>&gt;0,0000</v>
      </c>
      <c r="F241" s="69">
        <f>('DATI nascosti 2'!$C$13*B241)/(B241-C241)</f>
        <v>1188.9705882353026</v>
      </c>
      <c r="G241" s="70">
        <f>IF(E241&gt;0,$G$239,(IF(E241&lt;('DATI nascosti 2'!$H$14*10^-3),'DATI nascosti 2'!$H$10*(-'DATI nascosti 2'!$H$12), $G$239-((2*'DATI nascosti 2'!$H$10/(-'DATI nascosti 2'!$H$14)*((-E241*10^3)^2)/2)-('DATI nascosti 2'!$H$10/(-'DATI nascosti 2'!$H$14)^2*(-E241*10^3)^3/3))+(-E241*10^3*'DATI nascosti 2'!$H$10))))</f>
        <v>39.978333333333296</v>
      </c>
      <c r="H241" s="70">
        <f>IF(E241&gt;0,H240,(IF(E241&lt;('DATI nascosti 2'!$H$14*10^-3),'DATI nascosti 2'!$H$10/2*(-'DATI nascosti 2'!$H$12)^2,$H$239-((2*'DATI nascosti 2'!$H$10/(-'DATI nascosti 2'!$H$14)*((-E241*10^3)^3)/3)-('DATI nascosti 2'!$H$10/(-'DATI nascosti 2'!$H$14)^2*(-E241*10^3)^4/4))+'DATI nascosti 2'!$H$10/2*((-E241*10^3)^2))))</f>
        <v>81.720416666666537</v>
      </c>
      <c r="I241" s="70">
        <f>G241/('DATI nascosti 2'!$H$10*(-'DATI nascosti 2'!$H$12))</f>
        <v>0.80952380952380887</v>
      </c>
      <c r="J241" s="70">
        <f t="shared" si="15"/>
        <v>0.41596638655462226</v>
      </c>
      <c r="K241" s="71">
        <f>IF(D241&gt;=('DATI nascosti 2'!$L$10*10^-3),'DATI nascosti 2'!$L$14*'DATI nascosti 2'!$P$12,IF(D241&gt;=(-'DATI nascosti 2'!$L$10*10^-3),'DATI nascosti 2'!$L$16*D241*'DATI nascosti 2'!$P$12,-'DATI nascosti 2'!$L$14*'DATI nascosti 2'!$P$12))</f>
        <v>-614659.43222408998</v>
      </c>
      <c r="L241" s="71">
        <f>IF(F241&lt;'DATI nascosti 2'!$C$8,( -'DATI nascosti 2'!$H$16*'DATI nascosti 2'!$C$6*I241*'DATI nascosti 2'!$H$10*F241),( -'DATI nascosti 2'!$H$16*'DATI nascosti 2'!$C$6*I241*'DATI nascosti 2'!$H$10*'DATI nascosti 2'!$C$8))</f>
        <v>-3463123.1250000214</v>
      </c>
      <c r="M241" s="71">
        <f>IF(C241&gt;=('DATI nascosti 2'!$L$10*10^-3),'DATI nascosti 2'!$L$14*'DATI nascosti 2'!$P$11,IF(C241&gt;=(-'DATI nascosti 2'!$L$10*10^-3),'DATI nascosti 2'!$P$11*'DATI nascosti 2'!$L$16*C241,-'DATI nascosti 2'!$L$14*'DATI nascosti 2'!$P$11))</f>
        <v>-32869.488354237175</v>
      </c>
      <c r="N241" s="71">
        <f t="shared" si="11"/>
        <v>-4110652.0455783489</v>
      </c>
      <c r="O241" s="71">
        <f>IF(F241&lt;='DATI nascosti 2'!$C$8,-L241*('DATI nascosti 2'!$C$8/2-(J241*F241))-K241*('DATI nascosti 2'!$C$13/2)+M241*('DATI nascosti 2'!$C$13/2),-L241*('DATI nascosti 2'!$C$8/2-(J241*'DATI nascosti 2'!$C$8))-K241*('DATI nascosti 2'!$C$13/2)+M241*('DATI nascosti 2'!$C$13/2))</f>
        <v>701094532.42857838</v>
      </c>
      <c r="P241" s="69">
        <f>-'T2'!N241/10^3</f>
        <v>4110.6520455783493</v>
      </c>
      <c r="Q241" s="69">
        <f>'T2'!O241/10^6</f>
        <v>701.09453242857842</v>
      </c>
      <c r="R241" s="72">
        <f>-N241/('DATI nascosti 2'!$C$6*'DATI nascosti 2'!$C$13*'DATI nascosti 2'!$H$10*'DATI nascosti 2'!$H$16)</f>
        <v>0.98914859439636338</v>
      </c>
      <c r="S241" s="72">
        <f>O241/('DATI nascosti 2'!$H$16*'DATI nascosti 2'!$C$6*'DATI nascosti 2'!$C$13^2*'DATI nascosti 2'!$H$10)</f>
        <v>0.14606474928246463</v>
      </c>
      <c r="T241" s="70">
        <f t="shared" si="12"/>
        <v>-170.55555290375781</v>
      </c>
      <c r="U241" s="67" t="str">
        <f>IF(T241&gt;=0, IF(T241&lt;='DATI nascosti 2'!$C$8/6, "SI", "NO"),IF(T241&gt; -'DATI nascosti 2'!$C$8/6, "SI", "NO"))</f>
        <v>SI</v>
      </c>
      <c r="V241" s="67" t="str">
        <f>IF(Foglio3!G242&lt;1,IF(Foglio3!G242&gt;-1,"ROTTURA BILANCIATA",""),"")</f>
        <v/>
      </c>
    </row>
    <row r="242" spans="1:22" ht="18.75" x14ac:dyDescent="0.25">
      <c r="A242" s="20"/>
      <c r="B242" s="67">
        <f>'DATI nascosti 2'!$H$12*10^-3</f>
        <v>-3.5000000000000001E-3</v>
      </c>
      <c r="C242" s="68">
        <f>C241-0.0001</f>
        <v>-2.0000000000002365E-4</v>
      </c>
      <c r="D242" s="68">
        <f>(('DATI nascosti 2'!$C$13+F242-'DATI nascosti 2'!$C$8)/F242*B242)</f>
        <v>-3.371428571428573E-3</v>
      </c>
      <c r="E242" s="83">
        <f>IF(((F242-'DATI nascosti 2'!$C$8)/F242*B242)&gt;0,"&gt;0,0000",(F242-'DATI nascosti 2'!$C$8)/F242*B242)</f>
        <v>-7.1428571428596249E-5</v>
      </c>
      <c r="F242" s="69">
        <f>('DATI nascosti 2'!$C$13*B242)/(B242-C242)</f>
        <v>1225.0000000000089</v>
      </c>
      <c r="G242" s="70">
        <f>IF(E242&gt;0,$G$239,(IF(E242&lt;('DATI nascosti 2'!$H$14*10^-3),'DATI nascosti 2'!$H$10*(-'DATI nascosti 2'!$H$12), $G$239-((2*'DATI nascosti 2'!$H$10/(-'DATI nascosti 2'!$H$14)*((-E242*10^3)^2)/2)-('DATI nascosti 2'!$H$10/(-'DATI nascosti 2'!$H$14)^2*(-E242*10^3)^3/3))+(-E242*10^3*'DATI nascosti 2'!$H$10))))</f>
        <v>40.950624088921572</v>
      </c>
      <c r="H242" s="70">
        <f>IF(E242&gt;0,H241,(IF(E242&lt;('DATI nascosti 2'!$H$14*10^-3),'DATI nascosti 2'!$H$10/2*(-'DATI nascosti 2'!$H$12)^2,$H$239-((2*'DATI nascosti 2'!$H$10/(-'DATI nascosti 2'!$H$14)*((-E242*10^3)^3)/3)-('DATI nascosti 2'!$H$10/(-'DATI nascosti 2'!$H$14)^2*(-E242*10^3)^4/4))+'DATI nascosti 2'!$H$10/2*((-E242*10^3)^2))))</f>
        <v>81.754720477795615</v>
      </c>
      <c r="I242" s="70">
        <f>G242/('DATI nascosti 2'!$H$10*(-'DATI nascosti 2'!$H$12))</f>
        <v>0.82921178675552454</v>
      </c>
      <c r="J242" s="70">
        <f t="shared" si="15"/>
        <v>0.42959375870895056</v>
      </c>
      <c r="K242" s="71">
        <f>IF(D242&gt;=('DATI nascosti 2'!$L$10*10^-3),'DATI nascosti 2'!$L$14*'DATI nascosti 2'!$P$12,IF(D242&gt;=(-'DATI nascosti 2'!$L$10*10^-3),'DATI nascosti 2'!$L$16*D242*'DATI nascosti 2'!$P$12,-'DATI nascosti 2'!$L$14*'DATI nascosti 2'!$P$12))</f>
        <v>-614659.43222408998</v>
      </c>
      <c r="L242" s="71">
        <f>IF(F242&lt;'DATI nascosti 2'!$C$8,( -'DATI nascosti 2'!$H$16*'DATI nascosti 2'!$C$6*I242*'DATI nascosti 2'!$H$10*F242),( -'DATI nascosti 2'!$H$16*'DATI nascosti 2'!$C$6*I242*'DATI nascosti 2'!$H$10*'DATI nascosti 2'!$C$8))</f>
        <v>-3580254.563202857</v>
      </c>
      <c r="M242" s="71">
        <f>IF(C242&gt;=('DATI nascosti 2'!$L$10*10^-3),'DATI nascosti 2'!$L$14*'DATI nascosti 2'!$P$11,IF(C242&gt;=(-'DATI nascosti 2'!$L$10*10^-3),'DATI nascosti 2'!$P$11*'DATI nascosti 2'!$L$16*C242,-'DATI nascosti 2'!$L$14*'DATI nascosti 2'!$P$11))</f>
        <v>-65738.976708466595</v>
      </c>
      <c r="N242" s="71">
        <f t="shared" si="11"/>
        <v>-4260652.9721354134</v>
      </c>
      <c r="O242" s="71">
        <f>IF(F242&lt;='DATI nascosti 2'!$C$8,-L242*('DATI nascosti 2'!$C$8/2-(J242*F242))-K242*('DATI nascosti 2'!$C$13/2)+M242*('DATI nascosti 2'!$C$13/2),-L242*('DATI nascosti 2'!$C$8/2-(J242*'DATI nascosti 2'!$C$8))-K242*('DATI nascosti 2'!$C$13/2)+M242*('DATI nascosti 2'!$C$13/2))</f>
        <v>619488283.05256176</v>
      </c>
      <c r="P242" s="69">
        <f>-'T2'!N242/10^3</f>
        <v>4260.6529721354136</v>
      </c>
      <c r="Q242" s="69">
        <f>'T2'!O242/10^6</f>
        <v>619.48828305256177</v>
      </c>
      <c r="R242" s="72">
        <f>-N242/('DATI nascosti 2'!$C$6*'DATI nascosti 2'!$C$13*'DATI nascosti 2'!$H$10*'DATI nascosti 2'!$H$16)</f>
        <v>1.0252434046641581</v>
      </c>
      <c r="S242" s="72">
        <f>O242/('DATI nascosti 2'!$H$16*'DATI nascosti 2'!$C$6*'DATI nascosti 2'!$C$13^2*'DATI nascosti 2'!$H$10)</f>
        <v>0.12906305292962017</v>
      </c>
      <c r="T242" s="70">
        <f t="shared" si="12"/>
        <v>-145.39749824827391</v>
      </c>
      <c r="U242" s="67" t="str">
        <f>IF(T242&gt;=0, IF(T242&lt;='DATI nascosti 2'!$C$8/6, "SI", "NO"),IF(T242&gt; -'DATI nascosti 2'!$C$8/6, "SI", "NO"))</f>
        <v>SI</v>
      </c>
      <c r="V242" s="67" t="str">
        <f>IF(Foglio3!G243&lt;1,IF(Foglio3!G243&gt;-1,"ROTTURA BILANCIATA",""),"")</f>
        <v/>
      </c>
    </row>
    <row r="243" spans="1:22" ht="19.5" thickBot="1" x14ac:dyDescent="0.3">
      <c r="A243" s="20"/>
      <c r="B243" s="113">
        <f>'DATI nascosti 2'!$H$12*10^-3</f>
        <v>-3.5000000000000001E-3</v>
      </c>
      <c r="C243" s="113">
        <f>(F243-'DATI nascosti 2'!$C$13)/(F243-'DATI nascosti 2'!$C$8+('DATI nascosti 2'!$H$14*10^-3)*'DATI nascosti 2'!$C$8/('DATI nascosti 2'!$H$12*10^-3))*('DATI nascosti 2'!$H$14*10^-3)</f>
        <v>-1.312499999999994E-4</v>
      </c>
      <c r="D243" s="113">
        <f>(F243-'DATI nascosti 2'!$C$10)/(F243-'DATI nascosti 2'!$C$8+('DATI nascosti 2'!$H$14*10^-3)*'DATI nascosti 2'!$C$8/('DATI nascosti 2'!$H$12*10^-3))*('DATI nascosti 2'!$H$14*10^-3)</f>
        <v>-3.3687500000000011E-3</v>
      </c>
      <c r="E243" s="113">
        <f>(F243-'DATI nascosti 2'!$C$8)/(F243-'DATI nascosti 2'!$C$8+('DATI nascosti 2'!$H$14*10^-3)*'DATI nascosti 2'!$C$8/('DATI nascosti 2'!$H$12*10^-3))*('DATI nascosti 2'!$H$14*10^-3)</f>
        <v>6.6317322004276044E-19</v>
      </c>
      <c r="F243" s="114">
        <f>('DATI nascosti 2'!$C$8*('DATI nascosti 2'!$H$14*10^-3)*B243/(('DATI nascosti 2'!$H$14*10^-3)-B243))*(1/('DATI nascosti 2'!$H$12*10^-3)-1/('DATI nascosti 2'!$H$14*10^-3))</f>
        <v>1199.9999999999998</v>
      </c>
      <c r="G243" s="115">
        <f>IF(E243&gt;0,$G$239,(IF(E243&lt;('DATI nascosti 2'!$H$14*10^-3),'DATI nascosti 2'!$H$10*(-'DATI nascosti 2'!$H$12), $G$239-((2*'DATI nascosti 2'!$H$10/(-'DATI nascosti 2'!$H$14)*((-E243*10^3)^2)/2)-('DATI nascosti 2'!$H$10/(-'DATI nascosti 2'!$H$14)^2*(-E243*10^3)^3/3))+(-E243*10^3*'DATI nascosti 2'!$H$10))))</f>
        <v>39.978333333333296</v>
      </c>
      <c r="H243" s="115">
        <f>IF(E243&gt;0,H242,(IF(E243&lt;('DATI nascosti 2'!$H$14*10^-3),'DATI nascosti 2'!$H$10/2*(-'DATI nascosti 2'!$H$12)^2,$H$239-((2*'DATI nascosti 2'!$H$10/(-'DATI nascosti 2'!$H$14)*((-E243*10^3)^3)/3)-('DATI nascosti 2'!$H$10/(-'DATI nascosti 2'!$H$14)^2*(-E243*10^3)^4/4))+'DATI nascosti 2'!$H$10/2*((-E243*10^3)^2))))</f>
        <v>81.754720477795615</v>
      </c>
      <c r="I243" s="115">
        <f>G243/('DATI nascosti 2'!$H$10*(-'DATI nascosti 2'!$H$12))</f>
        <v>0.80952380952380887</v>
      </c>
      <c r="J243" s="115">
        <f>1-(H243/G243)/(-'DATI nascosti 2'!$H$12)</f>
        <v>0.41572122653726229</v>
      </c>
      <c r="K243" s="116">
        <f>IF(D243&gt;=('DATI nascosti 2'!$L$10*10^-3),'DATI nascosti 2'!$L$14*'DATI nascosti 2'!$P$12,IF(D243&gt;=(-'DATI nascosti 2'!$L$10*10^-3),'DATI nascosti 2'!$L$16*D243*'DATI nascosti 2'!$P$12,-'DATI nascosti 2'!$L$14*'DATI nascosti 2'!$P$12))</f>
        <v>-614659.43222408998</v>
      </c>
      <c r="L243" s="116">
        <f>IF(F243&lt;'DATI nascosti 2'!$C$8,( -'DATI nascosti 2'!$H$16*'DATI nascosti 2'!$C$6*I243*'DATI nascosti 2'!$H$10*F243),( -'DATI nascosti 2'!$H$16*'DATI nascosti 2'!$C$6*I243*'DATI nascosti 2'!$H$10*'DATI nascosti 2'!$C$8))</f>
        <v>-3495248.5714285686</v>
      </c>
      <c r="M243" s="116">
        <f>IF(C243&gt;=('DATI nascosti 2'!$L$10*10^-3),'DATI nascosti 2'!$L$14*'DATI nascosti 2'!$P$11,IF(C243&gt;=(-'DATI nascosti 2'!$L$10*10^-3),'DATI nascosti 2'!$P$11*'DATI nascosti 2'!$L$16*C243,-'DATI nascosti 2'!$L$14*'DATI nascosti 2'!$P$11))</f>
        <v>-43141.2034649259</v>
      </c>
      <c r="N243" s="116">
        <f t="shared" si="11"/>
        <v>-4153049.2071175841</v>
      </c>
      <c r="O243" s="286">
        <f>IF(F243&lt;='DATI nascosti 2'!$C$8,-L243*('DATI nascosti 2'!$C$8/2-(J243*F243))-K243*('DATI nascosti 2'!$C$13/2)+M243*('DATI nascosti 2'!$C$13/2),-L243*('DATI nascosti 2'!$C$8/2-(J243*'DATI nascosti 2'!$C$8))-K243*('DATI nascosti 2'!$C$13/2)+M243*('DATI nascosti 2'!$C$13/2))</f>
        <v>683542092.16528082</v>
      </c>
      <c r="P243" s="285">
        <f>-'T2'!N243/10^3</f>
        <v>4153.049207117584</v>
      </c>
      <c r="Q243" s="285">
        <f>'T2'!O243/10^6</f>
        <v>683.54209216528079</v>
      </c>
      <c r="R243" s="287">
        <f>-N243/('DATI nascosti 2'!$C$6*'DATI nascosti 2'!$C$13*'DATI nascosti 2'!$H$10*'DATI nascosti 2'!$H$16)</f>
        <v>0.99935064805547569</v>
      </c>
      <c r="S243" s="117">
        <f>O243/('DATI nascosti 2'!$H$16*'DATI nascosti 2'!$C$6*'DATI nascosti 2'!$C$13^2*'DATI nascosti 2'!$H$10)</f>
        <v>0.14240790606408568</v>
      </c>
      <c r="T243" s="115">
        <f t="shared" si="12"/>
        <v>-164.58800704643997</v>
      </c>
      <c r="U243" s="112" t="str">
        <f>IF(T243&gt;=0, IF(T243&lt;='DATI nascosti 2'!$C$8/6, "SI", "NO"),IF(T243&gt; -'DATI nascosti 2'!$C$8/6, "SI", "NO"))</f>
        <v>SI</v>
      </c>
      <c r="V243" s="112" t="str">
        <f>IF(Foglio3!G244&lt;1,IF(Foglio3!G244&gt;-1,"ROTTURA BILANCIATA",""),"")</f>
        <v/>
      </c>
    </row>
    <row r="244" spans="1:22" ht="26.25" customHeight="1" x14ac:dyDescent="0.25">
      <c r="A244" s="351" t="s">
        <v>57</v>
      </c>
      <c r="B244" s="119">
        <f t="shared" ref="B244:B258" si="16">B243+0.0001</f>
        <v>-3.4000000000000002E-3</v>
      </c>
      <c r="C244" s="119">
        <f>(F244-'DATI nascosti 2'!$C$13)/(F244-'DATI nascosti 2'!$C$8+('DATI nascosti 2'!$H$14*10^-3)*'DATI nascosti 2'!$C$8/('DATI nascosti 2'!$H$12*10^-3))*('DATI nascosti 2'!$H$14*10^-3)</f>
        <v>-2.5583333333333334E-4</v>
      </c>
      <c r="D244" s="119">
        <f>(F244-'DATI nascosti 2'!$C$10)/(F244-'DATI nascosti 2'!$C$8+('DATI nascosti 2'!$H$14*10^-3)*'DATI nascosti 2'!$C$8/('DATI nascosti 2'!$H$12*10^-3))*('DATI nascosti 2'!$H$14*10^-3)</f>
        <v>-3.2775000000000005E-3</v>
      </c>
      <c r="E244" s="119">
        <f>(F244-'DATI nascosti 2'!$C$8)/(F244-'DATI nascosti 2'!$C$8+('DATI nascosti 2'!$H$14*10^-3)*'DATI nascosti 2'!$C$8/('DATI nascosti 2'!$H$12*10^-3))*('DATI nascosti 2'!$H$14*10^-3)</f>
        <v>-1.3333333333333337E-4</v>
      </c>
      <c r="F244" s="122">
        <f>('DATI nascosti 2'!$C$8*('DATI nascosti 2'!$H$14*10^-3)*B244/(('DATI nascosti 2'!$H$14*10^-3)-B244))*(1/('DATI nascosti 2'!$H$12*10^-3)-1/('DATI nascosti 2'!$H$14*10^-3))</f>
        <v>1248.9795918367347</v>
      </c>
      <c r="G244" s="123">
        <f>IF(E244&gt;0,$G$239,(IF(E244&lt;('DATI nascosti 2'!$H$14*10^-3),'DATI nascosti 2'!$H$10*(-'DATI nascosti 2'!$H$12), $G$239-((2*'DATI nascosti 2'!$H$10/(-'DATI nascosti 2'!$H$14)*((-E244*10^3)^2)/2)-('DATI nascosti 2'!$H$10/(-'DATI nascosti 2'!$H$14)^2*(-E244*10^3)^3/3))+(-E244*10^3*'DATI nascosti 2'!$H$10))))</f>
        <v>41.737031604938231</v>
      </c>
      <c r="H244" s="123">
        <f>IF(E244&gt;0,H243,(IF(E244&lt;('DATI nascosti 2'!$H$14*10^-3),'DATI nascosti 2'!$H$10/2*(-'DATI nascosti 2'!$H$12)^2,$H$239-((2*'DATI nascosti 2'!$H$10/(-'DATI nascosti 2'!$H$14)*((-E244*10^3)^3)/3)-('DATI nascosti 2'!$H$10/(-'DATI nascosti 2'!$H$14)^2*(-E244*10^3)^4/4))+'DATI nascosti 2'!$H$10/2*((-E244*10^3)^2))))</f>
        <v>81.834968962962833</v>
      </c>
      <c r="I244" s="123">
        <f>G244/('DATI nascosti 2'!$H$10*(-'DATI nascosti 2'!$H$12))</f>
        <v>0.84513580246913511</v>
      </c>
      <c r="J244" s="123">
        <f>1-(H244/G244)/(-'DATI nascosti 2'!$H$12)</f>
        <v>0.43979198317167267</v>
      </c>
      <c r="K244" s="124">
        <f>IF(D244&gt;=('DATI nascosti 2'!$L$10*10^-3),'DATI nascosti 2'!$L$14*'DATI nascosti 2'!$P$12,IF(D244&gt;=(-'DATI nascosti 2'!$L$10*10^-3),'DATI nascosti 2'!$L$16*D244*'DATI nascosti 2'!$P$12,-'DATI nascosti 2'!$L$14*'DATI nascosti 2'!$P$12))</f>
        <v>-614659.43222408998</v>
      </c>
      <c r="L244" s="124">
        <f>IF(F244&lt;'DATI nascosti 2'!$C$8,( -'DATI nascosti 2'!$H$16*'DATI nascosti 2'!$C$6*I244*'DATI nascosti 2'!$H$10*F244),( -'DATI nascosti 2'!$H$16*'DATI nascosti 2'!$C$6*I244*'DATI nascosti 2'!$H$10*'DATI nascosti 2'!$C$8))</f>
        <v>-3649009.0488888854</v>
      </c>
      <c r="M244" s="124">
        <f>IF(C244&gt;=('DATI nascosti 2'!$L$10*10^-3),'DATI nascosti 2'!$L$14*'DATI nascosti 2'!$P$11,IF(C244&gt;=(-'DATI nascosti 2'!$L$10*10^-3),'DATI nascosti 2'!$P$11*'DATI nascosti 2'!$L$16*C244,-'DATI nascosti 2'!$L$14*'DATI nascosti 2'!$P$11))</f>
        <v>-84091.1077062369</v>
      </c>
      <c r="N244" s="124">
        <f t="shared" si="11"/>
        <v>-4347759.5888192123</v>
      </c>
      <c r="O244" s="141">
        <f>IF(F244&lt;='DATI nascosti 2'!$C$8,-L244*('DATI nascosti 2'!$C$8/2-(J244*F244))-K244*('DATI nascosti 2'!$C$13/2)+M244*('DATI nascosti 2'!$C$13/2),-L244*('DATI nascosti 2'!$C$8/2-(J244*'DATI nascosti 2'!$C$8))-K244*('DATI nascosti 2'!$C$13/2)+M244*('DATI nascosti 2'!$C$13/2))</f>
        <v>570042725.27572489</v>
      </c>
      <c r="P244" s="140">
        <f>-'T2'!N244/10^3</f>
        <v>4347.7595888192127</v>
      </c>
      <c r="Q244" s="140">
        <f>'T2'!O244/10^6</f>
        <v>570.04272527572493</v>
      </c>
      <c r="R244" s="142">
        <f>-N244/('DATI nascosti 2'!$C$6*'DATI nascosti 2'!$C$13*'DATI nascosti 2'!$H$10*'DATI nascosti 2'!$H$16)</f>
        <v>1.0462039205385392</v>
      </c>
      <c r="S244" s="125">
        <f>O244/('DATI nascosti 2'!$H$16*'DATI nascosti 2'!$C$6*'DATI nascosti 2'!$C$13^2*'DATI nascosti 2'!$H$10)</f>
        <v>0.11876165609118305</v>
      </c>
      <c r="T244" s="123">
        <f t="shared" si="12"/>
        <v>-131.1118321127181</v>
      </c>
      <c r="U244" s="121" t="str">
        <f>IF(T244&gt;=0, IF(T244&lt;='DATI nascosti 2'!$C$8/6, "SI", "NO"),IF(T244&gt; -'DATI nascosti 2'!$C$8/6, "SI", "NO"))</f>
        <v>SI</v>
      </c>
      <c r="V244" s="121" t="str">
        <f>IF(Foglio3!G245&lt;1,IF(Foglio3!G245&gt;-1,"ROTTURA BILANCIATA",""),"")</f>
        <v/>
      </c>
    </row>
    <row r="245" spans="1:22" ht="18.75" x14ac:dyDescent="0.25">
      <c r="A245" s="351"/>
      <c r="B245" s="68">
        <f t="shared" si="16"/>
        <v>-3.3000000000000004E-3</v>
      </c>
      <c r="C245" s="68">
        <f>(F245-'DATI nascosti 2'!$C$13)/(F245-'DATI nascosti 2'!$C$8+('DATI nascosti 2'!$H$14*10^-3)*'DATI nascosti 2'!$C$8/('DATI nascosti 2'!$H$12*10^-3))*('DATI nascosti 2'!$H$14*10^-3)</f>
        <v>-3.8041666666666546E-4</v>
      </c>
      <c r="D245" s="68">
        <f>(F245-'DATI nascosti 2'!$C$10)/(F245-'DATI nascosti 2'!$C$8+('DATI nascosti 2'!$H$14*10^-3)*'DATI nascosti 2'!$C$8/('DATI nascosti 2'!$H$12*10^-3))*('DATI nascosti 2'!$H$14*10^-3)</f>
        <v>-3.1862500000000011E-3</v>
      </c>
      <c r="E245" s="68">
        <f>(F245-'DATI nascosti 2'!$C$8)/(F245-'DATI nascosti 2'!$C$8+('DATI nascosti 2'!$H$14*10^-3)*'DATI nascosti 2'!$C$8/('DATI nascosti 2'!$H$12*10^-3))*('DATI nascosti 2'!$H$14*10^-3)</f>
        <v>-2.6666666666666538E-4</v>
      </c>
      <c r="F245" s="69">
        <f>('DATI nascosti 2'!$C$8*('DATI nascosti 2'!$H$14*10^-3)*B245/(('DATI nascosti 2'!$H$14*10^-3)-B245))*(1/('DATI nascosti 2'!$H$12*10^-3)-1/('DATI nascosti 2'!$H$14*10^-3))</f>
        <v>1305.4945054945049</v>
      </c>
      <c r="G245" s="70">
        <f>IF(E245&gt;0,$G$239,(IF(E245&lt;('DATI nascosti 2'!$H$14*10^-3),'DATI nascosti 2'!$H$10*(-'DATI nascosti 2'!$H$12), $G$239-((2*'DATI nascosti 2'!$H$10/(-'DATI nascosti 2'!$H$14)*((-E245*10^3)^2)/2)-('DATI nascosti 2'!$H$10/(-'DATI nascosti 2'!$H$14)^2*(-E245*10^3)^3/3))+(-E245*10^3*'DATI nascosti 2'!$H$10))))</f>
        <v>43.261608395061678</v>
      </c>
      <c r="H245" s="70">
        <f>IF(E245&gt;0,H244,(IF(E245&lt;('DATI nascosti 2'!$H$14*10^-3),'DATI nascosti 2'!$H$10/2*(-'DATI nascosti 2'!$H$12)^2,$H$239-((2*'DATI nascosti 2'!$H$10/(-'DATI nascosti 2'!$H$14)*((-E245*10^3)^3)/3)-('DATI nascosti 2'!$H$10/(-'DATI nascosti 2'!$H$14)^2*(-E245*10^3)^4/4))+'DATI nascosti 2'!$H$10/2*((-E245*10^3)^2))))</f>
        <v>82.137375876543075</v>
      </c>
      <c r="I245" s="70">
        <f>G245/('DATI nascosti 2'!$H$10*(-'DATI nascosti 2'!$H$12))</f>
        <v>0.87600705467372053</v>
      </c>
      <c r="J245" s="70">
        <f>1-(H245/G245)/(-'DATI nascosti 2'!$H$12)</f>
        <v>0.4575370045259074</v>
      </c>
      <c r="K245" s="71">
        <f>IF(D245&gt;=('DATI nascosti 2'!$L$10*10^-3),'DATI nascosti 2'!$L$14*'DATI nascosti 2'!$P$12,IF(D245&gt;=(-'DATI nascosti 2'!$L$10*10^-3),'DATI nascosti 2'!$L$16*D245*'DATI nascosti 2'!$P$12,-'DATI nascosti 2'!$L$14*'DATI nascosti 2'!$P$12))</f>
        <v>-614659.43222408998</v>
      </c>
      <c r="L245" s="71">
        <f>IF(F245&lt;'DATI nascosti 2'!$C$8,( -'DATI nascosti 2'!$H$16*'DATI nascosti 2'!$C$6*I245*'DATI nascosti 2'!$H$10*F245),( -'DATI nascosti 2'!$H$16*'DATI nascosti 2'!$C$6*I245*'DATI nascosti 2'!$H$10*'DATI nascosti 2'!$C$8))</f>
        <v>-3782300.6196825355</v>
      </c>
      <c r="M245" s="71">
        <f>IF(C245&gt;=('DATI nascosti 2'!$L$10*10^-3),'DATI nascosti 2'!$L$14*'DATI nascosti 2'!$P$11,IF(C245&gt;=(-'DATI nascosti 2'!$L$10*10^-3),'DATI nascosti 2'!$P$11*'DATI nascosti 2'!$L$16*C245,-'DATI nascosti 2'!$L$14*'DATI nascosti 2'!$P$11))</f>
        <v>-125041.01194754732</v>
      </c>
      <c r="N245" s="71">
        <f t="shared" si="11"/>
        <v>-4522001.0638541728</v>
      </c>
      <c r="O245" s="71">
        <f>IF(F245&lt;='DATI nascosti 2'!$C$8,-L245*('DATI nascosti 2'!$C$8/2-(J245*F245))-K245*('DATI nascosti 2'!$C$13/2)+M245*('DATI nascosti 2'!$C$13/2),-L245*('DATI nascosti 2'!$C$8/2-(J245*'DATI nascosti 2'!$C$8))-K245*('DATI nascosti 2'!$C$13/2)+M245*('DATI nascosti 2'!$C$13/2))</f>
        <v>475484014.62398797</v>
      </c>
      <c r="P245" s="69">
        <f>-'T2'!N245/10^3</f>
        <v>4522.0010638541726</v>
      </c>
      <c r="Q245" s="69">
        <f>'T2'!O245/10^6</f>
        <v>475.48401462398795</v>
      </c>
      <c r="R245" s="72">
        <f>-N245/('DATI nascosti 2'!$C$6*'DATI nascosti 2'!$C$13*'DATI nascosti 2'!$H$10*'DATI nascosti 2'!$H$16)</f>
        <v>1.0881317480961576</v>
      </c>
      <c r="S245" s="72">
        <f>O245/('DATI nascosti 2'!$H$16*'DATI nascosti 2'!$C$6*'DATI nascosti 2'!$C$13^2*'DATI nascosti 2'!$H$10)</f>
        <v>9.9061467707206335E-2</v>
      </c>
      <c r="T245" s="70">
        <f t="shared" si="12"/>
        <v>-105.14902758972937</v>
      </c>
      <c r="U245" s="67" t="str">
        <f>IF(T245&gt;=0, IF(T245&lt;='DATI nascosti 2'!$C$8/6, "SI", "NO"),IF(T245&gt; -'DATI nascosti 2'!$C$8/6, "SI", "NO"))</f>
        <v>SI</v>
      </c>
      <c r="V245" s="67" t="str">
        <f>IF(Foglio3!G246&lt;1,IF(Foglio3!G246&gt;-1,"ROTTURA BILANCIATA",""),"")</f>
        <v/>
      </c>
    </row>
    <row r="246" spans="1:22" ht="18.75" x14ac:dyDescent="0.25">
      <c r="A246" s="20"/>
      <c r="B246" s="68">
        <f t="shared" si="16"/>
        <v>-3.2000000000000006E-3</v>
      </c>
      <c r="C246" s="68">
        <f>(F246-'DATI nascosti 2'!$C$13)/(F246-'DATI nascosti 2'!$C$8+('DATI nascosti 2'!$H$14*10^-3)*'DATI nascosti 2'!$C$8/('DATI nascosti 2'!$H$12*10^-3))*('DATI nascosti 2'!$H$14*10^-3)</f>
        <v>-5.0499999999999916E-4</v>
      </c>
      <c r="D246" s="68">
        <f>(F246-'DATI nascosti 2'!$C$10)/(F246-'DATI nascosti 2'!$C$8+('DATI nascosti 2'!$H$14*10^-3)*'DATI nascosti 2'!$C$8/('DATI nascosti 2'!$H$12*10^-3))*('DATI nascosti 2'!$H$14*10^-3)</f>
        <v>-3.095000000000001E-3</v>
      </c>
      <c r="E246" s="68">
        <f>(F246-'DATI nascosti 2'!$C$8)/(F246-'DATI nascosti 2'!$C$8+('DATI nascosti 2'!$H$14*10^-3)*'DATI nascosti 2'!$C$8/('DATI nascosti 2'!$H$12*10^-3))*('DATI nascosti 2'!$H$14*10^-3)</f>
        <v>-3.9999999999999899E-4</v>
      </c>
      <c r="F246" s="69">
        <f>('DATI nascosti 2'!$C$8*('DATI nascosti 2'!$H$14*10^-3)*B246/(('DATI nascosti 2'!$H$14*10^-3)-B246))*(1/('DATI nascosti 2'!$H$12*10^-3)-1/('DATI nascosti 2'!$H$14*10^-3))</f>
        <v>1371.4285714285709</v>
      </c>
      <c r="G246" s="70">
        <f>IF(E246&gt;0,$G$239,(IF(E246&lt;('DATI nascosti 2'!$H$14*10^-3),'DATI nascosti 2'!$H$10*(-'DATI nascosti 2'!$H$12), $G$239-((2*'DATI nascosti 2'!$H$10/(-'DATI nascosti 2'!$H$14)*((-E246*10^3)^2)/2)-('DATI nascosti 2'!$H$10/(-'DATI nascosti 2'!$H$14)^2*(-E246*10^3)^3/3))+(-E246*10^3*'DATI nascosti 2'!$H$10))))</f>
        <v>44.568786666666618</v>
      </c>
      <c r="H246" s="70">
        <f>IF(E246&gt;0,H245,(IF(E246&lt;('DATI nascosti 2'!$H$14*10^-3),'DATI nascosti 2'!$H$10/2*(-'DATI nascosti 2'!$H$12)^2,$H$239-((2*'DATI nascosti 2'!$H$10/(-'DATI nascosti 2'!$H$14)*((-E246*10^3)^3)/3)-('DATI nascosti 2'!$H$10/(-'DATI nascosti 2'!$H$14)^2*(-E246*10^3)^4/4))+'DATI nascosti 2'!$H$10/2*((-E246*10^3)^2))))</f>
        <v>82.570779333333206</v>
      </c>
      <c r="I246" s="70">
        <f>G246/('DATI nascosti 2'!$H$10*(-'DATI nascosti 2'!$H$12))</f>
        <v>0.90247619047618965</v>
      </c>
      <c r="J246" s="70">
        <f>1-(H246/G246)/(-'DATI nascosti 2'!$H$12)</f>
        <v>0.47066875716094825</v>
      </c>
      <c r="K246" s="71">
        <f>IF(D246&gt;=('DATI nascosti 2'!$L$10*10^-3),'DATI nascosti 2'!$L$14*'DATI nascosti 2'!$P$12,IF(D246&gt;=(-'DATI nascosti 2'!$L$10*10^-3),'DATI nascosti 2'!$L$16*D246*'DATI nascosti 2'!$P$12,-'DATI nascosti 2'!$L$14*'DATI nascosti 2'!$P$12))</f>
        <v>-614659.43222408998</v>
      </c>
      <c r="L246" s="71">
        <f>IF(F246&lt;'DATI nascosti 2'!$C$8,( -'DATI nascosti 2'!$H$16*'DATI nascosti 2'!$C$6*I246*'DATI nascosti 2'!$H$10*F246),( -'DATI nascosti 2'!$H$16*'DATI nascosti 2'!$C$6*I246*'DATI nascosti 2'!$H$10*'DATI nascosti 2'!$C$8))</f>
        <v>-3896585.3485714244</v>
      </c>
      <c r="M246" s="71">
        <f>IF(C246&gt;=('DATI nascosti 2'!$L$10*10^-3),'DATI nascosti 2'!$L$14*'DATI nascosti 2'!$P$11,IF(C246&gt;=(-'DATI nascosti 2'!$L$10*10^-3),'DATI nascosti 2'!$P$11*'DATI nascosti 2'!$L$16*C246,-'DATI nascosti 2'!$L$14*'DATI nascosti 2'!$P$11))</f>
        <v>-165990.91618885825</v>
      </c>
      <c r="N246" s="71">
        <f t="shared" si="11"/>
        <v>-4677235.696984373</v>
      </c>
      <c r="O246" s="71">
        <f>IF(F246&lt;='DATI nascosti 2'!$C$8,-L246*('DATI nascosti 2'!$C$8/2-(J246*F246))-K246*('DATI nascosti 2'!$C$13/2)+M246*('DATI nascosti 2'!$C$13/2),-L246*('DATI nascosti 2'!$C$8/2-(J246*'DATI nascosti 2'!$C$8))-K246*('DATI nascosti 2'!$C$13/2)+M246*('DATI nascosti 2'!$C$13/2))</f>
        <v>396256097.33279383</v>
      </c>
      <c r="P246" s="69">
        <f>-'T2'!N246/10^3</f>
        <v>4677.2356969843731</v>
      </c>
      <c r="Q246" s="69">
        <f>'T2'!O246/10^6</f>
        <v>396.25609733279384</v>
      </c>
      <c r="R246" s="72">
        <f>-N246/('DATI nascosti 2'!$C$6*'DATI nascosti 2'!$C$13*'DATI nascosti 2'!$H$10*'DATI nascosti 2'!$H$16)</f>
        <v>1.1254859482230062</v>
      </c>
      <c r="S246" s="72">
        <f>O246/('DATI nascosti 2'!$H$16*'DATI nascosti 2'!$C$6*'DATI nascosti 2'!$C$13^2*'DATI nascosti 2'!$H$10)</f>
        <v>8.2555268699743653E-2</v>
      </c>
      <c r="T246" s="70">
        <f t="shared" si="12"/>
        <v>-84.720147327251055</v>
      </c>
      <c r="U246" s="67" t="str">
        <f>IF(T246&gt;=0, IF(T246&lt;='DATI nascosti 2'!$C$8/6, "SI", "NO"),IF(T246&gt; -'DATI nascosti 2'!$C$8/6, "SI", "NO"))</f>
        <v>SI</v>
      </c>
      <c r="V246" s="67" t="str">
        <f>IF(Foglio3!G247&lt;1,IF(Foglio3!G247&gt;-1,"ROTTURA BILANCIATA",""),"")</f>
        <v/>
      </c>
    </row>
    <row r="247" spans="1:22" ht="18.75" x14ac:dyDescent="0.25">
      <c r="A247" s="20"/>
      <c r="B247" s="68">
        <f t="shared" si="16"/>
        <v>-3.1000000000000008E-3</v>
      </c>
      <c r="C247" s="68">
        <f>(F247-'DATI nascosti 2'!$C$13)/(F247-'DATI nascosti 2'!$C$8+('DATI nascosti 2'!$H$14*10^-3)*'DATI nascosti 2'!$C$8/('DATI nascosti 2'!$H$12*10^-3))*('DATI nascosti 2'!$H$14*10^-3)</f>
        <v>-6.2958333333333226E-4</v>
      </c>
      <c r="D247" s="68">
        <f>(F247-'DATI nascosti 2'!$C$10)/(F247-'DATI nascosti 2'!$C$8+('DATI nascosti 2'!$H$14*10^-3)*'DATI nascosti 2'!$C$8/('DATI nascosti 2'!$H$12*10^-3))*('DATI nascosti 2'!$H$14*10^-3)</f>
        <v>-3.0037500000000012E-3</v>
      </c>
      <c r="E247" s="68">
        <f>(F247-'DATI nascosti 2'!$C$8)/(F247-'DATI nascosti 2'!$C$8+('DATI nascosti 2'!$H$14*10^-3)*'DATI nascosti 2'!$C$8/('DATI nascosti 2'!$H$12*10^-3))*('DATI nascosti 2'!$H$14*10^-3)</f>
        <v>-5.3333333333333227E-4</v>
      </c>
      <c r="F247" s="69">
        <f>('DATI nascosti 2'!$C$8*('DATI nascosti 2'!$H$14*10^-3)*B247/(('DATI nascosti 2'!$H$14*10^-3)-B247))*(1/('DATI nascosti 2'!$H$12*10^-3)-1/('DATI nascosti 2'!$H$14*10^-3))</f>
        <v>1449.3506493506486</v>
      </c>
      <c r="G247" s="70">
        <f>IF(E247&gt;0,$G$239,(IF(E247&lt;('DATI nascosti 2'!$H$14*10^-3),'DATI nascosti 2'!$H$10*(-'DATI nascosti 2'!$H$12), $G$239-((2*'DATI nascosti 2'!$H$10/(-'DATI nascosti 2'!$H$14)*((-E247*10^3)^2)/2)-('DATI nascosti 2'!$H$10/(-'DATI nascosti 2'!$H$14)^2*(-E247*10^3)^3/3))+(-E247*10^3*'DATI nascosti 2'!$H$10))))</f>
        <v>45.675289382716002</v>
      </c>
      <c r="H247" s="70">
        <f>IF(E247&gt;0,H246,(IF(E247&lt;('DATI nascosti 2'!$H$14*10^-3),'DATI nascosti 2'!$H$10/2*(-'DATI nascosti 2'!$H$12)^2,$H$239-((2*'DATI nascosti 2'!$H$10/(-'DATI nascosti 2'!$H$14)*((-E247*10^3)^3)/3)-('DATI nascosti 2'!$H$10/(-'DATI nascosti 2'!$H$14)^2*(-E247*10^3)^4/4))+'DATI nascosti 2'!$H$10/2*((-E247*10^3)^2))))</f>
        <v>83.085010444444308</v>
      </c>
      <c r="I247" s="70">
        <f>G247/('DATI nascosti 2'!$H$10*(-'DATI nascosti 2'!$H$12))</f>
        <v>0.92488183421516679</v>
      </c>
      <c r="J247" s="70">
        <f>1-(H247/G247)/(-'DATI nascosti 2'!$H$12)</f>
        <v>0.48027533632482489</v>
      </c>
      <c r="K247" s="71">
        <f>IF(D247&gt;=('DATI nascosti 2'!$L$10*10^-3),'DATI nascosti 2'!$L$14*'DATI nascosti 2'!$P$12,IF(D247&gt;=(-'DATI nascosti 2'!$L$10*10^-3),'DATI nascosti 2'!$L$16*D247*'DATI nascosti 2'!$P$12,-'DATI nascosti 2'!$L$14*'DATI nascosti 2'!$P$12))</f>
        <v>-614659.43222408998</v>
      </c>
      <c r="L247" s="71">
        <f>IF(F247&lt;'DATI nascosti 2'!$C$8,( -'DATI nascosti 2'!$H$16*'DATI nascosti 2'!$C$6*I247*'DATI nascosti 2'!$H$10*F247),( -'DATI nascosti 2'!$H$16*'DATI nascosti 2'!$C$6*I247*'DATI nascosti 2'!$H$10*'DATI nascosti 2'!$C$8))</f>
        <v>-3993325.300317456</v>
      </c>
      <c r="M247" s="71">
        <f>IF(C247&gt;=('DATI nascosti 2'!$L$10*10^-3),'DATI nascosti 2'!$L$14*'DATI nascosti 2'!$P$11,IF(C247&gt;=(-'DATI nascosti 2'!$L$10*10^-3),'DATI nascosti 2'!$P$11*'DATI nascosti 2'!$L$16*C247,-'DATI nascosti 2'!$L$14*'DATI nascosti 2'!$P$11))</f>
        <v>-206940.82043016897</v>
      </c>
      <c r="N247" s="71">
        <f t="shared" si="11"/>
        <v>-4814925.5529717151</v>
      </c>
      <c r="O247" s="71">
        <f>IF(F247&lt;='DATI nascosti 2'!$C$8,-L247*('DATI nascosti 2'!$C$8/2-(J247*F247))-K247*('DATI nascosti 2'!$C$13/2)+M247*('DATI nascosti 2'!$C$13/2),-L247*('DATI nascosti 2'!$C$8/2-(J247*'DATI nascosti 2'!$C$8))-K247*('DATI nascosti 2'!$C$13/2)+M247*('DATI nascosti 2'!$C$13/2))</f>
        <v>329977896.50418478</v>
      </c>
      <c r="P247" s="69">
        <f>-'T2'!N247/10^3</f>
        <v>4814.9255529717148</v>
      </c>
      <c r="Q247" s="69">
        <f>'T2'!O247/10^6</f>
        <v>329.9778965041848</v>
      </c>
      <c r="R247" s="72">
        <f>-N247/('DATI nascosti 2'!$C$6*'DATI nascosti 2'!$C$13*'DATI nascosti 2'!$H$10*'DATI nascosti 2'!$H$16)</f>
        <v>1.1586183384137587</v>
      </c>
      <c r="S247" s="72">
        <f>O247/('DATI nascosti 2'!$H$16*'DATI nascosti 2'!$C$6*'DATI nascosti 2'!$C$13^2*'DATI nascosti 2'!$H$10)</f>
        <v>6.8746989874077832E-2</v>
      </c>
      <c r="T247" s="70">
        <f t="shared" si="12"/>
        <v>-68.532294606409096</v>
      </c>
      <c r="U247" s="67" t="str">
        <f>IF(T247&gt;=0, IF(T247&lt;='DATI nascosti 2'!$C$8/6, "SI", "NO"),IF(T247&gt; -'DATI nascosti 2'!$C$8/6, "SI", "NO"))</f>
        <v>SI</v>
      </c>
      <c r="V247" s="67" t="str">
        <f>IF(Foglio3!G248&lt;1,IF(Foglio3!G248&gt;-1,"ROTTURA BILANCIATA",""),"")</f>
        <v/>
      </c>
    </row>
    <row r="248" spans="1:22" ht="18.75" x14ac:dyDescent="0.25">
      <c r="A248" s="20"/>
      <c r="B248" s="68">
        <f t="shared" si="16"/>
        <v>-3.0000000000000009E-3</v>
      </c>
      <c r="C248" s="68">
        <f>(F248-'DATI nascosti 2'!$C$13)/(F248-'DATI nascosti 2'!$C$8+('DATI nascosti 2'!$H$14*10^-3)*'DATI nascosti 2'!$C$8/('DATI nascosti 2'!$H$12*10^-3))*('DATI nascosti 2'!$H$14*10^-3)</f>
        <v>-7.5416666666666536E-4</v>
      </c>
      <c r="D248" s="68">
        <f>(F248-'DATI nascosti 2'!$C$10)/(F248-'DATI nascosti 2'!$C$8+('DATI nascosti 2'!$H$14*10^-3)*'DATI nascosti 2'!$C$8/('DATI nascosti 2'!$H$12*10^-3))*('DATI nascosti 2'!$H$14*10^-3)</f>
        <v>-2.912500000000001E-3</v>
      </c>
      <c r="E248" s="68">
        <f>(F248-'DATI nascosti 2'!$C$8)/(F248-'DATI nascosti 2'!$C$8+('DATI nascosti 2'!$H$14*10^-3)*'DATI nascosti 2'!$C$8/('DATI nascosti 2'!$H$12*10^-3))*('DATI nascosti 2'!$H$14*10^-3)</f>
        <v>-6.6666666666666523E-4</v>
      </c>
      <c r="F248" s="69">
        <f>('DATI nascosti 2'!$C$8*('DATI nascosti 2'!$H$14*10^-3)*B248/(('DATI nascosti 2'!$H$14*10^-3)-B248))*(1/('DATI nascosti 2'!$H$12*10^-3)-1/('DATI nascosti 2'!$H$14*10^-3))</f>
        <v>1542.8571428571418</v>
      </c>
      <c r="G248" s="70">
        <f>IF(E248&gt;0,$G$239,(IF(E248&lt;('DATI nascosti 2'!$H$14*10^-3),'DATI nascosti 2'!$H$10*(-'DATI nascosti 2'!$H$12), $G$239-((2*'DATI nascosti 2'!$H$10/(-'DATI nascosti 2'!$H$14)*((-E248*10^3)^2)/2)-('DATI nascosti 2'!$H$10/(-'DATI nascosti 2'!$H$14)^2*(-E248*10^3)^3/3))+(-E248*10^3*'DATI nascosti 2'!$H$10))))</f>
        <v>46.597839506172789</v>
      </c>
      <c r="H248" s="70">
        <f>IF(E248&gt;0,H247,(IF(E248&lt;('DATI nascosti 2'!$H$14*10^-3),'DATI nascosti 2'!$H$10/2*(-'DATI nascosti 2'!$H$12)^2,$H$239-((2*'DATI nascosti 2'!$H$10/(-'DATI nascosti 2'!$H$14)*((-E248*10^3)^3)/3)-('DATI nascosti 2'!$H$10/(-'DATI nascosti 2'!$H$14)^2*(-E248*10^3)^4/4))+'DATI nascosti 2'!$H$10/2*((-E248*10^3)^2))))</f>
        <v>83.636589506172697</v>
      </c>
      <c r="I248" s="70">
        <f>G248/('DATI nascosti 2'!$H$10*(-'DATI nascosti 2'!$H$12))</f>
        <v>0.94356261022927601</v>
      </c>
      <c r="J248" s="70">
        <f>1-(H248/G248)/(-'DATI nascosti 2'!$H$12)</f>
        <v>0.48718291054739682</v>
      </c>
      <c r="K248" s="71">
        <f>IF(D248&gt;=('DATI nascosti 2'!$L$10*10^-3),'DATI nascosti 2'!$L$14*'DATI nascosti 2'!$P$12,IF(D248&gt;=(-'DATI nascosti 2'!$L$10*10^-3),'DATI nascosti 2'!$L$16*D248*'DATI nascosti 2'!$P$12,-'DATI nascosti 2'!$L$14*'DATI nascosti 2'!$P$12))</f>
        <v>-614659.43222408998</v>
      </c>
      <c r="L248" s="71">
        <f>IF(F248&lt;'DATI nascosti 2'!$C$8,( -'DATI nascosti 2'!$H$16*'DATI nascosti 2'!$C$6*I248*'DATI nascosti 2'!$H$10*F248),( -'DATI nascosti 2'!$H$16*'DATI nascosti 2'!$C$6*I248*'DATI nascosti 2'!$H$10*'DATI nascosti 2'!$C$8))</f>
        <v>-4073982.5396825355</v>
      </c>
      <c r="M248" s="71">
        <f>IF(C248&gt;=('DATI nascosti 2'!$L$10*10^-3),'DATI nascosti 2'!$L$14*'DATI nascosti 2'!$P$11,IF(C248&gt;=(-'DATI nascosti 2'!$L$10*10^-3),'DATI nascosti 2'!$P$11*'DATI nascosti 2'!$L$16*C248,-'DATI nascosti 2'!$L$14*'DATI nascosti 2'!$P$11))</f>
        <v>-247890.72467147969</v>
      </c>
      <c r="N248" s="71">
        <f t="shared" si="11"/>
        <v>-4936532.696578105</v>
      </c>
      <c r="O248" s="71">
        <f>IF(F248&lt;='DATI nascosti 2'!$C$8,-L248*('DATI nascosti 2'!$C$8/2-(J248*F248))-K248*('DATI nascosti 2'!$C$13/2)+M248*('DATI nascosti 2'!$C$13/2),-L248*('DATI nascosti 2'!$C$8/2-(J248*'DATI nascosti 2'!$C$8))-K248*('DATI nascosti 2'!$C$13/2)+M248*('DATI nascosti 2'!$C$13/2))</f>
        <v>274468846.9789778</v>
      </c>
      <c r="P248" s="69">
        <f>-'T2'!N248/10^3</f>
        <v>4936.5326965781051</v>
      </c>
      <c r="Q248" s="69">
        <f>'T2'!O248/10^6</f>
        <v>274.46884697897781</v>
      </c>
      <c r="R248" s="72">
        <f>-N248/('DATI nascosti 2'!$C$6*'DATI nascosti 2'!$C$13*'DATI nascosti 2'!$H$10*'DATI nascosti 2'!$H$16)</f>
        <v>1.1878807361630903</v>
      </c>
      <c r="S248" s="72">
        <f>O248/('DATI nascosti 2'!$H$16*'DATI nascosti 2'!$C$6*'DATI nascosti 2'!$C$13^2*'DATI nascosti 2'!$H$10)</f>
        <v>5.7182336283467729E-2</v>
      </c>
      <c r="T248" s="70">
        <f t="shared" si="12"/>
        <v>-55.599519713347291</v>
      </c>
      <c r="U248" s="67" t="str">
        <f>IF(T248&gt;=0, IF(T248&lt;='DATI nascosti 2'!$C$8/6, "SI", "NO"),IF(T248&gt; -'DATI nascosti 2'!$C$8/6, "SI", "NO"))</f>
        <v>SI</v>
      </c>
      <c r="V248" s="67" t="str">
        <f>IF(Foglio3!G249&lt;1,IF(Foglio3!G249&gt;-1,"ROTTURA BILANCIATA",""),"")</f>
        <v/>
      </c>
    </row>
    <row r="249" spans="1:22" ht="18.75" x14ac:dyDescent="0.25">
      <c r="A249" s="20"/>
      <c r="B249" s="68">
        <f t="shared" si="16"/>
        <v>-2.9000000000000011E-3</v>
      </c>
      <c r="C249" s="68">
        <f>(F249-'DATI nascosti 2'!$C$13)/(F249-'DATI nascosti 2'!$C$8+('DATI nascosti 2'!$H$14*10^-3)*'DATI nascosti 2'!$C$8/('DATI nascosti 2'!$H$12*10^-3))*('DATI nascosti 2'!$H$14*10^-3)</f>
        <v>-8.7874999999999878E-4</v>
      </c>
      <c r="D249" s="68">
        <f>(F249-'DATI nascosti 2'!$C$10)/(F249-'DATI nascosti 2'!$C$8+('DATI nascosti 2'!$H$14*10^-3)*'DATI nascosti 2'!$C$8/('DATI nascosti 2'!$H$12*10^-3))*('DATI nascosti 2'!$H$14*10^-3)</f>
        <v>-2.8212500000000013E-3</v>
      </c>
      <c r="E249" s="68">
        <f>(F249-'DATI nascosti 2'!$C$8)/(F249-'DATI nascosti 2'!$C$8+('DATI nascosti 2'!$H$14*10^-3)*'DATI nascosti 2'!$C$8/('DATI nascosti 2'!$H$12*10^-3))*('DATI nascosti 2'!$H$14*10^-3)</f>
        <v>-7.9999999999999863E-4</v>
      </c>
      <c r="F249" s="69">
        <f>('DATI nascosti 2'!$C$8*('DATI nascosti 2'!$H$14*10^-3)*B249/(('DATI nascosti 2'!$H$14*10^-3)-B249))*(1/('DATI nascosti 2'!$H$12*10^-3)-1/('DATI nascosti 2'!$H$14*10^-3))</f>
        <v>1657.1428571428557</v>
      </c>
      <c r="G249" s="70">
        <f>IF(E249&gt;0,$G$239,(IF(E249&lt;('DATI nascosti 2'!$H$14*10^-3),'DATI nascosti 2'!$H$10*(-'DATI nascosti 2'!$H$12), $G$239-((2*'DATI nascosti 2'!$H$10/(-'DATI nascosti 2'!$H$14)*((-E249*10^3)^2)/2)-('DATI nascosti 2'!$H$10/(-'DATI nascosti 2'!$H$14)^2*(-E249*10^3)^3/3))+(-E249*10^3*'DATI nascosti 2'!$H$10))))</f>
        <v>47.35315999999996</v>
      </c>
      <c r="H249" s="70">
        <f>IF(E249&gt;0,H248,(IF(E249&lt;('DATI nascosti 2'!$H$14*10^-3),'DATI nascosti 2'!$H$10/2*(-'DATI nascosti 2'!$H$12)^2,$H$239-((2*'DATI nascosti 2'!$H$10/(-'DATI nascosti 2'!$H$14)*((-E249*10^3)^3)/3)-('DATI nascosti 2'!$H$10/(-'DATI nascosti 2'!$H$14)^2*(-E249*10^3)^4/4))+'DATI nascosti 2'!$H$10/2*((-E249*10^3)^2))))</f>
        <v>84.188725999999861</v>
      </c>
      <c r="I249" s="70">
        <f>G249/('DATI nascosti 2'!$H$10*(-'DATI nascosti 2'!$H$12))</f>
        <v>0.95885714285714219</v>
      </c>
      <c r="J249" s="70">
        <f>1-(H249/G249)/(-'DATI nascosti 2'!$H$12)</f>
        <v>0.49203132981440534</v>
      </c>
      <c r="K249" s="71">
        <f>IF(D249&gt;=('DATI nascosti 2'!$L$10*10^-3),'DATI nascosti 2'!$L$14*'DATI nascosti 2'!$P$12,IF(D249&gt;=(-'DATI nascosti 2'!$L$10*10^-3),'DATI nascosti 2'!$L$16*D249*'DATI nascosti 2'!$P$12,-'DATI nascosti 2'!$L$14*'DATI nascosti 2'!$P$12))</f>
        <v>-614659.43222408998</v>
      </c>
      <c r="L249" s="71">
        <f>IF(F249&lt;'DATI nascosti 2'!$C$8,( -'DATI nascosti 2'!$H$16*'DATI nascosti 2'!$C$6*I249*'DATI nascosti 2'!$H$10*F249),( -'DATI nascosti 2'!$H$16*'DATI nascosti 2'!$C$6*I249*'DATI nascosti 2'!$H$10*'DATI nascosti 2'!$C$8))</f>
        <v>-4140019.1314285682</v>
      </c>
      <c r="M249" s="71">
        <f>IF(C249&gt;=('DATI nascosti 2'!$L$10*10^-3),'DATI nascosti 2'!$L$14*'DATI nascosti 2'!$P$11,IF(C249&gt;=(-'DATI nascosti 2'!$L$10*10^-3),'DATI nascosti 2'!$P$11*'DATI nascosti 2'!$L$16*C249,-'DATI nascosti 2'!$L$14*'DATI nascosti 2'!$P$11))</f>
        <v>-288840.6289127905</v>
      </c>
      <c r="N249" s="71">
        <f t="shared" si="11"/>
        <v>-5043519.1925654486</v>
      </c>
      <c r="O249" s="71">
        <f>IF(F249&lt;='DATI nascosti 2'!$C$8,-L249*('DATI nascosti 2'!$C$8/2-(J249*F249))-K249*('DATI nascosti 2'!$C$13/2)+M249*('DATI nascosti 2'!$C$13/2),-L249*('DATI nascosti 2'!$C$8/2-(J249*'DATI nascosti 2'!$C$8))-K249*('DATI nascosti 2'!$C$13/2)+M249*('DATI nascosti 2'!$C$13/2))</f>
        <v>227748895.33676285</v>
      </c>
      <c r="P249" s="69">
        <f>-'T2'!N249/10^3</f>
        <v>5043.519192565449</v>
      </c>
      <c r="Q249" s="69">
        <f>'T2'!O249/10^6</f>
        <v>227.74889533676284</v>
      </c>
      <c r="R249" s="72">
        <f>-N249/('DATI nascosti 2'!$C$6*'DATI nascosti 2'!$C$13*'DATI nascosti 2'!$H$10*'DATI nascosti 2'!$H$16)</f>
        <v>1.2136249589656758</v>
      </c>
      <c r="S249" s="72">
        <f>O249/('DATI nascosti 2'!$H$16*'DATI nascosti 2'!$C$6*'DATI nascosti 2'!$C$13^2*'DATI nascosti 2'!$H$10)</f>
        <v>4.7448787229147887E-2</v>
      </c>
      <c r="T249" s="70">
        <f t="shared" si="12"/>
        <v>-45.156742076541114</v>
      </c>
      <c r="U249" s="67" t="str">
        <f>IF(T249&gt;=0, IF(T249&lt;='DATI nascosti 2'!$C$8/6, "SI", "NO"),IF(T249&gt; -'DATI nascosti 2'!$C$8/6, "SI", "NO"))</f>
        <v>SI</v>
      </c>
      <c r="V249" s="67" t="str">
        <f>IF(Foglio3!G250&lt;1,IF(Foglio3!G250&gt;-1,"ROTTURA BILANCIATA",""),"")</f>
        <v/>
      </c>
    </row>
    <row r="250" spans="1:22" ht="18.75" x14ac:dyDescent="0.25">
      <c r="A250" s="20"/>
      <c r="B250" s="68">
        <f t="shared" si="16"/>
        <v>-2.8000000000000013E-3</v>
      </c>
      <c r="C250" s="68">
        <f>(F250-'DATI nascosti 2'!$C$13)/(F250-'DATI nascosti 2'!$C$8+('DATI nascosti 2'!$H$14*10^-3)*'DATI nascosti 2'!$C$8/('DATI nascosti 2'!$H$12*10^-3))*('DATI nascosti 2'!$H$14*10^-3)</f>
        <v>-1.0033333333333318E-3</v>
      </c>
      <c r="D250" s="68">
        <f>(F250-'DATI nascosti 2'!$C$10)/(F250-'DATI nascosti 2'!$C$8+('DATI nascosti 2'!$H$14*10^-3)*'DATI nascosti 2'!$C$8/('DATI nascosti 2'!$H$12*10^-3))*('DATI nascosti 2'!$H$14*10^-3)</f>
        <v>-2.7300000000000011E-3</v>
      </c>
      <c r="E250" s="68">
        <f>(F250-'DATI nascosti 2'!$C$8)/(F250-'DATI nascosti 2'!$C$8+('DATI nascosti 2'!$H$14*10^-3)*'DATI nascosti 2'!$C$8/('DATI nascosti 2'!$H$12*10^-3))*('DATI nascosti 2'!$H$14*10^-3)</f>
        <v>-9.3333333333333181E-4</v>
      </c>
      <c r="F250" s="69">
        <f>('DATI nascosti 2'!$C$8*('DATI nascosti 2'!$H$14*10^-3)*B250/(('DATI nascosti 2'!$H$14*10^-3)-B250))*(1/('DATI nascosti 2'!$H$12*10^-3)-1/('DATI nascosti 2'!$H$14*10^-3))</f>
        <v>1799.9999999999982</v>
      </c>
      <c r="G250" s="70">
        <f>IF(E250&gt;0,$G$239,(IF(E250&lt;('DATI nascosti 2'!$H$14*10^-3),'DATI nascosti 2'!$H$10*(-'DATI nascosti 2'!$H$12), $G$239-((2*'DATI nascosti 2'!$H$10/(-'DATI nascosti 2'!$H$14)*((-E250*10^3)^2)/2)-('DATI nascosti 2'!$H$10/(-'DATI nascosti 2'!$H$14)^2*(-E250*10^3)^3/3))+(-E250*10^3*'DATI nascosti 2'!$H$10))))</f>
        <v>47.957973827160444</v>
      </c>
      <c r="H250" s="70">
        <f>IF(E250&gt;0,H249,(IF(E250&lt;('DATI nascosti 2'!$H$14*10^-3),'DATI nascosti 2'!$H$10/2*(-'DATI nascosti 2'!$H$12)^2,$H$239-((2*'DATI nascosti 2'!$H$10/(-'DATI nascosti 2'!$H$14)*((-E250*10^3)^3)/3)-('DATI nascosti 2'!$H$10/(-'DATI nascosti 2'!$H$14)^2*(-E250*10^3)^4/4))+'DATI nascosti 2'!$H$10/2*((-E250*10^3)^2))))</f>
        <v>84.711318592592463</v>
      </c>
      <c r="I250" s="70">
        <f>G250/('DATI nascosti 2'!$H$10*(-'DATI nascosti 2'!$H$12))</f>
        <v>0.97110405643738895</v>
      </c>
      <c r="J250" s="70">
        <f>1-(H250/G250)/(-'DATI nascosti 2'!$H$12)</f>
        <v>0.49532409415740108</v>
      </c>
      <c r="K250" s="71">
        <f>IF(D250&gt;=('DATI nascosti 2'!$L$10*10^-3),'DATI nascosti 2'!$L$14*'DATI nascosti 2'!$P$12,IF(D250&gt;=(-'DATI nascosti 2'!$L$10*10^-3),'DATI nascosti 2'!$L$16*D250*'DATI nascosti 2'!$P$12,-'DATI nascosti 2'!$L$14*'DATI nascosti 2'!$P$12))</f>
        <v>-614659.43222408998</v>
      </c>
      <c r="L250" s="71">
        <f>IF(F250&lt;'DATI nascosti 2'!$C$8,( -'DATI nascosti 2'!$H$16*'DATI nascosti 2'!$C$6*I250*'DATI nascosti 2'!$H$10*F250),( -'DATI nascosti 2'!$H$16*'DATI nascosti 2'!$C$6*I250*'DATI nascosti 2'!$H$10*'DATI nascosti 2'!$C$8))</f>
        <v>-4192897.1403174563</v>
      </c>
      <c r="M250" s="71">
        <f>IF(C250&gt;=('DATI nascosti 2'!$L$10*10^-3),'DATI nascosti 2'!$L$14*'DATI nascosti 2'!$P$11,IF(C250&gt;=(-'DATI nascosti 2'!$L$10*10^-3),'DATI nascosti 2'!$P$11*'DATI nascosti 2'!$L$16*C250,-'DATI nascosti 2'!$L$14*'DATI nascosti 2'!$P$11))</f>
        <v>-329790.53315410123</v>
      </c>
      <c r="N250" s="71">
        <f t="shared" si="11"/>
        <v>-5137347.1056956472</v>
      </c>
      <c r="O250" s="71">
        <f>IF(F250&lt;='DATI nascosti 2'!$C$8,-L250*('DATI nascosti 2'!$C$8/2-(J250*F250))-K250*('DATI nascosti 2'!$C$13/2)+M250*('DATI nascosti 2'!$C$13/2),-L250*('DATI nascosti 2'!$C$8/2-(J250*'DATI nascosti 2'!$C$8))-K250*('DATI nascosti 2'!$C$13/2)+M250*('DATI nascosti 2'!$C$13/2))</f>
        <v>188038499.89591047</v>
      </c>
      <c r="P250" s="69">
        <f>-'T2'!N250/10^3</f>
        <v>5137.3471056956469</v>
      </c>
      <c r="Q250" s="69">
        <f>'T2'!O250/10^6</f>
        <v>188.03849989591046</v>
      </c>
      <c r="R250" s="72">
        <f>-N250/('DATI nascosti 2'!$C$6*'DATI nascosti 2'!$C$13*'DATI nascosti 2'!$H$10*'DATI nascosti 2'!$H$16)</f>
        <v>1.2362028243161891</v>
      </c>
      <c r="S250" s="72">
        <f>O250/('DATI nascosti 2'!$H$16*'DATI nascosti 2'!$C$6*'DATI nascosti 2'!$C$13^2*'DATI nascosti 2'!$H$10)</f>
        <v>3.9175596260330126E-2</v>
      </c>
      <c r="T250" s="70">
        <f t="shared" si="12"/>
        <v>-36.602257162541527</v>
      </c>
      <c r="U250" s="67" t="str">
        <f>IF(T250&gt;=0, IF(T250&lt;='DATI nascosti 2'!$C$8/6, "SI", "NO"),IF(T250&gt; -'DATI nascosti 2'!$C$8/6, "SI", "NO"))</f>
        <v>SI</v>
      </c>
      <c r="V250" s="67" t="str">
        <f>IF(Foglio3!G251&lt;1,IF(Foglio3!G251&gt;-1,"ROTTURA BILANCIATA",""),"")</f>
        <v/>
      </c>
    </row>
    <row r="251" spans="1:22" ht="18.75" x14ac:dyDescent="0.25">
      <c r="A251" s="20"/>
      <c r="B251" s="68">
        <f t="shared" si="16"/>
        <v>-2.7000000000000014E-3</v>
      </c>
      <c r="C251" s="68">
        <f>(F251-'DATI nascosti 2'!$C$13)/(F251-'DATI nascosti 2'!$C$8+('DATI nascosti 2'!$H$14*10^-3)*'DATI nascosti 2'!$C$8/('DATI nascosti 2'!$H$12*10^-3))*('DATI nascosti 2'!$H$14*10^-3)</f>
        <v>-1.1279166666666651E-3</v>
      </c>
      <c r="D251" s="68">
        <f>(F251-'DATI nascosti 2'!$C$10)/(F251-'DATI nascosti 2'!$C$8+('DATI nascosti 2'!$H$14*10^-3)*'DATI nascosti 2'!$C$8/('DATI nascosti 2'!$H$12*10^-3))*('DATI nascosti 2'!$H$14*10^-3)</f>
        <v>-2.6387500000000018E-3</v>
      </c>
      <c r="E251" s="68">
        <f>(F251-'DATI nascosti 2'!$C$8)/(F251-'DATI nascosti 2'!$C$8+('DATI nascosti 2'!$H$14*10^-3)*'DATI nascosti 2'!$C$8/('DATI nascosti 2'!$H$12*10^-3))*('DATI nascosti 2'!$H$14*10^-3)</f>
        <v>-1.066666666666665E-3</v>
      </c>
      <c r="F251" s="69">
        <f>('DATI nascosti 2'!$C$8*('DATI nascosti 2'!$H$14*10^-3)*B251/(('DATI nascosti 2'!$H$14*10^-3)-B251))*(1/('DATI nascosti 2'!$H$12*10^-3)-1/('DATI nascosti 2'!$H$14*10^-3))</f>
        <v>1983.6734693877522</v>
      </c>
      <c r="G251" s="70">
        <f>IF(E251&gt;0,$G$239,(IF(E251&lt;('DATI nascosti 2'!$H$14*10^-3),'DATI nascosti 2'!$H$10*(-'DATI nascosti 2'!$H$12), $G$239-((2*'DATI nascosti 2'!$H$10/(-'DATI nascosti 2'!$H$14)*((-E251*10^3)^2)/2)-('DATI nascosti 2'!$H$10/(-'DATI nascosti 2'!$H$14)^2*(-E251*10^3)^3/3))+(-E251*10^3*'DATI nascosti 2'!$H$10))))</f>
        <v>48.429003950617243</v>
      </c>
      <c r="H251" s="70">
        <f>IF(E251&gt;0,H250,(IF(E251&lt;('DATI nascosti 2'!$H$14*10^-3),'DATI nascosti 2'!$H$10/2*(-'DATI nascosti 2'!$H$12)^2,$H$239-((2*'DATI nascosti 2'!$H$10/(-'DATI nascosti 2'!$H$14)*((-E251*10^3)^3)/3)-('DATI nascosti 2'!$H$10/(-'DATI nascosti 2'!$H$14)^2*(-E251*10^3)^4/4))+'DATI nascosti 2'!$H$10/2*((-E251*10^3)^2))))</f>
        <v>85.180955135802336</v>
      </c>
      <c r="I251" s="70">
        <f>G251/('DATI nascosti 2'!$H$10*(-'DATI nascosti 2'!$H$12))</f>
        <v>0.98064197530864139</v>
      </c>
      <c r="J251" s="70">
        <f>1-(H251/G251)/(-'DATI nascosti 2'!$H$12)</f>
        <v>0.49746198005841513</v>
      </c>
      <c r="K251" s="71">
        <f>IF(D251&gt;=('DATI nascosti 2'!$L$10*10^-3),'DATI nascosti 2'!$L$14*'DATI nascosti 2'!$P$12,IF(D251&gt;=(-'DATI nascosti 2'!$L$10*10^-3),'DATI nascosti 2'!$L$16*D251*'DATI nascosti 2'!$P$12,-'DATI nascosti 2'!$L$14*'DATI nascosti 2'!$P$12))</f>
        <v>-614659.43222408998</v>
      </c>
      <c r="L251" s="71">
        <f>IF(F251&lt;'DATI nascosti 2'!$C$8,( -'DATI nascosti 2'!$H$16*'DATI nascosti 2'!$C$6*I251*'DATI nascosti 2'!$H$10*F251),( -'DATI nascosti 2'!$H$16*'DATI nascosti 2'!$C$6*I251*'DATI nascosti 2'!$H$10*'DATI nascosti 2'!$C$8))</f>
        <v>-4234078.6311111078</v>
      </c>
      <c r="M251" s="71">
        <f>IF(C251&gt;=('DATI nascosti 2'!$L$10*10^-3),'DATI nascosti 2'!$L$14*'DATI nascosti 2'!$P$11,IF(C251&gt;=(-'DATI nascosti 2'!$L$10*10^-3),'DATI nascosti 2'!$P$11*'DATI nascosti 2'!$L$16*C251,-'DATI nascosti 2'!$L$14*'DATI nascosti 2'!$P$11))</f>
        <v>-370740.43739541201</v>
      </c>
      <c r="N251" s="71">
        <f t="shared" si="11"/>
        <v>-5219478.5007306095</v>
      </c>
      <c r="O251" s="71">
        <f>IF(F251&lt;='DATI nascosti 2'!$C$8,-L251*('DATI nascosti 2'!$C$8/2-(J251*F251))-K251*('DATI nascosti 2'!$C$13/2)+M251*('DATI nascosti 2'!$C$13/2),-L251*('DATI nascosti 2'!$C$8/2-(J251*'DATI nascosti 2'!$C$8))-K251*('DATI nascosti 2'!$C$13/2)+M251*('DATI nascosti 2'!$C$13/2))</f>
        <v>153758630.71355942</v>
      </c>
      <c r="P251" s="69">
        <f>-'T2'!N251/10^3</f>
        <v>5219.4785007306091</v>
      </c>
      <c r="Q251" s="69">
        <f>'T2'!O251/10^6</f>
        <v>153.75863071355943</v>
      </c>
      <c r="R251" s="72">
        <f>-N251/('DATI nascosti 2'!$C$6*'DATI nascosti 2'!$C$13*'DATI nascosti 2'!$H$10*'DATI nascosti 2'!$H$16)</f>
        <v>1.2559661497093058</v>
      </c>
      <c r="S251" s="72">
        <f>O251/('DATI nascosti 2'!$H$16*'DATI nascosti 2'!$C$6*'DATI nascosti 2'!$C$13^2*'DATI nascosti 2'!$H$10)</f>
        <v>3.203379117420093E-2</v>
      </c>
      <c r="T251" s="70">
        <f t="shared" si="12"/>
        <v>-29.458619418019765</v>
      </c>
      <c r="U251" s="67" t="str">
        <f>IF(T251&gt;=0, IF(T251&lt;='DATI nascosti 2'!$C$8/6, "SI", "NO"),IF(T251&gt; -'DATI nascosti 2'!$C$8/6, "SI", "NO"))</f>
        <v>SI</v>
      </c>
      <c r="V251" s="67" t="str">
        <f>IF(Foglio3!G252&lt;1,IF(Foglio3!G252&gt;-1,"ROTTURA BILANCIATA",""),"")</f>
        <v/>
      </c>
    </row>
    <row r="252" spans="1:22" ht="18.75" x14ac:dyDescent="0.25">
      <c r="A252" s="20"/>
      <c r="B252" s="68">
        <f t="shared" si="16"/>
        <v>-2.6000000000000016E-3</v>
      </c>
      <c r="C252" s="68">
        <f>(F252-'DATI nascosti 2'!$C$13)/(F252-'DATI nascosti 2'!$C$8+('DATI nascosti 2'!$H$14*10^-3)*'DATI nascosti 2'!$C$8/('DATI nascosti 2'!$H$12*10^-3))*('DATI nascosti 2'!$H$14*10^-3)</f>
        <v>-1.252499999999998E-3</v>
      </c>
      <c r="D252" s="68">
        <f>(F252-'DATI nascosti 2'!$C$10)/(F252-'DATI nascosti 2'!$C$8+('DATI nascosti 2'!$H$14*10^-3)*'DATI nascosti 2'!$C$8/('DATI nascosti 2'!$H$12*10^-3))*('DATI nascosti 2'!$H$14*10^-3)</f>
        <v>-2.5475000000000012E-3</v>
      </c>
      <c r="E252" s="68">
        <f>(F252-'DATI nascosti 2'!$C$8)/(F252-'DATI nascosti 2'!$C$8+('DATI nascosti 2'!$H$14*10^-3)*'DATI nascosti 2'!$C$8/('DATI nascosti 2'!$H$12*10^-3))*('DATI nascosti 2'!$H$14*10^-3)</f>
        <v>-1.1999999999999977E-3</v>
      </c>
      <c r="F252" s="69">
        <f>('DATI nascosti 2'!$C$8*('DATI nascosti 2'!$H$14*10^-3)*B252/(('DATI nascosti 2'!$H$14*10^-3)-B252))*(1/('DATI nascosti 2'!$H$12*10^-3)-1/('DATI nascosti 2'!$H$14*10^-3))</f>
        <v>2228.5714285714239</v>
      </c>
      <c r="G252" s="70">
        <f>IF(E252&gt;0,$G$239,(IF(E252&lt;('DATI nascosti 2'!$H$14*10^-3),'DATI nascosti 2'!$H$10*(-'DATI nascosti 2'!$H$12), $G$239-((2*'DATI nascosti 2'!$H$10/(-'DATI nascosti 2'!$H$14)*((-E252*10^3)^2)/2)-('DATI nascosti 2'!$H$10/(-'DATI nascosti 2'!$H$14)^2*(-E252*10^3)^3/3))+(-E252*10^3*'DATI nascosti 2'!$H$10))))</f>
        <v>48.782973333333288</v>
      </c>
      <c r="H252" s="70">
        <f>IF(E252&gt;0,H251,(IF(E252&lt;('DATI nascosti 2'!$H$14*10^-3),'DATI nascosti 2'!$H$10/2*(-'DATI nascosti 2'!$H$12)^2,$H$239-((2*'DATI nascosti 2'!$H$10/(-'DATI nascosti 2'!$H$14)*((-E252*10^3)^3)/3)-('DATI nascosti 2'!$H$10/(-'DATI nascosti 2'!$H$14)^2*(-E252*10^3)^4/4))+'DATI nascosti 2'!$H$10/2*((-E252*10^3)^2))))</f>
        <v>85.580912666666521</v>
      </c>
      <c r="I252" s="70">
        <f>G252/('DATI nascosti 2'!$H$10*(-'DATI nascosti 2'!$H$12))</f>
        <v>0.98780952380952303</v>
      </c>
      <c r="J252" s="70">
        <f>1-(H252/G252)/(-'DATI nascosti 2'!$H$12)</f>
        <v>0.4987659082144239</v>
      </c>
      <c r="K252" s="71">
        <f>IF(D252&gt;=('DATI nascosti 2'!$L$10*10^-3),'DATI nascosti 2'!$L$14*'DATI nascosti 2'!$P$12,IF(D252&gt;=(-'DATI nascosti 2'!$L$10*10^-3),'DATI nascosti 2'!$L$16*D252*'DATI nascosti 2'!$P$12,-'DATI nascosti 2'!$L$14*'DATI nascosti 2'!$P$12))</f>
        <v>-614659.43222408998</v>
      </c>
      <c r="L252" s="71">
        <f>IF(F252&lt;'DATI nascosti 2'!$C$8,( -'DATI nascosti 2'!$H$16*'DATI nascosti 2'!$C$6*I252*'DATI nascosti 2'!$H$10*F252),( -'DATI nascosti 2'!$H$16*'DATI nascosti 2'!$C$6*I252*'DATI nascosti 2'!$H$10*'DATI nascosti 2'!$C$8))</f>
        <v>-4265025.6685714247</v>
      </c>
      <c r="M252" s="71">
        <f>IF(C252&gt;=('DATI nascosti 2'!$L$10*10^-3),'DATI nascosti 2'!$L$14*'DATI nascosti 2'!$P$11,IF(C252&gt;=(-'DATI nascosti 2'!$L$10*10^-3),'DATI nascosti 2'!$P$11*'DATI nascosti 2'!$L$16*C252,-'DATI nascosti 2'!$L$14*'DATI nascosti 2'!$P$11))</f>
        <v>-411690.34163672267</v>
      </c>
      <c r="N252" s="71">
        <f t="shared" si="11"/>
        <v>-5291375.4424322378</v>
      </c>
      <c r="O252" s="71">
        <f>IF(F252&lt;='DATI nascosti 2'!$C$8,-L252*('DATI nascosti 2'!$C$8/2-(J252*F252))-K252*('DATI nascosti 2'!$C$13/2)+M252*('DATI nascosti 2'!$C$13/2),-L252*('DATI nascosti 2'!$C$8/2-(J252*'DATI nascosti 2'!$C$8))-K252*('DATI nascosti 2'!$C$13/2)+M252*('DATI nascosti 2'!$C$13/2))</f>
        <v>123530769.58563074</v>
      </c>
      <c r="P252" s="69">
        <f>-'T2'!N252/10^3</f>
        <v>5291.3754424322378</v>
      </c>
      <c r="Q252" s="69">
        <f>'T2'!O252/10^6</f>
        <v>123.53076958563075</v>
      </c>
      <c r="R252" s="72">
        <f>-N252/('DATI nascosti 2'!$C$6*'DATI nascosti 2'!$C$13*'DATI nascosti 2'!$H$10*'DATI nascosti 2'!$H$16)</f>
        <v>1.2732667526396997</v>
      </c>
      <c r="S252" s="72">
        <f>O252/('DATI nascosti 2'!$H$16*'DATI nascosti 2'!$C$6*'DATI nascosti 2'!$C$13^2*'DATI nascosti 2'!$H$10)</f>
        <v>2.5736174015924422E-2</v>
      </c>
      <c r="T252" s="74">
        <f t="shared" si="12"/>
        <v>-23.345682219980311</v>
      </c>
      <c r="U252" s="67" t="str">
        <f>IF(T252&gt;=0, IF(T252&lt;='DATI nascosti 2'!$C$8/6, "SI", "NO"),IF(T252&gt; -'DATI nascosti 2'!$C$8/6, "SI", "NO"))</f>
        <v>SI</v>
      </c>
      <c r="V252" s="67" t="str">
        <f>IF(Foglio3!G253&lt;1,IF(Foglio3!G253&gt;-1,"ROTTURA BILANCIATA",""),"")</f>
        <v/>
      </c>
    </row>
    <row r="253" spans="1:22" ht="18.75" x14ac:dyDescent="0.25">
      <c r="A253" s="20"/>
      <c r="B253" s="68">
        <f t="shared" si="16"/>
        <v>-2.5000000000000018E-3</v>
      </c>
      <c r="C253" s="68">
        <f>(F253-'DATI nascosti 2'!$C$13)/(F253-'DATI nascosti 2'!$C$8+('DATI nascosti 2'!$H$14*10^-3)*'DATI nascosti 2'!$C$8/('DATI nascosti 2'!$H$12*10^-3))*('DATI nascosti 2'!$H$14*10^-3)</f>
        <v>-1.3770833333333313E-3</v>
      </c>
      <c r="D253" s="68">
        <f>(F253-'DATI nascosti 2'!$C$10)/(F253-'DATI nascosti 2'!$C$8+('DATI nascosti 2'!$H$14*10^-3)*'DATI nascosti 2'!$C$8/('DATI nascosti 2'!$H$12*10^-3))*('DATI nascosti 2'!$H$14*10^-3)</f>
        <v>-2.4562500000000018E-3</v>
      </c>
      <c r="E253" s="68">
        <f>(F253-'DATI nascosti 2'!$C$8)/(F253-'DATI nascosti 2'!$C$8+('DATI nascosti 2'!$H$14*10^-3)*'DATI nascosti 2'!$C$8/('DATI nascosti 2'!$H$12*10^-3))*('DATI nascosti 2'!$H$14*10^-3)</f>
        <v>-1.3333333333333311E-3</v>
      </c>
      <c r="F253" s="69">
        <f>('DATI nascosti 2'!$C$8*('DATI nascosti 2'!$H$14*10^-3)*B253/(('DATI nascosti 2'!$H$14*10^-3)-B253))*(1/('DATI nascosti 2'!$H$12*10^-3)-1/('DATI nascosti 2'!$H$14*10^-3))</f>
        <v>2571.4285714285643</v>
      </c>
      <c r="G253" s="70">
        <f>IF(E253&gt;0,$G$239,(IF(E253&lt;('DATI nascosti 2'!$H$14*10^-3),'DATI nascosti 2'!$H$10*(-'DATI nascosti 2'!$H$12), $G$239-((2*'DATI nascosti 2'!$H$10/(-'DATI nascosti 2'!$H$14)*((-E253*10^3)^2)/2)-('DATI nascosti 2'!$H$10/(-'DATI nascosti 2'!$H$14)^2*(-E253*10^3)^3/3))+(-E253*10^3*'DATI nascosti 2'!$H$10))))</f>
        <v>49.036604938271566</v>
      </c>
      <c r="H253" s="70">
        <f>IF(E253&gt;0,H252,(IF(E253&lt;('DATI nascosti 2'!$H$14*10^-3),'DATI nascosti 2'!$H$10/2*(-'DATI nascosti 2'!$H$12)^2,$H$239-((2*'DATI nascosti 2'!$H$10/(-'DATI nascosti 2'!$H$14)*((-E253*10^3)^3)/3)-('DATI nascosti 2'!$H$10/(-'DATI nascosti 2'!$H$14)^2*(-E253*10^3)^4/4))+'DATI nascosti 2'!$H$10/2*((-E253*10^3)^2))))</f>
        <v>85.901157407407268</v>
      </c>
      <c r="I253" s="70">
        <f>G253/('DATI nascosti 2'!$H$10*(-'DATI nascosti 2'!$H$12))</f>
        <v>0.99294532627865906</v>
      </c>
      <c r="J253" s="70">
        <f>1-(H253/G253)/(-'DATI nascosti 2'!$H$12)</f>
        <v>0.49949251459020594</v>
      </c>
      <c r="K253" s="71">
        <f>IF(D253&gt;=('DATI nascosti 2'!$L$10*10^-3),'DATI nascosti 2'!$L$14*'DATI nascosti 2'!$P$12,IF(D253&gt;=(-'DATI nascosti 2'!$L$10*10^-3),'DATI nascosti 2'!$L$16*D253*'DATI nascosti 2'!$P$12,-'DATI nascosti 2'!$L$14*'DATI nascosti 2'!$P$12))</f>
        <v>-614659.43222408998</v>
      </c>
      <c r="L253" s="71">
        <f>IF(F253&lt;'DATI nascosti 2'!$C$8,( -'DATI nascosti 2'!$H$16*'DATI nascosti 2'!$C$6*I253*'DATI nascosti 2'!$H$10*F253),( -'DATI nascosti 2'!$H$16*'DATI nascosti 2'!$C$6*I253*'DATI nascosti 2'!$H$10*'DATI nascosti 2'!$C$8))</f>
        <v>-4287200.3174603144</v>
      </c>
      <c r="M253" s="71">
        <f>IF(C253&gt;=('DATI nascosti 2'!$L$10*10^-3),'DATI nascosti 2'!$L$14*'DATI nascosti 2'!$P$11,IF(C253&gt;=(-'DATI nascosti 2'!$L$10*10^-3),'DATI nascosti 2'!$P$11*'DATI nascosti 2'!$L$16*C253,-'DATI nascosti 2'!$L$14*'DATI nascosti 2'!$P$11))</f>
        <v>-452640.24587803346</v>
      </c>
      <c r="N253" s="71">
        <f t="shared" si="11"/>
        <v>-5354499.9955624379</v>
      </c>
      <c r="O253" s="71">
        <f>IF(F253&lt;='DATI nascosti 2'!$C$8,-L253*('DATI nascosti 2'!$C$8/2-(J253*F253))-K253*('DATI nascosti 2'!$C$13/2)+M253*('DATI nascosti 2'!$C$13/2),-L253*('DATI nascosti 2'!$C$8/2-(J253*'DATI nascosti 2'!$C$8))-K253*('DATI nascosti 2'!$C$13/2)+M253*('DATI nascosti 2'!$C$13/2))</f>
        <v>96176910.046818167</v>
      </c>
      <c r="P253" s="69">
        <f>-'T2'!N253/10^3</f>
        <v>5354.499995562438</v>
      </c>
      <c r="Q253" s="69">
        <f>'T2'!O253/10^6</f>
        <v>96.176910046818165</v>
      </c>
      <c r="R253" s="72">
        <f>-N253/('DATI nascosti 2'!$C$6*'DATI nascosti 2'!$C$13*'DATI nascosti 2'!$H$10*'DATI nascosti 2'!$H$16)</f>
        <v>1.2884564506020462</v>
      </c>
      <c r="S253" s="72">
        <f>O253/('DATI nascosti 2'!$H$16*'DATI nascosti 2'!$C$6*'DATI nascosti 2'!$C$13^2*'DATI nascosti 2'!$H$10)</f>
        <v>2.0037321078640341E-2</v>
      </c>
      <c r="T253" s="74">
        <f t="shared" si="12"/>
        <v>-17.961884419931859</v>
      </c>
      <c r="U253" s="67" t="str">
        <f>IF(T253&gt;=0, IF(T253&lt;='DATI nascosti 2'!$C$8/6, "SI", "NO"),IF(T253&gt; -'DATI nascosti 2'!$C$8/6, "SI", "NO"))</f>
        <v>SI</v>
      </c>
      <c r="V253" s="67" t="str">
        <f>IF(Foglio3!G254&lt;1,IF(Foglio3!G254&gt;-1,"ROTTURA BILANCIATA",""),"")</f>
        <v/>
      </c>
    </row>
    <row r="254" spans="1:22" ht="18.75" x14ac:dyDescent="0.25">
      <c r="A254" s="20"/>
      <c r="B254" s="68">
        <f t="shared" si="16"/>
        <v>-2.400000000000002E-3</v>
      </c>
      <c r="C254" s="68">
        <f>(F254-'DATI nascosti 2'!$C$13)/(F254-'DATI nascosti 2'!$C$8+('DATI nascosti 2'!$H$14*10^-3)*'DATI nascosti 2'!$C$8/('DATI nascosti 2'!$H$12*10^-3))*('DATI nascosti 2'!$H$14*10^-3)</f>
        <v>-1.5016666666666644E-3</v>
      </c>
      <c r="D254" s="68">
        <f>(F254-'DATI nascosti 2'!$C$10)/(F254-'DATI nascosti 2'!$C$8+('DATI nascosti 2'!$H$14*10^-3)*'DATI nascosti 2'!$C$8/('DATI nascosti 2'!$H$12*10^-3))*('DATI nascosti 2'!$H$14*10^-3)</f>
        <v>-2.3650000000000016E-3</v>
      </c>
      <c r="E254" s="68">
        <f>(F254-'DATI nascosti 2'!$C$8)/(F254-'DATI nascosti 2'!$C$8+('DATI nascosti 2'!$H$14*10^-3)*'DATI nascosti 2'!$C$8/('DATI nascosti 2'!$H$12*10^-3))*('DATI nascosti 2'!$H$14*10^-3)</f>
        <v>-1.4666666666666641E-3</v>
      </c>
      <c r="F254" s="69">
        <f>('DATI nascosti 2'!$C$8*('DATI nascosti 2'!$H$14*10^-3)*B254/(('DATI nascosti 2'!$H$14*10^-3)-B254))*(1/('DATI nascosti 2'!$H$12*10^-3)-1/('DATI nascosti 2'!$H$14*10^-3))</f>
        <v>3085.7142857142735</v>
      </c>
      <c r="G254" s="70">
        <f>IF(E254&gt;0,$G$239,(IF(E254&lt;('DATI nascosti 2'!$H$14*10^-3),'DATI nascosti 2'!$H$10*(-'DATI nascosti 2'!$H$12), $G$239-((2*'DATI nascosti 2'!$H$10/(-'DATI nascosti 2'!$H$14)*((-E254*10^3)^2)/2)-('DATI nascosti 2'!$H$10/(-'DATI nascosti 2'!$H$14)^2*(-E254*10^3)^3/3))+(-E254*10^3*'DATI nascosti 2'!$H$10))))</f>
        <v>49.206621728395021</v>
      </c>
      <c r="H254" s="70">
        <f>IF(E254&gt;0,H253,(IF(E254&lt;('DATI nascosti 2'!$H$14*10^-3),'DATI nascosti 2'!$H$10/2*(-'DATI nascosti 2'!$H$12)^2,$H$239-((2*'DATI nascosti 2'!$H$10/(-'DATI nascosti 2'!$H$14)*((-E254*10^3)^3)/3)-('DATI nascosti 2'!$H$10/(-'DATI nascosti 2'!$H$14)^2*(-E254*10^3)^4/4))+'DATI nascosti 2'!$H$10/2*((-E254*10^3)^2))))</f>
        <v>86.138344765431981</v>
      </c>
      <c r="I254" s="70">
        <f>G254/('DATI nascosti 2'!$H$10*(-'DATI nascosti 2'!$H$12))</f>
        <v>0.99638800705467312</v>
      </c>
      <c r="J254" s="70">
        <f>1-(H254/G254)/(-'DATI nascosti 2'!$H$12)</f>
        <v>0.4998446391400132</v>
      </c>
      <c r="K254" s="71">
        <f>IF(D254&gt;=('DATI nascosti 2'!$L$10*10^-3),'DATI nascosti 2'!$L$14*'DATI nascosti 2'!$P$12,IF(D254&gt;=(-'DATI nascosti 2'!$L$10*10^-3),'DATI nascosti 2'!$L$16*D254*'DATI nascosti 2'!$P$12,-'DATI nascosti 2'!$L$14*'DATI nascosti 2'!$P$12))</f>
        <v>-614659.43222408998</v>
      </c>
      <c r="L254" s="71">
        <f>IF(F254&lt;'DATI nascosti 2'!$C$8,( -'DATI nascosti 2'!$H$16*'DATI nascosti 2'!$C$6*I254*'DATI nascosti 2'!$H$10*F254),( -'DATI nascosti 2'!$H$16*'DATI nascosti 2'!$C$6*I254*'DATI nascosti 2'!$H$10*'DATI nascosti 2'!$C$8))</f>
        <v>-4302064.6425396791</v>
      </c>
      <c r="M254" s="71">
        <f>IF(C254&gt;=('DATI nascosti 2'!$L$10*10^-3),'DATI nascosti 2'!$L$14*'DATI nascosti 2'!$P$11,IF(C254&gt;=(-'DATI nascosti 2'!$L$10*10^-3),'DATI nascosti 2'!$P$11*'DATI nascosti 2'!$L$16*C254,-'DATI nascosti 2'!$L$14*'DATI nascosti 2'!$P$11))</f>
        <v>-493590.15011934418</v>
      </c>
      <c r="N254" s="71">
        <f t="shared" si="11"/>
        <v>-5410314.2248831131</v>
      </c>
      <c r="O254" s="71">
        <f>IF(F254&lt;='DATI nascosti 2'!$C$8,-L254*('DATI nascosti 2'!$C$8/2-(J254*F254))-K254*('DATI nascosti 2'!$C$13/2)+M254*('DATI nascosti 2'!$C$13/2),-L254*('DATI nascosti 2'!$C$8/2-(J254*'DATI nascosti 2'!$C$8))-K254*('DATI nascosti 2'!$C$13/2)+M254*('DATI nascosti 2'!$C$13/2))</f>
        <v>70719557.370591223</v>
      </c>
      <c r="P254" s="69">
        <f>-'T2'!N254/10^3</f>
        <v>5410.3142248831127</v>
      </c>
      <c r="Q254" s="69">
        <f>'T2'!O254/10^6</f>
        <v>70.719557370591218</v>
      </c>
      <c r="R254" s="72">
        <f>-N254/('DATI nascosti 2'!$C$6*'DATI nascosti 2'!$C$13*'DATI nascosti 2'!$H$10*'DATI nascosti 2'!$H$16)</f>
        <v>1.3018870610910189</v>
      </c>
      <c r="S254" s="72">
        <f>O254/('DATI nascosti 2'!$H$16*'DATI nascosti 2'!$C$6*'DATI nascosti 2'!$C$13^2*'DATI nascosti 2'!$H$10)</f>
        <v>1.4733582903464699E-2</v>
      </c>
      <c r="T254" s="74">
        <f t="shared" si="12"/>
        <v>-13.071247700427064</v>
      </c>
      <c r="U254" s="67" t="str">
        <f>IF(T254&gt;=0, IF(T254&lt;='DATI nascosti 2'!$C$8/6, "SI", "NO"),IF(T254&gt; -'DATI nascosti 2'!$C$8/6, "SI", "NO"))</f>
        <v>SI</v>
      </c>
      <c r="V254" s="67" t="str">
        <f>IF(Foglio3!G255&lt;1,IF(Foglio3!G255&gt;-1,"ROTTURA BILANCIATA",""),"")</f>
        <v/>
      </c>
    </row>
    <row r="255" spans="1:22" ht="18.75" x14ac:dyDescent="0.25">
      <c r="A255" s="20"/>
      <c r="B255" s="68">
        <f t="shared" si="16"/>
        <v>-2.3000000000000021E-3</v>
      </c>
      <c r="C255" s="68">
        <f>(F255-'DATI nascosti 2'!$C$13)/(F255-'DATI nascosti 2'!$C$8+('DATI nascosti 2'!$H$14*10^-3)*'DATI nascosti 2'!$C$8/('DATI nascosti 2'!$H$12*10^-3))*('DATI nascosti 2'!$H$14*10^-3)</f>
        <v>-1.6262499999999973E-3</v>
      </c>
      <c r="D255" s="68">
        <f>(F255-'DATI nascosti 2'!$C$10)/(F255-'DATI nascosti 2'!$C$8+('DATI nascosti 2'!$H$14*10^-3)*'DATI nascosti 2'!$C$8/('DATI nascosti 2'!$H$12*10^-3))*('DATI nascosti 2'!$H$14*10^-3)</f>
        <v>-2.2737500000000019E-3</v>
      </c>
      <c r="E255" s="68">
        <f>(F255-'DATI nascosti 2'!$C$8)/(F255-'DATI nascosti 2'!$C$8+('DATI nascosti 2'!$H$14*10^-3)*'DATI nascosti 2'!$C$8/('DATI nascosti 2'!$H$12*10^-3))*('DATI nascosti 2'!$H$14*10^-3)</f>
        <v>-1.5999999999999973E-3</v>
      </c>
      <c r="F255" s="69">
        <f>('DATI nascosti 2'!$C$8*('DATI nascosti 2'!$H$14*10^-3)*B255/(('DATI nascosti 2'!$H$14*10^-3)-B255))*(1/('DATI nascosti 2'!$H$12*10^-3)-1/('DATI nascosti 2'!$H$14*10^-3))</f>
        <v>3942.857142857119</v>
      </c>
      <c r="G255" s="70">
        <f>IF(E255&gt;0,$G$239,(IF(E255&lt;('DATI nascosti 2'!$H$14*10^-3),'DATI nascosti 2'!$H$10*(-'DATI nascosti 2'!$H$12), $G$239-((2*'DATI nascosti 2'!$H$10/(-'DATI nascosti 2'!$H$14)*((-E255*10^3)^2)/2)-('DATI nascosti 2'!$H$10/(-'DATI nascosti 2'!$H$14)^2*(-E255*10^3)^3/3))+(-E255*10^3*'DATI nascosti 2'!$H$10))))</f>
        <v>49.309746666666626</v>
      </c>
      <c r="H255" s="70">
        <f>IF(E255&gt;0,H254,(IF(E255&lt;('DATI nascosti 2'!$H$14*10^-3),'DATI nascosti 2'!$H$10/2*(-'DATI nascosti 2'!$H$12)^2,$H$239-((2*'DATI nascosti 2'!$H$10/(-'DATI nascosti 2'!$H$14)*((-E255*10^3)^3)/3)-('DATI nascosti 2'!$H$10/(-'DATI nascosti 2'!$H$14)^2*(-E255*10^3)^4/4))+'DATI nascosti 2'!$H$10/2*((-E255*10^3)^2))))</f>
        <v>86.295819333333213</v>
      </c>
      <c r="I255" s="70">
        <f>G255/('DATI nascosti 2'!$H$10*(-'DATI nascosti 2'!$H$12))</f>
        <v>0.99847619047618985</v>
      </c>
      <c r="J255" s="70">
        <f>1-(H255/G255)/(-'DATI nascosti 2'!$H$12)</f>
        <v>0.49997819807052957</v>
      </c>
      <c r="K255" s="71">
        <f>IF(D255&gt;=('DATI nascosti 2'!$L$10*10^-3),'DATI nascosti 2'!$L$14*'DATI nascosti 2'!$P$12,IF(D255&gt;=(-'DATI nascosti 2'!$L$10*10^-3),'DATI nascosti 2'!$L$16*D255*'DATI nascosti 2'!$P$12,-'DATI nascosti 2'!$L$14*'DATI nascosti 2'!$P$12))</f>
        <v>-614659.43222408998</v>
      </c>
      <c r="L255" s="71">
        <f>IF(F255&lt;'DATI nascosti 2'!$C$8,( -'DATI nascosti 2'!$H$16*'DATI nascosti 2'!$C$6*I255*'DATI nascosti 2'!$H$10*F255),( -'DATI nascosti 2'!$H$16*'DATI nascosti 2'!$C$6*I255*'DATI nascosti 2'!$H$10*'DATI nascosti 2'!$C$8))</f>
        <v>-4311080.7085714247</v>
      </c>
      <c r="M255" s="71">
        <f>IF(C255&gt;=('DATI nascosti 2'!$L$10*10^-3),'DATI nascosti 2'!$L$14*'DATI nascosti 2'!$P$11,IF(C255&gt;=(-'DATI nascosti 2'!$L$10*10^-3),'DATI nascosti 2'!$P$11*'DATI nascosti 2'!$L$16*C255,-'DATI nascosti 2'!$L$14*'DATI nascosti 2'!$P$11))</f>
        <v>-534540.0543606549</v>
      </c>
      <c r="N255" s="71">
        <f t="shared" si="11"/>
        <v>-5460280.1951561701</v>
      </c>
      <c r="O255" s="71">
        <f>IF(F255&lt;='DATI nascosti 2'!$C$8,-L255*('DATI nascosti 2'!$C$8/2-(J255*F255))-K255*('DATI nascosti 2'!$C$13/2)+M255*('DATI nascosti 2'!$C$13/2),-L255*('DATI nascosti 2'!$C$8/2-(J255*'DATI nascosti 2'!$C$8))-K255*('DATI nascosti 2'!$C$13/2)+M255*('DATI nascosti 2'!$C$13/2))</f>
        <v>46381728.569193482</v>
      </c>
      <c r="P255" s="69">
        <f>-'T2'!N255/10^3</f>
        <v>5460.2801951561696</v>
      </c>
      <c r="Q255" s="69">
        <f>'T2'!O255/10^6</f>
        <v>46.381728569193484</v>
      </c>
      <c r="R255" s="72">
        <f>-N255/('DATI nascosti 2'!$C$6*'DATI nascosti 2'!$C$13*'DATI nascosti 2'!$H$10*'DATI nascosti 2'!$H$16)</f>
        <v>1.3139104016012935</v>
      </c>
      <c r="S255" s="72">
        <f>O255/('DATI nascosti 2'!$H$16*'DATI nascosti 2'!$C$6*'DATI nascosti 2'!$C$13^2*'DATI nascosti 2'!$H$10)</f>
        <v>9.6630842794894079E-3</v>
      </c>
      <c r="T255" s="74">
        <f t="shared" si="12"/>
        <v>-8.4943861691088394</v>
      </c>
      <c r="U255" s="67" t="str">
        <f>IF(T255&gt;=0, IF(T255&lt;='DATI nascosti 2'!$C$8/6, "SI", "NO"),IF(T255&gt; -'DATI nascosti 2'!$C$8/6, "SI", "NO"))</f>
        <v>SI</v>
      </c>
      <c r="V255" s="67" t="str">
        <f>IF(Foglio3!G256&lt;1,IF(Foglio3!G256&gt;-1,"ROTTURA BILANCIATA",""),"")</f>
        <v/>
      </c>
    </row>
    <row r="256" spans="1:22" ht="18.75" x14ac:dyDescent="0.25">
      <c r="A256" s="20"/>
      <c r="B256" s="68">
        <f t="shared" si="16"/>
        <v>-2.2000000000000023E-3</v>
      </c>
      <c r="C256" s="68">
        <f>(F256-'DATI nascosti 2'!$C$13)/(F256-'DATI nascosti 2'!$C$8+('DATI nascosti 2'!$H$14*10^-3)*'DATI nascosti 2'!$C$8/('DATI nascosti 2'!$H$12*10^-3))*('DATI nascosti 2'!$H$14*10^-3)</f>
        <v>-1.7508333333333306E-3</v>
      </c>
      <c r="D256" s="68">
        <f>(F256-'DATI nascosti 2'!$C$10)/(F256-'DATI nascosti 2'!$C$8+('DATI nascosti 2'!$H$14*10^-3)*'DATI nascosti 2'!$C$8/('DATI nascosti 2'!$H$12*10^-3))*('DATI nascosti 2'!$H$14*10^-3)</f>
        <v>-2.1825000000000026E-3</v>
      </c>
      <c r="E256" s="68">
        <f>(F256-'DATI nascosti 2'!$C$8)/(F256-'DATI nascosti 2'!$C$8+('DATI nascosti 2'!$H$14*10^-3)*'DATI nascosti 2'!$C$8/('DATI nascosti 2'!$H$12*10^-3))*('DATI nascosti 2'!$H$14*10^-3)</f>
        <v>-1.7333333333333304E-3</v>
      </c>
      <c r="F256" s="69">
        <f>('DATI nascosti 2'!$C$8*('DATI nascosti 2'!$H$14*10^-3)*B256/(('DATI nascosti 2'!$H$14*10^-3)-B256))*(1/('DATI nascosti 2'!$H$12*10^-3)-1/('DATI nascosti 2'!$H$14*10^-3))</f>
        <v>5657.1428571427987</v>
      </c>
      <c r="G256" s="70">
        <f>IF(E256&gt;0,$G$239,(IF(E256&lt;('DATI nascosti 2'!$H$14*10^-3),'DATI nascosti 2'!$H$10*(-'DATI nascosti 2'!$H$12), $G$239-((2*'DATI nascosti 2'!$H$10/(-'DATI nascosti 2'!$H$14)*((-E256*10^3)^2)/2)-('DATI nascosti 2'!$H$10/(-'DATI nascosti 2'!$H$14)^2*(-E256*10^3)^3/3))+(-E256*10^3*'DATI nascosti 2'!$H$10))))</f>
        <v>49.362702716049341</v>
      </c>
      <c r="H256" s="70">
        <f>IF(E256&gt;0,H255,(IF(E256&lt;('DATI nascosti 2'!$H$14*10^-3),'DATI nascosti 2'!$H$10/2*(-'DATI nascosti 2'!$H$12)^2,$H$239-((2*'DATI nascosti 2'!$H$10/(-'DATI nascosti 2'!$H$14)*((-E256*10^3)^3)/3)-('DATI nascosti 2'!$H$10/(-'DATI nascosti 2'!$H$14)^2*(-E256*10^3)^4/4))+'DATI nascosti 2'!$H$10/2*((-E256*10^3)^2))))</f>
        <v>86.383614888888758</v>
      </c>
      <c r="I256" s="70">
        <f>G256/('DATI nascosti 2'!$H$10*(-'DATI nascosti 2'!$H$12))</f>
        <v>0.99954850088183356</v>
      </c>
      <c r="J256" s="70">
        <f>1-(H256/G256)/(-'DATI nascosti 2'!$H$12)</f>
        <v>0.50000645290088175</v>
      </c>
      <c r="K256" s="71">
        <f>IF(D256&gt;=('DATI nascosti 2'!$L$10*10^-3),'DATI nascosti 2'!$L$14*'DATI nascosti 2'!$P$12,IF(D256&gt;=(-'DATI nascosti 2'!$L$10*10^-3),'DATI nascosti 2'!$L$16*D256*'DATI nascosti 2'!$P$12,-'DATI nascosti 2'!$L$14*'DATI nascosti 2'!$P$12))</f>
        <v>-614659.43222408998</v>
      </c>
      <c r="L256" s="71">
        <f>IF(F256&lt;'DATI nascosti 2'!$C$8,( -'DATI nascosti 2'!$H$16*'DATI nascosti 2'!$C$6*I256*'DATI nascosti 2'!$H$10*F256),( -'DATI nascosti 2'!$H$16*'DATI nascosti 2'!$C$6*I256*'DATI nascosti 2'!$H$10*'DATI nascosti 2'!$C$8))</f>
        <v>-4315710.5803174563</v>
      </c>
      <c r="M256" s="71">
        <f>IF(C256&gt;=('DATI nascosti 2'!$L$10*10^-3),'DATI nascosti 2'!$L$14*'DATI nascosti 2'!$P$11,IF(C256&gt;=(-'DATI nascosti 2'!$L$10*10^-3),'DATI nascosti 2'!$P$11*'DATI nascosti 2'!$L$16*C256,-'DATI nascosti 2'!$L$14*'DATI nascosti 2'!$P$11))</f>
        <v>-575489.95860196569</v>
      </c>
      <c r="N256" s="71">
        <f t="shared" si="11"/>
        <v>-5505859.9711435121</v>
      </c>
      <c r="O256" s="71">
        <f>IF(F256&lt;='DATI nascosti 2'!$C$8,-L256*('DATI nascosti 2'!$C$8/2-(J256*F256))-K256*('DATI nascosti 2'!$C$13/2)+M256*('DATI nascosti 2'!$C$13/2),-L256*('DATI nascosti 2'!$C$8/2-(J256*'DATI nascosti 2'!$C$8))-K256*('DATI nascosti 2'!$C$13/2)+M256*('DATI nascosti 2'!$C$13/2))</f>
        <v>22586952.393645763</v>
      </c>
      <c r="P256" s="69">
        <f>-'T2'!N256/10^3</f>
        <v>5505.8599711435118</v>
      </c>
      <c r="Q256" s="69">
        <f>'T2'!O256/10^6</f>
        <v>22.586952393645763</v>
      </c>
      <c r="R256" s="72">
        <f>-N256/('DATI nascosti 2'!$C$6*'DATI nascosti 2'!$C$13*'DATI nascosti 2'!$H$10*'DATI nascosti 2'!$H$16)</f>
        <v>1.3248782896275437</v>
      </c>
      <c r="S256" s="72">
        <f>O256/('DATI nascosti 2'!$H$16*'DATI nascosti 2'!$C$6*'DATI nascosti 2'!$C$13^2*'DATI nascosti 2'!$H$10)</f>
        <v>4.7057242437829492E-3</v>
      </c>
      <c r="T256" s="74">
        <f t="shared" si="12"/>
        <v>-4.102347773467744</v>
      </c>
      <c r="U256" s="67" t="str">
        <f>IF(T256&gt;=0, IF(T256&lt;='DATI nascosti 2'!$C$8/6, "SI", "NO"),IF(T256&gt; -'DATI nascosti 2'!$C$8/6, "SI", "NO"))</f>
        <v>SI</v>
      </c>
      <c r="V256" s="67" t="str">
        <f>IF(Foglio3!G257&lt;1,IF(Foglio3!G257&gt;-1,"ROTTURA BILANCIATA",""),"")</f>
        <v/>
      </c>
    </row>
    <row r="257" spans="1:22" ht="18.75" x14ac:dyDescent="0.25">
      <c r="A257" s="20"/>
      <c r="B257" s="68">
        <f t="shared" si="16"/>
        <v>-2.1000000000000025E-3</v>
      </c>
      <c r="C257" s="68">
        <f>(F257-'DATI nascosti 2'!$C$13)/(F257-'DATI nascosti 2'!$C$8+('DATI nascosti 2'!$H$14*10^-3)*'DATI nascosti 2'!$C$8/('DATI nascosti 2'!$H$12*10^-3))*('DATI nascosti 2'!$H$14*10^-3)</f>
        <v>-1.8754166666666635E-3</v>
      </c>
      <c r="D257" s="68">
        <f>(F257-'DATI nascosti 2'!$C$10)/(F257-'DATI nascosti 2'!$C$8+('DATI nascosti 2'!$H$14*10^-3)*'DATI nascosti 2'!$C$8/('DATI nascosti 2'!$H$12*10^-3))*('DATI nascosti 2'!$H$14*10^-3)</f>
        <v>-2.0912500000000024E-3</v>
      </c>
      <c r="E257" s="68">
        <f>(F257-'DATI nascosti 2'!$C$8)/(F257-'DATI nascosti 2'!$C$8+('DATI nascosti 2'!$H$14*10^-3)*'DATI nascosti 2'!$C$8/('DATI nascosti 2'!$H$12*10^-3))*('DATI nascosti 2'!$H$14*10^-3)</f>
        <v>-1.8666666666666634E-3</v>
      </c>
      <c r="F257" s="69">
        <f>('DATI nascosti 2'!$C$8*('DATI nascosti 2'!$H$14*10^-3)*B257/(('DATI nascosti 2'!$H$14*10^-3)-B257))*(1/('DATI nascosti 2'!$H$12*10^-3)-1/('DATI nascosti 2'!$H$14*10^-3))</f>
        <v>10799.999999999747</v>
      </c>
      <c r="G257" s="70">
        <f>IF(E257&gt;0,$G$239,(IF(E257&lt;('DATI nascosti 2'!$H$14*10^-3),'DATI nascosti 2'!$H$10*(-'DATI nascosti 2'!$H$12), $G$239-((2*'DATI nascosti 2'!$H$10/(-'DATI nascosti 2'!$H$14)*((-E257*10^3)^2)/2)-('DATI nascosti 2'!$H$10/(-'DATI nascosti 2'!$H$14)^2*(-E257*10^3)^3/3))+(-E257*10^3*'DATI nascosti 2'!$H$10))))</f>
        <v>49.382212839506138</v>
      </c>
      <c r="H257" s="70">
        <f>IF(E257&gt;0,H256,(IF(E257&lt;('DATI nascosti 2'!$H$14*10^-3),'DATI nascosti 2'!$H$10/2*(-'DATI nascosti 2'!$H$12)^2,$H$239-((2*'DATI nascosti 2'!$H$10/(-'DATI nascosti 2'!$H$14)*((-E257*10^3)^3)/3)-('DATI nascosti 2'!$H$10/(-'DATI nascosti 2'!$H$14)^2*(-E257*10^3)^4/4))+'DATI nascosti 2'!$H$10/2*((-E257*10^3)^2))))</f>
        <v>86.418454395061588</v>
      </c>
      <c r="I257" s="70">
        <f>G257/('DATI nascosti 2'!$H$10*(-'DATI nascosti 2'!$H$12))</f>
        <v>0.99994356261022876</v>
      </c>
      <c r="J257" s="70">
        <f>1-(H257/G257)/(-'DATI nascosti 2'!$H$12)</f>
        <v>0.50000241888179175</v>
      </c>
      <c r="K257" s="71">
        <f>IF(D257&gt;=('DATI nascosti 2'!$L$10*10^-3),'DATI nascosti 2'!$L$14*'DATI nascosti 2'!$P$12,IF(D257&gt;=(-'DATI nascosti 2'!$L$10*10^-3),'DATI nascosti 2'!$L$16*D257*'DATI nascosti 2'!$P$12,-'DATI nascosti 2'!$L$14*'DATI nascosti 2'!$P$12))</f>
        <v>-614659.43222408998</v>
      </c>
      <c r="L257" s="71">
        <f>IF(F257&lt;'DATI nascosti 2'!$C$8,( -'DATI nascosti 2'!$H$16*'DATI nascosti 2'!$C$6*I257*'DATI nascosti 2'!$H$10*F257),( -'DATI nascosti 2'!$H$16*'DATI nascosti 2'!$C$6*I257*'DATI nascosti 2'!$H$10*'DATI nascosti 2'!$C$8))</f>
        <v>-4317416.3225396797</v>
      </c>
      <c r="M257" s="71">
        <f>IF(C257&gt;=('DATI nascosti 2'!$L$10*10^-3),'DATI nascosti 2'!$L$14*'DATI nascosti 2'!$P$11,IF(C257&gt;=(-'DATI nascosti 2'!$L$10*10^-3),'DATI nascosti 2'!$P$11*'DATI nascosti 2'!$L$16*C257,-'DATI nascosti 2'!$L$14*'DATI nascosti 2'!$P$11))</f>
        <v>-614659.43222408998</v>
      </c>
      <c r="N257" s="71">
        <f t="shared" si="11"/>
        <v>-5546735.1869878601</v>
      </c>
      <c r="O257" s="71">
        <f>IF(F257&lt;='DATI nascosti 2'!$C$8,-L257*('DATI nascosti 2'!$C$8/2-(J257*F257))-K257*('DATI nascosti 2'!$C$13/2)+M257*('DATI nascosti 2'!$C$13/2),-L257*('DATI nascosti 2'!$C$8/2-(J257*'DATI nascosti 2'!$C$8))-K257*('DATI nascosti 2'!$C$13/2)+M257*('DATI nascosti 2'!$C$13/2))</f>
        <v>-12531.983676016331</v>
      </c>
      <c r="P257" s="69">
        <f>-'T2'!N257/10^3</f>
        <v>5546.7351869878603</v>
      </c>
      <c r="Q257" s="69">
        <f>'T2'!O257/10^6</f>
        <v>-1.2531983676016331E-2</v>
      </c>
      <c r="R257" s="72">
        <f>-N257/('DATI nascosti 2'!$C$6*'DATI nascosti 2'!$C$13*'DATI nascosti 2'!$H$10*'DATI nascosti 2'!$H$16)</f>
        <v>1.3347141166082233</v>
      </c>
      <c r="S257" s="72">
        <f>O257/('DATI nascosti 2'!$H$16*'DATI nascosti 2'!$C$6*'DATI nascosti 2'!$C$13^2*'DATI nascosti 2'!$H$10)</f>
        <v>-2.6108904990437059E-6</v>
      </c>
      <c r="T257" s="74">
        <f t="shared" si="12"/>
        <v>2.259344146339496E-3</v>
      </c>
      <c r="U257" s="67" t="str">
        <f>IF(T257&gt;=0, IF(T257&lt;='DATI nascosti 2'!$C$8/6, "SI", "NO"),IF(T257&gt; -'DATI nascosti 2'!$C$8/6, "SI", "NO"))</f>
        <v>SI</v>
      </c>
      <c r="V257" s="67" t="str">
        <f>IF(Foglio3!G258&lt;1,IF(Foglio3!G258&gt;-1,"ROTTURA BILANCIATA",""),"")</f>
        <v/>
      </c>
    </row>
    <row r="258" spans="1:22" ht="18.75" x14ac:dyDescent="0.25">
      <c r="A258" s="20"/>
      <c r="B258" s="68">
        <f t="shared" si="16"/>
        <v>-2.0000000000000026E-3</v>
      </c>
      <c r="C258" s="68">
        <f>(F258-'DATI nascosti 2'!$C$13)/(F258-'DATI nascosti 2'!$C$8+('DATI nascosti 2'!$H$14*10^-3)*'DATI nascosti 2'!$C$8/('DATI nascosti 2'!$H$12*10^-3))*('DATI nascosti 2'!$H$14*10^-3)</f>
        <v>-1.9999999999999966E-3</v>
      </c>
      <c r="D258" s="68">
        <f>(F258-'DATI nascosti 2'!$C$10)/(F258-'DATI nascosti 2'!$C$8+('DATI nascosti 2'!$H$14*10^-3)*'DATI nascosti 2'!$C$8/('DATI nascosti 2'!$H$12*10^-3))*('DATI nascosti 2'!$H$14*10^-3)</f>
        <v>-2.0000000000000022E-3</v>
      </c>
      <c r="E258" s="68">
        <f>(F258-'DATI nascosti 2'!$C$8)/(F258-'DATI nascosti 2'!$C$8+('DATI nascosti 2'!$H$14*10^-3)*'DATI nascosti 2'!$C$8/('DATI nascosti 2'!$H$12*10^-3))*('DATI nascosti 2'!$H$14*10^-3)</f>
        <v>-1.9999999999999966E-3</v>
      </c>
      <c r="F258" s="69">
        <f>('DATI nascosti 2'!$C$8*('DATI nascosti 2'!$H$14*10^-3)*B258/(('DATI nascosti 2'!$H$14*10^-3)-B258))*(1/('DATI nascosti 2'!$H$12*10^-3)-1/('DATI nascosti 2'!$H$14*10^-3))</f>
        <v>3.9528737300806234E+17</v>
      </c>
      <c r="G258" s="70">
        <f>IF(E258&gt;0,$G$239,(IF(E258&lt;('DATI nascosti 2'!$H$14*10^-3),'DATI nascosti 2'!$H$10*(-'DATI nascosti 2'!$H$12), $G$239-((2*'DATI nascosti 2'!$H$10/(-'DATI nascosti 2'!$H$14)*((-E258*10^3)^2)/2)-('DATI nascosti 2'!$H$10/(-'DATI nascosti 2'!$H$14)^2*(-E258*10^3)^3/3))+(-E258*10^3*'DATI nascosti 2'!$H$10))))</f>
        <v>49.384999999999962</v>
      </c>
      <c r="H258" s="70">
        <f>IF(E258&gt;0,H257,(IF(E258&lt;('DATI nascosti 2'!$H$14*10^-3),'DATI nascosti 2'!$H$10/2*(-'DATI nascosti 2'!$H$12)^2,$H$239-((2*'DATI nascosti 2'!$H$10/(-'DATI nascosti 2'!$H$14)*((-E258*10^3)^3)/3)-('DATI nascosti 2'!$H$10/(-'DATI nascosti 2'!$H$14)^2*(-E258*10^3)^4/4))+'DATI nascosti 2'!$H$10/2*((-E258*10^3)^2))))</f>
        <v>86.42374999999987</v>
      </c>
      <c r="I258" s="70">
        <f>G258/('DATI nascosti 2'!$H$10*(-'DATI nascosti 2'!$H$12))</f>
        <v>0.99999999999999944</v>
      </c>
      <c r="J258" s="70">
        <f>1-(H258/G258)/(-'DATI nascosti 2'!$H$12)</f>
        <v>0.50000000000000044</v>
      </c>
      <c r="K258" s="71">
        <f>IF(D258&gt;=('DATI nascosti 2'!$L$10*10^-3),'DATI nascosti 2'!$L$14*'DATI nascosti 2'!$P$12,IF(D258&gt;=(-'DATI nascosti 2'!$L$10*10^-3),'DATI nascosti 2'!$L$16*D258*'DATI nascosti 2'!$P$12,-'DATI nascosti 2'!$L$14*'DATI nascosti 2'!$P$12))</f>
        <v>-614659.43222408998</v>
      </c>
      <c r="L258" s="71">
        <f>IF(F258&lt;'DATI nascosti 2'!$C$8,( -'DATI nascosti 2'!$H$16*'DATI nascosti 2'!$C$6*I258*'DATI nascosti 2'!$H$10*F258),( -'DATI nascosti 2'!$H$16*'DATI nascosti 2'!$C$6*I258*'DATI nascosti 2'!$H$10*'DATI nascosti 2'!$C$8))</f>
        <v>-4317659.9999999972</v>
      </c>
      <c r="M258" s="71">
        <f>IF(C258&gt;=('DATI nascosti 2'!$L$10*10^-3),'DATI nascosti 2'!$L$14*'DATI nascosti 2'!$P$11,IF(C258&gt;=(-'DATI nascosti 2'!$L$10*10^-3),'DATI nascosti 2'!$P$11*'DATI nascosti 2'!$L$16*C258,-'DATI nascosti 2'!$L$14*'DATI nascosti 2'!$P$11))</f>
        <v>-614659.43222408998</v>
      </c>
      <c r="N258" s="71">
        <f t="shared" ref="N258" si="17">K258+L258+M258</f>
        <v>-5546978.8644481776</v>
      </c>
      <c r="O258" s="71">
        <f>IF(F258&lt;='DATI nascosti 2'!$C$8,-L258*('DATI nascosti 2'!$C$8/2-(J258*F258))-K258*('DATI nascosti 2'!$C$13/2)+M258*('DATI nascosti 2'!$C$13/2),-L258*('DATI nascosti 2'!$C$8/2-(J258*'DATI nascosti 2'!$C$8))-K258*('DATI nascosti 2'!$C$13/2)+M258*('DATI nascosti 2'!$C$13/2))</f>
        <v>-2.4437904357910156E-6</v>
      </c>
      <c r="P258" s="69">
        <f>-'T2'!N258/10^3</f>
        <v>5546.9788644481778</v>
      </c>
      <c r="Q258" s="69">
        <f>'T2'!O258/10^6</f>
        <v>-2.4437904357910157E-12</v>
      </c>
      <c r="R258" s="72">
        <f>-N258/('DATI nascosti 2'!$C$6*'DATI nascosti 2'!$C$13*'DATI nascosti 2'!$H$10*'DATI nascosti 2'!$H$16)</f>
        <v>1.3347727528573357</v>
      </c>
      <c r="S258" s="72">
        <f>O258/('DATI nascosti 2'!$H$16*'DATI nascosti 2'!$C$6*'DATI nascosti 2'!$C$13^2*'DATI nascosti 2'!$H$10)</f>
        <v>-5.09134818190959E-16</v>
      </c>
      <c r="T258" s="74">
        <f t="shared" si="12"/>
        <v>4.4056242064555402E-13</v>
      </c>
      <c r="U258" s="67" t="str">
        <f>IF(T258&gt;=0, IF(T258&lt;='DATI nascosti 2'!$C$8/6, "SI", "NO"),IF(T258&gt; -'DATI nascosti 2'!$C$8/6, "SI", "NO"))</f>
        <v>SI</v>
      </c>
      <c r="V258" s="67" t="str">
        <f>IF(Foglio3!G259&lt;1,IF(Foglio3!G259&gt;-1,"ROTTURA BILANCIATA",""),"")</f>
        <v/>
      </c>
    </row>
  </sheetData>
  <mergeCells count="4">
    <mergeCell ref="A2:A3"/>
    <mergeCell ref="A103:A104"/>
    <mergeCell ref="A139:A140"/>
    <mergeCell ref="A244:A245"/>
  </mergeCells>
  <pageMargins left="0.7" right="0.7" top="0.75" bottom="0.75" header="0.3" footer="0.3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showGridLines="0" showRowColHeaders="0" zoomScale="80" zoomScaleNormal="80" workbookViewId="0">
      <selection activeCell="S73" sqref="S73"/>
    </sheetView>
  </sheetViews>
  <sheetFormatPr defaultRowHeight="15" x14ac:dyDescent="0.25"/>
  <sheetData>
    <row r="1" spans="1:19" ht="15" customHeight="1" x14ac:dyDescent="0.25">
      <c r="A1" s="352" t="s">
        <v>85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</row>
    <row r="2" spans="1:19" ht="1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19" ht="15" customHeight="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</row>
  </sheetData>
  <sheetProtection password="C2CA" sheet="1" objects="1" scenarios="1" selectLockedCells="1" selectUnlockedCells="1"/>
  <mergeCells count="1">
    <mergeCell ref="A1:S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showRowColHeaders="0" zoomScale="80" zoomScaleNormal="80" workbookViewId="0">
      <selection activeCell="U12" sqref="U12"/>
    </sheetView>
  </sheetViews>
  <sheetFormatPr defaultRowHeight="15" x14ac:dyDescent="0.25"/>
  <sheetData>
    <row r="1" spans="1:21" x14ac:dyDescent="0.25">
      <c r="A1" s="352" t="s">
        <v>84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</row>
    <row r="2" spans="1:2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</row>
    <row r="3" spans="1:21" x14ac:dyDescent="0.25">
      <c r="A3" s="352"/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</row>
    <row r="11" spans="1:21" ht="15.75" thickBot="1" x14ac:dyDescent="0.3">
      <c r="T11" s="9" t="s">
        <v>95</v>
      </c>
      <c r="U11" s="9" t="s">
        <v>94</v>
      </c>
    </row>
    <row r="12" spans="1:21" ht="16.5" thickTop="1" thickBot="1" x14ac:dyDescent="0.3">
      <c r="T12" s="299">
        <v>748</v>
      </c>
      <c r="U12" s="299">
        <v>936</v>
      </c>
    </row>
    <row r="13" spans="1:21" ht="15.75" thickTop="1" x14ac:dyDescent="0.25"/>
  </sheetData>
  <sheetProtection password="C2CA" sheet="1" objects="1" scenarios="1"/>
  <protectedRanges>
    <protectedRange sqref="T12:U12" name="Intervallo1"/>
  </protectedRanges>
  <mergeCells count="1">
    <mergeCell ref="A1:R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8</vt:i4>
      </vt:variant>
    </vt:vector>
  </HeadingPairs>
  <TitlesOfParts>
    <vt:vector size="20" baseType="lpstr">
      <vt:lpstr>Istruzioni</vt:lpstr>
      <vt:lpstr>DATI</vt:lpstr>
      <vt:lpstr>foglio deposito</vt:lpstr>
      <vt:lpstr>DATI nascosti 1</vt:lpstr>
      <vt:lpstr>DATI nascosti 2</vt:lpstr>
      <vt:lpstr>TABULATI</vt:lpstr>
      <vt:lpstr>T2</vt:lpstr>
      <vt:lpstr>N-M</vt:lpstr>
      <vt:lpstr>N-M KN</vt:lpstr>
      <vt:lpstr>N-e</vt:lpstr>
      <vt:lpstr>N M KN approx</vt:lpstr>
      <vt:lpstr>Foglio3</vt:lpstr>
      <vt:lpstr>clas</vt:lpstr>
      <vt:lpstr>CLASS</vt:lpstr>
      <vt:lpstr>dut</vt:lpstr>
      <vt:lpstr>fer</vt:lpstr>
      <vt:lpstr>FERR</vt:lpstr>
      <vt:lpstr>LC</vt:lpstr>
      <vt:lpstr>sn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Davide</cp:lastModifiedBy>
  <dcterms:created xsi:type="dcterms:W3CDTF">2011-11-14T22:27:48Z</dcterms:created>
  <dcterms:modified xsi:type="dcterms:W3CDTF">2020-03-18T00:47:22Z</dcterms:modified>
</cp:coreProperties>
</file>