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e Cicchini\Documents\6.VARIE PER LA PROFESSIONE\PROGRAMMI UTILI\PILASTRI FRP+TAGLIO\"/>
    </mc:Choice>
  </mc:AlternateContent>
  <workbookProtection workbookAlgorithmName="SHA-512" workbookHashValue="8wWvyOGh/5zKc7qWdE9Sq/9eNMJH4n9ZVJBfaOZgCr8NTVd5nHrK8fxCSuSxUu2m83hHMUfe3sr+WrZpDSCd+Q==" workbookSaltValue="fEjYPuHiuskxq+c4qURVbg==" workbookSpinCount="100000" lockStructure="1"/>
  <bookViews>
    <workbookView xWindow="120" yWindow="45" windowWidth="15600" windowHeight="8160" tabRatio="645"/>
  </bookViews>
  <sheets>
    <sheet name="ISTRUZIONI" sheetId="10" r:id="rId1"/>
    <sheet name="DATI" sheetId="1" r:id="rId2"/>
    <sheet name="TABULATI" sheetId="8" r:id="rId3"/>
    <sheet name="Foglio1" sheetId="9" state="hidden" r:id="rId4"/>
    <sheet name="Calcolo Duttilità" sheetId="6" r:id="rId5"/>
    <sheet name="Rinforzo a taglio" sheetId="11" r:id="rId6"/>
    <sheet name="N-M kN" sheetId="5" r:id="rId7"/>
    <sheet name="N-M" sheetId="3" r:id="rId8"/>
    <sheet name="M-X" sheetId="7" r:id="rId9"/>
  </sheets>
  <calcPr calcId="152511"/>
</workbook>
</file>

<file path=xl/calcChain.xml><?xml version="1.0" encoding="utf-8"?>
<calcChain xmlns="http://schemas.openxmlformats.org/spreadsheetml/2006/main">
  <c r="O8" i="8" l="1"/>
  <c r="Q2" i="8"/>
  <c r="N2" i="8"/>
  <c r="D32" i="1" l="1"/>
  <c r="D48" i="1"/>
  <c r="I5" i="11"/>
  <c r="I11" i="11" l="1"/>
  <c r="I9" i="11"/>
  <c r="K27" i="9" l="1"/>
  <c r="Q3" i="9"/>
  <c r="Q2" i="9"/>
  <c r="F7" i="7" l="1"/>
  <c r="D7" i="7"/>
  <c r="B4" i="7"/>
  <c r="G40" i="7" s="1"/>
  <c r="I10" i="1" l="1"/>
  <c r="B248" i="8"/>
  <c r="K6" i="9" s="1"/>
  <c r="B247" i="8"/>
  <c r="K5" i="9" s="1"/>
  <c r="B246" i="8"/>
  <c r="K4" i="9" s="1"/>
  <c r="B245" i="8"/>
  <c r="K3" i="9" s="1"/>
  <c r="B244" i="8"/>
  <c r="B243" i="8"/>
  <c r="B242" i="8"/>
  <c r="B241" i="8"/>
  <c r="B240" i="8"/>
  <c r="B239" i="8"/>
  <c r="B238" i="8"/>
  <c r="B237" i="8"/>
  <c r="B236" i="8"/>
  <c r="B235" i="8"/>
  <c r="B234" i="8"/>
  <c r="B233" i="8"/>
  <c r="B232" i="8"/>
  <c r="B231" i="8"/>
  <c r="B230" i="8"/>
  <c r="B229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C144" i="8"/>
  <c r="C145" i="8" s="1"/>
  <c r="C146" i="8" s="1"/>
  <c r="B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B105" i="8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D2" i="8"/>
  <c r="C2" i="8"/>
  <c r="C147" i="8" l="1"/>
  <c r="B249" i="8"/>
  <c r="K7" i="9" s="1"/>
  <c r="F248" i="8"/>
  <c r="F40" i="1"/>
  <c r="B250" i="8" l="1"/>
  <c r="K8" i="9" s="1"/>
  <c r="F249" i="8"/>
  <c r="E249" i="8" s="1"/>
  <c r="C148" i="8"/>
  <c r="E248" i="8"/>
  <c r="D248" i="8"/>
  <c r="D249" i="8" l="1"/>
  <c r="C149" i="8"/>
  <c r="B251" i="8"/>
  <c r="K9" i="9" s="1"/>
  <c r="F250" i="8"/>
  <c r="D47" i="1"/>
  <c r="B252" i="8" l="1"/>
  <c r="K10" i="9" s="1"/>
  <c r="F251" i="8"/>
  <c r="E250" i="8"/>
  <c r="D250" i="8"/>
  <c r="C150" i="8"/>
  <c r="C13" i="6"/>
  <c r="C21" i="6"/>
  <c r="C25" i="6"/>
  <c r="C33" i="6"/>
  <c r="C29" i="6"/>
  <c r="C31" i="6" s="1"/>
  <c r="C35" i="6" s="1"/>
  <c r="I7" i="11" s="1"/>
  <c r="F5" i="11" s="1"/>
  <c r="C23" i="6"/>
  <c r="I13" i="11" l="1"/>
  <c r="E251" i="8"/>
  <c r="D251" i="8"/>
  <c r="C151" i="8"/>
  <c r="B253" i="8"/>
  <c r="K11" i="9" s="1"/>
  <c r="F252" i="8"/>
  <c r="C19" i="6"/>
  <c r="C17" i="6" s="1"/>
  <c r="C27" i="6"/>
  <c r="J24" i="1"/>
  <c r="I24" i="1"/>
  <c r="I7" i="1"/>
  <c r="C152" i="8" l="1"/>
  <c r="E252" i="8"/>
  <c r="D252" i="8"/>
  <c r="F253" i="8"/>
  <c r="B254" i="8"/>
  <c r="K12" i="9" s="1"/>
  <c r="C37" i="6"/>
  <c r="C39" i="6" s="1"/>
  <c r="C41" i="6" s="1"/>
  <c r="B18" i="1"/>
  <c r="F254" i="8" l="1"/>
  <c r="B255" i="8"/>
  <c r="K13" i="9" s="1"/>
  <c r="E253" i="8"/>
  <c r="D253" i="8"/>
  <c r="C153" i="8"/>
  <c r="C11" i="1"/>
  <c r="D25" i="1"/>
  <c r="C13" i="1"/>
  <c r="C253" i="8" s="1"/>
  <c r="I29" i="1"/>
  <c r="I28" i="1"/>
  <c r="F143" i="8" l="1"/>
  <c r="D143" i="8" s="1"/>
  <c r="F137" i="8"/>
  <c r="D137" i="8" s="1"/>
  <c r="F133" i="8"/>
  <c r="D133" i="8" s="1"/>
  <c r="F129" i="8"/>
  <c r="D129" i="8" s="1"/>
  <c r="F142" i="8"/>
  <c r="D142" i="8" s="1"/>
  <c r="F138" i="8"/>
  <c r="D138" i="8" s="1"/>
  <c r="F139" i="8"/>
  <c r="D139" i="8" s="1"/>
  <c r="F134" i="8"/>
  <c r="D134" i="8" s="1"/>
  <c r="F126" i="8"/>
  <c r="D126" i="8" s="1"/>
  <c r="F122" i="8"/>
  <c r="D122" i="8" s="1"/>
  <c r="F118" i="8"/>
  <c r="D118" i="8" s="1"/>
  <c r="F114" i="8"/>
  <c r="D114" i="8" s="1"/>
  <c r="F110" i="8"/>
  <c r="D110" i="8" s="1"/>
  <c r="F106" i="8"/>
  <c r="D106" i="8" s="1"/>
  <c r="F135" i="8"/>
  <c r="D135" i="8" s="1"/>
  <c r="F132" i="8"/>
  <c r="D132" i="8" s="1"/>
  <c r="F127" i="8"/>
  <c r="D127" i="8" s="1"/>
  <c r="F123" i="8"/>
  <c r="D123" i="8" s="1"/>
  <c r="F119" i="8"/>
  <c r="D119" i="8" s="1"/>
  <c r="F115" i="8"/>
  <c r="D115" i="8" s="1"/>
  <c r="F111" i="8"/>
  <c r="D111" i="8" s="1"/>
  <c r="F107" i="8"/>
  <c r="D107" i="8" s="1"/>
  <c r="F141" i="8"/>
  <c r="D141" i="8" s="1"/>
  <c r="F130" i="8"/>
  <c r="D130" i="8" s="1"/>
  <c r="F128" i="8"/>
  <c r="D128" i="8" s="1"/>
  <c r="F124" i="8"/>
  <c r="D124" i="8" s="1"/>
  <c r="F120" i="8"/>
  <c r="D120" i="8" s="1"/>
  <c r="F116" i="8"/>
  <c r="D116" i="8" s="1"/>
  <c r="F112" i="8"/>
  <c r="D112" i="8" s="1"/>
  <c r="F140" i="8"/>
  <c r="D140" i="8" s="1"/>
  <c r="F125" i="8"/>
  <c r="D125" i="8" s="1"/>
  <c r="F117" i="8"/>
  <c r="D117" i="8" s="1"/>
  <c r="F131" i="8"/>
  <c r="D131" i="8" s="1"/>
  <c r="F109" i="8"/>
  <c r="D109" i="8" s="1"/>
  <c r="F105" i="8"/>
  <c r="D105" i="8" s="1"/>
  <c r="F103" i="8"/>
  <c r="D103" i="8" s="1"/>
  <c r="F121" i="8"/>
  <c r="D121" i="8" s="1"/>
  <c r="F113" i="8"/>
  <c r="D113" i="8" s="1"/>
  <c r="F144" i="8"/>
  <c r="D144" i="8" s="1"/>
  <c r="F146" i="8"/>
  <c r="D146" i="8" s="1"/>
  <c r="F2" i="8"/>
  <c r="D3" i="8"/>
  <c r="F136" i="8"/>
  <c r="D136" i="8" s="1"/>
  <c r="F108" i="8"/>
  <c r="D108" i="8" s="1"/>
  <c r="F104" i="8"/>
  <c r="D104" i="8" s="1"/>
  <c r="F145" i="8"/>
  <c r="D145" i="8" s="1"/>
  <c r="C248" i="8"/>
  <c r="F147" i="8"/>
  <c r="D147" i="8" s="1"/>
  <c r="C249" i="8"/>
  <c r="F148" i="8"/>
  <c r="D148" i="8" s="1"/>
  <c r="C250" i="8"/>
  <c r="F149" i="8"/>
  <c r="D149" i="8" s="1"/>
  <c r="F150" i="8"/>
  <c r="D150" i="8" s="1"/>
  <c r="C251" i="8"/>
  <c r="F151" i="8"/>
  <c r="D151" i="8" s="1"/>
  <c r="C252" i="8"/>
  <c r="F152" i="8"/>
  <c r="D152" i="8" s="1"/>
  <c r="F255" i="8"/>
  <c r="B256" i="8"/>
  <c r="K14" i="9" s="1"/>
  <c r="C154" i="8"/>
  <c r="F153" i="8"/>
  <c r="D153" i="8" s="1"/>
  <c r="E254" i="8"/>
  <c r="D254" i="8"/>
  <c r="C254" i="8"/>
  <c r="C15" i="6"/>
  <c r="I11" i="1" s="1"/>
  <c r="G6" i="6"/>
  <c r="G34" i="1"/>
  <c r="P2" i="9" l="1"/>
  <c r="P3" i="9"/>
  <c r="F256" i="8"/>
  <c r="B257" i="8"/>
  <c r="K15" i="9" s="1"/>
  <c r="E255" i="8"/>
  <c r="D255" i="8"/>
  <c r="C255" i="8"/>
  <c r="D4" i="8"/>
  <c r="F3" i="8"/>
  <c r="C155" i="8"/>
  <c r="F154" i="8"/>
  <c r="D154" i="8" s="1"/>
  <c r="I43" i="1"/>
  <c r="C43" i="6"/>
  <c r="P5" i="9" l="1"/>
  <c r="P6" i="9" s="1"/>
  <c r="L9" i="9" s="1"/>
  <c r="G50" i="1"/>
  <c r="F155" i="8"/>
  <c r="D155" i="8" s="1"/>
  <c r="C156" i="8"/>
  <c r="B258" i="8"/>
  <c r="K16" i="9" s="1"/>
  <c r="F257" i="8"/>
  <c r="D5" i="8"/>
  <c r="F4" i="8"/>
  <c r="E256" i="8"/>
  <c r="D256" i="8"/>
  <c r="C256" i="8"/>
  <c r="D49" i="1"/>
  <c r="L27" i="9" l="1"/>
  <c r="L14" i="9"/>
  <c r="L15" i="9"/>
  <c r="L7" i="9"/>
  <c r="L6" i="9"/>
  <c r="L11" i="9"/>
  <c r="L13" i="9"/>
  <c r="L5" i="9"/>
  <c r="L12" i="9"/>
  <c r="L4" i="9"/>
  <c r="L3" i="9"/>
  <c r="L10" i="9"/>
  <c r="L16" i="9"/>
  <c r="L8" i="9"/>
  <c r="D6" i="8"/>
  <c r="F5" i="8"/>
  <c r="C157" i="8"/>
  <c r="F156" i="8"/>
  <c r="D156" i="8" s="1"/>
  <c r="E257" i="8"/>
  <c r="D257" i="8"/>
  <c r="C257" i="8"/>
  <c r="G123" i="8"/>
  <c r="G115" i="8"/>
  <c r="G107" i="8"/>
  <c r="H117" i="8"/>
  <c r="H109" i="8"/>
  <c r="H103" i="8"/>
  <c r="G117" i="8"/>
  <c r="G114" i="8"/>
  <c r="H119" i="8"/>
  <c r="H110" i="8"/>
  <c r="H115" i="8"/>
  <c r="H106" i="8"/>
  <c r="H108" i="8"/>
  <c r="H118" i="8"/>
  <c r="H120" i="8"/>
  <c r="H112" i="8"/>
  <c r="H104" i="8"/>
  <c r="G116" i="8"/>
  <c r="G108" i="8"/>
  <c r="H122" i="8"/>
  <c r="H114" i="8"/>
  <c r="G109" i="8"/>
  <c r="H111" i="8"/>
  <c r="G110" i="8"/>
  <c r="G105" i="8"/>
  <c r="G120" i="8"/>
  <c r="G104" i="8"/>
  <c r="G103" i="8"/>
  <c r="H123" i="8"/>
  <c r="G119" i="8"/>
  <c r="G111" i="8"/>
  <c r="H121" i="8"/>
  <c r="H113" i="8"/>
  <c r="H105" i="8"/>
  <c r="G121" i="8"/>
  <c r="G113" i="8"/>
  <c r="H107" i="8"/>
  <c r="G106" i="8"/>
  <c r="H116" i="8"/>
  <c r="G112" i="8"/>
  <c r="G122" i="8"/>
  <c r="G118" i="8"/>
  <c r="B259" i="8"/>
  <c r="K17" i="9" s="1"/>
  <c r="L17" i="9" s="1"/>
  <c r="F258" i="8"/>
  <c r="D30" i="1"/>
  <c r="K257" i="8" l="1"/>
  <c r="J105" i="8"/>
  <c r="J107" i="8"/>
  <c r="J113" i="8"/>
  <c r="J114" i="8"/>
  <c r="K156" i="8"/>
  <c r="I112" i="8"/>
  <c r="L112" i="8" s="1"/>
  <c r="I113" i="8"/>
  <c r="L113" i="8" s="1"/>
  <c r="I103" i="8"/>
  <c r="L103" i="8" s="1"/>
  <c r="I110" i="8"/>
  <c r="L110" i="8" s="1"/>
  <c r="I114" i="8"/>
  <c r="L114" i="8" s="1"/>
  <c r="I121" i="8"/>
  <c r="L121" i="8" s="1"/>
  <c r="I111" i="8"/>
  <c r="L111" i="8" s="1"/>
  <c r="I104" i="8"/>
  <c r="L104" i="8" s="1"/>
  <c r="I108" i="8"/>
  <c r="L108" i="8" s="1"/>
  <c r="I117" i="8"/>
  <c r="L117" i="8" s="1"/>
  <c r="I107" i="8"/>
  <c r="L107" i="8" s="1"/>
  <c r="I118" i="8"/>
  <c r="L118" i="8" s="1"/>
  <c r="I106" i="8"/>
  <c r="L106" i="8" s="1"/>
  <c r="I119" i="8"/>
  <c r="L119" i="8" s="1"/>
  <c r="I120" i="8"/>
  <c r="L120" i="8" s="1"/>
  <c r="I109" i="8"/>
  <c r="L109" i="8" s="1"/>
  <c r="I116" i="8"/>
  <c r="L116" i="8" s="1"/>
  <c r="I115" i="8"/>
  <c r="L115" i="8" s="1"/>
  <c r="I122" i="8"/>
  <c r="L122" i="8" s="1"/>
  <c r="I105" i="8"/>
  <c r="L105" i="8" s="1"/>
  <c r="J104" i="8"/>
  <c r="G143" i="8"/>
  <c r="I143" i="8" s="1"/>
  <c r="I123" i="8"/>
  <c r="L123" i="8" s="1"/>
  <c r="J108" i="8"/>
  <c r="J121" i="8"/>
  <c r="J117" i="8"/>
  <c r="J110" i="8"/>
  <c r="J118" i="8"/>
  <c r="K6" i="8"/>
  <c r="F6" i="8"/>
  <c r="D7" i="8"/>
  <c r="M143" i="8"/>
  <c r="M141" i="8"/>
  <c r="M135" i="8"/>
  <c r="M125" i="8"/>
  <c r="M121" i="8"/>
  <c r="M117" i="8"/>
  <c r="M113" i="8"/>
  <c r="M109" i="8"/>
  <c r="M105" i="8"/>
  <c r="M131" i="8"/>
  <c r="M124" i="8"/>
  <c r="M116" i="8"/>
  <c r="M108" i="8"/>
  <c r="M104" i="8"/>
  <c r="M129" i="8"/>
  <c r="M139" i="8"/>
  <c r="M134" i="8"/>
  <c r="M128" i="8"/>
  <c r="M120" i="8"/>
  <c r="M112" i="8"/>
  <c r="M89" i="8"/>
  <c r="M85" i="8"/>
  <c r="M81" i="8"/>
  <c r="M77" i="8"/>
  <c r="M73" i="8"/>
  <c r="M69" i="8"/>
  <c r="M65" i="8"/>
  <c r="M61" i="8"/>
  <c r="M57" i="8"/>
  <c r="M53" i="8"/>
  <c r="K2" i="8"/>
  <c r="M8" i="8"/>
  <c r="M21" i="8"/>
  <c r="M102" i="8"/>
  <c r="M94" i="8"/>
  <c r="M86" i="8"/>
  <c r="M78" i="8"/>
  <c r="M70" i="8"/>
  <c r="M28" i="8"/>
  <c r="M24" i="8"/>
  <c r="M20" i="8"/>
  <c r="M16" i="8"/>
  <c r="M12" i="8"/>
  <c r="M4" i="8"/>
  <c r="M98" i="8"/>
  <c r="M90" i="8"/>
  <c r="M82" i="8"/>
  <c r="M17" i="8"/>
  <c r="M13" i="8"/>
  <c r="M5" i="8"/>
  <c r="M74" i="8"/>
  <c r="M25" i="8"/>
  <c r="M9" i="8"/>
  <c r="M29" i="8"/>
  <c r="M45" i="8"/>
  <c r="M15" i="8"/>
  <c r="M97" i="8"/>
  <c r="M62" i="8"/>
  <c r="M126" i="8"/>
  <c r="M22" i="8"/>
  <c r="M32" i="8"/>
  <c r="M38" i="8"/>
  <c r="M43" i="8"/>
  <c r="M48" i="8"/>
  <c r="M72" i="8"/>
  <c r="M96" i="8"/>
  <c r="M19" i="8"/>
  <c r="M14" i="8"/>
  <c r="M64" i="8"/>
  <c r="M79" i="8"/>
  <c r="M95" i="8"/>
  <c r="M127" i="8"/>
  <c r="M67" i="8"/>
  <c r="M138" i="8"/>
  <c r="M123" i="8"/>
  <c r="M140" i="8"/>
  <c r="M144" i="8"/>
  <c r="M37" i="8"/>
  <c r="M2" i="8"/>
  <c r="M84" i="8"/>
  <c r="M107" i="8"/>
  <c r="M76" i="8"/>
  <c r="M30" i="8"/>
  <c r="M40" i="8"/>
  <c r="M51" i="8"/>
  <c r="M111" i="8"/>
  <c r="M56" i="8"/>
  <c r="M87" i="8"/>
  <c r="M59" i="8"/>
  <c r="M110" i="8"/>
  <c r="M41" i="8"/>
  <c r="M92" i="8"/>
  <c r="M118" i="8"/>
  <c r="M31" i="8"/>
  <c r="M42" i="8"/>
  <c r="M52" i="8"/>
  <c r="M3" i="8"/>
  <c r="M60" i="8"/>
  <c r="M91" i="8"/>
  <c r="M63" i="8"/>
  <c r="M115" i="8"/>
  <c r="M142" i="8"/>
  <c r="M33" i="8"/>
  <c r="M49" i="8"/>
  <c r="M23" i="8"/>
  <c r="M100" i="8"/>
  <c r="M66" i="8"/>
  <c r="M11" i="8"/>
  <c r="M26" i="8"/>
  <c r="M34" i="8"/>
  <c r="M39" i="8"/>
  <c r="M44" i="8"/>
  <c r="M50" i="8"/>
  <c r="M80" i="8"/>
  <c r="M101" i="8"/>
  <c r="M27" i="8"/>
  <c r="M18" i="8"/>
  <c r="M68" i="8"/>
  <c r="M83" i="8"/>
  <c r="M99" i="8"/>
  <c r="M55" i="8"/>
  <c r="M114" i="8"/>
  <c r="M106" i="8"/>
  <c r="M132" i="8"/>
  <c r="M146" i="8"/>
  <c r="M54" i="8"/>
  <c r="M35" i="8"/>
  <c r="M46" i="8"/>
  <c r="M88" i="8"/>
  <c r="M6" i="8"/>
  <c r="M71" i="8"/>
  <c r="M103" i="8"/>
  <c r="M122" i="8"/>
  <c r="M137" i="8"/>
  <c r="M145" i="8"/>
  <c r="M7" i="8"/>
  <c r="M58" i="8"/>
  <c r="M130" i="8"/>
  <c r="M36" i="8"/>
  <c r="M47" i="8"/>
  <c r="M93" i="8"/>
  <c r="M10" i="8"/>
  <c r="M75" i="8"/>
  <c r="M119" i="8"/>
  <c r="M133" i="8"/>
  <c r="M136" i="8"/>
  <c r="M147" i="8"/>
  <c r="M148" i="8"/>
  <c r="K248" i="8"/>
  <c r="M149" i="8"/>
  <c r="K249" i="8"/>
  <c r="K250" i="8"/>
  <c r="M150" i="8"/>
  <c r="K251" i="8"/>
  <c r="M151" i="8"/>
  <c r="M152" i="8"/>
  <c r="K252" i="8"/>
  <c r="K253" i="8"/>
  <c r="M153" i="8"/>
  <c r="K143" i="8"/>
  <c r="K254" i="8"/>
  <c r="K148" i="8"/>
  <c r="M154" i="8"/>
  <c r="K150" i="8"/>
  <c r="K151" i="8"/>
  <c r="K3" i="8"/>
  <c r="K137" i="8"/>
  <c r="K152" i="8"/>
  <c r="K142" i="8"/>
  <c r="K136" i="8"/>
  <c r="K153" i="8"/>
  <c r="K145" i="8"/>
  <c r="K138" i="8"/>
  <c r="K144" i="8"/>
  <c r="K141" i="8"/>
  <c r="K139" i="8"/>
  <c r="K147" i="8"/>
  <c r="K146" i="8"/>
  <c r="K140" i="8"/>
  <c r="K149" i="8"/>
  <c r="K154" i="8"/>
  <c r="M155" i="8"/>
  <c r="K4" i="8"/>
  <c r="K255" i="8"/>
  <c r="J119" i="8"/>
  <c r="G142" i="8"/>
  <c r="G138" i="8"/>
  <c r="G134" i="8"/>
  <c r="G130" i="8"/>
  <c r="G139" i="8"/>
  <c r="G141" i="8"/>
  <c r="G140" i="8"/>
  <c r="G137" i="8"/>
  <c r="G135" i="8"/>
  <c r="G132" i="8"/>
  <c r="G129" i="8"/>
  <c r="G127" i="8"/>
  <c r="G128" i="8"/>
  <c r="G124" i="8"/>
  <c r="G136" i="8"/>
  <c r="G133" i="8"/>
  <c r="G131" i="8"/>
  <c r="G125" i="8"/>
  <c r="G126" i="8"/>
  <c r="K155" i="8"/>
  <c r="E258" i="8"/>
  <c r="D258" i="8"/>
  <c r="K258" i="8" s="1"/>
  <c r="C258" i="8"/>
  <c r="J122" i="8"/>
  <c r="J112" i="8"/>
  <c r="J106" i="8"/>
  <c r="K5" i="8"/>
  <c r="K256" i="8"/>
  <c r="H141" i="8"/>
  <c r="H139" i="8"/>
  <c r="H135" i="8"/>
  <c r="H131" i="8"/>
  <c r="H143" i="8"/>
  <c r="H140" i="8"/>
  <c r="H128" i="8"/>
  <c r="H124" i="8"/>
  <c r="H142" i="8"/>
  <c r="H136" i="8"/>
  <c r="H133" i="8"/>
  <c r="H130" i="8"/>
  <c r="H125" i="8"/>
  <c r="J123" i="8"/>
  <c r="H138" i="8"/>
  <c r="J138" i="8" s="1"/>
  <c r="H126" i="8"/>
  <c r="H132" i="8"/>
  <c r="H127" i="8"/>
  <c r="H137" i="8"/>
  <c r="H129" i="8"/>
  <c r="H134" i="8"/>
  <c r="J109" i="8"/>
  <c r="C158" i="8"/>
  <c r="F157" i="8"/>
  <c r="D157" i="8" s="1"/>
  <c r="K157" i="8" s="1"/>
  <c r="M157" i="8"/>
  <c r="B260" i="8"/>
  <c r="K18" i="9" s="1"/>
  <c r="L18" i="9" s="1"/>
  <c r="F259" i="8"/>
  <c r="J116" i="8"/>
  <c r="J111" i="8"/>
  <c r="J120" i="8"/>
  <c r="J115" i="8"/>
  <c r="M156" i="8"/>
  <c r="T156" i="8" s="1"/>
  <c r="U156" i="8" s="1"/>
  <c r="I41" i="1"/>
  <c r="M257" i="8"/>
  <c r="T257" i="8" s="1"/>
  <c r="U257" i="8" s="1"/>
  <c r="I32" i="1"/>
  <c r="I31" i="1"/>
  <c r="K135" i="8" l="1"/>
  <c r="T135" i="8" s="1"/>
  <c r="U135" i="8" s="1"/>
  <c r="J137" i="8"/>
  <c r="J133" i="8"/>
  <c r="J136" i="8"/>
  <c r="J140" i="8"/>
  <c r="J124" i="8"/>
  <c r="M258" i="8"/>
  <c r="J127" i="8"/>
  <c r="J129" i="8"/>
  <c r="J128" i="8"/>
  <c r="J135" i="8"/>
  <c r="J142" i="8"/>
  <c r="J139" i="8"/>
  <c r="J126" i="8"/>
  <c r="J130" i="8"/>
  <c r="J131" i="8"/>
  <c r="I136" i="8"/>
  <c r="L136" i="8" s="1"/>
  <c r="I129" i="8"/>
  <c r="L129" i="8" s="1"/>
  <c r="I140" i="8"/>
  <c r="L140" i="8" s="1"/>
  <c r="I134" i="8"/>
  <c r="L134" i="8" s="1"/>
  <c r="I125" i="8"/>
  <c r="L125" i="8" s="1"/>
  <c r="I124" i="8"/>
  <c r="L124" i="8" s="1"/>
  <c r="I132" i="8"/>
  <c r="L132" i="8" s="1"/>
  <c r="I141" i="8"/>
  <c r="L141" i="8" s="1"/>
  <c r="N141" i="8" s="1"/>
  <c r="P141" i="8" s="1"/>
  <c r="I138" i="8"/>
  <c r="L138" i="8" s="1"/>
  <c r="I131" i="8"/>
  <c r="L131" i="8" s="1"/>
  <c r="I128" i="8"/>
  <c r="L128" i="8" s="1"/>
  <c r="I135" i="8"/>
  <c r="L135" i="8" s="1"/>
  <c r="N135" i="8" s="1"/>
  <c r="P135" i="8" s="1"/>
  <c r="I139" i="8"/>
  <c r="L139" i="8" s="1"/>
  <c r="I142" i="8"/>
  <c r="L142" i="8" s="1"/>
  <c r="I126" i="8"/>
  <c r="L126" i="8" s="1"/>
  <c r="I133" i="8"/>
  <c r="L133" i="8" s="1"/>
  <c r="I127" i="8"/>
  <c r="L127" i="8" s="1"/>
  <c r="I137" i="8"/>
  <c r="L137" i="8" s="1"/>
  <c r="I130" i="8"/>
  <c r="L130" i="8" s="1"/>
  <c r="E259" i="8"/>
  <c r="D259" i="8"/>
  <c r="K259" i="8" s="1"/>
  <c r="C259" i="8"/>
  <c r="M259" i="8" s="1"/>
  <c r="T147" i="8"/>
  <c r="U147" i="8" s="1"/>
  <c r="T142" i="8"/>
  <c r="U142" i="8" s="1"/>
  <c r="T155" i="8"/>
  <c r="U155" i="8" s="1"/>
  <c r="G245" i="8"/>
  <c r="I245" i="8" s="1"/>
  <c r="G244" i="8"/>
  <c r="I244" i="8" s="1"/>
  <c r="G240" i="8"/>
  <c r="I240" i="8" s="1"/>
  <c r="G236" i="8"/>
  <c r="I236" i="8" s="1"/>
  <c r="G232" i="8"/>
  <c r="I232" i="8" s="1"/>
  <c r="G228" i="8"/>
  <c r="I228" i="8" s="1"/>
  <c r="G246" i="8"/>
  <c r="I246" i="8" s="1"/>
  <c r="G241" i="8"/>
  <c r="I241" i="8" s="1"/>
  <c r="G237" i="8"/>
  <c r="I237" i="8" s="1"/>
  <c r="G233" i="8"/>
  <c r="I233" i="8" s="1"/>
  <c r="G229" i="8"/>
  <c r="I229" i="8" s="1"/>
  <c r="G225" i="8"/>
  <c r="I225" i="8" s="1"/>
  <c r="G221" i="8"/>
  <c r="I221" i="8" s="1"/>
  <c r="G214" i="8"/>
  <c r="I214" i="8" s="1"/>
  <c r="G210" i="8"/>
  <c r="I210" i="8" s="1"/>
  <c r="G206" i="8"/>
  <c r="I206" i="8" s="1"/>
  <c r="G202" i="8"/>
  <c r="I202" i="8" s="1"/>
  <c r="G247" i="8"/>
  <c r="G243" i="8"/>
  <c r="I243" i="8" s="1"/>
  <c r="G239" i="8"/>
  <c r="I239" i="8" s="1"/>
  <c r="G235" i="8"/>
  <c r="I235" i="8" s="1"/>
  <c r="G231" i="8"/>
  <c r="I231" i="8" s="1"/>
  <c r="G227" i="8"/>
  <c r="I227" i="8" s="1"/>
  <c r="G224" i="8"/>
  <c r="I224" i="8" s="1"/>
  <c r="G222" i="8"/>
  <c r="I222" i="8" s="1"/>
  <c r="G219" i="8"/>
  <c r="I219" i="8" s="1"/>
  <c r="G215" i="8"/>
  <c r="I215" i="8" s="1"/>
  <c r="G211" i="8"/>
  <c r="I211" i="8" s="1"/>
  <c r="G207" i="8"/>
  <c r="I207" i="8" s="1"/>
  <c r="G203" i="8"/>
  <c r="I203" i="8" s="1"/>
  <c r="G199" i="8"/>
  <c r="I199" i="8" s="1"/>
  <c r="G195" i="8"/>
  <c r="I195" i="8" s="1"/>
  <c r="G191" i="8"/>
  <c r="I191" i="8" s="1"/>
  <c r="G187" i="8"/>
  <c r="I187" i="8" s="1"/>
  <c r="G183" i="8"/>
  <c r="I183" i="8" s="1"/>
  <c r="G179" i="8"/>
  <c r="I179" i="8" s="1"/>
  <c r="G175" i="8"/>
  <c r="I175" i="8" s="1"/>
  <c r="G171" i="8"/>
  <c r="I171" i="8" s="1"/>
  <c r="G220" i="8"/>
  <c r="I220" i="8" s="1"/>
  <c r="G216" i="8"/>
  <c r="I216" i="8" s="1"/>
  <c r="G212" i="8"/>
  <c r="I212" i="8" s="1"/>
  <c r="G208" i="8"/>
  <c r="I208" i="8" s="1"/>
  <c r="G204" i="8"/>
  <c r="I204" i="8" s="1"/>
  <c r="G200" i="8"/>
  <c r="I200" i="8" s="1"/>
  <c r="G164" i="8"/>
  <c r="I164" i="8" s="1"/>
  <c r="G160" i="8"/>
  <c r="I160" i="8" s="1"/>
  <c r="G156" i="8"/>
  <c r="G152" i="8"/>
  <c r="G148" i="8"/>
  <c r="G144" i="8"/>
  <c r="G242" i="8"/>
  <c r="I242" i="8" s="1"/>
  <c r="G234" i="8"/>
  <c r="I234" i="8" s="1"/>
  <c r="G226" i="8"/>
  <c r="I226" i="8" s="1"/>
  <c r="G223" i="8"/>
  <c r="I223" i="8" s="1"/>
  <c r="G197" i="8"/>
  <c r="I197" i="8" s="1"/>
  <c r="G194" i="8"/>
  <c r="I194" i="8" s="1"/>
  <c r="G192" i="8"/>
  <c r="I192" i="8" s="1"/>
  <c r="G189" i="8"/>
  <c r="I189" i="8" s="1"/>
  <c r="G186" i="8"/>
  <c r="I186" i="8" s="1"/>
  <c r="G184" i="8"/>
  <c r="I184" i="8" s="1"/>
  <c r="G181" i="8"/>
  <c r="I181" i="8" s="1"/>
  <c r="G178" i="8"/>
  <c r="I178" i="8" s="1"/>
  <c r="G176" i="8"/>
  <c r="I176" i="8" s="1"/>
  <c r="G173" i="8"/>
  <c r="I173" i="8" s="1"/>
  <c r="G170" i="8"/>
  <c r="I170" i="8" s="1"/>
  <c r="G168" i="8"/>
  <c r="I168" i="8" s="1"/>
  <c r="G165" i="8"/>
  <c r="I165" i="8" s="1"/>
  <c r="G161" i="8"/>
  <c r="I161" i="8" s="1"/>
  <c r="G157" i="8"/>
  <c r="G153" i="8"/>
  <c r="G218" i="8"/>
  <c r="I218" i="8" s="1"/>
  <c r="G213" i="8"/>
  <c r="I213" i="8" s="1"/>
  <c r="G196" i="8"/>
  <c r="I196" i="8" s="1"/>
  <c r="G193" i="8"/>
  <c r="I193" i="8" s="1"/>
  <c r="G180" i="8"/>
  <c r="I180" i="8" s="1"/>
  <c r="G177" i="8"/>
  <c r="I177" i="8" s="1"/>
  <c r="G166" i="8"/>
  <c r="I166" i="8" s="1"/>
  <c r="G162" i="8"/>
  <c r="I162" i="8" s="1"/>
  <c r="G158" i="8"/>
  <c r="I158" i="8" s="1"/>
  <c r="G154" i="8"/>
  <c r="G150" i="8"/>
  <c r="G147" i="8"/>
  <c r="G145" i="8"/>
  <c r="L143" i="8"/>
  <c r="N143" i="8" s="1"/>
  <c r="P143" i="8" s="1"/>
  <c r="G230" i="8"/>
  <c r="I230" i="8" s="1"/>
  <c r="G209" i="8"/>
  <c r="I209" i="8" s="1"/>
  <c r="G182" i="8"/>
  <c r="I182" i="8" s="1"/>
  <c r="G205" i="8"/>
  <c r="I205" i="8" s="1"/>
  <c r="G198" i="8"/>
  <c r="I198" i="8" s="1"/>
  <c r="G188" i="8"/>
  <c r="I188" i="8" s="1"/>
  <c r="G185" i="8"/>
  <c r="I185" i="8" s="1"/>
  <c r="G172" i="8"/>
  <c r="I172" i="8" s="1"/>
  <c r="G169" i="8"/>
  <c r="I169" i="8" s="1"/>
  <c r="G149" i="8"/>
  <c r="G146" i="8"/>
  <c r="G217" i="8"/>
  <c r="I217" i="8" s="1"/>
  <c r="G159" i="8"/>
  <c r="I159" i="8" s="1"/>
  <c r="G201" i="8"/>
  <c r="I201" i="8" s="1"/>
  <c r="G174" i="8"/>
  <c r="I174" i="8" s="1"/>
  <c r="G155" i="8"/>
  <c r="G167" i="8"/>
  <c r="I167" i="8" s="1"/>
  <c r="G151" i="8"/>
  <c r="G163" i="8"/>
  <c r="I163" i="8" s="1"/>
  <c r="G238" i="8"/>
  <c r="I238" i="8" s="1"/>
  <c r="G190" i="8"/>
  <c r="I190" i="8" s="1"/>
  <c r="T149" i="8"/>
  <c r="U149" i="8" s="1"/>
  <c r="T139" i="8"/>
  <c r="U139" i="8" s="1"/>
  <c r="T145" i="8"/>
  <c r="U145" i="8" s="1"/>
  <c r="T152" i="8"/>
  <c r="U152" i="8" s="1"/>
  <c r="T150" i="8"/>
  <c r="U150" i="8" s="1"/>
  <c r="T143" i="8"/>
  <c r="U143" i="8" s="1"/>
  <c r="T157" i="8"/>
  <c r="U157" i="8" s="1"/>
  <c r="T154" i="8"/>
  <c r="U154" i="8" s="1"/>
  <c r="T138" i="8"/>
  <c r="U138" i="8" s="1"/>
  <c r="T151" i="8"/>
  <c r="U151" i="8" s="1"/>
  <c r="B261" i="8"/>
  <c r="K19" i="9" s="1"/>
  <c r="L19" i="9" s="1"/>
  <c r="F260" i="8"/>
  <c r="M158" i="8"/>
  <c r="C159" i="8"/>
  <c r="F158" i="8"/>
  <c r="D158" i="8" s="1"/>
  <c r="K158" i="8" s="1"/>
  <c r="T258" i="8"/>
  <c r="U258" i="8" s="1"/>
  <c r="T4" i="8"/>
  <c r="U4" i="8" s="1"/>
  <c r="O4" i="8"/>
  <c r="Q4" i="8" s="1"/>
  <c r="N4" i="8"/>
  <c r="P4" i="8" s="1"/>
  <c r="T140" i="8"/>
  <c r="U140" i="8" s="1"/>
  <c r="T141" i="8"/>
  <c r="U141" i="8" s="1"/>
  <c r="T153" i="8"/>
  <c r="U153" i="8" s="1"/>
  <c r="T137" i="8"/>
  <c r="U137" i="8" s="1"/>
  <c r="K7" i="8"/>
  <c r="F7" i="8"/>
  <c r="D8" i="8"/>
  <c r="N6" i="8"/>
  <c r="P6" i="8" s="1"/>
  <c r="T6" i="8"/>
  <c r="U6" i="8" s="1"/>
  <c r="O6" i="8"/>
  <c r="Q6" i="8" s="1"/>
  <c r="M253" i="8"/>
  <c r="T253" i="8" s="1"/>
  <c r="U253" i="8" s="1"/>
  <c r="M248" i="8"/>
  <c r="T248" i="8" s="1"/>
  <c r="U248" i="8" s="1"/>
  <c r="K125" i="8"/>
  <c r="K103" i="8"/>
  <c r="K134" i="8"/>
  <c r="K124" i="8"/>
  <c r="K122" i="8"/>
  <c r="K108" i="8"/>
  <c r="K131" i="8"/>
  <c r="K127" i="8"/>
  <c r="K109" i="8"/>
  <c r="O109" i="8" s="1"/>
  <c r="Q109" i="8" s="1"/>
  <c r="K133" i="8"/>
  <c r="M254" i="8"/>
  <c r="T254" i="8" s="1"/>
  <c r="U254" i="8" s="1"/>
  <c r="K106" i="8"/>
  <c r="K120" i="8"/>
  <c r="K118" i="8"/>
  <c r="M252" i="8"/>
  <c r="T252" i="8" s="1"/>
  <c r="U252" i="8" s="1"/>
  <c r="K116" i="8"/>
  <c r="O116" i="8" s="1"/>
  <c r="Q116" i="8" s="1"/>
  <c r="K129" i="8"/>
  <c r="K113" i="8"/>
  <c r="K107" i="8"/>
  <c r="K117" i="8"/>
  <c r="M249" i="8"/>
  <c r="K112" i="8"/>
  <c r="K110" i="8"/>
  <c r="K115" i="8"/>
  <c r="O115" i="8" s="1"/>
  <c r="Q115" i="8" s="1"/>
  <c r="K123" i="8"/>
  <c r="K130" i="8"/>
  <c r="K128" i="8"/>
  <c r="K105" i="8"/>
  <c r="M250" i="8"/>
  <c r="T250" i="8" s="1"/>
  <c r="U250" i="8" s="1"/>
  <c r="K132" i="8"/>
  <c r="K111" i="8"/>
  <c r="K104" i="8"/>
  <c r="K126" i="8"/>
  <c r="K119" i="8"/>
  <c r="K114" i="8"/>
  <c r="M251" i="8"/>
  <c r="T251" i="8" s="1"/>
  <c r="U251" i="8" s="1"/>
  <c r="K121" i="8"/>
  <c r="M255" i="8"/>
  <c r="T255" i="8" s="1"/>
  <c r="U255" i="8" s="1"/>
  <c r="M256" i="8"/>
  <c r="T256" i="8" s="1"/>
  <c r="U256" i="8" s="1"/>
  <c r="J134" i="8"/>
  <c r="J132" i="8"/>
  <c r="J125" i="8"/>
  <c r="H241" i="8"/>
  <c r="H237" i="8"/>
  <c r="H233" i="8"/>
  <c r="H229" i="8"/>
  <c r="H242" i="8"/>
  <c r="H238" i="8"/>
  <c r="H234" i="8"/>
  <c r="H230" i="8"/>
  <c r="H226" i="8"/>
  <c r="J226" i="8" s="1"/>
  <c r="H222" i="8"/>
  <c r="H218" i="8"/>
  <c r="H243" i="8"/>
  <c r="H239" i="8"/>
  <c r="H235" i="8"/>
  <c r="H231" i="8"/>
  <c r="H227" i="8"/>
  <c r="H224" i="8"/>
  <c r="H219" i="8"/>
  <c r="H215" i="8"/>
  <c r="H211" i="8"/>
  <c r="H207" i="8"/>
  <c r="J207" i="8" s="1"/>
  <c r="H203" i="8"/>
  <c r="H225" i="8"/>
  <c r="H216" i="8"/>
  <c r="H212" i="8"/>
  <c r="J212" i="8" s="1"/>
  <c r="H208" i="8"/>
  <c r="H204" i="8"/>
  <c r="H200" i="8"/>
  <c r="H196" i="8"/>
  <c r="J196" i="8" s="1"/>
  <c r="H192" i="8"/>
  <c r="H188" i="8"/>
  <c r="H184" i="8"/>
  <c r="H180" i="8"/>
  <c r="H176" i="8"/>
  <c r="H172" i="8"/>
  <c r="H168" i="8"/>
  <c r="H240" i="8"/>
  <c r="H232" i="8"/>
  <c r="H223" i="8"/>
  <c r="H221" i="8"/>
  <c r="J221" i="8" s="1"/>
  <c r="H214" i="8"/>
  <c r="H210" i="8"/>
  <c r="H206" i="8"/>
  <c r="H202" i="8"/>
  <c r="J202" i="8" s="1"/>
  <c r="H197" i="8"/>
  <c r="H194" i="8"/>
  <c r="H189" i="8"/>
  <c r="H186" i="8"/>
  <c r="H181" i="8"/>
  <c r="J181" i="8" s="1"/>
  <c r="H178" i="8"/>
  <c r="H173" i="8"/>
  <c r="H170" i="8"/>
  <c r="J170" i="8" s="1"/>
  <c r="H165" i="8"/>
  <c r="H161" i="8"/>
  <c r="H157" i="8"/>
  <c r="H153" i="8"/>
  <c r="H149" i="8"/>
  <c r="H145" i="8"/>
  <c r="J143" i="8"/>
  <c r="H195" i="8"/>
  <c r="H187" i="8"/>
  <c r="H179" i="8"/>
  <c r="H171" i="8"/>
  <c r="H166" i="8"/>
  <c r="J166" i="8" s="1"/>
  <c r="H162" i="8"/>
  <c r="H158" i="8"/>
  <c r="H154" i="8"/>
  <c r="H244" i="8"/>
  <c r="H236" i="8"/>
  <c r="H228" i="8"/>
  <c r="H217" i="8"/>
  <c r="H213" i="8"/>
  <c r="H209" i="8"/>
  <c r="H205" i="8"/>
  <c r="H201" i="8"/>
  <c r="H198" i="8"/>
  <c r="H182" i="8"/>
  <c r="H164" i="8"/>
  <c r="H160" i="8"/>
  <c r="H156" i="8"/>
  <c r="H152" i="8"/>
  <c r="H148" i="8"/>
  <c r="H185" i="8"/>
  <c r="H183" i="8"/>
  <c r="H169" i="8"/>
  <c r="H146" i="8"/>
  <c r="H220" i="8"/>
  <c r="H199" i="8"/>
  <c r="H190" i="8"/>
  <c r="J190" i="8" s="1"/>
  <c r="H174" i="8"/>
  <c r="H167" i="8"/>
  <c r="H163" i="8"/>
  <c r="H159" i="8"/>
  <c r="J159" i="8" s="1"/>
  <c r="H155" i="8"/>
  <c r="H151" i="8"/>
  <c r="H144" i="8"/>
  <c r="H191" i="8"/>
  <c r="J191" i="8" s="1"/>
  <c r="H177" i="8"/>
  <c r="H193" i="8"/>
  <c r="H175" i="8"/>
  <c r="J175" i="8" s="1"/>
  <c r="H150" i="8"/>
  <c r="J150" i="8" s="1"/>
  <c r="H147" i="8"/>
  <c r="J141" i="8"/>
  <c r="O5" i="8"/>
  <c r="Q5" i="8" s="1"/>
  <c r="N5" i="8"/>
  <c r="P5" i="8" s="1"/>
  <c r="T5" i="8"/>
  <c r="U5" i="8" s="1"/>
  <c r="O123" i="8"/>
  <c r="Q123" i="8" s="1"/>
  <c r="T146" i="8"/>
  <c r="U146" i="8" s="1"/>
  <c r="T144" i="8"/>
  <c r="U144" i="8" s="1"/>
  <c r="T136" i="8"/>
  <c r="U136" i="8" s="1"/>
  <c r="T3" i="8"/>
  <c r="U3" i="8" s="1"/>
  <c r="N3" i="8"/>
  <c r="P3" i="8" s="1"/>
  <c r="O3" i="8"/>
  <c r="Q3" i="8" s="1"/>
  <c r="T148" i="8"/>
  <c r="U148" i="8" s="1"/>
  <c r="T249" i="8"/>
  <c r="U249" i="8" s="1"/>
  <c r="P2" i="8"/>
  <c r="T2" i="8"/>
  <c r="U2" i="8" s="1"/>
  <c r="O2" i="8"/>
  <c r="J200" i="8" l="1"/>
  <c r="J216" i="8"/>
  <c r="J211" i="8"/>
  <c r="J220" i="8"/>
  <c r="J185" i="8"/>
  <c r="J204" i="8"/>
  <c r="J215" i="8"/>
  <c r="J218" i="8"/>
  <c r="J213" i="8"/>
  <c r="J195" i="8"/>
  <c r="J184" i="8"/>
  <c r="J169" i="8"/>
  <c r="J236" i="8"/>
  <c r="J217" i="8"/>
  <c r="J154" i="8"/>
  <c r="J173" i="8"/>
  <c r="J206" i="8"/>
  <c r="J172" i="8"/>
  <c r="J225" i="8"/>
  <c r="J234" i="8"/>
  <c r="J177" i="8"/>
  <c r="J155" i="8"/>
  <c r="J205" i="8"/>
  <c r="J179" i="8"/>
  <c r="J161" i="8"/>
  <c r="J194" i="8"/>
  <c r="J238" i="8"/>
  <c r="J152" i="8"/>
  <c r="J224" i="8"/>
  <c r="J239" i="8"/>
  <c r="J241" i="8"/>
  <c r="J198" i="8"/>
  <c r="J230" i="8"/>
  <c r="J146" i="8"/>
  <c r="J145" i="8"/>
  <c r="J174" i="8"/>
  <c r="J210" i="8"/>
  <c r="J176" i="8"/>
  <c r="J209" i="8"/>
  <c r="J180" i="8"/>
  <c r="J242" i="8"/>
  <c r="O129" i="8"/>
  <c r="Q129" i="8" s="1"/>
  <c r="J158" i="8"/>
  <c r="J182" i="8"/>
  <c r="J162" i="8"/>
  <c r="J187" i="8"/>
  <c r="J149" i="8"/>
  <c r="J165" i="8"/>
  <c r="J197" i="8"/>
  <c r="J214" i="8"/>
  <c r="J240" i="8"/>
  <c r="J163" i="8"/>
  <c r="J199" i="8"/>
  <c r="J183" i="8"/>
  <c r="J156" i="8"/>
  <c r="J186" i="8"/>
  <c r="J227" i="8"/>
  <c r="J243" i="8"/>
  <c r="J229" i="8"/>
  <c r="O137" i="8"/>
  <c r="Q137" i="8" s="1"/>
  <c r="N137" i="8"/>
  <c r="P137" i="8" s="1"/>
  <c r="N142" i="8"/>
  <c r="P142" i="8" s="1"/>
  <c r="O142" i="8"/>
  <c r="O141" i="8"/>
  <c r="J167" i="8"/>
  <c r="J157" i="8"/>
  <c r="O135" i="8"/>
  <c r="Q135" i="8" s="1"/>
  <c r="J148" i="8"/>
  <c r="J164" i="8"/>
  <c r="J232" i="8"/>
  <c r="J192" i="8"/>
  <c r="J235" i="8"/>
  <c r="J222" i="8"/>
  <c r="J237" i="8"/>
  <c r="O134" i="8"/>
  <c r="Q134" i="8" s="1"/>
  <c r="O140" i="8"/>
  <c r="F141" i="9" s="1"/>
  <c r="N140" i="8"/>
  <c r="P140" i="8" s="1"/>
  <c r="O139" i="8"/>
  <c r="N139" i="8"/>
  <c r="P139" i="8" s="1"/>
  <c r="N138" i="8"/>
  <c r="P138" i="8" s="1"/>
  <c r="O138" i="8"/>
  <c r="Q138" i="8" s="1"/>
  <c r="N136" i="8"/>
  <c r="P136" i="8" s="1"/>
  <c r="O136" i="8"/>
  <c r="Q136" i="8" s="1"/>
  <c r="O132" i="8"/>
  <c r="Q132" i="8" s="1"/>
  <c r="I151" i="8"/>
  <c r="L151" i="8" s="1"/>
  <c r="N151" i="8" s="1"/>
  <c r="P151" i="8" s="1"/>
  <c r="I149" i="8"/>
  <c r="L149" i="8" s="1"/>
  <c r="I147" i="8"/>
  <c r="L147" i="8" s="1"/>
  <c r="N147" i="8" s="1"/>
  <c r="P147" i="8" s="1"/>
  <c r="I153" i="8"/>
  <c r="L153" i="8" s="1"/>
  <c r="N153" i="8" s="1"/>
  <c r="P153" i="8" s="1"/>
  <c r="I144" i="8"/>
  <c r="I40" i="7" s="1"/>
  <c r="G248" i="8"/>
  <c r="I248" i="8" s="1"/>
  <c r="L248" i="8" s="1"/>
  <c r="I247" i="8"/>
  <c r="O127" i="8"/>
  <c r="Q127" i="8" s="1"/>
  <c r="I150" i="8"/>
  <c r="L150" i="8" s="1"/>
  <c r="I157" i="8"/>
  <c r="L157" i="8" s="1"/>
  <c r="I148" i="8"/>
  <c r="L148" i="8" s="1"/>
  <c r="I155" i="8"/>
  <c r="L155" i="8" s="1"/>
  <c r="I154" i="8"/>
  <c r="L154" i="8" s="1"/>
  <c r="I152" i="8"/>
  <c r="L152" i="8" s="1"/>
  <c r="O125" i="8"/>
  <c r="Q125" i="8" s="1"/>
  <c r="I146" i="8"/>
  <c r="L146" i="8" s="1"/>
  <c r="N146" i="8" s="1"/>
  <c r="P146" i="8" s="1"/>
  <c r="I145" i="8"/>
  <c r="L145" i="8" s="1"/>
  <c r="I156" i="8"/>
  <c r="L156" i="8" s="1"/>
  <c r="G249" i="8"/>
  <c r="I249" i="8" s="1"/>
  <c r="L249" i="8" s="1"/>
  <c r="R141" i="8"/>
  <c r="S141" i="8" s="1"/>
  <c r="D3" i="9"/>
  <c r="D6" i="9"/>
  <c r="N111" i="8"/>
  <c r="P111" i="8" s="1"/>
  <c r="T111" i="8"/>
  <c r="U111" i="8" s="1"/>
  <c r="O111" i="8"/>
  <c r="Q111" i="8" s="1"/>
  <c r="N110" i="8"/>
  <c r="P110" i="8" s="1"/>
  <c r="T110" i="8"/>
  <c r="U110" i="8" s="1"/>
  <c r="O110" i="8"/>
  <c r="Q110" i="8" s="1"/>
  <c r="T131" i="8"/>
  <c r="U131" i="8" s="1"/>
  <c r="N131" i="8"/>
  <c r="P131" i="8" s="1"/>
  <c r="T134" i="8"/>
  <c r="U134" i="8" s="1"/>
  <c r="N134" i="8"/>
  <c r="P134" i="8" s="1"/>
  <c r="K8" i="8"/>
  <c r="D9" i="8"/>
  <c r="F8" i="8"/>
  <c r="T259" i="8"/>
  <c r="U259" i="8" s="1"/>
  <c r="T130" i="8"/>
  <c r="U130" i="8" s="1"/>
  <c r="N130" i="8"/>
  <c r="P130" i="8" s="1"/>
  <c r="N118" i="8"/>
  <c r="P118" i="8" s="1"/>
  <c r="T118" i="8"/>
  <c r="U118" i="8" s="1"/>
  <c r="N103" i="8"/>
  <c r="P103" i="8" s="1"/>
  <c r="T103" i="8"/>
  <c r="U103" i="8" s="1"/>
  <c r="O103" i="8"/>
  <c r="Q103" i="8" s="1"/>
  <c r="T158" i="8"/>
  <c r="U158" i="8" s="1"/>
  <c r="B262" i="8"/>
  <c r="K20" i="9" s="1"/>
  <c r="L20" i="9" s="1"/>
  <c r="F261" i="8"/>
  <c r="N114" i="8"/>
  <c r="P114" i="8" s="1"/>
  <c r="T114" i="8"/>
  <c r="U114" i="8" s="1"/>
  <c r="O114" i="8"/>
  <c r="Q114" i="8" s="1"/>
  <c r="T128" i="8"/>
  <c r="U128" i="8" s="1"/>
  <c r="N128" i="8"/>
  <c r="P128" i="8" s="1"/>
  <c r="N107" i="8"/>
  <c r="P107" i="8" s="1"/>
  <c r="T107" i="8"/>
  <c r="U107" i="8" s="1"/>
  <c r="O107" i="8"/>
  <c r="Q107" i="8" s="1"/>
  <c r="E5" i="9"/>
  <c r="F5" i="9"/>
  <c r="R4" i="8"/>
  <c r="E260" i="8"/>
  <c r="D260" i="8"/>
  <c r="K260" i="8" s="1"/>
  <c r="C260" i="8"/>
  <c r="M260" i="8" s="1"/>
  <c r="G259" i="8"/>
  <c r="G257" i="8"/>
  <c r="G252" i="8"/>
  <c r="G253" i="8"/>
  <c r="G258" i="8"/>
  <c r="G254" i="8"/>
  <c r="G255" i="8"/>
  <c r="G251" i="8"/>
  <c r="G250" i="8"/>
  <c r="G256" i="8"/>
  <c r="O131" i="8"/>
  <c r="Q131" i="8" s="1"/>
  <c r="B4" i="9"/>
  <c r="F4" i="9"/>
  <c r="R3" i="8"/>
  <c r="E4" i="9"/>
  <c r="R5" i="8"/>
  <c r="E6" i="9"/>
  <c r="F6" i="9"/>
  <c r="J144" i="8"/>
  <c r="J40" i="7" s="1"/>
  <c r="J244" i="8"/>
  <c r="H245" i="8"/>
  <c r="J168" i="8"/>
  <c r="T132" i="8"/>
  <c r="U132" i="8" s="1"/>
  <c r="N132" i="8"/>
  <c r="P132" i="8" s="1"/>
  <c r="N133" i="8"/>
  <c r="P133" i="8" s="1"/>
  <c r="T133" i="8"/>
  <c r="U133" i="8" s="1"/>
  <c r="R6" i="8"/>
  <c r="F7" i="9"/>
  <c r="E7" i="9"/>
  <c r="R2" i="8"/>
  <c r="B3" i="9"/>
  <c r="F3" i="9"/>
  <c r="E3" i="9"/>
  <c r="O130" i="8"/>
  <c r="Q130" i="8" s="1"/>
  <c r="J201" i="8"/>
  <c r="J171" i="8"/>
  <c r="J188" i="8"/>
  <c r="J231" i="8"/>
  <c r="J233" i="8"/>
  <c r="T121" i="8"/>
  <c r="U121" i="8" s="1"/>
  <c r="N121" i="8"/>
  <c r="P121" i="8" s="1"/>
  <c r="O121" i="8"/>
  <c r="Q121" i="8" s="1"/>
  <c r="N126" i="8"/>
  <c r="P126" i="8" s="1"/>
  <c r="T126" i="8"/>
  <c r="U126" i="8" s="1"/>
  <c r="N123" i="8"/>
  <c r="P123" i="8" s="1"/>
  <c r="T123" i="8"/>
  <c r="U123" i="8" s="1"/>
  <c r="N129" i="8"/>
  <c r="P129" i="8" s="1"/>
  <c r="T129" i="8"/>
  <c r="U129" i="8" s="1"/>
  <c r="T120" i="8"/>
  <c r="U120" i="8" s="1"/>
  <c r="N120" i="8"/>
  <c r="P120" i="8" s="1"/>
  <c r="T109" i="8"/>
  <c r="U109" i="8" s="1"/>
  <c r="N109" i="8"/>
  <c r="P109" i="8" s="1"/>
  <c r="N122" i="8"/>
  <c r="P122" i="8" s="1"/>
  <c r="T122" i="8"/>
  <c r="U122" i="8" s="1"/>
  <c r="O122" i="8"/>
  <c r="Q122" i="8" s="1"/>
  <c r="T125" i="8"/>
  <c r="U125" i="8" s="1"/>
  <c r="N125" i="8"/>
  <c r="P125" i="8" s="1"/>
  <c r="T7" i="8"/>
  <c r="U7" i="8" s="1"/>
  <c r="N7" i="8"/>
  <c r="P7" i="8" s="1"/>
  <c r="O7" i="8"/>
  <c r="Q7" i="8" s="1"/>
  <c r="O133" i="8"/>
  <c r="Q133" i="8" s="1"/>
  <c r="F159" i="8"/>
  <c r="D159" i="8" s="1"/>
  <c r="K159" i="8" s="1"/>
  <c r="M159" i="8"/>
  <c r="C160" i="8"/>
  <c r="O143" i="8"/>
  <c r="Q143" i="8" s="1"/>
  <c r="J153" i="8"/>
  <c r="N119" i="8"/>
  <c r="P119" i="8" s="1"/>
  <c r="T119" i="8"/>
  <c r="U119" i="8" s="1"/>
  <c r="O119" i="8"/>
  <c r="Q119" i="8" s="1"/>
  <c r="T112" i="8"/>
  <c r="U112" i="8" s="1"/>
  <c r="N112" i="8"/>
  <c r="P112" i="8" s="1"/>
  <c r="O112" i="8"/>
  <c r="Q112" i="8" s="1"/>
  <c r="T113" i="8"/>
  <c r="U113" i="8" s="1"/>
  <c r="N113" i="8"/>
  <c r="P113" i="8" s="1"/>
  <c r="O113" i="8"/>
  <c r="Q113" i="8" s="1"/>
  <c r="T108" i="8"/>
  <c r="U108" i="8" s="1"/>
  <c r="N108" i="8"/>
  <c r="P108" i="8" s="1"/>
  <c r="O108" i="8"/>
  <c r="Q108" i="8" s="1"/>
  <c r="D4" i="9"/>
  <c r="J193" i="8"/>
  <c r="J151" i="8"/>
  <c r="J160" i="8"/>
  <c r="J189" i="8"/>
  <c r="J223" i="8"/>
  <c r="J147" i="8"/>
  <c r="J228" i="8"/>
  <c r="J178" i="8"/>
  <c r="J208" i="8"/>
  <c r="J203" i="8"/>
  <c r="J219" i="8"/>
  <c r="T104" i="8"/>
  <c r="U104" i="8" s="1"/>
  <c r="N104" i="8"/>
  <c r="P104" i="8" s="1"/>
  <c r="O104" i="8"/>
  <c r="Q104" i="8" s="1"/>
  <c r="T105" i="8"/>
  <c r="U105" i="8" s="1"/>
  <c r="N105" i="8"/>
  <c r="P105" i="8" s="1"/>
  <c r="O105" i="8"/>
  <c r="Q105" i="8" s="1"/>
  <c r="N115" i="8"/>
  <c r="P115" i="8" s="1"/>
  <c r="T115" i="8"/>
  <c r="U115" i="8" s="1"/>
  <c r="T117" i="8"/>
  <c r="U117" i="8" s="1"/>
  <c r="N117" i="8"/>
  <c r="P117" i="8" s="1"/>
  <c r="O117" i="8"/>
  <c r="Q117" i="8" s="1"/>
  <c r="T116" i="8"/>
  <c r="U116" i="8" s="1"/>
  <c r="N116" i="8"/>
  <c r="P116" i="8" s="1"/>
  <c r="N106" i="8"/>
  <c r="P106" i="8" s="1"/>
  <c r="T106" i="8"/>
  <c r="U106" i="8" s="1"/>
  <c r="O106" i="8"/>
  <c r="Q106" i="8" s="1"/>
  <c r="N127" i="8"/>
  <c r="P127" i="8" s="1"/>
  <c r="T127" i="8"/>
  <c r="U127" i="8" s="1"/>
  <c r="T124" i="8"/>
  <c r="U124" i="8" s="1"/>
  <c r="N124" i="8"/>
  <c r="P124" i="8" s="1"/>
  <c r="D7" i="9"/>
  <c r="D5" i="9"/>
  <c r="O126" i="8"/>
  <c r="Q126" i="8" s="1"/>
  <c r="O124" i="8"/>
  <c r="Q124" i="8" s="1"/>
  <c r="L158" i="8"/>
  <c r="O128" i="8"/>
  <c r="Q128" i="8" s="1"/>
  <c r="O118" i="8"/>
  <c r="Q118" i="8" s="1"/>
  <c r="O120" i="8"/>
  <c r="Q120" i="8" s="1"/>
  <c r="D142" i="9"/>
  <c r="E142" i="9"/>
  <c r="F143" i="9" l="1"/>
  <c r="Q142" i="8"/>
  <c r="Q139" i="8"/>
  <c r="B140" i="9" s="1"/>
  <c r="E141" i="9"/>
  <c r="Q140" i="8"/>
  <c r="B141" i="9" s="1"/>
  <c r="Q141" i="8"/>
  <c r="B142" i="9" s="1"/>
  <c r="L144" i="8"/>
  <c r="N144" i="8" s="1"/>
  <c r="P144" i="8" s="1"/>
  <c r="C7" i="7"/>
  <c r="F142" i="9"/>
  <c r="R138" i="8"/>
  <c r="S138" i="8" s="1"/>
  <c r="R135" i="8"/>
  <c r="S135" i="8" s="1"/>
  <c r="O158" i="8"/>
  <c r="Q158" i="8" s="1"/>
  <c r="E143" i="9"/>
  <c r="B143" i="9"/>
  <c r="D140" i="9"/>
  <c r="O156" i="8"/>
  <c r="Q156" i="8" s="1"/>
  <c r="G260" i="8"/>
  <c r="I260" i="8" s="1"/>
  <c r="R136" i="8"/>
  <c r="S136" i="8" s="1"/>
  <c r="D143" i="9"/>
  <c r="R139" i="8"/>
  <c r="S139" i="8" s="1"/>
  <c r="R142" i="8"/>
  <c r="S142" i="8" s="1"/>
  <c r="E140" i="9"/>
  <c r="F140" i="9"/>
  <c r="N149" i="8"/>
  <c r="P149" i="8" s="1"/>
  <c r="O149" i="8"/>
  <c r="Q149" i="8" s="1"/>
  <c r="N145" i="8"/>
  <c r="P145" i="8" s="1"/>
  <c r="O145" i="8"/>
  <c r="Q145" i="8" s="1"/>
  <c r="O153" i="8"/>
  <c r="Q153" i="8" s="1"/>
  <c r="N156" i="8"/>
  <c r="P156" i="8" s="1"/>
  <c r="O146" i="8"/>
  <c r="Q146" i="8" s="1"/>
  <c r="D141" i="9"/>
  <c r="R137" i="8"/>
  <c r="S137" i="8" s="1"/>
  <c r="N152" i="8"/>
  <c r="P152" i="8" s="1"/>
  <c r="O152" i="8"/>
  <c r="Q152" i="8" s="1"/>
  <c r="N157" i="8"/>
  <c r="P157" i="8" s="1"/>
  <c r="O157" i="8"/>
  <c r="Q157" i="8" s="1"/>
  <c r="N154" i="8"/>
  <c r="P154" i="8" s="1"/>
  <c r="O154" i="8"/>
  <c r="Q154" i="8" s="1"/>
  <c r="N150" i="8"/>
  <c r="P150" i="8" s="1"/>
  <c r="O150" i="8"/>
  <c r="Q150" i="8" s="1"/>
  <c r="N155" i="8"/>
  <c r="P155" i="8" s="1"/>
  <c r="O155" i="8"/>
  <c r="Q155" i="8" s="1"/>
  <c r="N148" i="8"/>
  <c r="P148" i="8" s="1"/>
  <c r="O148" i="8"/>
  <c r="Q148" i="8" s="1"/>
  <c r="I252" i="8"/>
  <c r="I256" i="8"/>
  <c r="I251" i="8"/>
  <c r="I258" i="8"/>
  <c r="I259" i="8"/>
  <c r="O147" i="8"/>
  <c r="Q147" i="8" s="1"/>
  <c r="I255" i="8"/>
  <c r="I253" i="8"/>
  <c r="I250" i="8"/>
  <c r="R140" i="8"/>
  <c r="S140" i="8" s="1"/>
  <c r="O151" i="8"/>
  <c r="O144" i="8"/>
  <c r="Q144" i="8" s="1"/>
  <c r="I254" i="8"/>
  <c r="L254" i="8" s="1"/>
  <c r="I257" i="8"/>
  <c r="C142" i="9"/>
  <c r="R123" i="8"/>
  <c r="S123" i="8" s="1"/>
  <c r="R143" i="8"/>
  <c r="S143" i="8" s="1"/>
  <c r="B144" i="9"/>
  <c r="T159" i="8"/>
  <c r="U159" i="8" s="1"/>
  <c r="F8" i="9"/>
  <c r="R7" i="8"/>
  <c r="E8" i="9"/>
  <c r="H246" i="8"/>
  <c r="J245" i="8"/>
  <c r="S4" i="8"/>
  <c r="C5" i="9"/>
  <c r="R107" i="8"/>
  <c r="S107" i="8" s="1"/>
  <c r="E261" i="8"/>
  <c r="D261" i="8"/>
  <c r="K261" i="8" s="1"/>
  <c r="C261" i="8"/>
  <c r="M261" i="8" s="1"/>
  <c r="R110" i="8"/>
  <c r="S110" i="8" s="1"/>
  <c r="R134" i="8"/>
  <c r="S134" i="8" s="1"/>
  <c r="R128" i="8"/>
  <c r="S128" i="8" s="1"/>
  <c r="R126" i="8"/>
  <c r="S126" i="8" s="1"/>
  <c r="R117" i="8"/>
  <c r="S117" i="8" s="1"/>
  <c r="R104" i="8"/>
  <c r="S104" i="8" s="1"/>
  <c r="R112" i="8"/>
  <c r="S112" i="8" s="1"/>
  <c r="R133" i="8"/>
  <c r="S133" i="8" s="1"/>
  <c r="D8" i="9"/>
  <c r="R122" i="8"/>
  <c r="S122" i="8" s="1"/>
  <c r="T260" i="8"/>
  <c r="U260" i="8" s="1"/>
  <c r="R114" i="8"/>
  <c r="S114" i="8" s="1"/>
  <c r="R129" i="8"/>
  <c r="S129" i="8" s="1"/>
  <c r="L159" i="8"/>
  <c r="O159" i="8" s="1"/>
  <c r="Q159" i="8" s="1"/>
  <c r="B263" i="8"/>
  <c r="K21" i="9" s="1"/>
  <c r="L21" i="9" s="1"/>
  <c r="F262" i="8"/>
  <c r="R127" i="8"/>
  <c r="S127" i="8" s="1"/>
  <c r="R118" i="8"/>
  <c r="S118" i="8" s="1"/>
  <c r="R105" i="8"/>
  <c r="S105" i="8" s="1"/>
  <c r="R113" i="8"/>
  <c r="S113" i="8" s="1"/>
  <c r="C161" i="8"/>
  <c r="F160" i="8"/>
  <c r="M160" i="8"/>
  <c r="R121" i="8"/>
  <c r="S121" i="8" s="1"/>
  <c r="R130" i="8"/>
  <c r="S130" i="8" s="1"/>
  <c r="C3" i="9"/>
  <c r="S2" i="8"/>
  <c r="S6" i="8"/>
  <c r="C7" i="9"/>
  <c r="S5" i="8"/>
  <c r="C6" i="9"/>
  <c r="C4" i="9"/>
  <c r="S3" i="8"/>
  <c r="R116" i="8"/>
  <c r="S116" i="8" s="1"/>
  <c r="N249" i="8"/>
  <c r="P249" i="8" s="1"/>
  <c r="N158" i="8"/>
  <c r="P158" i="8" s="1"/>
  <c r="R103" i="8"/>
  <c r="S103" i="8" s="1"/>
  <c r="D10" i="8"/>
  <c r="F9" i="8"/>
  <c r="K9" i="8"/>
  <c r="R109" i="8"/>
  <c r="S109" i="8" s="1"/>
  <c r="R125" i="8"/>
  <c r="S125" i="8" s="1"/>
  <c r="R124" i="8"/>
  <c r="S124" i="8" s="1"/>
  <c r="R106" i="8"/>
  <c r="S106" i="8" s="1"/>
  <c r="R119" i="8"/>
  <c r="S119" i="8" s="1"/>
  <c r="R120" i="8"/>
  <c r="S120" i="8" s="1"/>
  <c r="R108" i="8"/>
  <c r="S108" i="8" s="1"/>
  <c r="R131" i="8"/>
  <c r="S131" i="8" s="1"/>
  <c r="N248" i="8"/>
  <c r="P248" i="8" s="1"/>
  <c r="R132" i="8"/>
  <c r="S132" i="8" s="1"/>
  <c r="T8" i="8"/>
  <c r="U8" i="8" s="1"/>
  <c r="Q8" i="8"/>
  <c r="N8" i="8"/>
  <c r="P8" i="8" s="1"/>
  <c r="R111" i="8"/>
  <c r="S111" i="8" s="1"/>
  <c r="R115" i="8"/>
  <c r="S115" i="8" s="1"/>
  <c r="F144" i="9"/>
  <c r="E144" i="9"/>
  <c r="D144" i="9"/>
  <c r="B5" i="9"/>
  <c r="L258" i="8" l="1"/>
  <c r="N258" i="8" s="1"/>
  <c r="P258" i="8" s="1"/>
  <c r="L255" i="8"/>
  <c r="N255" i="8" s="1"/>
  <c r="P255" i="8" s="1"/>
  <c r="L251" i="8"/>
  <c r="N251" i="8" s="1"/>
  <c r="P251" i="8" s="1"/>
  <c r="L253" i="8"/>
  <c r="N253" i="8" s="1"/>
  <c r="P253" i="8" s="1"/>
  <c r="L257" i="8"/>
  <c r="N257" i="8" s="1"/>
  <c r="P257" i="8" s="1"/>
  <c r="L256" i="8"/>
  <c r="N256" i="8" s="1"/>
  <c r="P256" i="8" s="1"/>
  <c r="L250" i="8"/>
  <c r="N250" i="8" s="1"/>
  <c r="P250" i="8" s="1"/>
  <c r="L259" i="8"/>
  <c r="N259" i="8" s="1"/>
  <c r="P259" i="8" s="1"/>
  <c r="L252" i="8"/>
  <c r="N252" i="8" s="1"/>
  <c r="P252" i="8" s="1"/>
  <c r="L260" i="8"/>
  <c r="N260" i="8" s="1"/>
  <c r="P260" i="8" s="1"/>
  <c r="N254" i="8"/>
  <c r="P254" i="8" s="1"/>
  <c r="R151" i="8"/>
  <c r="S151" i="8" s="1"/>
  <c r="Q151" i="8"/>
  <c r="G10" i="7"/>
  <c r="B7" i="7"/>
  <c r="G41" i="7" s="1"/>
  <c r="E7" i="7"/>
  <c r="R146" i="8"/>
  <c r="S146" i="8" s="1"/>
  <c r="R145" i="8"/>
  <c r="S145" i="8" s="1"/>
  <c r="R156" i="8"/>
  <c r="S156" i="8" s="1"/>
  <c r="R144" i="8"/>
  <c r="S144" i="8" s="1"/>
  <c r="R157" i="8"/>
  <c r="S157" i="8" s="1"/>
  <c r="G261" i="8"/>
  <c r="I261" i="8" s="1"/>
  <c r="R154" i="8"/>
  <c r="S154" i="8" s="1"/>
  <c r="C140" i="9"/>
  <c r="R149" i="8"/>
  <c r="S149" i="8" s="1"/>
  <c r="R153" i="8"/>
  <c r="S153" i="8" s="1"/>
  <c r="R148" i="8"/>
  <c r="S148" i="8" s="1"/>
  <c r="R150" i="8"/>
  <c r="S150" i="8" s="1"/>
  <c r="R147" i="8"/>
  <c r="S147" i="8" s="1"/>
  <c r="C143" i="9"/>
  <c r="R152" i="8"/>
  <c r="S152" i="8" s="1"/>
  <c r="R155" i="8"/>
  <c r="S155" i="8" s="1"/>
  <c r="C141" i="9"/>
  <c r="C144" i="9"/>
  <c r="D160" i="8"/>
  <c r="K160" i="8" s="1"/>
  <c r="L160" i="8"/>
  <c r="B264" i="8"/>
  <c r="K22" i="9" s="1"/>
  <c r="L22" i="9" s="1"/>
  <c r="F263" i="8"/>
  <c r="T261" i="8"/>
  <c r="U261" i="8" s="1"/>
  <c r="H247" i="8"/>
  <c r="H249" i="8" s="1"/>
  <c r="J246" i="8"/>
  <c r="O9" i="8"/>
  <c r="Q9" i="8" s="1"/>
  <c r="N9" i="8"/>
  <c r="P9" i="8" s="1"/>
  <c r="T9" i="8"/>
  <c r="U9" i="8" s="1"/>
  <c r="D9" i="9"/>
  <c r="C162" i="8"/>
  <c r="F161" i="8"/>
  <c r="M161" i="8"/>
  <c r="F9" i="9"/>
  <c r="R8" i="8"/>
  <c r="E9" i="9"/>
  <c r="K10" i="8"/>
  <c r="D11" i="8"/>
  <c r="F10" i="8"/>
  <c r="S7" i="8"/>
  <c r="C8" i="9"/>
  <c r="N159" i="8"/>
  <c r="P159" i="8" s="1"/>
  <c r="E262" i="8"/>
  <c r="D262" i="8"/>
  <c r="K262" i="8" s="1"/>
  <c r="C262" i="8"/>
  <c r="M262" i="8" s="1"/>
  <c r="R158" i="8"/>
  <c r="S158" i="8" s="1"/>
  <c r="B6" i="9"/>
  <c r="L261" i="8" l="1"/>
  <c r="N261" i="8" s="1"/>
  <c r="P261" i="8" s="1"/>
  <c r="G7" i="7"/>
  <c r="I7" i="7" s="1"/>
  <c r="H7" i="7"/>
  <c r="J7" i="7" s="1"/>
  <c r="H41" i="7" s="1"/>
  <c r="H40" i="7" s="1"/>
  <c r="G262" i="8"/>
  <c r="I262" i="8" s="1"/>
  <c r="O160" i="8"/>
  <c r="Q160" i="8" s="1"/>
  <c r="M162" i="8"/>
  <c r="C163" i="8"/>
  <c r="F162" i="8"/>
  <c r="D10" i="9"/>
  <c r="N10" i="8"/>
  <c r="P10" i="8" s="1"/>
  <c r="T10" i="8"/>
  <c r="U10" i="8" s="1"/>
  <c r="O10" i="8"/>
  <c r="Q10" i="8" s="1"/>
  <c r="D161" i="8"/>
  <c r="K161" i="8" s="1"/>
  <c r="L161" i="8"/>
  <c r="S8" i="8"/>
  <c r="C9" i="9"/>
  <c r="R159" i="8"/>
  <c r="S159" i="8" s="1"/>
  <c r="R9" i="8"/>
  <c r="E10" i="9"/>
  <c r="F10" i="9"/>
  <c r="N160" i="8"/>
  <c r="P160" i="8" s="1"/>
  <c r="T160" i="8"/>
  <c r="U160" i="8" s="1"/>
  <c r="T262" i="8"/>
  <c r="U262" i="8" s="1"/>
  <c r="H262" i="8"/>
  <c r="H261" i="8"/>
  <c r="J261" i="8" s="1"/>
  <c r="O261" i="8" s="1"/>
  <c r="Q261" i="8" s="1"/>
  <c r="H260" i="8"/>
  <c r="J260" i="8" s="1"/>
  <c r="O260" i="8" s="1"/>
  <c r="Q260" i="8" s="1"/>
  <c r="H259" i="8"/>
  <c r="J259" i="8" s="1"/>
  <c r="O259" i="8" s="1"/>
  <c r="Q259" i="8" s="1"/>
  <c r="H258" i="8"/>
  <c r="J258" i="8" s="1"/>
  <c r="O258" i="8" s="1"/>
  <c r="Q258" i="8" s="1"/>
  <c r="H257" i="8"/>
  <c r="J257" i="8" s="1"/>
  <c r="O257" i="8" s="1"/>
  <c r="Q257" i="8" s="1"/>
  <c r="H256" i="8"/>
  <c r="J256" i="8" s="1"/>
  <c r="O256" i="8" s="1"/>
  <c r="Q256" i="8" s="1"/>
  <c r="H253" i="8"/>
  <c r="J253" i="8" s="1"/>
  <c r="O253" i="8" s="1"/>
  <c r="Q253" i="8" s="1"/>
  <c r="H254" i="8"/>
  <c r="J254" i="8" s="1"/>
  <c r="O254" i="8" s="1"/>
  <c r="Q254" i="8" s="1"/>
  <c r="H255" i="8"/>
  <c r="J255" i="8" s="1"/>
  <c r="O255" i="8" s="1"/>
  <c r="Q255" i="8" s="1"/>
  <c r="H251" i="8"/>
  <c r="J251" i="8" s="1"/>
  <c r="O251" i="8" s="1"/>
  <c r="Q251" i="8" s="1"/>
  <c r="J247" i="8"/>
  <c r="H248" i="8"/>
  <c r="J248" i="8" s="1"/>
  <c r="O248" i="8" s="1"/>
  <c r="Q248" i="8" s="1"/>
  <c r="H252" i="8"/>
  <c r="J252" i="8" s="1"/>
  <c r="O252" i="8" s="1"/>
  <c r="Q252" i="8" s="1"/>
  <c r="J249" i="8"/>
  <c r="O249" i="8" s="1"/>
  <c r="Q249" i="8" s="1"/>
  <c r="H250" i="8"/>
  <c r="J250" i="8" s="1"/>
  <c r="O250" i="8" s="1"/>
  <c r="Q250" i="8" s="1"/>
  <c r="B265" i="8"/>
  <c r="K23" i="9" s="1"/>
  <c r="L23" i="9" s="1"/>
  <c r="F264" i="8"/>
  <c r="K11" i="8"/>
  <c r="F11" i="8"/>
  <c r="D12" i="8"/>
  <c r="E263" i="8"/>
  <c r="D263" i="8"/>
  <c r="K263" i="8" s="1"/>
  <c r="C263" i="8"/>
  <c r="M263" i="8" s="1"/>
  <c r="I6" i="6"/>
  <c r="B7" i="9"/>
  <c r="J262" i="8" l="1"/>
  <c r="L262" i="8"/>
  <c r="N262" i="8" s="1"/>
  <c r="P262" i="8" s="1"/>
  <c r="G263" i="8"/>
  <c r="I263" i="8" s="1"/>
  <c r="R252" i="8"/>
  <c r="S252" i="8" s="1"/>
  <c r="R255" i="8"/>
  <c r="S255" i="8" s="1"/>
  <c r="R257" i="8"/>
  <c r="S257" i="8" s="1"/>
  <c r="R261" i="8"/>
  <c r="S261" i="8" s="1"/>
  <c r="T161" i="8"/>
  <c r="U161" i="8" s="1"/>
  <c r="N161" i="8"/>
  <c r="P161" i="8" s="1"/>
  <c r="D162" i="8"/>
  <c r="K162" i="8" s="1"/>
  <c r="L162" i="8"/>
  <c r="K12" i="8"/>
  <c r="D13" i="8"/>
  <c r="F12" i="8"/>
  <c r="B266" i="8"/>
  <c r="K24" i="9" s="1"/>
  <c r="L24" i="9" s="1"/>
  <c r="F265" i="8"/>
  <c r="R248" i="8"/>
  <c r="S248" i="8" s="1"/>
  <c r="R254" i="8"/>
  <c r="S254" i="8" s="1"/>
  <c r="R258" i="8"/>
  <c r="S258" i="8" s="1"/>
  <c r="R10" i="8"/>
  <c r="F11" i="9"/>
  <c r="E11" i="9"/>
  <c r="R160" i="8"/>
  <c r="S160" i="8" s="1"/>
  <c r="F163" i="8"/>
  <c r="M163" i="8"/>
  <c r="C164" i="8"/>
  <c r="E264" i="8"/>
  <c r="D264" i="8"/>
  <c r="K264" i="8" s="1"/>
  <c r="C264" i="8"/>
  <c r="M264" i="8" s="1"/>
  <c r="T263" i="8"/>
  <c r="U263" i="8" s="1"/>
  <c r="R250" i="8"/>
  <c r="S250" i="8" s="1"/>
  <c r="R253" i="8"/>
  <c r="S253" i="8" s="1"/>
  <c r="R259" i="8"/>
  <c r="S259" i="8" s="1"/>
  <c r="H263" i="8"/>
  <c r="J263" i="8" s="1"/>
  <c r="T11" i="8"/>
  <c r="U11" i="8" s="1"/>
  <c r="N11" i="8"/>
  <c r="P11" i="8" s="1"/>
  <c r="O11" i="8"/>
  <c r="Q11" i="8" s="1"/>
  <c r="R249" i="8"/>
  <c r="S249" i="8" s="1"/>
  <c r="R251" i="8"/>
  <c r="S251" i="8" s="1"/>
  <c r="R256" i="8"/>
  <c r="S256" i="8" s="1"/>
  <c r="R260" i="8"/>
  <c r="S260" i="8" s="1"/>
  <c r="S9" i="8"/>
  <c r="C10" i="9"/>
  <c r="O161" i="8"/>
  <c r="Q161" i="8" s="1"/>
  <c r="D11" i="9"/>
  <c r="B8" i="9"/>
  <c r="L263" i="8" l="1"/>
  <c r="N263" i="8" s="1"/>
  <c r="P263" i="8" s="1"/>
  <c r="O262" i="8"/>
  <c r="Q262" i="8" s="1"/>
  <c r="O162" i="8"/>
  <c r="Q162" i="8" s="1"/>
  <c r="D163" i="8"/>
  <c r="K163" i="8" s="1"/>
  <c r="L163" i="8"/>
  <c r="T12" i="8"/>
  <c r="U12" i="8" s="1"/>
  <c r="O12" i="8"/>
  <c r="Q12" i="8" s="1"/>
  <c r="N12" i="8"/>
  <c r="P12" i="8" s="1"/>
  <c r="F12" i="9"/>
  <c r="R11" i="8"/>
  <c r="E12" i="9"/>
  <c r="G264" i="8"/>
  <c r="H264" i="8"/>
  <c r="C11" i="9"/>
  <c r="S10" i="8"/>
  <c r="B267" i="8"/>
  <c r="K25" i="9" s="1"/>
  <c r="L25" i="9" s="1"/>
  <c r="F266" i="8"/>
  <c r="E265" i="8"/>
  <c r="D265" i="8"/>
  <c r="K265" i="8" s="1"/>
  <c r="C265" i="8"/>
  <c r="M265" i="8" s="1"/>
  <c r="R161" i="8"/>
  <c r="S161" i="8" s="1"/>
  <c r="D12" i="9"/>
  <c r="C165" i="8"/>
  <c r="F164" i="8"/>
  <c r="M164" i="8"/>
  <c r="T162" i="8"/>
  <c r="U162" i="8" s="1"/>
  <c r="N162" i="8"/>
  <c r="P162" i="8" s="1"/>
  <c r="T264" i="8"/>
  <c r="U264" i="8" s="1"/>
  <c r="D14" i="8"/>
  <c r="F13" i="8"/>
  <c r="K13" i="8"/>
  <c r="B9" i="9"/>
  <c r="R262" i="8" l="1"/>
  <c r="S262" i="8" s="1"/>
  <c r="O263" i="8"/>
  <c r="Q263" i="8" s="1"/>
  <c r="I264" i="8"/>
  <c r="L264" i="8" s="1"/>
  <c r="O163" i="8"/>
  <c r="Q163" i="8" s="1"/>
  <c r="R162" i="8"/>
  <c r="S162" i="8" s="1"/>
  <c r="D13" i="9"/>
  <c r="N163" i="8"/>
  <c r="P163" i="8" s="1"/>
  <c r="T163" i="8"/>
  <c r="U163" i="8" s="1"/>
  <c r="K14" i="8"/>
  <c r="D15" i="8"/>
  <c r="F14" i="8"/>
  <c r="B268" i="8"/>
  <c r="F267" i="8"/>
  <c r="O13" i="8"/>
  <c r="Q13" i="8" s="1"/>
  <c r="N13" i="8"/>
  <c r="P13" i="8" s="1"/>
  <c r="T13" i="8"/>
  <c r="U13" i="8" s="1"/>
  <c r="D164" i="8"/>
  <c r="K164" i="8" s="1"/>
  <c r="L164" i="8"/>
  <c r="T265" i="8"/>
  <c r="U265" i="8" s="1"/>
  <c r="S11" i="8"/>
  <c r="C12" i="9"/>
  <c r="F13" i="9"/>
  <c r="R12" i="8"/>
  <c r="E13" i="9"/>
  <c r="G265" i="8"/>
  <c r="H265" i="8"/>
  <c r="C166" i="8"/>
  <c r="F165" i="8"/>
  <c r="M165" i="8"/>
  <c r="E266" i="8"/>
  <c r="D266" i="8"/>
  <c r="K266" i="8" s="1"/>
  <c r="C266" i="8"/>
  <c r="M266" i="8" s="1"/>
  <c r="J264" i="8"/>
  <c r="B10" i="9"/>
  <c r="F268" i="8" l="1"/>
  <c r="C268" i="8" s="1"/>
  <c r="M268" i="8" s="1"/>
  <c r="K26" i="9"/>
  <c r="L26" i="9" s="1"/>
  <c r="R263" i="8"/>
  <c r="S263" i="8" s="1"/>
  <c r="N264" i="8"/>
  <c r="P264" i="8" s="1"/>
  <c r="O264" i="8"/>
  <c r="Q264" i="8" s="1"/>
  <c r="R163" i="8"/>
  <c r="S163" i="8" s="1"/>
  <c r="I265" i="8"/>
  <c r="O164" i="8"/>
  <c r="Q164" i="8" s="1"/>
  <c r="D165" i="8"/>
  <c r="K165" i="8" s="1"/>
  <c r="L165" i="8"/>
  <c r="R13" i="8"/>
  <c r="E14" i="9"/>
  <c r="F14" i="9"/>
  <c r="E267" i="8"/>
  <c r="D267" i="8"/>
  <c r="K267" i="8" s="1"/>
  <c r="C267" i="8"/>
  <c r="M267" i="8" s="1"/>
  <c r="N14" i="8"/>
  <c r="P14" i="8" s="1"/>
  <c r="T14" i="8"/>
  <c r="U14" i="8" s="1"/>
  <c r="O14" i="8"/>
  <c r="Q14" i="8" s="1"/>
  <c r="D14" i="9"/>
  <c r="K15" i="8"/>
  <c r="F15" i="8"/>
  <c r="D16" i="8"/>
  <c r="M166" i="8"/>
  <c r="C167" i="8"/>
  <c r="F166" i="8"/>
  <c r="S12" i="8"/>
  <c r="C13" i="9"/>
  <c r="N164" i="8"/>
  <c r="P164" i="8" s="1"/>
  <c r="T164" i="8"/>
  <c r="U164" i="8" s="1"/>
  <c r="E268" i="8"/>
  <c r="D268" i="8"/>
  <c r="K268" i="8" s="1"/>
  <c r="T266" i="8"/>
  <c r="U266" i="8" s="1"/>
  <c r="G266" i="8"/>
  <c r="H266" i="8"/>
  <c r="J265" i="8"/>
  <c r="B11" i="9"/>
  <c r="L265" i="8" l="1"/>
  <c r="N265" i="8" s="1"/>
  <c r="P265" i="8" s="1"/>
  <c r="G268" i="8"/>
  <c r="I268" i="8" s="1"/>
  <c r="I266" i="8"/>
  <c r="L266" i="8" s="1"/>
  <c r="R264" i="8"/>
  <c r="S264" i="8" s="1"/>
  <c r="J266" i="8"/>
  <c r="O165" i="8"/>
  <c r="Q165" i="8" s="1"/>
  <c r="H268" i="8"/>
  <c r="D166" i="8"/>
  <c r="K166" i="8" s="1"/>
  <c r="L166" i="8"/>
  <c r="G267" i="8"/>
  <c r="H267" i="8"/>
  <c r="S13" i="8"/>
  <c r="C14" i="9"/>
  <c r="T165" i="8"/>
  <c r="U165" i="8" s="1"/>
  <c r="N165" i="8"/>
  <c r="P165" i="8" s="1"/>
  <c r="K16" i="8"/>
  <c r="D17" i="8"/>
  <c r="F16" i="8"/>
  <c r="D15" i="9"/>
  <c r="T268" i="8"/>
  <c r="U268" i="8" s="1"/>
  <c r="C168" i="8"/>
  <c r="F167" i="8"/>
  <c r="M167" i="8"/>
  <c r="T15" i="8"/>
  <c r="U15" i="8" s="1"/>
  <c r="N15" i="8"/>
  <c r="P15" i="8" s="1"/>
  <c r="O15" i="8"/>
  <c r="Q15" i="8" s="1"/>
  <c r="R14" i="8"/>
  <c r="F15" i="9"/>
  <c r="E15" i="9"/>
  <c r="T267" i="8"/>
  <c r="U267" i="8" s="1"/>
  <c r="R164" i="8"/>
  <c r="S164" i="8" s="1"/>
  <c r="B12" i="9"/>
  <c r="L268" i="8" l="1"/>
  <c r="N268" i="8" s="1"/>
  <c r="P268" i="8" s="1"/>
  <c r="J268" i="8"/>
  <c r="O268" i="8" s="1"/>
  <c r="Q268" i="8" s="1"/>
  <c r="O265" i="8"/>
  <c r="Q265" i="8" s="1"/>
  <c r="N266" i="8"/>
  <c r="P266" i="8" s="1"/>
  <c r="O266" i="8"/>
  <c r="Q266" i="8" s="1"/>
  <c r="I267" i="8"/>
  <c r="L267" i="8" s="1"/>
  <c r="J267" i="8"/>
  <c r="C169" i="8"/>
  <c r="M168" i="8"/>
  <c r="F168" i="8"/>
  <c r="R165" i="8"/>
  <c r="S165" i="8" s="1"/>
  <c r="S14" i="8"/>
  <c r="C15" i="9"/>
  <c r="D18" i="8"/>
  <c r="F17" i="8"/>
  <c r="K17" i="8"/>
  <c r="O166" i="8"/>
  <c r="Q166" i="8" s="1"/>
  <c r="D16" i="9"/>
  <c r="F16" i="9"/>
  <c r="R15" i="8"/>
  <c r="E16" i="9"/>
  <c r="D167" i="8"/>
  <c r="K167" i="8" s="1"/>
  <c r="L167" i="8"/>
  <c r="T16" i="8"/>
  <c r="U16" i="8" s="1"/>
  <c r="O16" i="8"/>
  <c r="Q16" i="8" s="1"/>
  <c r="N16" i="8"/>
  <c r="P16" i="8" s="1"/>
  <c r="T166" i="8"/>
  <c r="U166" i="8" s="1"/>
  <c r="N166" i="8"/>
  <c r="P166" i="8" s="1"/>
  <c r="B13" i="9"/>
  <c r="R265" i="8" l="1"/>
  <c r="S265" i="8" s="1"/>
  <c r="N267" i="8"/>
  <c r="P267" i="8" s="1"/>
  <c r="R266" i="8"/>
  <c r="S266" i="8" s="1"/>
  <c r="D17" i="9"/>
  <c r="R268" i="8"/>
  <c r="S268" i="8" s="1"/>
  <c r="D168" i="8"/>
  <c r="K168" i="8" s="1"/>
  <c r="L168" i="8"/>
  <c r="O17" i="8"/>
  <c r="Q17" i="8" s="1"/>
  <c r="N17" i="8"/>
  <c r="P17" i="8" s="1"/>
  <c r="T17" i="8"/>
  <c r="U17" i="8" s="1"/>
  <c r="S15" i="8"/>
  <c r="C16" i="9"/>
  <c r="K18" i="8"/>
  <c r="D19" i="8"/>
  <c r="F18" i="8"/>
  <c r="N167" i="8"/>
  <c r="P167" i="8" s="1"/>
  <c r="T167" i="8"/>
  <c r="U167" i="8" s="1"/>
  <c r="F17" i="9"/>
  <c r="R16" i="8"/>
  <c r="E17" i="9"/>
  <c r="O167" i="8"/>
  <c r="Q167" i="8" s="1"/>
  <c r="R166" i="8"/>
  <c r="S166" i="8" s="1"/>
  <c r="M169" i="8"/>
  <c r="F169" i="8"/>
  <c r="C170" i="8"/>
  <c r="B14" i="9"/>
  <c r="O267" i="8" l="1"/>
  <c r="F170" i="8"/>
  <c r="C171" i="8"/>
  <c r="M170" i="8"/>
  <c r="D169" i="8"/>
  <c r="K169" i="8" s="1"/>
  <c r="L169" i="8"/>
  <c r="K19" i="8"/>
  <c r="F19" i="8"/>
  <c r="D20" i="8"/>
  <c r="R17" i="8"/>
  <c r="E18" i="9"/>
  <c r="F18" i="9"/>
  <c r="R167" i="8"/>
  <c r="S167" i="8" s="1"/>
  <c r="N18" i="8"/>
  <c r="P18" i="8" s="1"/>
  <c r="T18" i="8"/>
  <c r="U18" i="8" s="1"/>
  <c r="O18" i="8"/>
  <c r="Q18" i="8" s="1"/>
  <c r="O168" i="8"/>
  <c r="Q168" i="8" s="1"/>
  <c r="D18" i="9"/>
  <c r="S16" i="8"/>
  <c r="C17" i="9"/>
  <c r="T168" i="8"/>
  <c r="U168" i="8" s="1"/>
  <c r="N168" i="8"/>
  <c r="P168" i="8" s="1"/>
  <c r="B15" i="9"/>
  <c r="R267" i="8" l="1"/>
  <c r="S267" i="8" s="1"/>
  <c r="Q267" i="8"/>
  <c r="T169" i="8"/>
  <c r="U169" i="8" s="1"/>
  <c r="N169" i="8"/>
  <c r="P169" i="8" s="1"/>
  <c r="D19" i="9"/>
  <c r="T19" i="8"/>
  <c r="U19" i="8" s="1"/>
  <c r="N19" i="8"/>
  <c r="P19" i="8" s="1"/>
  <c r="O19" i="8"/>
  <c r="Q19" i="8" s="1"/>
  <c r="C172" i="8"/>
  <c r="M171" i="8"/>
  <c r="F171" i="8"/>
  <c r="K20" i="8"/>
  <c r="D21" i="8"/>
  <c r="F20" i="8"/>
  <c r="R168" i="8"/>
  <c r="S168" i="8" s="1"/>
  <c r="R18" i="8"/>
  <c r="F19" i="9"/>
  <c r="E19" i="9"/>
  <c r="S17" i="8"/>
  <c r="C18" i="9"/>
  <c r="O169" i="8"/>
  <c r="Q169" i="8" s="1"/>
  <c r="D170" i="8"/>
  <c r="K170" i="8" s="1"/>
  <c r="L170" i="8"/>
  <c r="B16" i="9"/>
  <c r="O170" i="8" l="1"/>
  <c r="Q170" i="8" s="1"/>
  <c r="F172" i="8"/>
  <c r="M172" i="8"/>
  <c r="C173" i="8"/>
  <c r="T20" i="8"/>
  <c r="U20" i="8" s="1"/>
  <c r="O20" i="8"/>
  <c r="Q20" i="8" s="1"/>
  <c r="N20" i="8"/>
  <c r="P20" i="8" s="1"/>
  <c r="R19" i="8"/>
  <c r="E20" i="9"/>
  <c r="F20" i="9"/>
  <c r="D22" i="8"/>
  <c r="F21" i="8"/>
  <c r="K21" i="8"/>
  <c r="R169" i="8"/>
  <c r="S169" i="8" s="1"/>
  <c r="D171" i="8"/>
  <c r="K171" i="8" s="1"/>
  <c r="L171" i="8"/>
  <c r="D20" i="9"/>
  <c r="C19" i="9"/>
  <c r="S18" i="8"/>
  <c r="N170" i="8"/>
  <c r="P170" i="8" s="1"/>
  <c r="T170" i="8"/>
  <c r="U170" i="8" s="1"/>
  <c r="D265" i="9"/>
  <c r="B17" i="9"/>
  <c r="O171" i="8" l="1"/>
  <c r="Q171" i="8" s="1"/>
  <c r="O21" i="8"/>
  <c r="Q21" i="8" s="1"/>
  <c r="N21" i="8"/>
  <c r="P21" i="8" s="1"/>
  <c r="T21" i="8"/>
  <c r="U21" i="8" s="1"/>
  <c r="R170" i="8"/>
  <c r="S170" i="8" s="1"/>
  <c r="M173" i="8"/>
  <c r="C174" i="8"/>
  <c r="F173" i="8"/>
  <c r="C20" i="9"/>
  <c r="S19" i="8"/>
  <c r="D21" i="9"/>
  <c r="T171" i="8"/>
  <c r="U171" i="8" s="1"/>
  <c r="N171" i="8"/>
  <c r="P171" i="8" s="1"/>
  <c r="K22" i="8"/>
  <c r="F22" i="8"/>
  <c r="D23" i="8"/>
  <c r="E21" i="9"/>
  <c r="F21" i="9"/>
  <c r="R20" i="8"/>
  <c r="D172" i="8"/>
  <c r="K172" i="8" s="1"/>
  <c r="L172" i="8"/>
  <c r="F265" i="9"/>
  <c r="E265" i="9"/>
  <c r="B265" i="9"/>
  <c r="C265" i="9"/>
  <c r="B18" i="9"/>
  <c r="O172" i="8" l="1"/>
  <c r="Q172" i="8" s="1"/>
  <c r="D173" i="8"/>
  <c r="K173" i="8" s="1"/>
  <c r="L173" i="8"/>
  <c r="N22" i="8"/>
  <c r="P22" i="8" s="1"/>
  <c r="T22" i="8"/>
  <c r="U22" i="8" s="1"/>
  <c r="O22" i="8"/>
  <c r="Q22" i="8" s="1"/>
  <c r="F174" i="8"/>
  <c r="C175" i="8"/>
  <c r="M174" i="8"/>
  <c r="D22" i="9"/>
  <c r="T172" i="8"/>
  <c r="U172" i="8" s="1"/>
  <c r="N172" i="8"/>
  <c r="P172" i="8" s="1"/>
  <c r="R21" i="8"/>
  <c r="E22" i="9"/>
  <c r="F22" i="9"/>
  <c r="S20" i="8"/>
  <c r="C21" i="9"/>
  <c r="K23" i="8"/>
  <c r="F23" i="8"/>
  <c r="D24" i="8"/>
  <c r="R171" i="8"/>
  <c r="S171" i="8" s="1"/>
  <c r="D266" i="9"/>
  <c r="F266" i="9"/>
  <c r="E266" i="9"/>
  <c r="B266" i="9"/>
  <c r="C266" i="9"/>
  <c r="B19" i="9"/>
  <c r="O173" i="8" l="1"/>
  <c r="Q173" i="8" s="1"/>
  <c r="K24" i="8"/>
  <c r="D25" i="8"/>
  <c r="F24" i="8"/>
  <c r="C176" i="8"/>
  <c r="F175" i="8"/>
  <c r="M175" i="8"/>
  <c r="D23" i="9"/>
  <c r="D174" i="8"/>
  <c r="K174" i="8" s="1"/>
  <c r="L174" i="8"/>
  <c r="R172" i="8"/>
  <c r="S172" i="8" s="1"/>
  <c r="T23" i="8"/>
  <c r="U23" i="8" s="1"/>
  <c r="N23" i="8"/>
  <c r="P23" i="8" s="1"/>
  <c r="O23" i="8"/>
  <c r="Q23" i="8" s="1"/>
  <c r="S21" i="8"/>
  <c r="C22" i="9"/>
  <c r="R22" i="8"/>
  <c r="F23" i="9"/>
  <c r="E23" i="9"/>
  <c r="N173" i="8"/>
  <c r="P173" i="8" s="1"/>
  <c r="T173" i="8"/>
  <c r="U173" i="8" s="1"/>
  <c r="E267" i="9"/>
  <c r="F267" i="9"/>
  <c r="D267" i="9"/>
  <c r="C267" i="9"/>
  <c r="B267" i="9"/>
  <c r="B20" i="9"/>
  <c r="R173" i="8" l="1"/>
  <c r="S173" i="8" s="1"/>
  <c r="O174" i="8"/>
  <c r="Q174" i="8" s="1"/>
  <c r="F24" i="9"/>
  <c r="R23" i="8"/>
  <c r="E24" i="9"/>
  <c r="C177" i="8"/>
  <c r="M176" i="8"/>
  <c r="F176" i="8"/>
  <c r="S22" i="8"/>
  <c r="C23" i="9"/>
  <c r="D24" i="9"/>
  <c r="D26" i="8"/>
  <c r="F25" i="8"/>
  <c r="K25" i="8"/>
  <c r="N174" i="8"/>
  <c r="P174" i="8" s="1"/>
  <c r="T174" i="8"/>
  <c r="U174" i="8" s="1"/>
  <c r="D175" i="8"/>
  <c r="K175" i="8" s="1"/>
  <c r="L175" i="8"/>
  <c r="T24" i="8"/>
  <c r="U24" i="8" s="1"/>
  <c r="O24" i="8"/>
  <c r="Q24" i="8" s="1"/>
  <c r="N24" i="8"/>
  <c r="P24" i="8" s="1"/>
  <c r="D268" i="9"/>
  <c r="E268" i="9"/>
  <c r="F268" i="9"/>
  <c r="D269" i="9"/>
  <c r="F269" i="9"/>
  <c r="E269" i="9"/>
  <c r="B269" i="9"/>
  <c r="C269" i="9"/>
  <c r="C268" i="9"/>
  <c r="B268" i="9"/>
  <c r="B21" i="9"/>
  <c r="O175" i="8" l="1"/>
  <c r="Q175" i="8" s="1"/>
  <c r="R174" i="8"/>
  <c r="S174" i="8" s="1"/>
  <c r="O25" i="8"/>
  <c r="Q25" i="8" s="1"/>
  <c r="N25" i="8"/>
  <c r="P25" i="8" s="1"/>
  <c r="T25" i="8"/>
  <c r="U25" i="8" s="1"/>
  <c r="D25" i="9"/>
  <c r="N175" i="8"/>
  <c r="P175" i="8" s="1"/>
  <c r="T175" i="8"/>
  <c r="U175" i="8" s="1"/>
  <c r="D176" i="8"/>
  <c r="K176" i="8" s="1"/>
  <c r="L176" i="8"/>
  <c r="S23" i="8"/>
  <c r="C24" i="9"/>
  <c r="F25" i="9"/>
  <c r="R24" i="8"/>
  <c r="E25" i="9"/>
  <c r="K26" i="8"/>
  <c r="F26" i="8"/>
  <c r="D27" i="8"/>
  <c r="M177" i="8"/>
  <c r="F177" i="8"/>
  <c r="C178" i="8"/>
  <c r="B22" i="9"/>
  <c r="S24" i="8" l="1"/>
  <c r="C25" i="9"/>
  <c r="D26" i="9"/>
  <c r="K27" i="8"/>
  <c r="F27" i="8"/>
  <c r="D28" i="8"/>
  <c r="F178" i="8"/>
  <c r="C179" i="8"/>
  <c r="M178" i="8"/>
  <c r="O176" i="8"/>
  <c r="Q176" i="8" s="1"/>
  <c r="R25" i="8"/>
  <c r="E26" i="9"/>
  <c r="F26" i="9"/>
  <c r="T176" i="8"/>
  <c r="U176" i="8" s="1"/>
  <c r="N176" i="8"/>
  <c r="P176" i="8" s="1"/>
  <c r="R175" i="8"/>
  <c r="S175" i="8" s="1"/>
  <c r="D177" i="8"/>
  <c r="K177" i="8" s="1"/>
  <c r="L177" i="8"/>
  <c r="N26" i="8"/>
  <c r="P26" i="8" s="1"/>
  <c r="T26" i="8"/>
  <c r="U26" i="8" s="1"/>
  <c r="O26" i="8"/>
  <c r="Q26" i="8" s="1"/>
  <c r="B23" i="9"/>
  <c r="S25" i="8" l="1"/>
  <c r="C26" i="9"/>
  <c r="D178" i="8"/>
  <c r="K178" i="8" s="1"/>
  <c r="L178" i="8"/>
  <c r="R26" i="8"/>
  <c r="F27" i="9"/>
  <c r="E27" i="9"/>
  <c r="R176" i="8"/>
  <c r="S176" i="8" s="1"/>
  <c r="K28" i="8"/>
  <c r="D29" i="8"/>
  <c r="F28" i="8"/>
  <c r="T177" i="8"/>
  <c r="U177" i="8" s="1"/>
  <c r="N177" i="8"/>
  <c r="P177" i="8" s="1"/>
  <c r="O177" i="8"/>
  <c r="Q177" i="8" s="1"/>
  <c r="D27" i="9"/>
  <c r="C180" i="8"/>
  <c r="M179" i="8"/>
  <c r="F179" i="8"/>
  <c r="T27" i="8"/>
  <c r="U27" i="8" s="1"/>
  <c r="N27" i="8"/>
  <c r="P27" i="8" s="1"/>
  <c r="O27" i="8"/>
  <c r="Q27" i="8" s="1"/>
  <c r="B24" i="9"/>
  <c r="O178" i="8" l="1"/>
  <c r="Q178" i="8" s="1"/>
  <c r="R177" i="8"/>
  <c r="S177" i="8" s="1"/>
  <c r="K29" i="8"/>
  <c r="D30" i="8"/>
  <c r="F29" i="8"/>
  <c r="D179" i="8"/>
  <c r="K179" i="8" s="1"/>
  <c r="L179" i="8"/>
  <c r="C27" i="9"/>
  <c r="S26" i="8"/>
  <c r="E28" i="9"/>
  <c r="F28" i="9"/>
  <c r="R27" i="8"/>
  <c r="D28" i="9"/>
  <c r="F180" i="8"/>
  <c r="C181" i="8"/>
  <c r="M180" i="8"/>
  <c r="T28" i="8"/>
  <c r="U28" i="8" s="1"/>
  <c r="O28" i="8"/>
  <c r="Q28" i="8" s="1"/>
  <c r="N28" i="8"/>
  <c r="P28" i="8" s="1"/>
  <c r="N178" i="8"/>
  <c r="P178" i="8" s="1"/>
  <c r="T178" i="8"/>
  <c r="U178" i="8" s="1"/>
  <c r="B25" i="9"/>
  <c r="D31" i="8" l="1"/>
  <c r="F30" i="8"/>
  <c r="K30" i="8"/>
  <c r="D29" i="9"/>
  <c r="M181" i="8"/>
  <c r="C182" i="8"/>
  <c r="F181" i="8"/>
  <c r="S27" i="8"/>
  <c r="C28" i="9"/>
  <c r="T29" i="8"/>
  <c r="U29" i="8" s="1"/>
  <c r="O29" i="8"/>
  <c r="Q29" i="8" s="1"/>
  <c r="N29" i="8"/>
  <c r="P29" i="8" s="1"/>
  <c r="T179" i="8"/>
  <c r="U179" i="8" s="1"/>
  <c r="N179" i="8"/>
  <c r="P179" i="8" s="1"/>
  <c r="R28" i="8"/>
  <c r="E29" i="9"/>
  <c r="F29" i="9"/>
  <c r="D180" i="8"/>
  <c r="K180" i="8" s="1"/>
  <c r="L180" i="8"/>
  <c r="R178" i="8"/>
  <c r="S178" i="8" s="1"/>
  <c r="O179" i="8"/>
  <c r="Q179" i="8" s="1"/>
  <c r="B26" i="9"/>
  <c r="D181" i="8" l="1"/>
  <c r="K181" i="8" s="1"/>
  <c r="L181" i="8"/>
  <c r="F182" i="8"/>
  <c r="C183" i="8"/>
  <c r="M182" i="8"/>
  <c r="O30" i="8"/>
  <c r="Q30" i="8" s="1"/>
  <c r="N30" i="8"/>
  <c r="P30" i="8" s="1"/>
  <c r="T30" i="8"/>
  <c r="U30" i="8" s="1"/>
  <c r="R29" i="8"/>
  <c r="E30" i="9"/>
  <c r="F30" i="9"/>
  <c r="R179" i="8"/>
  <c r="S179" i="8" s="1"/>
  <c r="T180" i="8"/>
  <c r="U180" i="8" s="1"/>
  <c r="N180" i="8"/>
  <c r="P180" i="8" s="1"/>
  <c r="O180" i="8"/>
  <c r="Q180" i="8" s="1"/>
  <c r="S28" i="8"/>
  <c r="C29" i="9"/>
  <c r="D30" i="9"/>
  <c r="K31" i="8"/>
  <c r="D32" i="8"/>
  <c r="F31" i="8"/>
  <c r="B27" i="9"/>
  <c r="O181" i="8" l="1"/>
  <c r="Q181" i="8" s="1"/>
  <c r="C184" i="8"/>
  <c r="F183" i="8"/>
  <c r="M183" i="8"/>
  <c r="K32" i="8"/>
  <c r="D33" i="8"/>
  <c r="F32" i="8"/>
  <c r="D31" i="9"/>
  <c r="D182" i="8"/>
  <c r="K182" i="8" s="1"/>
  <c r="L182" i="8"/>
  <c r="R30" i="8"/>
  <c r="F31" i="9"/>
  <c r="E31" i="9"/>
  <c r="N31" i="8"/>
  <c r="P31" i="8" s="1"/>
  <c r="T31" i="8"/>
  <c r="U31" i="8" s="1"/>
  <c r="O31" i="8"/>
  <c r="Q31" i="8" s="1"/>
  <c r="R180" i="8"/>
  <c r="S180" i="8" s="1"/>
  <c r="S29" i="8"/>
  <c r="C30" i="9"/>
  <c r="N181" i="8"/>
  <c r="P181" i="8" s="1"/>
  <c r="T181" i="8"/>
  <c r="U181" i="8" s="1"/>
  <c r="B28" i="9"/>
  <c r="O182" i="8" l="1"/>
  <c r="Q182" i="8" s="1"/>
  <c r="R181" i="8"/>
  <c r="S181" i="8" s="1"/>
  <c r="T32" i="8"/>
  <c r="U32" i="8" s="1"/>
  <c r="O32" i="8"/>
  <c r="Q32" i="8" s="1"/>
  <c r="N32" i="8"/>
  <c r="P32" i="8" s="1"/>
  <c r="R31" i="8"/>
  <c r="E32" i="9"/>
  <c r="F32" i="9"/>
  <c r="S30" i="8"/>
  <c r="C31" i="9"/>
  <c r="D183" i="8"/>
  <c r="K183" i="8" s="1"/>
  <c r="L183" i="8"/>
  <c r="D32" i="9"/>
  <c r="N182" i="8"/>
  <c r="P182" i="8" s="1"/>
  <c r="T182" i="8"/>
  <c r="U182" i="8" s="1"/>
  <c r="K33" i="8"/>
  <c r="D34" i="8"/>
  <c r="F33" i="8"/>
  <c r="C185" i="8"/>
  <c r="M184" i="8"/>
  <c r="F184" i="8"/>
  <c r="B29" i="9"/>
  <c r="R182" i="8" l="1"/>
  <c r="S182" i="8" s="1"/>
  <c r="E33" i="9"/>
  <c r="F33" i="9"/>
  <c r="R32" i="8"/>
  <c r="D35" i="8"/>
  <c r="F34" i="8"/>
  <c r="K34" i="8"/>
  <c r="D33" i="9"/>
  <c r="T33" i="8"/>
  <c r="U33" i="8" s="1"/>
  <c r="O33" i="8"/>
  <c r="Q33" i="8" s="1"/>
  <c r="N33" i="8"/>
  <c r="P33" i="8" s="1"/>
  <c r="M185" i="8"/>
  <c r="F185" i="8"/>
  <c r="C186" i="8"/>
  <c r="O183" i="8"/>
  <c r="Q183" i="8" s="1"/>
  <c r="D184" i="8"/>
  <c r="K184" i="8" s="1"/>
  <c r="L184" i="8"/>
  <c r="T183" i="8"/>
  <c r="U183" i="8" s="1"/>
  <c r="N183" i="8"/>
  <c r="P183" i="8" s="1"/>
  <c r="C32" i="9"/>
  <c r="S31" i="8"/>
  <c r="B30" i="9"/>
  <c r="O184" i="8" l="1"/>
  <c r="Q184" i="8" s="1"/>
  <c r="F186" i="8"/>
  <c r="C187" i="8"/>
  <c r="M186" i="8"/>
  <c r="R33" i="8"/>
  <c r="E34" i="9"/>
  <c r="F34" i="9"/>
  <c r="O34" i="8"/>
  <c r="Q34" i="8" s="1"/>
  <c r="N34" i="8"/>
  <c r="P34" i="8" s="1"/>
  <c r="T34" i="8"/>
  <c r="U34" i="8" s="1"/>
  <c r="R183" i="8"/>
  <c r="S183" i="8" s="1"/>
  <c r="D185" i="8"/>
  <c r="K185" i="8" s="1"/>
  <c r="L185" i="8"/>
  <c r="D34" i="9"/>
  <c r="S32" i="8"/>
  <c r="C33" i="9"/>
  <c r="T184" i="8"/>
  <c r="U184" i="8" s="1"/>
  <c r="N184" i="8"/>
  <c r="P184" i="8" s="1"/>
  <c r="K35" i="8"/>
  <c r="D36" i="8"/>
  <c r="F35" i="8"/>
  <c r="B31" i="9"/>
  <c r="O185" i="8" l="1"/>
  <c r="Q185" i="8" s="1"/>
  <c r="T185" i="8"/>
  <c r="U185" i="8" s="1"/>
  <c r="N185" i="8"/>
  <c r="P185" i="8" s="1"/>
  <c r="S33" i="8"/>
  <c r="C34" i="9"/>
  <c r="C188" i="8"/>
  <c r="M187" i="8"/>
  <c r="F187" i="8"/>
  <c r="K36" i="8"/>
  <c r="D37" i="8"/>
  <c r="F36" i="8"/>
  <c r="R34" i="8"/>
  <c r="F35" i="9"/>
  <c r="E35" i="9"/>
  <c r="N35" i="8"/>
  <c r="P35" i="8" s="1"/>
  <c r="T35" i="8"/>
  <c r="U35" i="8" s="1"/>
  <c r="O35" i="8"/>
  <c r="Q35" i="8" s="1"/>
  <c r="R184" i="8"/>
  <c r="S184" i="8" s="1"/>
  <c r="D35" i="9"/>
  <c r="D186" i="8"/>
  <c r="K186" i="8" s="1"/>
  <c r="L186" i="8"/>
  <c r="B32" i="9"/>
  <c r="O186" i="8" l="1"/>
  <c r="Q186" i="8" s="1"/>
  <c r="R35" i="8"/>
  <c r="F36" i="9"/>
  <c r="E36" i="9"/>
  <c r="F188" i="8"/>
  <c r="M188" i="8"/>
  <c r="C189" i="8"/>
  <c r="T36" i="8"/>
  <c r="U36" i="8" s="1"/>
  <c r="O36" i="8"/>
  <c r="Q36" i="8" s="1"/>
  <c r="N36" i="8"/>
  <c r="P36" i="8" s="1"/>
  <c r="R185" i="8"/>
  <c r="S185" i="8" s="1"/>
  <c r="N186" i="8"/>
  <c r="P186" i="8" s="1"/>
  <c r="T186" i="8"/>
  <c r="U186" i="8" s="1"/>
  <c r="K37" i="8"/>
  <c r="D38" i="8"/>
  <c r="F37" i="8"/>
  <c r="D36" i="9"/>
  <c r="S34" i="8"/>
  <c r="C35" i="9"/>
  <c r="D187" i="8"/>
  <c r="K187" i="8" s="1"/>
  <c r="L187" i="8"/>
  <c r="B33" i="9"/>
  <c r="O187" i="8" l="1"/>
  <c r="Q187" i="8" s="1"/>
  <c r="D37" i="9"/>
  <c r="F37" i="9"/>
  <c r="R36" i="8"/>
  <c r="E37" i="9"/>
  <c r="D188" i="8"/>
  <c r="K188" i="8" s="1"/>
  <c r="L188" i="8"/>
  <c r="S35" i="8"/>
  <c r="C36" i="9"/>
  <c r="T37" i="8"/>
  <c r="U37" i="8" s="1"/>
  <c r="O37" i="8"/>
  <c r="Q37" i="8" s="1"/>
  <c r="N37" i="8"/>
  <c r="P37" i="8" s="1"/>
  <c r="T187" i="8"/>
  <c r="U187" i="8" s="1"/>
  <c r="N187" i="8"/>
  <c r="P187" i="8" s="1"/>
  <c r="D39" i="8"/>
  <c r="F38" i="8"/>
  <c r="K38" i="8"/>
  <c r="M189" i="8"/>
  <c r="C190" i="8"/>
  <c r="F189" i="8"/>
  <c r="R186" i="8"/>
  <c r="S186" i="8" s="1"/>
  <c r="B34" i="9"/>
  <c r="O188" i="8" l="1"/>
  <c r="Q188" i="8" s="1"/>
  <c r="O38" i="8"/>
  <c r="Q38" i="8" s="1"/>
  <c r="N38" i="8"/>
  <c r="P38" i="8" s="1"/>
  <c r="T38" i="8"/>
  <c r="U38" i="8" s="1"/>
  <c r="D38" i="9"/>
  <c r="S36" i="8"/>
  <c r="C37" i="9"/>
  <c r="F190" i="8"/>
  <c r="C191" i="8"/>
  <c r="M190" i="8"/>
  <c r="R37" i="8"/>
  <c r="E38" i="9"/>
  <c r="F38" i="9"/>
  <c r="D189" i="8"/>
  <c r="K189" i="8" s="1"/>
  <c r="L189" i="8"/>
  <c r="K39" i="8"/>
  <c r="D40" i="8"/>
  <c r="F39" i="8"/>
  <c r="T188" i="8"/>
  <c r="U188" i="8" s="1"/>
  <c r="N188" i="8"/>
  <c r="P188" i="8" s="1"/>
  <c r="R187" i="8"/>
  <c r="S187" i="8" s="1"/>
  <c r="B35" i="9"/>
  <c r="O189" i="8" l="1"/>
  <c r="Q189" i="8" s="1"/>
  <c r="K40" i="8"/>
  <c r="D41" i="8"/>
  <c r="F40" i="8"/>
  <c r="R188" i="8"/>
  <c r="S188" i="8" s="1"/>
  <c r="D190" i="8"/>
  <c r="K190" i="8" s="1"/>
  <c r="L190" i="8"/>
  <c r="N39" i="8"/>
  <c r="P39" i="8" s="1"/>
  <c r="T39" i="8"/>
  <c r="U39" i="8" s="1"/>
  <c r="O39" i="8"/>
  <c r="Q39" i="8" s="1"/>
  <c r="S37" i="8"/>
  <c r="C38" i="9"/>
  <c r="D39" i="9"/>
  <c r="N189" i="8"/>
  <c r="P189" i="8" s="1"/>
  <c r="T189" i="8"/>
  <c r="U189" i="8" s="1"/>
  <c r="C192" i="8"/>
  <c r="F191" i="8"/>
  <c r="M191" i="8"/>
  <c r="R38" i="8"/>
  <c r="F39" i="9"/>
  <c r="E39" i="9"/>
  <c r="B36" i="9"/>
  <c r="O190" i="8" l="1"/>
  <c r="Q190" i="8" s="1"/>
  <c r="D191" i="8"/>
  <c r="K191" i="8" s="1"/>
  <c r="L191" i="8"/>
  <c r="R189" i="8"/>
  <c r="S189" i="8" s="1"/>
  <c r="D40" i="9"/>
  <c r="C193" i="8"/>
  <c r="M192" i="8"/>
  <c r="F192" i="8"/>
  <c r="K41" i="8"/>
  <c r="D42" i="8"/>
  <c r="F41" i="8"/>
  <c r="S38" i="8"/>
  <c r="C39" i="9"/>
  <c r="R39" i="8"/>
  <c r="F40" i="9"/>
  <c r="E40" i="9"/>
  <c r="N190" i="8"/>
  <c r="P190" i="8" s="1"/>
  <c r="T190" i="8"/>
  <c r="U190" i="8" s="1"/>
  <c r="T40" i="8"/>
  <c r="U40" i="8" s="1"/>
  <c r="O40" i="8"/>
  <c r="Q40" i="8" s="1"/>
  <c r="N40" i="8"/>
  <c r="P40" i="8" s="1"/>
  <c r="B37" i="9"/>
  <c r="O191" i="8" l="1"/>
  <c r="Q191" i="8" s="1"/>
  <c r="D41" i="9"/>
  <c r="C40" i="9"/>
  <c r="S39" i="8"/>
  <c r="D43" i="8"/>
  <c r="F42" i="8"/>
  <c r="K42" i="8"/>
  <c r="D192" i="8"/>
  <c r="K192" i="8" s="1"/>
  <c r="L192" i="8"/>
  <c r="F41" i="9"/>
  <c r="E41" i="9"/>
  <c r="R40" i="8"/>
  <c r="T41" i="8"/>
  <c r="U41" i="8" s="1"/>
  <c r="O41" i="8"/>
  <c r="Q41" i="8" s="1"/>
  <c r="N41" i="8"/>
  <c r="P41" i="8" s="1"/>
  <c r="M193" i="8"/>
  <c r="F193" i="8"/>
  <c r="C194" i="8"/>
  <c r="R190" i="8"/>
  <c r="S190" i="8" s="1"/>
  <c r="N191" i="8"/>
  <c r="P191" i="8" s="1"/>
  <c r="T191" i="8"/>
  <c r="U191" i="8" s="1"/>
  <c r="B38" i="9"/>
  <c r="R41" i="8" l="1"/>
  <c r="E42" i="9"/>
  <c r="F42" i="9"/>
  <c r="O42" i="8"/>
  <c r="Q42" i="8" s="1"/>
  <c r="N42" i="8"/>
  <c r="P42" i="8" s="1"/>
  <c r="T42" i="8"/>
  <c r="U42" i="8" s="1"/>
  <c r="D193" i="8"/>
  <c r="K193" i="8" s="1"/>
  <c r="L193" i="8"/>
  <c r="D42" i="9"/>
  <c r="T192" i="8"/>
  <c r="U192" i="8" s="1"/>
  <c r="N192" i="8"/>
  <c r="P192" i="8" s="1"/>
  <c r="R191" i="8"/>
  <c r="S191" i="8" s="1"/>
  <c r="F194" i="8"/>
  <c r="C195" i="8"/>
  <c r="M194" i="8"/>
  <c r="S40" i="8"/>
  <c r="C41" i="9"/>
  <c r="O192" i="8"/>
  <c r="Q192" i="8" s="1"/>
  <c r="K43" i="8"/>
  <c r="D44" i="8"/>
  <c r="F43" i="8"/>
  <c r="B39" i="9"/>
  <c r="D194" i="8" l="1"/>
  <c r="K194" i="8" s="1"/>
  <c r="L194" i="8"/>
  <c r="T193" i="8"/>
  <c r="U193" i="8" s="1"/>
  <c r="N193" i="8"/>
  <c r="P193" i="8" s="1"/>
  <c r="D43" i="9"/>
  <c r="R192" i="8"/>
  <c r="S192" i="8" s="1"/>
  <c r="C196" i="8"/>
  <c r="M195" i="8"/>
  <c r="F195" i="8"/>
  <c r="K44" i="8"/>
  <c r="D45" i="8"/>
  <c r="F44" i="8"/>
  <c r="N43" i="8"/>
  <c r="P43" i="8" s="1"/>
  <c r="T43" i="8"/>
  <c r="U43" i="8" s="1"/>
  <c r="O43" i="8"/>
  <c r="Q43" i="8" s="1"/>
  <c r="O193" i="8"/>
  <c r="Q193" i="8" s="1"/>
  <c r="R42" i="8"/>
  <c r="F43" i="9"/>
  <c r="E43" i="9"/>
  <c r="S41" i="8"/>
  <c r="C42" i="9"/>
  <c r="B40" i="9"/>
  <c r="O194" i="8" l="1"/>
  <c r="Q194" i="8" s="1"/>
  <c r="T44" i="8"/>
  <c r="U44" i="8" s="1"/>
  <c r="O44" i="8"/>
  <c r="Q44" i="8" s="1"/>
  <c r="N44" i="8"/>
  <c r="P44" i="8" s="1"/>
  <c r="S42" i="8"/>
  <c r="C43" i="9"/>
  <c r="D44" i="9"/>
  <c r="D195" i="8"/>
  <c r="K195" i="8" s="1"/>
  <c r="L195" i="8"/>
  <c r="R193" i="8"/>
  <c r="S193" i="8" s="1"/>
  <c r="R43" i="8"/>
  <c r="E44" i="9"/>
  <c r="F44" i="9"/>
  <c r="K45" i="8"/>
  <c r="D46" i="8"/>
  <c r="F45" i="8"/>
  <c r="F196" i="8"/>
  <c r="C197" i="8"/>
  <c r="M196" i="8"/>
  <c r="N194" i="8"/>
  <c r="P194" i="8" s="1"/>
  <c r="T194" i="8"/>
  <c r="U194" i="8" s="1"/>
  <c r="B41" i="9"/>
  <c r="R194" i="8" l="1"/>
  <c r="S194" i="8" s="1"/>
  <c r="D47" i="8"/>
  <c r="F46" i="8"/>
  <c r="K46" i="8"/>
  <c r="D45" i="9"/>
  <c r="T195" i="8"/>
  <c r="U195" i="8" s="1"/>
  <c r="N195" i="8"/>
  <c r="P195" i="8" s="1"/>
  <c r="M197" i="8"/>
  <c r="C198" i="8"/>
  <c r="F197" i="8"/>
  <c r="T45" i="8"/>
  <c r="U45" i="8" s="1"/>
  <c r="O45" i="8"/>
  <c r="Q45" i="8" s="1"/>
  <c r="N45" i="8"/>
  <c r="P45" i="8" s="1"/>
  <c r="S43" i="8"/>
  <c r="C44" i="9"/>
  <c r="E45" i="9"/>
  <c r="R44" i="8"/>
  <c r="F45" i="9"/>
  <c r="D196" i="8"/>
  <c r="K196" i="8" s="1"/>
  <c r="L196" i="8"/>
  <c r="O195" i="8"/>
  <c r="Q195" i="8" s="1"/>
  <c r="B42" i="9"/>
  <c r="O196" i="8" l="1"/>
  <c r="Q196" i="8" s="1"/>
  <c r="O46" i="8"/>
  <c r="Q46" i="8" s="1"/>
  <c r="N46" i="8"/>
  <c r="P46" i="8" s="1"/>
  <c r="T46" i="8"/>
  <c r="U46" i="8" s="1"/>
  <c r="R195" i="8"/>
  <c r="S195" i="8" s="1"/>
  <c r="S44" i="8"/>
  <c r="C45" i="9"/>
  <c r="D197" i="8"/>
  <c r="K197" i="8" s="1"/>
  <c r="L197" i="8"/>
  <c r="D46" i="9"/>
  <c r="F198" i="8"/>
  <c r="C199" i="8"/>
  <c r="M198" i="8"/>
  <c r="K47" i="8"/>
  <c r="D48" i="8"/>
  <c r="F47" i="8"/>
  <c r="T196" i="8"/>
  <c r="U196" i="8" s="1"/>
  <c r="N196" i="8"/>
  <c r="P196" i="8" s="1"/>
  <c r="R45" i="8"/>
  <c r="E46" i="9"/>
  <c r="F46" i="9"/>
  <c r="B43" i="9"/>
  <c r="N197" i="8" l="1"/>
  <c r="P197" i="8" s="1"/>
  <c r="T197" i="8"/>
  <c r="U197" i="8" s="1"/>
  <c r="C200" i="8"/>
  <c r="F199" i="8"/>
  <c r="M199" i="8"/>
  <c r="R196" i="8"/>
  <c r="S196" i="8" s="1"/>
  <c r="S45" i="8"/>
  <c r="C46" i="9"/>
  <c r="K48" i="8"/>
  <c r="D49" i="8"/>
  <c r="F48" i="8"/>
  <c r="D198" i="8"/>
  <c r="K198" i="8" s="1"/>
  <c r="L198" i="8"/>
  <c r="D47" i="9"/>
  <c r="N47" i="8"/>
  <c r="P47" i="8" s="1"/>
  <c r="T47" i="8"/>
  <c r="U47" i="8" s="1"/>
  <c r="O47" i="8"/>
  <c r="Q47" i="8" s="1"/>
  <c r="O197" i="8"/>
  <c r="Q197" i="8" s="1"/>
  <c r="R46" i="8"/>
  <c r="F47" i="9"/>
  <c r="E47" i="9"/>
  <c r="B44" i="9"/>
  <c r="S46" i="8" l="1"/>
  <c r="C47" i="9"/>
  <c r="D48" i="9"/>
  <c r="N198" i="8"/>
  <c r="P198" i="8" s="1"/>
  <c r="T198" i="8"/>
  <c r="U198" i="8" s="1"/>
  <c r="D199" i="8"/>
  <c r="K199" i="8" s="1"/>
  <c r="L199" i="8"/>
  <c r="R197" i="8"/>
  <c r="S197" i="8" s="1"/>
  <c r="M200" i="8"/>
  <c r="C201" i="8"/>
  <c r="F200" i="8"/>
  <c r="R47" i="8"/>
  <c r="F48" i="9"/>
  <c r="E48" i="9"/>
  <c r="K49" i="8"/>
  <c r="D50" i="8"/>
  <c r="F49" i="8"/>
  <c r="O198" i="8"/>
  <c r="Q198" i="8" s="1"/>
  <c r="T48" i="8"/>
  <c r="U48" i="8" s="1"/>
  <c r="O48" i="8"/>
  <c r="Q48" i="8" s="1"/>
  <c r="N48" i="8"/>
  <c r="P48" i="8" s="1"/>
  <c r="B45" i="9"/>
  <c r="O199" i="8" l="1"/>
  <c r="Q199" i="8" s="1"/>
  <c r="F201" i="8"/>
  <c r="M201" i="8"/>
  <c r="C202" i="8"/>
  <c r="D51" i="8"/>
  <c r="F50" i="8"/>
  <c r="K50" i="8"/>
  <c r="T199" i="8"/>
  <c r="U199" i="8" s="1"/>
  <c r="N199" i="8"/>
  <c r="P199" i="8" s="1"/>
  <c r="T49" i="8"/>
  <c r="U49" i="8" s="1"/>
  <c r="O49" i="8"/>
  <c r="Q49" i="8" s="1"/>
  <c r="N49" i="8"/>
  <c r="P49" i="8" s="1"/>
  <c r="C48" i="9"/>
  <c r="S47" i="8"/>
  <c r="D49" i="9"/>
  <c r="F49" i="9"/>
  <c r="E49" i="9"/>
  <c r="R48" i="8"/>
  <c r="R198" i="8"/>
  <c r="S198" i="8" s="1"/>
  <c r="D200" i="8"/>
  <c r="K200" i="8" s="1"/>
  <c r="L200" i="8"/>
  <c r="B46" i="9"/>
  <c r="R199" i="8" l="1"/>
  <c r="S199" i="8" s="1"/>
  <c r="K51" i="8"/>
  <c r="D52" i="8"/>
  <c r="F51" i="8"/>
  <c r="D50" i="9"/>
  <c r="C203" i="8"/>
  <c r="F202" i="8"/>
  <c r="M202" i="8"/>
  <c r="R49" i="8"/>
  <c r="E50" i="9"/>
  <c r="F50" i="9"/>
  <c r="O50" i="8"/>
  <c r="Q50" i="8" s="1"/>
  <c r="N50" i="8"/>
  <c r="P50" i="8" s="1"/>
  <c r="T50" i="8"/>
  <c r="U50" i="8" s="1"/>
  <c r="T200" i="8"/>
  <c r="U200" i="8" s="1"/>
  <c r="N200" i="8"/>
  <c r="P200" i="8" s="1"/>
  <c r="O200" i="8"/>
  <c r="Q200" i="8" s="1"/>
  <c r="S48" i="8"/>
  <c r="C49" i="9"/>
  <c r="D201" i="8"/>
  <c r="K201" i="8" s="1"/>
  <c r="L201" i="8"/>
  <c r="B47" i="9"/>
  <c r="O201" i="8" l="1"/>
  <c r="Q201" i="8" s="1"/>
  <c r="D202" i="8"/>
  <c r="K202" i="8" s="1"/>
  <c r="L202" i="8"/>
  <c r="D51" i="9"/>
  <c r="C204" i="8"/>
  <c r="F203" i="8"/>
  <c r="M203" i="8"/>
  <c r="D53" i="8"/>
  <c r="K52" i="8"/>
  <c r="F52" i="8"/>
  <c r="R200" i="8"/>
  <c r="S200" i="8" s="1"/>
  <c r="N201" i="8"/>
  <c r="P201" i="8" s="1"/>
  <c r="T201" i="8"/>
  <c r="U201" i="8" s="1"/>
  <c r="R50" i="8"/>
  <c r="F51" i="9"/>
  <c r="E51" i="9"/>
  <c r="S49" i="8"/>
  <c r="C50" i="9"/>
  <c r="N51" i="8"/>
  <c r="P51" i="8" s="1"/>
  <c r="T51" i="8"/>
  <c r="U51" i="8" s="1"/>
  <c r="O51" i="8"/>
  <c r="Q51" i="8" s="1"/>
  <c r="B48" i="9"/>
  <c r="D52" i="9" l="1"/>
  <c r="T52" i="8"/>
  <c r="U52" i="8" s="1"/>
  <c r="O52" i="8"/>
  <c r="Q52" i="8" s="1"/>
  <c r="N52" i="8"/>
  <c r="P52" i="8" s="1"/>
  <c r="M204" i="8"/>
  <c r="C205" i="8"/>
  <c r="F204" i="8"/>
  <c r="R201" i="8"/>
  <c r="S201" i="8" s="1"/>
  <c r="D203" i="8"/>
  <c r="K203" i="8" s="1"/>
  <c r="L203" i="8"/>
  <c r="D54" i="8"/>
  <c r="F53" i="8"/>
  <c r="K53" i="8"/>
  <c r="O202" i="8"/>
  <c r="Q202" i="8" s="1"/>
  <c r="R51" i="8"/>
  <c r="F52" i="9"/>
  <c r="E52" i="9"/>
  <c r="S50" i="8"/>
  <c r="C51" i="9"/>
  <c r="N202" i="8"/>
  <c r="P202" i="8" s="1"/>
  <c r="T202" i="8"/>
  <c r="U202" i="8" s="1"/>
  <c r="B49" i="9"/>
  <c r="O203" i="8" l="1"/>
  <c r="Q203" i="8" s="1"/>
  <c r="S51" i="8"/>
  <c r="C52" i="9"/>
  <c r="D204" i="8"/>
  <c r="K204" i="8" s="1"/>
  <c r="L204" i="8"/>
  <c r="F205" i="8"/>
  <c r="M205" i="8"/>
  <c r="C206" i="8"/>
  <c r="T203" i="8"/>
  <c r="U203" i="8" s="1"/>
  <c r="N203" i="8"/>
  <c r="P203" i="8" s="1"/>
  <c r="D55" i="8"/>
  <c r="K54" i="8"/>
  <c r="F54" i="8"/>
  <c r="R52" i="8"/>
  <c r="F53" i="9"/>
  <c r="E53" i="9"/>
  <c r="R202" i="8"/>
  <c r="S202" i="8" s="1"/>
  <c r="O53" i="8"/>
  <c r="Q53" i="8" s="1"/>
  <c r="T53" i="8"/>
  <c r="U53" i="8" s="1"/>
  <c r="N53" i="8"/>
  <c r="P53" i="8" s="1"/>
  <c r="D53" i="9"/>
  <c r="B50" i="9"/>
  <c r="O204" i="8" l="1"/>
  <c r="Q204" i="8" s="1"/>
  <c r="D54" i="9"/>
  <c r="C53" i="9"/>
  <c r="S52" i="8"/>
  <c r="D205" i="8"/>
  <c r="K205" i="8" s="1"/>
  <c r="L205" i="8"/>
  <c r="T204" i="8"/>
  <c r="U204" i="8" s="1"/>
  <c r="N204" i="8"/>
  <c r="P204" i="8" s="1"/>
  <c r="D56" i="8"/>
  <c r="K55" i="8"/>
  <c r="F55" i="8"/>
  <c r="R53" i="8"/>
  <c r="E54" i="9"/>
  <c r="F54" i="9"/>
  <c r="N54" i="8"/>
  <c r="P54" i="8" s="1"/>
  <c r="T54" i="8"/>
  <c r="U54" i="8" s="1"/>
  <c r="O54" i="8"/>
  <c r="Q54" i="8" s="1"/>
  <c r="C207" i="8"/>
  <c r="F206" i="8"/>
  <c r="M206" i="8"/>
  <c r="R203" i="8"/>
  <c r="S203" i="8" s="1"/>
  <c r="B51" i="9"/>
  <c r="R54" i="8" l="1"/>
  <c r="F55" i="9"/>
  <c r="E55" i="9"/>
  <c r="D206" i="8"/>
  <c r="K206" i="8" s="1"/>
  <c r="L206" i="8"/>
  <c r="D55" i="9"/>
  <c r="S53" i="8"/>
  <c r="C54" i="9"/>
  <c r="T55" i="8"/>
  <c r="U55" i="8" s="1"/>
  <c r="O55" i="8"/>
  <c r="Q55" i="8" s="1"/>
  <c r="N55" i="8"/>
  <c r="P55" i="8" s="1"/>
  <c r="O205" i="8"/>
  <c r="Q205" i="8" s="1"/>
  <c r="C208" i="8"/>
  <c r="F207" i="8"/>
  <c r="M207" i="8"/>
  <c r="R204" i="8"/>
  <c r="S204" i="8" s="1"/>
  <c r="K56" i="8"/>
  <c r="D57" i="8"/>
  <c r="F56" i="8"/>
  <c r="N205" i="8"/>
  <c r="P205" i="8" s="1"/>
  <c r="T205" i="8"/>
  <c r="U205" i="8" s="1"/>
  <c r="B52" i="9"/>
  <c r="O206" i="8" l="1"/>
  <c r="Q206" i="8" s="1"/>
  <c r="D58" i="8"/>
  <c r="F57" i="8"/>
  <c r="K57" i="8"/>
  <c r="T56" i="8"/>
  <c r="U56" i="8" s="1"/>
  <c r="O56" i="8"/>
  <c r="Q56" i="8" s="1"/>
  <c r="N56" i="8"/>
  <c r="P56" i="8" s="1"/>
  <c r="M208" i="8"/>
  <c r="C209" i="8"/>
  <c r="F208" i="8"/>
  <c r="D207" i="8"/>
  <c r="K207" i="8" s="1"/>
  <c r="L207" i="8"/>
  <c r="R55" i="8"/>
  <c r="F56" i="9"/>
  <c r="E56" i="9"/>
  <c r="R205" i="8"/>
  <c r="S205" i="8" s="1"/>
  <c r="D56" i="9"/>
  <c r="N206" i="8"/>
  <c r="P206" i="8" s="1"/>
  <c r="T206" i="8"/>
  <c r="U206" i="8" s="1"/>
  <c r="S54" i="8"/>
  <c r="C55" i="9"/>
  <c r="B53" i="9"/>
  <c r="O207" i="8" l="1"/>
  <c r="Q207" i="8" s="1"/>
  <c r="R206" i="8"/>
  <c r="S206" i="8" s="1"/>
  <c r="O57" i="8"/>
  <c r="Q57" i="8" s="1"/>
  <c r="T57" i="8"/>
  <c r="U57" i="8" s="1"/>
  <c r="N57" i="8"/>
  <c r="P57" i="8" s="1"/>
  <c r="F209" i="8"/>
  <c r="M209" i="8"/>
  <c r="C210" i="8"/>
  <c r="S55" i="8"/>
  <c r="C56" i="9"/>
  <c r="T207" i="8"/>
  <c r="U207" i="8" s="1"/>
  <c r="N207" i="8"/>
  <c r="P207" i="8" s="1"/>
  <c r="D57" i="9"/>
  <c r="D208" i="8"/>
  <c r="K208" i="8" s="1"/>
  <c r="L208" i="8"/>
  <c r="R56" i="8"/>
  <c r="F57" i="9"/>
  <c r="E57" i="9"/>
  <c r="D59" i="8"/>
  <c r="K58" i="8"/>
  <c r="F58" i="8"/>
  <c r="B54" i="9"/>
  <c r="O208" i="8" l="1"/>
  <c r="Q208" i="8" s="1"/>
  <c r="C211" i="8"/>
  <c r="F210" i="8"/>
  <c r="M210" i="8"/>
  <c r="R57" i="8"/>
  <c r="E58" i="9"/>
  <c r="F58" i="9"/>
  <c r="T208" i="8"/>
  <c r="U208" i="8" s="1"/>
  <c r="N208" i="8"/>
  <c r="P208" i="8" s="1"/>
  <c r="N58" i="8"/>
  <c r="P58" i="8" s="1"/>
  <c r="T58" i="8"/>
  <c r="U58" i="8" s="1"/>
  <c r="O58" i="8"/>
  <c r="Q58" i="8" s="1"/>
  <c r="D209" i="8"/>
  <c r="K209" i="8" s="1"/>
  <c r="L209" i="8"/>
  <c r="D60" i="8"/>
  <c r="K59" i="8"/>
  <c r="F59" i="8"/>
  <c r="C57" i="9"/>
  <c r="S56" i="8"/>
  <c r="D58" i="9"/>
  <c r="R207" i="8"/>
  <c r="S207" i="8" s="1"/>
  <c r="B55" i="9"/>
  <c r="O209" i="8" l="1"/>
  <c r="Q209" i="8" s="1"/>
  <c r="D59" i="9"/>
  <c r="S57" i="8"/>
  <c r="C58" i="9"/>
  <c r="N209" i="8"/>
  <c r="P209" i="8" s="1"/>
  <c r="T209" i="8"/>
  <c r="U209" i="8" s="1"/>
  <c r="T59" i="8"/>
  <c r="U59" i="8" s="1"/>
  <c r="O59" i="8"/>
  <c r="Q59" i="8" s="1"/>
  <c r="N59" i="8"/>
  <c r="P59" i="8" s="1"/>
  <c r="R58" i="8"/>
  <c r="F59" i="9"/>
  <c r="E59" i="9"/>
  <c r="D210" i="8"/>
  <c r="K210" i="8" s="1"/>
  <c r="L210" i="8"/>
  <c r="K60" i="8"/>
  <c r="D61" i="8"/>
  <c r="F60" i="8"/>
  <c r="R208" i="8"/>
  <c r="S208" i="8" s="1"/>
  <c r="C212" i="8"/>
  <c r="F211" i="8"/>
  <c r="M211" i="8"/>
  <c r="B56" i="9"/>
  <c r="O210" i="8" l="1"/>
  <c r="Q210" i="8" s="1"/>
  <c r="N210" i="8"/>
  <c r="P210" i="8" s="1"/>
  <c r="T210" i="8"/>
  <c r="U210" i="8" s="1"/>
  <c r="S58" i="8"/>
  <c r="C59" i="9"/>
  <c r="D62" i="8"/>
  <c r="F61" i="8"/>
  <c r="K61" i="8"/>
  <c r="D60" i="9"/>
  <c r="D211" i="8"/>
  <c r="K211" i="8" s="1"/>
  <c r="L211" i="8"/>
  <c r="M212" i="8"/>
  <c r="C213" i="8"/>
  <c r="F212" i="8"/>
  <c r="T60" i="8"/>
  <c r="U60" i="8" s="1"/>
  <c r="O60" i="8"/>
  <c r="Q60" i="8" s="1"/>
  <c r="N60" i="8"/>
  <c r="P60" i="8" s="1"/>
  <c r="R59" i="8"/>
  <c r="F60" i="9"/>
  <c r="E60" i="9"/>
  <c r="R209" i="8"/>
  <c r="S209" i="8" s="1"/>
  <c r="B57" i="9"/>
  <c r="R210" i="8" l="1"/>
  <c r="S210" i="8" s="1"/>
  <c r="D212" i="8"/>
  <c r="K212" i="8" s="1"/>
  <c r="L212" i="8"/>
  <c r="T211" i="8"/>
  <c r="U211" i="8" s="1"/>
  <c r="N211" i="8"/>
  <c r="P211" i="8" s="1"/>
  <c r="D61" i="9"/>
  <c r="F213" i="8"/>
  <c r="M213" i="8"/>
  <c r="C214" i="8"/>
  <c r="O61" i="8"/>
  <c r="Q61" i="8" s="1"/>
  <c r="T61" i="8"/>
  <c r="U61" i="8" s="1"/>
  <c r="N61" i="8"/>
  <c r="P61" i="8" s="1"/>
  <c r="R60" i="8"/>
  <c r="F61" i="9"/>
  <c r="E61" i="9"/>
  <c r="S59" i="8"/>
  <c r="C60" i="9"/>
  <c r="O211" i="8"/>
  <c r="Q211" i="8" s="1"/>
  <c r="D63" i="8"/>
  <c r="K62" i="8"/>
  <c r="F62" i="8"/>
  <c r="B58" i="9"/>
  <c r="D64" i="8" l="1"/>
  <c r="K63" i="8"/>
  <c r="F63" i="8"/>
  <c r="D62" i="9"/>
  <c r="R211" i="8"/>
  <c r="S211" i="8" s="1"/>
  <c r="D213" i="8"/>
  <c r="K213" i="8" s="1"/>
  <c r="L213" i="8"/>
  <c r="R61" i="8"/>
  <c r="E62" i="9"/>
  <c r="F62" i="9"/>
  <c r="O212" i="8"/>
  <c r="Q212" i="8" s="1"/>
  <c r="N62" i="8"/>
  <c r="P62" i="8" s="1"/>
  <c r="T62" i="8"/>
  <c r="U62" i="8" s="1"/>
  <c r="O62" i="8"/>
  <c r="Q62" i="8" s="1"/>
  <c r="S60" i="8"/>
  <c r="C61" i="9"/>
  <c r="C215" i="8"/>
  <c r="F214" i="8"/>
  <c r="M214" i="8"/>
  <c r="T212" i="8"/>
  <c r="U212" i="8" s="1"/>
  <c r="N212" i="8"/>
  <c r="P212" i="8" s="1"/>
  <c r="B59" i="9"/>
  <c r="N213" i="8" l="1"/>
  <c r="P213" i="8" s="1"/>
  <c r="T213" i="8"/>
  <c r="U213" i="8" s="1"/>
  <c r="R212" i="8"/>
  <c r="S212" i="8" s="1"/>
  <c r="S61" i="8"/>
  <c r="C62" i="9"/>
  <c r="T63" i="8"/>
  <c r="U63" i="8" s="1"/>
  <c r="O63" i="8"/>
  <c r="Q63" i="8" s="1"/>
  <c r="N63" i="8"/>
  <c r="P63" i="8" s="1"/>
  <c r="C216" i="8"/>
  <c r="F215" i="8"/>
  <c r="M215" i="8"/>
  <c r="D63" i="9"/>
  <c r="D214" i="8"/>
  <c r="K214" i="8" s="1"/>
  <c r="L214" i="8"/>
  <c r="R62" i="8"/>
  <c r="F63" i="9"/>
  <c r="E63" i="9"/>
  <c r="O213" i="8"/>
  <c r="Q213" i="8" s="1"/>
  <c r="K64" i="8"/>
  <c r="D65" i="8"/>
  <c r="F64" i="8"/>
  <c r="B60" i="9"/>
  <c r="O214" i="8" l="1"/>
  <c r="Q214" i="8" s="1"/>
  <c r="N214" i="8"/>
  <c r="P214" i="8" s="1"/>
  <c r="T214" i="8"/>
  <c r="U214" i="8" s="1"/>
  <c r="R63" i="8"/>
  <c r="F64" i="9"/>
  <c r="E64" i="9"/>
  <c r="D66" i="8"/>
  <c r="F65" i="8"/>
  <c r="K65" i="8"/>
  <c r="T64" i="8"/>
  <c r="U64" i="8" s="1"/>
  <c r="O64" i="8"/>
  <c r="Q64" i="8" s="1"/>
  <c r="N64" i="8"/>
  <c r="P64" i="8" s="1"/>
  <c r="D215" i="8"/>
  <c r="K215" i="8" s="1"/>
  <c r="L215" i="8"/>
  <c r="M216" i="8"/>
  <c r="C217" i="8"/>
  <c r="F216" i="8"/>
  <c r="R213" i="8"/>
  <c r="S213" i="8" s="1"/>
  <c r="S62" i="8"/>
  <c r="C63" i="9"/>
  <c r="D64" i="9"/>
  <c r="B61" i="9"/>
  <c r="O215" i="8" l="1"/>
  <c r="Q215" i="8" s="1"/>
  <c r="T215" i="8"/>
  <c r="U215" i="8" s="1"/>
  <c r="N215" i="8"/>
  <c r="P215" i="8" s="1"/>
  <c r="O65" i="8"/>
  <c r="Q65" i="8" s="1"/>
  <c r="T65" i="8"/>
  <c r="U65" i="8" s="1"/>
  <c r="N65" i="8"/>
  <c r="P65" i="8" s="1"/>
  <c r="C218" i="8"/>
  <c r="F217" i="8"/>
  <c r="M217" i="8"/>
  <c r="D65" i="9"/>
  <c r="S63" i="8"/>
  <c r="C64" i="9"/>
  <c r="D216" i="8"/>
  <c r="K216" i="8" s="1"/>
  <c r="L216" i="8"/>
  <c r="R64" i="8"/>
  <c r="F65" i="9"/>
  <c r="E65" i="9"/>
  <c r="D67" i="8"/>
  <c r="K66" i="8"/>
  <c r="F66" i="8"/>
  <c r="R214" i="8"/>
  <c r="S214" i="8" s="1"/>
  <c r="B62" i="9"/>
  <c r="O216" i="8" l="1"/>
  <c r="Q216" i="8" s="1"/>
  <c r="F218" i="8"/>
  <c r="C219" i="8"/>
  <c r="M218" i="8"/>
  <c r="T216" i="8"/>
  <c r="U216" i="8" s="1"/>
  <c r="N216" i="8"/>
  <c r="P216" i="8" s="1"/>
  <c r="D66" i="9"/>
  <c r="N66" i="8"/>
  <c r="P66" i="8" s="1"/>
  <c r="T66" i="8"/>
  <c r="U66" i="8" s="1"/>
  <c r="O66" i="8"/>
  <c r="Q66" i="8" s="1"/>
  <c r="D68" i="8"/>
  <c r="K67" i="8"/>
  <c r="F67" i="8"/>
  <c r="C65" i="9"/>
  <c r="S64" i="8"/>
  <c r="D217" i="8"/>
  <c r="K217" i="8" s="1"/>
  <c r="L217" i="8"/>
  <c r="R65" i="8"/>
  <c r="E66" i="9"/>
  <c r="F66" i="9"/>
  <c r="R215" i="8"/>
  <c r="S215" i="8" s="1"/>
  <c r="B63" i="9"/>
  <c r="R216" i="8" l="1"/>
  <c r="S216" i="8" s="1"/>
  <c r="O217" i="8"/>
  <c r="Q217" i="8" s="1"/>
  <c r="R66" i="8"/>
  <c r="F67" i="9"/>
  <c r="E67" i="9"/>
  <c r="T217" i="8"/>
  <c r="U217" i="8" s="1"/>
  <c r="N217" i="8"/>
  <c r="P217" i="8" s="1"/>
  <c r="T67" i="8"/>
  <c r="U67" i="8" s="1"/>
  <c r="O67" i="8"/>
  <c r="Q67" i="8" s="1"/>
  <c r="N67" i="8"/>
  <c r="P67" i="8" s="1"/>
  <c r="D67" i="9"/>
  <c r="M219" i="8"/>
  <c r="C220" i="8"/>
  <c r="F219" i="8"/>
  <c r="S65" i="8"/>
  <c r="C66" i="9"/>
  <c r="K68" i="8"/>
  <c r="D69" i="8"/>
  <c r="F68" i="8"/>
  <c r="D218" i="8"/>
  <c r="K218" i="8" s="1"/>
  <c r="L218" i="8"/>
  <c r="B64" i="9"/>
  <c r="D70" i="8" l="1"/>
  <c r="F69" i="8"/>
  <c r="K69" i="8"/>
  <c r="D219" i="8"/>
  <c r="K219" i="8" s="1"/>
  <c r="L219" i="8"/>
  <c r="O218" i="8"/>
  <c r="Q218" i="8" s="1"/>
  <c r="T68" i="8"/>
  <c r="U68" i="8" s="1"/>
  <c r="O68" i="8"/>
  <c r="Q68" i="8" s="1"/>
  <c r="N68" i="8"/>
  <c r="P68" i="8" s="1"/>
  <c r="F220" i="8"/>
  <c r="C221" i="8"/>
  <c r="M220" i="8"/>
  <c r="D68" i="9"/>
  <c r="S66" i="8"/>
  <c r="C67" i="9"/>
  <c r="T218" i="8"/>
  <c r="U218" i="8" s="1"/>
  <c r="N218" i="8"/>
  <c r="P218" i="8" s="1"/>
  <c r="R67" i="8"/>
  <c r="F68" i="9"/>
  <c r="E68" i="9"/>
  <c r="R217" i="8"/>
  <c r="S217" i="8" s="1"/>
  <c r="B65" i="9"/>
  <c r="S67" i="8" l="1"/>
  <c r="C68" i="9"/>
  <c r="R68" i="8"/>
  <c r="F69" i="9"/>
  <c r="E69" i="9"/>
  <c r="N219" i="8"/>
  <c r="P219" i="8" s="1"/>
  <c r="T219" i="8"/>
  <c r="U219" i="8" s="1"/>
  <c r="T69" i="8"/>
  <c r="U69" i="8" s="1"/>
  <c r="O69" i="8"/>
  <c r="Q69" i="8" s="1"/>
  <c r="N69" i="8"/>
  <c r="P69" i="8" s="1"/>
  <c r="C222" i="8"/>
  <c r="F221" i="8"/>
  <c r="M221" i="8"/>
  <c r="D220" i="8"/>
  <c r="K220" i="8" s="1"/>
  <c r="L220" i="8"/>
  <c r="R218" i="8"/>
  <c r="S218" i="8" s="1"/>
  <c r="D69" i="9"/>
  <c r="O219" i="8"/>
  <c r="Q219" i="8" s="1"/>
  <c r="D71" i="8"/>
  <c r="F70" i="8"/>
  <c r="K70" i="8"/>
  <c r="B66" i="9"/>
  <c r="O70" i="8" l="1"/>
  <c r="Q70" i="8" s="1"/>
  <c r="N70" i="8"/>
  <c r="P70" i="8" s="1"/>
  <c r="T70" i="8"/>
  <c r="U70" i="8" s="1"/>
  <c r="O220" i="8"/>
  <c r="Q220" i="8" s="1"/>
  <c r="C223" i="8"/>
  <c r="M222" i="8"/>
  <c r="F222" i="8"/>
  <c r="N220" i="8"/>
  <c r="P220" i="8" s="1"/>
  <c r="T220" i="8"/>
  <c r="U220" i="8" s="1"/>
  <c r="D70" i="9"/>
  <c r="C69" i="9"/>
  <c r="S68" i="8"/>
  <c r="E70" i="9"/>
  <c r="R69" i="8"/>
  <c r="F70" i="9"/>
  <c r="K71" i="8"/>
  <c r="F71" i="8"/>
  <c r="D72" i="8"/>
  <c r="R219" i="8"/>
  <c r="S219" i="8" s="1"/>
  <c r="D221" i="8"/>
  <c r="K221" i="8" s="1"/>
  <c r="L221" i="8"/>
  <c r="B67" i="9"/>
  <c r="O221" i="8" l="1"/>
  <c r="Q221" i="8" s="1"/>
  <c r="S69" i="8"/>
  <c r="C70" i="9"/>
  <c r="R220" i="8"/>
  <c r="S220" i="8" s="1"/>
  <c r="N221" i="8"/>
  <c r="P221" i="8" s="1"/>
  <c r="T221" i="8"/>
  <c r="U221" i="8" s="1"/>
  <c r="D222" i="8"/>
  <c r="K222" i="8" s="1"/>
  <c r="L222" i="8"/>
  <c r="N71" i="8"/>
  <c r="P71" i="8" s="1"/>
  <c r="T71" i="8"/>
  <c r="U71" i="8" s="1"/>
  <c r="O71" i="8"/>
  <c r="Q71" i="8" s="1"/>
  <c r="D71" i="9"/>
  <c r="K72" i="8"/>
  <c r="F72" i="8"/>
  <c r="D73" i="8"/>
  <c r="M223" i="8"/>
  <c r="F223" i="8"/>
  <c r="C224" i="8"/>
  <c r="R70" i="8"/>
  <c r="F71" i="9"/>
  <c r="E71" i="9"/>
  <c r="B68" i="9"/>
  <c r="F224" i="8" l="1"/>
  <c r="C225" i="8"/>
  <c r="M224" i="8"/>
  <c r="R71" i="8"/>
  <c r="F72" i="9"/>
  <c r="E72" i="9"/>
  <c r="T72" i="8"/>
  <c r="U72" i="8" s="1"/>
  <c r="N72" i="8"/>
  <c r="P72" i="8" s="1"/>
  <c r="O72" i="8"/>
  <c r="Q72" i="8" s="1"/>
  <c r="D72" i="9"/>
  <c r="T222" i="8"/>
  <c r="U222" i="8" s="1"/>
  <c r="N222" i="8"/>
  <c r="P222" i="8" s="1"/>
  <c r="D223" i="8"/>
  <c r="K223" i="8" s="1"/>
  <c r="L223" i="8"/>
  <c r="S70" i="8"/>
  <c r="C71" i="9"/>
  <c r="K73" i="8"/>
  <c r="D74" i="8"/>
  <c r="F73" i="8"/>
  <c r="O222" i="8"/>
  <c r="Q222" i="8" s="1"/>
  <c r="R221" i="8"/>
  <c r="S221" i="8" s="1"/>
  <c r="B69" i="9"/>
  <c r="O223" i="8" l="1"/>
  <c r="Q223" i="8" s="1"/>
  <c r="D75" i="8"/>
  <c r="F74" i="8"/>
  <c r="K74" i="8"/>
  <c r="T73" i="8"/>
  <c r="U73" i="8" s="1"/>
  <c r="O73" i="8"/>
  <c r="Q73" i="8" s="1"/>
  <c r="N73" i="8"/>
  <c r="P73" i="8" s="1"/>
  <c r="R222" i="8"/>
  <c r="S222" i="8" s="1"/>
  <c r="R72" i="8"/>
  <c r="E73" i="9"/>
  <c r="F73" i="9"/>
  <c r="C226" i="8"/>
  <c r="M225" i="8"/>
  <c r="F225" i="8"/>
  <c r="S71" i="8"/>
  <c r="C72" i="9"/>
  <c r="T223" i="8"/>
  <c r="U223" i="8" s="1"/>
  <c r="N223" i="8"/>
  <c r="P223" i="8" s="1"/>
  <c r="D73" i="9"/>
  <c r="D224" i="8"/>
  <c r="K224" i="8" s="1"/>
  <c r="L224" i="8"/>
  <c r="B70" i="9"/>
  <c r="N224" i="8" l="1"/>
  <c r="P224" i="8" s="1"/>
  <c r="T224" i="8"/>
  <c r="U224" i="8" s="1"/>
  <c r="D225" i="8"/>
  <c r="K225" i="8" s="1"/>
  <c r="L225" i="8"/>
  <c r="O74" i="8"/>
  <c r="Q74" i="8" s="1"/>
  <c r="N74" i="8"/>
  <c r="P74" i="8" s="1"/>
  <c r="T74" i="8"/>
  <c r="U74" i="8" s="1"/>
  <c r="S72" i="8"/>
  <c r="C73" i="9"/>
  <c r="D74" i="9"/>
  <c r="O224" i="8"/>
  <c r="Q224" i="8" s="1"/>
  <c r="R223" i="8"/>
  <c r="S223" i="8" s="1"/>
  <c r="M226" i="8"/>
  <c r="C227" i="8"/>
  <c r="F226" i="8"/>
  <c r="E74" i="9"/>
  <c r="R73" i="8"/>
  <c r="F74" i="9"/>
  <c r="K75" i="8"/>
  <c r="F75" i="8"/>
  <c r="D76" i="8"/>
  <c r="B71" i="9"/>
  <c r="K76" i="8" l="1"/>
  <c r="F76" i="8"/>
  <c r="D77" i="8"/>
  <c r="D226" i="8"/>
  <c r="K226" i="8" s="1"/>
  <c r="L226" i="8"/>
  <c r="R224" i="8"/>
  <c r="S224" i="8" s="1"/>
  <c r="O225" i="8"/>
  <c r="Q225" i="8" s="1"/>
  <c r="S73" i="8"/>
  <c r="C74" i="9"/>
  <c r="T225" i="8"/>
  <c r="U225" i="8" s="1"/>
  <c r="N225" i="8"/>
  <c r="P225" i="8" s="1"/>
  <c r="D75" i="9"/>
  <c r="F227" i="8"/>
  <c r="M227" i="8"/>
  <c r="C228" i="8"/>
  <c r="N75" i="8"/>
  <c r="P75" i="8" s="1"/>
  <c r="T75" i="8"/>
  <c r="U75" i="8" s="1"/>
  <c r="O75" i="8"/>
  <c r="Q75" i="8" s="1"/>
  <c r="R74" i="8"/>
  <c r="F75" i="9"/>
  <c r="E75" i="9"/>
  <c r="B72" i="9"/>
  <c r="T226" i="8" l="1"/>
  <c r="U226" i="8" s="1"/>
  <c r="N226" i="8"/>
  <c r="P226" i="8" s="1"/>
  <c r="D227" i="8"/>
  <c r="K227" i="8" s="1"/>
  <c r="L227" i="8"/>
  <c r="K77" i="8"/>
  <c r="D78" i="8"/>
  <c r="F77" i="8"/>
  <c r="R225" i="8"/>
  <c r="S225" i="8" s="1"/>
  <c r="D76" i="9"/>
  <c r="R75" i="8"/>
  <c r="E76" i="9"/>
  <c r="F76" i="9"/>
  <c r="S74" i="8"/>
  <c r="C75" i="9"/>
  <c r="C229" i="8"/>
  <c r="F228" i="8"/>
  <c r="M228" i="8"/>
  <c r="O226" i="8"/>
  <c r="Q226" i="8" s="1"/>
  <c r="T76" i="8"/>
  <c r="U76" i="8" s="1"/>
  <c r="N76" i="8"/>
  <c r="P76" i="8" s="1"/>
  <c r="O76" i="8"/>
  <c r="Q76" i="8" s="1"/>
  <c r="B73" i="9"/>
  <c r="O227" i="8" l="1"/>
  <c r="Q227" i="8" s="1"/>
  <c r="R76" i="8"/>
  <c r="E77" i="9"/>
  <c r="F77" i="9"/>
  <c r="D228" i="8"/>
  <c r="K228" i="8" s="1"/>
  <c r="L228" i="8"/>
  <c r="N227" i="8"/>
  <c r="P227" i="8" s="1"/>
  <c r="T227" i="8"/>
  <c r="U227" i="8" s="1"/>
  <c r="S75" i="8"/>
  <c r="C76" i="9"/>
  <c r="C230" i="8"/>
  <c r="F229" i="8"/>
  <c r="M229" i="8"/>
  <c r="D79" i="8"/>
  <c r="F78" i="8"/>
  <c r="K78" i="8"/>
  <c r="D77" i="9"/>
  <c r="R226" i="8"/>
  <c r="S226" i="8" s="1"/>
  <c r="T77" i="8"/>
  <c r="U77" i="8" s="1"/>
  <c r="O77" i="8"/>
  <c r="Q77" i="8" s="1"/>
  <c r="N77" i="8"/>
  <c r="P77" i="8" s="1"/>
  <c r="B74" i="9"/>
  <c r="R227" i="8" l="1"/>
  <c r="S227" i="8" s="1"/>
  <c r="O228" i="8"/>
  <c r="Q228" i="8" s="1"/>
  <c r="F78" i="9"/>
  <c r="E78" i="9"/>
  <c r="R77" i="8"/>
  <c r="O78" i="8"/>
  <c r="Q78" i="8" s="1"/>
  <c r="N78" i="8"/>
  <c r="P78" i="8" s="1"/>
  <c r="T78" i="8"/>
  <c r="U78" i="8" s="1"/>
  <c r="D229" i="8"/>
  <c r="K229" i="8" s="1"/>
  <c r="L229" i="8"/>
  <c r="M230" i="8"/>
  <c r="F230" i="8"/>
  <c r="C231" i="8"/>
  <c r="K79" i="8"/>
  <c r="F79" i="8"/>
  <c r="D80" i="8"/>
  <c r="S76" i="8"/>
  <c r="C77" i="9"/>
  <c r="D78" i="9"/>
  <c r="N228" i="8"/>
  <c r="P228" i="8" s="1"/>
  <c r="T228" i="8"/>
  <c r="U228" i="8" s="1"/>
  <c r="B75" i="9"/>
  <c r="R228" i="8" l="1"/>
  <c r="S228" i="8" s="1"/>
  <c r="T229" i="8"/>
  <c r="U229" i="8" s="1"/>
  <c r="N229" i="8"/>
  <c r="P229" i="8" s="1"/>
  <c r="D230" i="8"/>
  <c r="K230" i="8" s="1"/>
  <c r="L230" i="8"/>
  <c r="D79" i="9"/>
  <c r="F231" i="8"/>
  <c r="M231" i="8"/>
  <c r="C232" i="8"/>
  <c r="S77" i="8"/>
  <c r="C78" i="9"/>
  <c r="K80" i="8"/>
  <c r="F80" i="8"/>
  <c r="D81" i="8"/>
  <c r="N79" i="8"/>
  <c r="P79" i="8" s="1"/>
  <c r="T79" i="8"/>
  <c r="U79" i="8" s="1"/>
  <c r="O79" i="8"/>
  <c r="Q79" i="8" s="1"/>
  <c r="O229" i="8"/>
  <c r="Q229" i="8" s="1"/>
  <c r="R78" i="8"/>
  <c r="F79" i="9"/>
  <c r="E79" i="9"/>
  <c r="B76" i="9"/>
  <c r="T230" i="8" l="1"/>
  <c r="U230" i="8" s="1"/>
  <c r="N230" i="8"/>
  <c r="P230" i="8" s="1"/>
  <c r="S78" i="8"/>
  <c r="C79" i="9"/>
  <c r="D80" i="9"/>
  <c r="R229" i="8"/>
  <c r="S229" i="8" s="1"/>
  <c r="K81" i="8"/>
  <c r="D82" i="8"/>
  <c r="F81" i="8"/>
  <c r="T80" i="8"/>
  <c r="U80" i="8" s="1"/>
  <c r="N80" i="8"/>
  <c r="P80" i="8" s="1"/>
  <c r="O80" i="8"/>
  <c r="Q80" i="8" s="1"/>
  <c r="O230" i="8"/>
  <c r="Q230" i="8" s="1"/>
  <c r="D231" i="8"/>
  <c r="K231" i="8" s="1"/>
  <c r="L231" i="8"/>
  <c r="R79" i="8"/>
  <c r="F80" i="9"/>
  <c r="E80" i="9"/>
  <c r="C233" i="8"/>
  <c r="F232" i="8"/>
  <c r="M232" i="8"/>
  <c r="B77" i="9"/>
  <c r="D232" i="8" l="1"/>
  <c r="K232" i="8" s="1"/>
  <c r="L232" i="8"/>
  <c r="N231" i="8"/>
  <c r="P231" i="8" s="1"/>
  <c r="T231" i="8"/>
  <c r="U231" i="8" s="1"/>
  <c r="R230" i="8"/>
  <c r="S230" i="8" s="1"/>
  <c r="C234" i="8"/>
  <c r="F233" i="8"/>
  <c r="M233" i="8"/>
  <c r="S79" i="8"/>
  <c r="C80" i="9"/>
  <c r="R80" i="8"/>
  <c r="E81" i="9"/>
  <c r="F81" i="9"/>
  <c r="D83" i="8"/>
  <c r="F82" i="8"/>
  <c r="K82" i="8"/>
  <c r="O231" i="8"/>
  <c r="Q231" i="8" s="1"/>
  <c r="D81" i="9"/>
  <c r="T81" i="8"/>
  <c r="U81" i="8" s="1"/>
  <c r="O81" i="8"/>
  <c r="Q81" i="8" s="1"/>
  <c r="N81" i="8"/>
  <c r="P81" i="8" s="1"/>
  <c r="B78" i="9"/>
  <c r="O232" i="8" l="1"/>
  <c r="Q232" i="8" s="1"/>
  <c r="D233" i="8"/>
  <c r="K233" i="8" s="1"/>
  <c r="L233" i="8"/>
  <c r="K83" i="8"/>
  <c r="F83" i="8"/>
  <c r="D84" i="8"/>
  <c r="F82" i="9"/>
  <c r="E82" i="9"/>
  <c r="R81" i="8"/>
  <c r="R231" i="8"/>
  <c r="S231" i="8" s="1"/>
  <c r="M234" i="8"/>
  <c r="C235" i="8"/>
  <c r="F234" i="8"/>
  <c r="D82" i="9"/>
  <c r="O82" i="8"/>
  <c r="Q82" i="8" s="1"/>
  <c r="N82" i="8"/>
  <c r="P82" i="8" s="1"/>
  <c r="T82" i="8"/>
  <c r="U82" i="8" s="1"/>
  <c r="S80" i="8"/>
  <c r="C81" i="9"/>
  <c r="N232" i="8"/>
  <c r="P232" i="8" s="1"/>
  <c r="T232" i="8"/>
  <c r="U232" i="8" s="1"/>
  <c r="B79" i="9"/>
  <c r="O233" i="8" l="1"/>
  <c r="Q233" i="8" s="1"/>
  <c r="N83" i="8"/>
  <c r="P83" i="8" s="1"/>
  <c r="T83" i="8"/>
  <c r="U83" i="8" s="1"/>
  <c r="O83" i="8"/>
  <c r="Q83" i="8" s="1"/>
  <c r="R232" i="8"/>
  <c r="S232" i="8" s="1"/>
  <c r="D83" i="9"/>
  <c r="D234" i="8"/>
  <c r="K234" i="8" s="1"/>
  <c r="L234" i="8"/>
  <c r="R82" i="8"/>
  <c r="F83" i="9"/>
  <c r="E83" i="9"/>
  <c r="F235" i="8"/>
  <c r="M235" i="8"/>
  <c r="C236" i="8"/>
  <c r="S81" i="8"/>
  <c r="C82" i="9"/>
  <c r="K84" i="8"/>
  <c r="F84" i="8"/>
  <c r="D85" i="8"/>
  <c r="T233" i="8"/>
  <c r="U233" i="8" s="1"/>
  <c r="N233" i="8"/>
  <c r="P233" i="8" s="1"/>
  <c r="B80" i="9"/>
  <c r="O234" i="8" l="1"/>
  <c r="Q234" i="8" s="1"/>
  <c r="T84" i="8"/>
  <c r="U84" i="8" s="1"/>
  <c r="N84" i="8"/>
  <c r="P84" i="8" s="1"/>
  <c r="O84" i="8"/>
  <c r="Q84" i="8" s="1"/>
  <c r="D235" i="8"/>
  <c r="K235" i="8" s="1"/>
  <c r="L235" i="8"/>
  <c r="S82" i="8"/>
  <c r="C83" i="9"/>
  <c r="R233" i="8"/>
  <c r="S233" i="8" s="1"/>
  <c r="R83" i="8"/>
  <c r="E84" i="9"/>
  <c r="F84" i="9"/>
  <c r="K85" i="8"/>
  <c r="D86" i="8"/>
  <c r="F85" i="8"/>
  <c r="C237" i="8"/>
  <c r="F236" i="8"/>
  <c r="M236" i="8"/>
  <c r="T234" i="8"/>
  <c r="U234" i="8" s="1"/>
  <c r="N234" i="8"/>
  <c r="P234" i="8" s="1"/>
  <c r="D84" i="9"/>
  <c r="B81" i="9"/>
  <c r="D236" i="8" l="1"/>
  <c r="K236" i="8" s="1"/>
  <c r="L236" i="8"/>
  <c r="R84" i="8"/>
  <c r="E85" i="9"/>
  <c r="F85" i="9"/>
  <c r="N235" i="8"/>
  <c r="P235" i="8" s="1"/>
  <c r="T235" i="8"/>
  <c r="U235" i="8" s="1"/>
  <c r="T85" i="8"/>
  <c r="U85" i="8" s="1"/>
  <c r="O85" i="8"/>
  <c r="Q85" i="8" s="1"/>
  <c r="N85" i="8"/>
  <c r="P85" i="8" s="1"/>
  <c r="C238" i="8"/>
  <c r="F237" i="8"/>
  <c r="M237" i="8"/>
  <c r="R234" i="8"/>
  <c r="S234" i="8" s="1"/>
  <c r="D85" i="9"/>
  <c r="D87" i="8"/>
  <c r="F86" i="8"/>
  <c r="K86" i="8"/>
  <c r="S83" i="8"/>
  <c r="C84" i="9"/>
  <c r="O235" i="8"/>
  <c r="Q235" i="8" s="1"/>
  <c r="B82" i="9"/>
  <c r="O236" i="8" l="1"/>
  <c r="Q236" i="8" s="1"/>
  <c r="O86" i="8"/>
  <c r="Q86" i="8" s="1"/>
  <c r="N86" i="8"/>
  <c r="P86" i="8" s="1"/>
  <c r="T86" i="8"/>
  <c r="U86" i="8" s="1"/>
  <c r="M238" i="8"/>
  <c r="F238" i="8"/>
  <c r="C239" i="8"/>
  <c r="S84" i="8"/>
  <c r="C85" i="9"/>
  <c r="R235" i="8"/>
  <c r="S235" i="8" s="1"/>
  <c r="D86" i="9"/>
  <c r="K87" i="8"/>
  <c r="F87" i="8"/>
  <c r="D88" i="8"/>
  <c r="F86" i="9"/>
  <c r="E86" i="9"/>
  <c r="R85" i="8"/>
  <c r="D237" i="8"/>
  <c r="K237" i="8" s="1"/>
  <c r="L237" i="8"/>
  <c r="N236" i="8"/>
  <c r="P236" i="8" s="1"/>
  <c r="T236" i="8"/>
  <c r="U236" i="8" s="1"/>
  <c r="B83" i="9"/>
  <c r="O237" i="8" l="1"/>
  <c r="Q237" i="8" s="1"/>
  <c r="R236" i="8"/>
  <c r="S236" i="8" s="1"/>
  <c r="S85" i="8"/>
  <c r="C86" i="9"/>
  <c r="K88" i="8"/>
  <c r="F88" i="8"/>
  <c r="D89" i="8"/>
  <c r="T237" i="8"/>
  <c r="U237" i="8" s="1"/>
  <c r="N237" i="8"/>
  <c r="P237" i="8" s="1"/>
  <c r="F239" i="8"/>
  <c r="M239" i="8"/>
  <c r="C240" i="8"/>
  <c r="D87" i="9"/>
  <c r="N87" i="8"/>
  <c r="P87" i="8" s="1"/>
  <c r="T87" i="8"/>
  <c r="U87" i="8" s="1"/>
  <c r="O87" i="8"/>
  <c r="Q87" i="8" s="1"/>
  <c r="D238" i="8"/>
  <c r="K238" i="8" s="1"/>
  <c r="L238" i="8"/>
  <c r="R86" i="8"/>
  <c r="F87" i="9"/>
  <c r="E87" i="9"/>
  <c r="B84" i="9"/>
  <c r="O238" i="8" l="1"/>
  <c r="Q238" i="8" s="1"/>
  <c r="D88" i="9"/>
  <c r="T238" i="8"/>
  <c r="U238" i="8" s="1"/>
  <c r="N238" i="8"/>
  <c r="P238" i="8" s="1"/>
  <c r="D239" i="8"/>
  <c r="K239" i="8" s="1"/>
  <c r="L239" i="8"/>
  <c r="R237" i="8"/>
  <c r="S237" i="8" s="1"/>
  <c r="T88" i="8"/>
  <c r="U88" i="8" s="1"/>
  <c r="N88" i="8"/>
  <c r="P88" i="8" s="1"/>
  <c r="O88" i="8"/>
  <c r="Q88" i="8" s="1"/>
  <c r="R87" i="8"/>
  <c r="F88" i="9"/>
  <c r="E88" i="9"/>
  <c r="K89" i="8"/>
  <c r="D90" i="8"/>
  <c r="F89" i="8"/>
  <c r="S86" i="8"/>
  <c r="C87" i="9"/>
  <c r="C241" i="8"/>
  <c r="F240" i="8"/>
  <c r="M240" i="8"/>
  <c r="B85" i="9"/>
  <c r="R88" i="8" l="1"/>
  <c r="E89" i="9"/>
  <c r="F89" i="9"/>
  <c r="O239" i="8"/>
  <c r="Q239" i="8" s="1"/>
  <c r="D89" i="9"/>
  <c r="N239" i="8"/>
  <c r="P239" i="8" s="1"/>
  <c r="T239" i="8"/>
  <c r="U239" i="8" s="1"/>
  <c r="D240" i="8"/>
  <c r="K240" i="8" s="1"/>
  <c r="L240" i="8"/>
  <c r="R238" i="8"/>
  <c r="S238" i="8" s="1"/>
  <c r="C242" i="8"/>
  <c r="F241" i="8"/>
  <c r="M241" i="8"/>
  <c r="D91" i="8"/>
  <c r="F90" i="8"/>
  <c r="K90" i="8"/>
  <c r="T89" i="8"/>
  <c r="U89" i="8" s="1"/>
  <c r="O89" i="8"/>
  <c r="Q89" i="8" s="1"/>
  <c r="N89" i="8"/>
  <c r="P89" i="8" s="1"/>
  <c r="S87" i="8"/>
  <c r="C88" i="9"/>
  <c r="B86" i="9"/>
  <c r="O90" i="8" l="1"/>
  <c r="Q90" i="8" s="1"/>
  <c r="N90" i="8"/>
  <c r="P90" i="8" s="1"/>
  <c r="T90" i="8"/>
  <c r="U90" i="8" s="1"/>
  <c r="D241" i="8"/>
  <c r="K241" i="8" s="1"/>
  <c r="L241" i="8"/>
  <c r="F90" i="9"/>
  <c r="R89" i="8"/>
  <c r="E90" i="9"/>
  <c r="K91" i="8"/>
  <c r="F91" i="8"/>
  <c r="D92" i="8"/>
  <c r="O240" i="8"/>
  <c r="Q240" i="8" s="1"/>
  <c r="N240" i="8"/>
  <c r="P240" i="8" s="1"/>
  <c r="T240" i="8"/>
  <c r="U240" i="8" s="1"/>
  <c r="S88" i="8"/>
  <c r="C89" i="9"/>
  <c r="D90" i="9"/>
  <c r="M242" i="8"/>
  <c r="C243" i="8"/>
  <c r="F242" i="8"/>
  <c r="R239" i="8"/>
  <c r="S239" i="8" s="1"/>
  <c r="B87" i="9"/>
  <c r="K92" i="8" l="1"/>
  <c r="F92" i="8"/>
  <c r="D93" i="8"/>
  <c r="S89" i="8"/>
  <c r="C90" i="9"/>
  <c r="N91" i="8"/>
  <c r="P91" i="8" s="1"/>
  <c r="T91" i="8"/>
  <c r="U91" i="8" s="1"/>
  <c r="O91" i="8"/>
  <c r="Q91" i="8" s="1"/>
  <c r="D91" i="9"/>
  <c r="T241" i="8"/>
  <c r="U241" i="8" s="1"/>
  <c r="N241" i="8"/>
  <c r="P241" i="8" s="1"/>
  <c r="D242" i="8"/>
  <c r="K242" i="8" s="1"/>
  <c r="L242" i="8"/>
  <c r="F243" i="8"/>
  <c r="M243" i="8"/>
  <c r="C244" i="8"/>
  <c r="R240" i="8"/>
  <c r="S240" i="8" s="1"/>
  <c r="O241" i="8"/>
  <c r="Q241" i="8" s="1"/>
  <c r="R90" i="8"/>
  <c r="E91" i="9"/>
  <c r="F91" i="9"/>
  <c r="B88" i="9"/>
  <c r="R241" i="8" l="1"/>
  <c r="S241" i="8" s="1"/>
  <c r="K93" i="8"/>
  <c r="D94" i="8"/>
  <c r="F93" i="8"/>
  <c r="R91" i="8"/>
  <c r="E92" i="9"/>
  <c r="F92" i="9"/>
  <c r="D243" i="8"/>
  <c r="K243" i="8" s="1"/>
  <c r="L243" i="8"/>
  <c r="O242" i="8"/>
  <c r="Q242" i="8" s="1"/>
  <c r="D92" i="9"/>
  <c r="S90" i="8"/>
  <c r="C91" i="9"/>
  <c r="M244" i="8"/>
  <c r="F244" i="8"/>
  <c r="C245" i="8"/>
  <c r="T242" i="8"/>
  <c r="U242" i="8" s="1"/>
  <c r="N242" i="8"/>
  <c r="P242" i="8" s="1"/>
  <c r="T92" i="8"/>
  <c r="U92" i="8" s="1"/>
  <c r="N92" i="8"/>
  <c r="P92" i="8" s="1"/>
  <c r="O92" i="8"/>
  <c r="Q92" i="8" s="1"/>
  <c r="B89" i="9"/>
  <c r="O243" i="8" l="1"/>
  <c r="Q243" i="8" s="1"/>
  <c r="T93" i="8"/>
  <c r="U93" i="8" s="1"/>
  <c r="O93" i="8"/>
  <c r="Q93" i="8" s="1"/>
  <c r="N93" i="8"/>
  <c r="P93" i="8" s="1"/>
  <c r="R92" i="8"/>
  <c r="E93" i="9"/>
  <c r="F93" i="9"/>
  <c r="R242" i="8"/>
  <c r="S242" i="8" s="1"/>
  <c r="D95" i="8"/>
  <c r="F94" i="8"/>
  <c r="K94" i="8"/>
  <c r="D93" i="9"/>
  <c r="M245" i="8"/>
  <c r="C246" i="8"/>
  <c r="F245" i="8"/>
  <c r="L245" i="8" s="1"/>
  <c r="D244" i="8"/>
  <c r="K244" i="8" s="1"/>
  <c r="L244" i="8"/>
  <c r="N243" i="8"/>
  <c r="P243" i="8" s="1"/>
  <c r="T243" i="8"/>
  <c r="U243" i="8" s="1"/>
  <c r="S91" i="8"/>
  <c r="C92" i="9"/>
  <c r="B90" i="9"/>
  <c r="T244" i="8" l="1"/>
  <c r="U244" i="8" s="1"/>
  <c r="N244" i="8"/>
  <c r="P244" i="8" s="1"/>
  <c r="S92" i="8"/>
  <c r="C93" i="9"/>
  <c r="K95" i="8"/>
  <c r="F95" i="8"/>
  <c r="D96" i="8"/>
  <c r="F94" i="9"/>
  <c r="E94" i="9"/>
  <c r="R93" i="8"/>
  <c r="O94" i="8"/>
  <c r="Q94" i="8" s="1"/>
  <c r="N94" i="8"/>
  <c r="P94" i="8" s="1"/>
  <c r="T94" i="8"/>
  <c r="U94" i="8" s="1"/>
  <c r="E245" i="8"/>
  <c r="D245" i="8"/>
  <c r="K245" i="8" s="1"/>
  <c r="M246" i="8"/>
  <c r="C247" i="8"/>
  <c r="F246" i="8"/>
  <c r="L246" i="8" s="1"/>
  <c r="O244" i="8"/>
  <c r="Q244" i="8" s="1"/>
  <c r="D94" i="9"/>
  <c r="R243" i="8"/>
  <c r="S243" i="8" s="1"/>
  <c r="B91" i="9"/>
  <c r="O245" i="8" l="1"/>
  <c r="Q245" i="8" s="1"/>
  <c r="M247" i="8"/>
  <c r="F247" i="8"/>
  <c r="L247" i="8" s="1"/>
  <c r="R94" i="8"/>
  <c r="F95" i="9"/>
  <c r="E95" i="9"/>
  <c r="S93" i="8"/>
  <c r="C94" i="9"/>
  <c r="K96" i="8"/>
  <c r="F96" i="8"/>
  <c r="D97" i="8"/>
  <c r="R244" i="8"/>
  <c r="S244" i="8" s="1"/>
  <c r="T245" i="8"/>
  <c r="U245" i="8" s="1"/>
  <c r="N245" i="8"/>
  <c r="P245" i="8" s="1"/>
  <c r="E246" i="8"/>
  <c r="D246" i="8"/>
  <c r="K246" i="8" s="1"/>
  <c r="D95" i="9"/>
  <c r="N95" i="8"/>
  <c r="P95" i="8" s="1"/>
  <c r="T95" i="8"/>
  <c r="U95" i="8" s="1"/>
  <c r="O95" i="8"/>
  <c r="Q95" i="8" s="1"/>
  <c r="B92" i="9"/>
  <c r="O246" i="8" l="1"/>
  <c r="Q246" i="8" s="1"/>
  <c r="T96" i="8"/>
  <c r="U96" i="8" s="1"/>
  <c r="N96" i="8"/>
  <c r="P96" i="8" s="1"/>
  <c r="O96" i="8"/>
  <c r="Q96" i="8" s="1"/>
  <c r="D96" i="9"/>
  <c r="R95" i="8"/>
  <c r="F96" i="9"/>
  <c r="E96" i="9"/>
  <c r="R245" i="8"/>
  <c r="S245" i="8" s="1"/>
  <c r="E247" i="8"/>
  <c r="D247" i="8"/>
  <c r="K247" i="8" s="1"/>
  <c r="N246" i="8"/>
  <c r="P246" i="8" s="1"/>
  <c r="T246" i="8"/>
  <c r="U246" i="8" s="1"/>
  <c r="K97" i="8"/>
  <c r="D98" i="8"/>
  <c r="F97" i="8"/>
  <c r="S94" i="8"/>
  <c r="C95" i="9"/>
  <c r="D104" i="9"/>
  <c r="B104" i="9"/>
  <c r="F104" i="9"/>
  <c r="E104" i="9"/>
  <c r="C104" i="9"/>
  <c r="B93" i="9"/>
  <c r="O247" i="8" l="1"/>
  <c r="Q247" i="8" s="1"/>
  <c r="S95" i="8"/>
  <c r="C96" i="9"/>
  <c r="D97" i="9"/>
  <c r="D99" i="8"/>
  <c r="F98" i="8"/>
  <c r="K98" i="8"/>
  <c r="R246" i="8"/>
  <c r="S246" i="8" s="1"/>
  <c r="T247" i="8"/>
  <c r="U247" i="8" s="1"/>
  <c r="N247" i="8"/>
  <c r="P247" i="8" s="1"/>
  <c r="T97" i="8"/>
  <c r="U97" i="8" s="1"/>
  <c r="O97" i="8"/>
  <c r="Q97" i="8" s="1"/>
  <c r="N97" i="8"/>
  <c r="P97" i="8" s="1"/>
  <c r="R96" i="8"/>
  <c r="E97" i="9"/>
  <c r="F97" i="9"/>
  <c r="B105" i="9"/>
  <c r="F105" i="9"/>
  <c r="E105" i="9"/>
  <c r="D105" i="9"/>
  <c r="C105" i="9"/>
  <c r="B94" i="9"/>
  <c r="K99" i="8" l="1"/>
  <c r="F99" i="8"/>
  <c r="D100" i="8"/>
  <c r="S96" i="8"/>
  <c r="C97" i="9"/>
  <c r="D98" i="9"/>
  <c r="F98" i="9"/>
  <c r="E98" i="9"/>
  <c r="R97" i="8"/>
  <c r="R247" i="8"/>
  <c r="S247" i="8" s="1"/>
  <c r="O98" i="8"/>
  <c r="Q98" i="8" s="1"/>
  <c r="N98" i="8"/>
  <c r="P98" i="8" s="1"/>
  <c r="T98" i="8"/>
  <c r="U98" i="8" s="1"/>
  <c r="B118" i="9"/>
  <c r="F118" i="9"/>
  <c r="E118" i="9"/>
  <c r="B106" i="9"/>
  <c r="F106" i="9"/>
  <c r="E106" i="9"/>
  <c r="D118" i="9"/>
  <c r="D106" i="9"/>
  <c r="C106" i="9"/>
  <c r="C118" i="9"/>
  <c r="B95" i="9"/>
  <c r="S97" i="8" l="1"/>
  <c r="C98" i="9"/>
  <c r="K100" i="8"/>
  <c r="F100" i="8"/>
  <c r="D101" i="8"/>
  <c r="D99" i="9"/>
  <c r="R98" i="8"/>
  <c r="E99" i="9"/>
  <c r="F99" i="9"/>
  <c r="N99" i="8"/>
  <c r="P99" i="8" s="1"/>
  <c r="T99" i="8"/>
  <c r="U99" i="8" s="1"/>
  <c r="O99" i="8"/>
  <c r="Q99" i="8" s="1"/>
  <c r="B107" i="9"/>
  <c r="E107" i="9"/>
  <c r="F107" i="9"/>
  <c r="D107" i="9"/>
  <c r="D119" i="9"/>
  <c r="B119" i="9"/>
  <c r="E119" i="9"/>
  <c r="F119" i="9"/>
  <c r="C107" i="9"/>
  <c r="C119" i="9"/>
  <c r="B96" i="9"/>
  <c r="D100" i="9" l="1"/>
  <c r="S98" i="8"/>
  <c r="C99" i="9"/>
  <c r="T100" i="8"/>
  <c r="U100" i="8" s="1"/>
  <c r="N100" i="8"/>
  <c r="P100" i="8" s="1"/>
  <c r="O100" i="8"/>
  <c r="Q100" i="8" s="1"/>
  <c r="R99" i="8"/>
  <c r="E100" i="9"/>
  <c r="F100" i="9"/>
  <c r="K101" i="8"/>
  <c r="D102" i="8"/>
  <c r="F101" i="8"/>
  <c r="B120" i="9"/>
  <c r="F120" i="9"/>
  <c r="E120" i="9"/>
  <c r="D132" i="9"/>
  <c r="B108" i="9"/>
  <c r="F108" i="9"/>
  <c r="E108" i="9"/>
  <c r="B132" i="9"/>
  <c r="F132" i="9"/>
  <c r="E132" i="9"/>
  <c r="D120" i="9"/>
  <c r="D108" i="9"/>
  <c r="C132" i="9"/>
  <c r="C120" i="9"/>
  <c r="C108" i="9"/>
  <c r="B97" i="9"/>
  <c r="F101" i="9" l="1"/>
  <c r="R100" i="8"/>
  <c r="E101" i="9"/>
  <c r="T101" i="8"/>
  <c r="U101" i="8" s="1"/>
  <c r="O101" i="8"/>
  <c r="Q101" i="8" s="1"/>
  <c r="N101" i="8"/>
  <c r="P101" i="8" s="1"/>
  <c r="S99" i="8"/>
  <c r="C100" i="9"/>
  <c r="D101" i="9"/>
  <c r="F102" i="8"/>
  <c r="K102" i="8"/>
  <c r="B121" i="9"/>
  <c r="F121" i="9"/>
  <c r="E121" i="9"/>
  <c r="B133" i="9"/>
  <c r="F133" i="9"/>
  <c r="E133" i="9"/>
  <c r="D121" i="9"/>
  <c r="D133" i="9"/>
  <c r="D109" i="9"/>
  <c r="B151" i="9"/>
  <c r="E151" i="9"/>
  <c r="F151" i="9"/>
  <c r="B109" i="9"/>
  <c r="F109" i="9"/>
  <c r="E109" i="9"/>
  <c r="C109" i="9"/>
  <c r="C133" i="9"/>
  <c r="C121" i="9"/>
  <c r="B98" i="9"/>
  <c r="D102" i="9" l="1"/>
  <c r="S100" i="8"/>
  <c r="C101" i="9"/>
  <c r="F102" i="9"/>
  <c r="E102" i="9"/>
  <c r="R101" i="8"/>
  <c r="O102" i="8"/>
  <c r="Q102" i="8" s="1"/>
  <c r="N102" i="8"/>
  <c r="P102" i="8" s="1"/>
  <c r="T102" i="8"/>
  <c r="U102" i="8" s="1"/>
  <c r="B152" i="9"/>
  <c r="F152" i="9"/>
  <c r="E152" i="9"/>
  <c r="D134" i="9"/>
  <c r="B122" i="9"/>
  <c r="F122" i="9"/>
  <c r="E122" i="9"/>
  <c r="B134" i="9"/>
  <c r="F134" i="9"/>
  <c r="E134" i="9"/>
  <c r="D122" i="9"/>
  <c r="B110" i="9"/>
  <c r="F110" i="9"/>
  <c r="E110" i="9"/>
  <c r="D110" i="9"/>
  <c r="C134" i="9"/>
  <c r="C110" i="9"/>
  <c r="C122" i="9"/>
  <c r="B99" i="9"/>
  <c r="D103" i="9" l="1"/>
  <c r="S101" i="8"/>
  <c r="C102" i="9"/>
  <c r="R102" i="8"/>
  <c r="F103" i="9"/>
  <c r="E103" i="9"/>
  <c r="B111" i="9"/>
  <c r="E111" i="9"/>
  <c r="F111" i="9"/>
  <c r="D135" i="9"/>
  <c r="D123" i="9"/>
  <c r="B135" i="9"/>
  <c r="E135" i="9"/>
  <c r="F135" i="9"/>
  <c r="B123" i="9"/>
  <c r="E123" i="9"/>
  <c r="F123" i="9"/>
  <c r="B153" i="9"/>
  <c r="F153" i="9"/>
  <c r="E153" i="9"/>
  <c r="D111" i="9"/>
  <c r="C135" i="9"/>
  <c r="C123" i="9"/>
  <c r="C111" i="9"/>
  <c r="B100" i="9"/>
  <c r="S102" i="8" l="1"/>
  <c r="C103" i="9"/>
  <c r="B124" i="9"/>
  <c r="F124" i="9"/>
  <c r="E124" i="9"/>
  <c r="B136" i="9"/>
  <c r="F136" i="9"/>
  <c r="E136" i="9"/>
  <c r="D153" i="9"/>
  <c r="D136" i="9"/>
  <c r="D152" i="9"/>
  <c r="D124" i="9"/>
  <c r="D112" i="9"/>
  <c r="D154" i="9"/>
  <c r="D151" i="9"/>
  <c r="F154" i="9"/>
  <c r="E154" i="9"/>
  <c r="B112" i="9"/>
  <c r="F112" i="9"/>
  <c r="E112" i="9"/>
  <c r="B154" i="9"/>
  <c r="C112" i="9"/>
  <c r="C136" i="9"/>
  <c r="C124" i="9"/>
  <c r="B101" i="9"/>
  <c r="C151" i="9"/>
  <c r="C153" i="9"/>
  <c r="C152" i="9"/>
  <c r="C154" i="9"/>
  <c r="B113" i="9" l="1"/>
  <c r="F113" i="9"/>
  <c r="E113" i="9"/>
  <c r="B125" i="9"/>
  <c r="F125" i="9"/>
  <c r="E125" i="9"/>
  <c r="D125" i="9"/>
  <c r="D137" i="9"/>
  <c r="D113" i="9"/>
  <c r="B137" i="9"/>
  <c r="F137" i="9"/>
  <c r="E137" i="9"/>
  <c r="C113" i="9"/>
  <c r="C137" i="9"/>
  <c r="C125" i="9"/>
  <c r="B102" i="9"/>
  <c r="D155" i="9" l="1"/>
  <c r="D114" i="9"/>
  <c r="D168" i="9"/>
  <c r="D166" i="9"/>
  <c r="D126" i="9"/>
  <c r="B165" i="9"/>
  <c r="F165" i="9"/>
  <c r="E165" i="9"/>
  <c r="B155" i="9"/>
  <c r="E155" i="9"/>
  <c r="F155" i="9"/>
  <c r="B114" i="9"/>
  <c r="F114" i="9"/>
  <c r="E114" i="9"/>
  <c r="B168" i="9"/>
  <c r="E168" i="9"/>
  <c r="F168" i="9"/>
  <c r="B166" i="9"/>
  <c r="F166" i="9"/>
  <c r="E166" i="9"/>
  <c r="B126" i="9"/>
  <c r="F126" i="9"/>
  <c r="E126" i="9"/>
  <c r="D138" i="9"/>
  <c r="B167" i="9"/>
  <c r="F167" i="9"/>
  <c r="E167" i="9"/>
  <c r="B138" i="9"/>
  <c r="F138" i="9"/>
  <c r="E138" i="9"/>
  <c r="D165" i="9"/>
  <c r="D167" i="9"/>
  <c r="C138" i="9"/>
  <c r="C126" i="9"/>
  <c r="C155" i="9"/>
  <c r="C114" i="9"/>
  <c r="C165" i="9"/>
  <c r="C168" i="9"/>
  <c r="C167" i="9"/>
  <c r="C166" i="9"/>
  <c r="B103" i="9"/>
  <c r="B127" i="9" l="1"/>
  <c r="E127" i="9"/>
  <c r="F127" i="9"/>
  <c r="D115" i="9"/>
  <c r="D139" i="9"/>
  <c r="B139" i="9"/>
  <c r="E139" i="9"/>
  <c r="F139" i="9"/>
  <c r="B115" i="9"/>
  <c r="E115" i="9"/>
  <c r="F115" i="9"/>
  <c r="B156" i="9"/>
  <c r="F156" i="9"/>
  <c r="E156" i="9"/>
  <c r="D127" i="9"/>
  <c r="D156" i="9"/>
  <c r="C127" i="9"/>
  <c r="C156" i="9"/>
  <c r="C115" i="9"/>
  <c r="C139" i="9"/>
  <c r="B169" i="9" l="1"/>
  <c r="F169" i="9"/>
  <c r="E169" i="9"/>
  <c r="B128" i="9"/>
  <c r="F128" i="9"/>
  <c r="E128" i="9"/>
  <c r="D116" i="9"/>
  <c r="D157" i="9"/>
  <c r="D179" i="9"/>
  <c r="B116" i="9"/>
  <c r="F116" i="9"/>
  <c r="E116" i="9"/>
  <c r="B157" i="9"/>
  <c r="F157" i="9"/>
  <c r="E157" i="9"/>
  <c r="D181" i="9"/>
  <c r="D128" i="9"/>
  <c r="E180" i="9"/>
  <c r="F180" i="9"/>
  <c r="B145" i="9"/>
  <c r="F145" i="9"/>
  <c r="E145" i="9"/>
  <c r="D145" i="9"/>
  <c r="D169" i="9"/>
  <c r="B179" i="9"/>
  <c r="F179" i="9"/>
  <c r="E179" i="9"/>
  <c r="D180" i="9"/>
  <c r="B180" i="9"/>
  <c r="C157" i="9"/>
  <c r="C145" i="9"/>
  <c r="C169" i="9"/>
  <c r="C128" i="9"/>
  <c r="C179" i="9"/>
  <c r="C116" i="9"/>
  <c r="D146" i="9" l="1"/>
  <c r="B146" i="9"/>
  <c r="F146" i="9"/>
  <c r="E146" i="9"/>
  <c r="F181" i="9"/>
  <c r="E181" i="9"/>
  <c r="D158" i="9"/>
  <c r="B129" i="9"/>
  <c r="F129" i="9"/>
  <c r="E129" i="9"/>
  <c r="D117" i="9"/>
  <c r="B170" i="9"/>
  <c r="F170" i="9"/>
  <c r="E170" i="9"/>
  <c r="D129" i="9"/>
  <c r="B158" i="9"/>
  <c r="E158" i="9"/>
  <c r="F158" i="9"/>
  <c r="D170" i="9"/>
  <c r="B117" i="9"/>
  <c r="F117" i="9"/>
  <c r="E117" i="9"/>
  <c r="C180" i="9"/>
  <c r="B181" i="9"/>
  <c r="C181" i="9"/>
  <c r="C158" i="9"/>
  <c r="C170" i="9"/>
  <c r="C129" i="9"/>
  <c r="C146" i="9"/>
  <c r="C117" i="9"/>
  <c r="B171" i="9" l="1"/>
  <c r="F171" i="9"/>
  <c r="E171" i="9"/>
  <c r="B130" i="9"/>
  <c r="F130" i="9"/>
  <c r="E130" i="9"/>
  <c r="D183" i="9"/>
  <c r="D147" i="9"/>
  <c r="D159" i="9"/>
  <c r="D182" i="9"/>
  <c r="F182" i="9"/>
  <c r="E182" i="9"/>
  <c r="D130" i="9"/>
  <c r="B147" i="9"/>
  <c r="E147" i="9"/>
  <c r="F147" i="9"/>
  <c r="B159" i="9"/>
  <c r="F159" i="9"/>
  <c r="E159" i="9"/>
  <c r="D171" i="9"/>
  <c r="B182" i="9"/>
  <c r="C147" i="9"/>
  <c r="C159" i="9"/>
  <c r="C171" i="9"/>
  <c r="C130" i="9"/>
  <c r="B172" i="9" l="1"/>
  <c r="E172" i="9"/>
  <c r="F172" i="9"/>
  <c r="D160" i="9"/>
  <c r="B160" i="9"/>
  <c r="E160" i="9"/>
  <c r="F160" i="9"/>
  <c r="D148" i="9"/>
  <c r="B131" i="9"/>
  <c r="E131" i="9"/>
  <c r="F131" i="9"/>
  <c r="F183" i="9"/>
  <c r="E183" i="9"/>
  <c r="D172" i="9"/>
  <c r="B148" i="9"/>
  <c r="F148" i="9"/>
  <c r="E148" i="9"/>
  <c r="D131" i="9"/>
  <c r="C182" i="9"/>
  <c r="B183" i="9"/>
  <c r="C183" i="9"/>
  <c r="C172" i="9"/>
  <c r="C148" i="9"/>
  <c r="C160" i="9"/>
  <c r="C131" i="9"/>
  <c r="D161" i="9" l="1"/>
  <c r="D149" i="9"/>
  <c r="E184" i="9"/>
  <c r="F184" i="9"/>
  <c r="B161" i="9"/>
  <c r="F161" i="9"/>
  <c r="E161" i="9"/>
  <c r="D184" i="9"/>
  <c r="B173" i="9"/>
  <c r="F173" i="9"/>
  <c r="E173" i="9"/>
  <c r="B149" i="9"/>
  <c r="F149" i="9"/>
  <c r="E149" i="9"/>
  <c r="D173" i="9"/>
  <c r="B184" i="9"/>
  <c r="C149" i="9"/>
  <c r="C161" i="9"/>
  <c r="C173" i="9"/>
  <c r="D162" i="9" l="1"/>
  <c r="D150" i="9"/>
  <c r="B162" i="9"/>
  <c r="F162" i="9"/>
  <c r="E162" i="9"/>
  <c r="B174" i="9"/>
  <c r="F174" i="9"/>
  <c r="E174" i="9"/>
  <c r="D185" i="9"/>
  <c r="D174" i="9"/>
  <c r="B150" i="9"/>
  <c r="F150" i="9"/>
  <c r="E150" i="9"/>
  <c r="F185" i="9"/>
  <c r="E185" i="9"/>
  <c r="C184" i="9"/>
  <c r="B185" i="9"/>
  <c r="C185" i="9"/>
  <c r="C150" i="9"/>
  <c r="C162" i="9"/>
  <c r="C174" i="9"/>
  <c r="D175" i="9" l="1"/>
  <c r="D163" i="9"/>
  <c r="D186" i="9"/>
  <c r="B175" i="9"/>
  <c r="F175" i="9"/>
  <c r="E175" i="9"/>
  <c r="B163" i="9"/>
  <c r="F163" i="9"/>
  <c r="E163" i="9"/>
  <c r="F186" i="9"/>
  <c r="E186" i="9"/>
  <c r="B186" i="9"/>
  <c r="C186" i="9"/>
  <c r="C175" i="9"/>
  <c r="C163" i="9"/>
  <c r="D164" i="9" l="1"/>
  <c r="D187" i="9"/>
  <c r="B164" i="9"/>
  <c r="E164" i="9"/>
  <c r="F164" i="9"/>
  <c r="D176" i="9"/>
  <c r="F187" i="9"/>
  <c r="E187" i="9"/>
  <c r="B176" i="9"/>
  <c r="E176" i="9"/>
  <c r="F176" i="9"/>
  <c r="B187" i="9"/>
  <c r="C164" i="9"/>
  <c r="C176" i="9"/>
  <c r="B177" i="9" l="1"/>
  <c r="F177" i="9"/>
  <c r="E177" i="9"/>
  <c r="D189" i="9"/>
  <c r="D188" i="9"/>
  <c r="E188" i="9"/>
  <c r="F188" i="9"/>
  <c r="F189" i="9"/>
  <c r="E189" i="9"/>
  <c r="D177" i="9"/>
  <c r="C187" i="9"/>
  <c r="B189" i="9"/>
  <c r="B188" i="9"/>
  <c r="C177" i="9"/>
  <c r="C189" i="9"/>
  <c r="D178" i="9" l="1"/>
  <c r="D190" i="9"/>
  <c r="B178" i="9"/>
  <c r="F178" i="9"/>
  <c r="E178" i="9"/>
  <c r="C188" i="9"/>
  <c r="C178" i="9"/>
  <c r="F190" i="9" l="1"/>
  <c r="E190" i="9"/>
  <c r="B190" i="9"/>
  <c r="D191" i="9" l="1"/>
  <c r="F191" i="9"/>
  <c r="E191" i="9"/>
  <c r="C190" i="9"/>
  <c r="B191" i="9"/>
  <c r="D192" i="9" l="1"/>
  <c r="E192" i="9"/>
  <c r="F192" i="9"/>
  <c r="C191" i="9"/>
  <c r="B192" i="9"/>
  <c r="C192" i="9"/>
  <c r="D194" i="9" l="1"/>
  <c r="D193" i="9"/>
  <c r="F193" i="9"/>
  <c r="E193" i="9"/>
  <c r="B193" i="9"/>
  <c r="C193" i="9"/>
  <c r="D195" i="9" l="1"/>
  <c r="F194" i="9"/>
  <c r="E194" i="9"/>
  <c r="B194" i="9"/>
  <c r="F195" i="9" l="1"/>
  <c r="E195" i="9"/>
  <c r="C194" i="9"/>
  <c r="B195" i="9"/>
  <c r="E196" i="9" l="1"/>
  <c r="F196" i="9"/>
  <c r="D196" i="9"/>
  <c r="C195" i="9"/>
  <c r="B196" i="9"/>
  <c r="D197" i="9" l="1"/>
  <c r="F197" i="9"/>
  <c r="E197" i="9"/>
  <c r="C196" i="9"/>
  <c r="B197" i="9"/>
  <c r="C197" i="9"/>
  <c r="D198" i="9" l="1"/>
  <c r="F198" i="9"/>
  <c r="E198" i="9"/>
  <c r="B198" i="9"/>
  <c r="F199" i="9" l="1"/>
  <c r="E199" i="9"/>
  <c r="D199" i="9"/>
  <c r="C198" i="9"/>
  <c r="B199" i="9"/>
  <c r="D200" i="9" l="1"/>
  <c r="E200" i="9"/>
  <c r="F200" i="9"/>
  <c r="C199" i="9"/>
  <c r="B200" i="9"/>
  <c r="C200" i="9"/>
  <c r="D201" i="9" l="1"/>
  <c r="D202" i="9"/>
  <c r="F201" i="9"/>
  <c r="E201" i="9"/>
  <c r="B201" i="9"/>
  <c r="C201" i="9"/>
  <c r="F202" i="9" l="1"/>
  <c r="E202" i="9"/>
  <c r="B202" i="9"/>
  <c r="C202" i="9"/>
  <c r="D203" i="9" l="1"/>
  <c r="F203" i="9"/>
  <c r="E203" i="9"/>
  <c r="B203" i="9"/>
  <c r="E204" i="9" l="1"/>
  <c r="F204" i="9"/>
  <c r="D204" i="9"/>
  <c r="C203" i="9"/>
  <c r="B204" i="9"/>
  <c r="F205" i="9" l="1"/>
  <c r="E205" i="9"/>
  <c r="D205" i="9"/>
  <c r="C204" i="9"/>
  <c r="B205" i="9"/>
  <c r="F206" i="9" l="1"/>
  <c r="E206" i="9"/>
  <c r="D206" i="9"/>
  <c r="C205" i="9"/>
  <c r="B206" i="9"/>
  <c r="C206" i="9"/>
  <c r="D207" i="9" l="1"/>
  <c r="F207" i="9"/>
  <c r="E207" i="9"/>
  <c r="B207" i="9"/>
  <c r="E208" i="9" l="1"/>
  <c r="F208" i="9"/>
  <c r="D208" i="9"/>
  <c r="C207" i="9"/>
  <c r="B208" i="9"/>
  <c r="D209" i="9" l="1"/>
  <c r="F209" i="9"/>
  <c r="E209" i="9"/>
  <c r="C208" i="9"/>
  <c r="B209" i="9"/>
  <c r="C209" i="9"/>
  <c r="D210" i="9" l="1"/>
  <c r="F210" i="9"/>
  <c r="E210" i="9"/>
  <c r="B210" i="9"/>
  <c r="F211" i="9" l="1"/>
  <c r="E211" i="9"/>
  <c r="D211" i="9"/>
  <c r="C210" i="9"/>
  <c r="B211" i="9"/>
  <c r="C211" i="9"/>
  <c r="E212" i="9" l="1"/>
  <c r="F212" i="9"/>
  <c r="D212" i="9"/>
  <c r="B212" i="9"/>
  <c r="F213" i="9" l="1"/>
  <c r="E213" i="9"/>
  <c r="D213" i="9"/>
  <c r="C212" i="9"/>
  <c r="B213" i="9"/>
  <c r="D214" i="9" l="1"/>
  <c r="F214" i="9"/>
  <c r="E214" i="9"/>
  <c r="C213" i="9"/>
  <c r="B214" i="9"/>
  <c r="F215" i="9" l="1"/>
  <c r="E215" i="9"/>
  <c r="D215" i="9"/>
  <c r="C214" i="9"/>
  <c r="B215" i="9"/>
  <c r="D216" i="9" l="1"/>
  <c r="E216" i="9"/>
  <c r="F216" i="9"/>
  <c r="C215" i="9"/>
  <c r="B216" i="9"/>
  <c r="F217" i="9" l="1"/>
  <c r="E217" i="9"/>
  <c r="D217" i="9"/>
  <c r="C216" i="9"/>
  <c r="B217" i="9"/>
  <c r="C217" i="9"/>
  <c r="D218" i="9" l="1"/>
  <c r="F218" i="9"/>
  <c r="E218" i="9"/>
  <c r="B218" i="9"/>
  <c r="F219" i="9" l="1"/>
  <c r="E219" i="9"/>
  <c r="D219" i="9"/>
  <c r="C218" i="9"/>
  <c r="B219" i="9"/>
  <c r="D220" i="9" l="1"/>
  <c r="E220" i="9"/>
  <c r="F220" i="9"/>
  <c r="C219" i="9"/>
  <c r="B220" i="9"/>
  <c r="C220" i="9"/>
  <c r="F221" i="9" l="1"/>
  <c r="E221" i="9"/>
  <c r="D221" i="9"/>
  <c r="B221" i="9"/>
  <c r="F222" i="9" l="1"/>
  <c r="E222" i="9"/>
  <c r="D222" i="9"/>
  <c r="C221" i="9"/>
  <c r="B222" i="9"/>
  <c r="C222" i="9"/>
  <c r="D223" i="9" l="1"/>
  <c r="F223" i="9"/>
  <c r="E223" i="9"/>
  <c r="B223" i="9"/>
  <c r="C223" i="9"/>
  <c r="D224" i="9" l="1"/>
  <c r="E224" i="9"/>
  <c r="F224" i="9"/>
  <c r="B224" i="9"/>
  <c r="D225" i="9" l="1"/>
  <c r="F225" i="9"/>
  <c r="E225" i="9"/>
  <c r="C224" i="9"/>
  <c r="B225" i="9"/>
  <c r="F226" i="9" l="1"/>
  <c r="E226" i="9"/>
  <c r="D226" i="9"/>
  <c r="C225" i="9"/>
  <c r="B226" i="9"/>
  <c r="F227" i="9" l="1"/>
  <c r="E227" i="9"/>
  <c r="D228" i="9"/>
  <c r="D227" i="9"/>
  <c r="C226" i="9"/>
  <c r="B227" i="9"/>
  <c r="C227" i="9"/>
  <c r="E228" i="9" l="1"/>
  <c r="F228" i="9"/>
  <c r="B228" i="9"/>
  <c r="C228" i="9"/>
  <c r="F229" i="9" l="1"/>
  <c r="E229" i="9"/>
  <c r="D229" i="9"/>
  <c r="B229" i="9"/>
  <c r="F230" i="9" l="1"/>
  <c r="E230" i="9"/>
  <c r="D230" i="9"/>
  <c r="C229" i="9"/>
  <c r="B230" i="9"/>
  <c r="C230" i="9"/>
  <c r="D231" i="9" l="1"/>
  <c r="F231" i="9"/>
  <c r="E231" i="9"/>
  <c r="B231" i="9"/>
  <c r="C231" i="9"/>
  <c r="E232" i="9" l="1"/>
  <c r="F232" i="9"/>
  <c r="D232" i="9"/>
  <c r="B232" i="9"/>
  <c r="C232" i="9"/>
  <c r="D246" i="9" l="1"/>
  <c r="B246" i="9"/>
  <c r="F246" i="9"/>
  <c r="E246" i="9"/>
  <c r="F233" i="9"/>
  <c r="E233" i="9"/>
  <c r="D233" i="9"/>
  <c r="B233" i="9"/>
  <c r="C246" i="9"/>
  <c r="B247" i="9" l="1"/>
  <c r="F247" i="9"/>
  <c r="E247" i="9"/>
  <c r="D234" i="9"/>
  <c r="D247" i="9"/>
  <c r="F234" i="9"/>
  <c r="E234" i="9"/>
  <c r="C233" i="9"/>
  <c r="B234" i="9"/>
  <c r="C247" i="9"/>
  <c r="B248" i="9" l="1"/>
  <c r="E248" i="9"/>
  <c r="F248" i="9"/>
  <c r="D235" i="9"/>
  <c r="D260" i="9"/>
  <c r="D248" i="9"/>
  <c r="B260" i="9"/>
  <c r="E260" i="9"/>
  <c r="F260" i="9"/>
  <c r="F235" i="9"/>
  <c r="E235" i="9"/>
  <c r="C234" i="9"/>
  <c r="B235" i="9"/>
  <c r="C235" i="9"/>
  <c r="C248" i="9"/>
  <c r="C260" i="9"/>
  <c r="E236" i="9" l="1"/>
  <c r="F236" i="9"/>
  <c r="D249" i="9"/>
  <c r="B249" i="9"/>
  <c r="F249" i="9"/>
  <c r="E249" i="9"/>
  <c r="D261" i="9"/>
  <c r="B261" i="9"/>
  <c r="F261" i="9"/>
  <c r="E261" i="9"/>
  <c r="D236" i="9"/>
  <c r="B236" i="9"/>
  <c r="C261" i="9"/>
  <c r="C249" i="9"/>
  <c r="B250" i="9" l="1"/>
  <c r="F250" i="9"/>
  <c r="E250" i="9"/>
  <c r="D237" i="9"/>
  <c r="D250" i="9"/>
  <c r="D262" i="9"/>
  <c r="B262" i="9"/>
  <c r="F262" i="9"/>
  <c r="E262" i="9"/>
  <c r="F237" i="9"/>
  <c r="E237" i="9"/>
  <c r="C236" i="9"/>
  <c r="B237" i="9"/>
  <c r="C262" i="9"/>
  <c r="C250" i="9"/>
  <c r="D251" i="9" l="1"/>
  <c r="F238" i="9"/>
  <c r="E238" i="9"/>
  <c r="B263" i="9"/>
  <c r="F263" i="9"/>
  <c r="E263" i="9"/>
  <c r="B251" i="9"/>
  <c r="F251" i="9"/>
  <c r="E251" i="9"/>
  <c r="D263" i="9"/>
  <c r="D238" i="9"/>
  <c r="C237" i="9"/>
  <c r="B238" i="9"/>
  <c r="C238" i="9"/>
  <c r="C263" i="9"/>
  <c r="C251" i="9"/>
  <c r="D264" i="9" l="1"/>
  <c r="D252" i="9"/>
  <c r="D240" i="9"/>
  <c r="F239" i="9"/>
  <c r="E239" i="9"/>
  <c r="B264" i="9"/>
  <c r="E264" i="9"/>
  <c r="F264" i="9"/>
  <c r="B252" i="9"/>
  <c r="E252" i="9"/>
  <c r="F252" i="9"/>
  <c r="D239" i="9"/>
  <c r="B239" i="9"/>
  <c r="C264" i="9"/>
  <c r="C252" i="9"/>
  <c r="E240" i="9" l="1"/>
  <c r="F240" i="9"/>
  <c r="D241" i="9"/>
  <c r="D253" i="9"/>
  <c r="F241" i="9"/>
  <c r="E241" i="9"/>
  <c r="B253" i="9"/>
  <c r="F253" i="9"/>
  <c r="E253" i="9"/>
  <c r="C239" i="9"/>
  <c r="B241" i="9"/>
  <c r="B240" i="9"/>
  <c r="C240" i="9"/>
  <c r="C253" i="9"/>
  <c r="C241" i="9"/>
  <c r="D254" i="9" l="1"/>
  <c r="B254" i="9"/>
  <c r="F254" i="9"/>
  <c r="E254" i="9"/>
  <c r="C254" i="9"/>
  <c r="D255" i="9" l="1"/>
  <c r="F242" i="9"/>
  <c r="E242" i="9"/>
  <c r="B255" i="9"/>
  <c r="F255" i="9"/>
  <c r="E255" i="9"/>
  <c r="D242" i="9"/>
  <c r="B242" i="9"/>
  <c r="C255" i="9"/>
  <c r="D244" i="9" l="1"/>
  <c r="F243" i="9"/>
  <c r="E243" i="9"/>
  <c r="D243" i="9"/>
  <c r="D256" i="9"/>
  <c r="B256" i="9"/>
  <c r="E256" i="9"/>
  <c r="F256" i="9"/>
  <c r="C242" i="9"/>
  <c r="B243" i="9"/>
  <c r="C256" i="9"/>
  <c r="D257" i="9" l="1"/>
  <c r="E244" i="9"/>
  <c r="F244" i="9"/>
  <c r="B257" i="9"/>
  <c r="F257" i="9"/>
  <c r="E257" i="9"/>
  <c r="C243" i="9"/>
  <c r="B244" i="9"/>
  <c r="C244" i="9"/>
  <c r="C257" i="9"/>
  <c r="D245" i="9" l="1"/>
  <c r="D258" i="9"/>
  <c r="F245" i="9"/>
  <c r="E245" i="9"/>
  <c r="B258" i="9"/>
  <c r="F258" i="9"/>
  <c r="E258" i="9"/>
  <c r="B245" i="9"/>
  <c r="C245" i="9"/>
  <c r="C258" i="9"/>
  <c r="D259" i="9" l="1"/>
  <c r="B259" i="9"/>
  <c r="F259" i="9"/>
  <c r="E259" i="9"/>
  <c r="C259" i="9"/>
</calcChain>
</file>

<file path=xl/comments1.xml><?xml version="1.0" encoding="utf-8"?>
<comments xmlns="http://schemas.openxmlformats.org/spreadsheetml/2006/main">
  <authors>
    <author>Davide Cicchini</author>
  </authors>
  <commentList>
    <comment ref="H8" authorId="0" shapeId="0">
      <text>
        <r>
          <rPr>
            <b/>
            <sz val="14"/>
            <color indexed="81"/>
            <rFont val="Tahoma"/>
            <family val="2"/>
          </rPr>
          <t>Davide Cicchini:</t>
        </r>
        <r>
          <rPr>
            <sz val="14"/>
            <color indexed="81"/>
            <rFont val="Tahoma"/>
            <family val="2"/>
          </rPr>
          <t xml:space="preserve">
Fattore di Confidenza</t>
        </r>
      </text>
    </comment>
    <comment ref="H10" authorId="0" shapeId="0">
      <text>
        <r>
          <rPr>
            <b/>
            <sz val="14"/>
            <color indexed="81"/>
            <rFont val="Tahoma"/>
            <family val="2"/>
          </rPr>
          <t>Davide Cicchini:</t>
        </r>
        <r>
          <rPr>
            <sz val="14"/>
            <color indexed="81"/>
            <rFont val="Tahoma"/>
            <family val="2"/>
          </rPr>
          <t xml:space="preserve">
Resistenza caratteristica del calcestruzzo senza confinamento</t>
        </r>
      </text>
    </comment>
    <comment ref="H11" authorId="0" shapeId="0">
      <text>
        <r>
          <rPr>
            <b/>
            <sz val="14"/>
            <color indexed="81"/>
            <rFont val="Tahoma"/>
            <family val="2"/>
          </rPr>
          <t>Davide Cicchini:</t>
        </r>
        <r>
          <rPr>
            <sz val="14"/>
            <color indexed="81"/>
            <rFont val="Tahoma"/>
            <family val="2"/>
          </rPr>
          <t xml:space="preserve">
Resistenza di calcolo del calcestruzzo confinato</t>
        </r>
      </text>
    </comment>
    <comment ref="H13" authorId="0" shapeId="0">
      <text>
        <r>
          <rPr>
            <b/>
            <sz val="14"/>
            <color indexed="81"/>
            <rFont val="Tahoma"/>
            <family val="2"/>
          </rPr>
          <t>Davide Cicchini:</t>
        </r>
        <r>
          <rPr>
            <sz val="14"/>
            <color indexed="81"/>
            <rFont val="Tahoma"/>
            <family val="2"/>
          </rPr>
          <t xml:space="preserve">
Deformazione ultima del calcestruzzo confinato</t>
        </r>
      </text>
    </comment>
    <comment ref="B38" authorId="0" shapeId="0">
      <text>
        <r>
          <rPr>
            <b/>
            <sz val="14"/>
            <color indexed="81"/>
            <rFont val="Tahoma"/>
            <family val="2"/>
          </rPr>
          <t>Davide Cicchini:</t>
        </r>
        <r>
          <rPr>
            <sz val="14"/>
            <color indexed="81"/>
            <rFont val="Tahoma"/>
            <family val="2"/>
          </rPr>
          <t xml:space="preserve">
Modulo Elastico</t>
        </r>
      </text>
    </comment>
    <comment ref="B39" authorId="0" shapeId="0">
      <text>
        <r>
          <rPr>
            <b/>
            <sz val="14"/>
            <color indexed="81"/>
            <rFont val="Tahoma"/>
            <family val="2"/>
          </rPr>
          <t>Davide Cicchini:</t>
        </r>
        <r>
          <rPr>
            <sz val="14"/>
            <color indexed="81"/>
            <rFont val="Tahoma"/>
            <family val="2"/>
          </rPr>
          <t xml:space="preserve">
Gli angoli del pilastro vanno smussati creando un arco di circonferenza con il seguente raggio</t>
        </r>
      </text>
    </comment>
    <comment ref="B40" authorId="0" shapeId="0">
      <text>
        <r>
          <rPr>
            <b/>
            <sz val="14"/>
            <color indexed="81"/>
            <rFont val="Tahoma"/>
            <family val="2"/>
          </rPr>
          <t>Davide Cicchini:</t>
        </r>
        <r>
          <rPr>
            <sz val="14"/>
            <color indexed="81"/>
            <rFont val="Tahoma"/>
            <family val="2"/>
          </rPr>
          <t xml:space="preserve">
Numero di avvolgimenti</t>
        </r>
      </text>
    </comment>
    <comment ref="B41" authorId="0" shapeId="0">
      <text>
        <r>
          <rPr>
            <b/>
            <sz val="14"/>
            <color indexed="81"/>
            <rFont val="Tahoma"/>
            <family val="2"/>
          </rPr>
          <t>Davide Cicchini:</t>
        </r>
        <r>
          <rPr>
            <sz val="14"/>
            <color indexed="81"/>
            <rFont val="Tahoma"/>
            <family val="2"/>
          </rPr>
          <t xml:space="preserve">
Spessore della striscia di FRP</t>
        </r>
      </text>
    </comment>
    <comment ref="B42" authorId="0" shapeId="0">
      <text>
        <r>
          <rPr>
            <b/>
            <sz val="14"/>
            <color indexed="81"/>
            <rFont val="Tahoma"/>
            <family val="2"/>
          </rPr>
          <t>Davide Cicchini:</t>
        </r>
        <r>
          <rPr>
            <sz val="14"/>
            <color indexed="81"/>
            <rFont val="Tahoma"/>
            <family val="2"/>
          </rPr>
          <t xml:space="preserve">
Deformazione caratteristica a rottura del rinforzo</t>
        </r>
      </text>
    </comment>
  </commentList>
</comments>
</file>

<file path=xl/comments2.xml><?xml version="1.0" encoding="utf-8"?>
<comments xmlns="http://schemas.openxmlformats.org/spreadsheetml/2006/main">
  <authors>
    <author>Cics</author>
    <author>Davide Cicchini</author>
  </authors>
  <commentList>
    <comment ref="F2" authorId="0" shapeId="0">
      <text>
        <r>
          <rPr>
            <b/>
            <sz val="14"/>
            <color indexed="81"/>
            <rFont val="Tahoma"/>
            <family val="2"/>
          </rPr>
          <t>Davide Cicchini:</t>
        </r>
        <r>
          <rPr>
            <sz val="14"/>
            <color indexed="81"/>
            <rFont val="Tahoma"/>
            <family val="2"/>
          </rPr>
          <t xml:space="preserve">
 L'asse neutro tende a meno infinito</t>
        </r>
        <r>
          <rPr>
            <sz val="16"/>
            <color indexed="81"/>
            <rFont val="Tahoma"/>
            <family val="2"/>
          </rPr>
          <t xml:space="preserve">
</t>
        </r>
      </text>
    </comment>
    <comment ref="F268" authorId="1" shapeId="0">
      <text>
        <r>
          <rPr>
            <b/>
            <sz val="14"/>
            <color indexed="81"/>
            <rFont val="Tahoma"/>
            <family val="2"/>
          </rPr>
          <t>Davide Cicchini:</t>
        </r>
        <r>
          <rPr>
            <sz val="14"/>
            <color indexed="81"/>
            <rFont val="Tahoma"/>
            <family val="2"/>
          </rPr>
          <t xml:space="preserve">
L'asse neutro tende a più infinito</t>
        </r>
      </text>
    </comment>
  </commentList>
</comments>
</file>

<file path=xl/comments3.xml><?xml version="1.0" encoding="utf-8"?>
<comments xmlns="http://schemas.openxmlformats.org/spreadsheetml/2006/main">
  <authors>
    <author>Cics</author>
  </authors>
  <commentList>
    <comment ref="A7" authorId="0" shapeId="0">
      <text>
        <r>
          <rPr>
            <b/>
            <sz val="14"/>
            <color indexed="81"/>
            <rFont val="Tahoma"/>
            <family val="2"/>
          </rPr>
          <t>Davide Cicchini:</t>
        </r>
        <r>
          <rPr>
            <sz val="14"/>
            <color indexed="81"/>
            <rFont val="Tahoma"/>
            <family val="2"/>
          </rPr>
          <t xml:space="preserve">
resistenza carateristica a trazione del rinforzo in FRP</t>
        </r>
      </text>
    </comment>
    <comment ref="A9" authorId="0" shapeId="0">
      <text>
        <r>
          <rPr>
            <b/>
            <sz val="14"/>
            <color indexed="81"/>
            <rFont val="Tahoma"/>
            <family val="2"/>
          </rPr>
          <t>Davide Cicchini:</t>
        </r>
        <r>
          <rPr>
            <sz val="14"/>
            <color indexed="81"/>
            <rFont val="Tahoma"/>
            <family val="2"/>
          </rPr>
          <t xml:space="preserve">
90 se il confinamento è ortognale alla all'asse longitudianle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<sst xmlns="http://schemas.openxmlformats.org/spreadsheetml/2006/main" count="572" uniqueCount="161">
  <si>
    <t>fyd</t>
  </si>
  <si>
    <t>fyk</t>
  </si>
  <si>
    <t>γs</t>
  </si>
  <si>
    <t>Cu  forza interna alla sezione dovuta al calcestruzzo compresso</t>
  </si>
  <si>
    <t>C' forza interna dovuta all'armatura compressa</t>
  </si>
  <si>
    <t>T forza interna dovuta all'acciaio teso</t>
  </si>
  <si>
    <t>b</t>
  </si>
  <si>
    <t>H</t>
  </si>
  <si>
    <t>h'</t>
  </si>
  <si>
    <t>As</t>
  </si>
  <si>
    <t>As'</t>
  </si>
  <si>
    <t>β1</t>
  </si>
  <si>
    <t>β2</t>
  </si>
  <si>
    <t>[Mpa]</t>
  </si>
  <si>
    <t>αcc</t>
  </si>
  <si>
    <t>[‰]</t>
  </si>
  <si>
    <t>altezza utile</t>
  </si>
  <si>
    <t>[mm]</t>
  </si>
  <si>
    <t>Y[mm]</t>
  </si>
  <si>
    <t>d</t>
  </si>
  <si>
    <t>Cu  [N]</t>
  </si>
  <si>
    <t>C'  [N]</t>
  </si>
  <si>
    <t>e  [mm]</t>
  </si>
  <si>
    <t>μ  [-]</t>
  </si>
  <si>
    <t>ν   [-]</t>
  </si>
  <si>
    <t>εs[-]</t>
  </si>
  <si>
    <t>ε's[-]</t>
  </si>
  <si>
    <t>εc[-]</t>
  </si>
  <si>
    <t>εc2</t>
  </si>
  <si>
    <t>A(σ-ε)</t>
  </si>
  <si>
    <t>e/d [-]</t>
  </si>
  <si>
    <t>altezza totale</t>
  </si>
  <si>
    <t>base</t>
  </si>
  <si>
    <t>Sy(σ-ε)</t>
  </si>
  <si>
    <t>ε'c[-]</t>
  </si>
  <si>
    <t>CAMPO 1</t>
  </si>
  <si>
    <t>CAMPO 2</t>
  </si>
  <si>
    <t>&gt; 0,0000</t>
  </si>
  <si>
    <t>NRd  [N]</t>
  </si>
  <si>
    <t>MRd  [N*mm]</t>
  </si>
  <si>
    <t>T  [N]</t>
  </si>
  <si>
    <t>N° barre</t>
  </si>
  <si>
    <t>[-]</t>
  </si>
  <si>
    <t>εyd</t>
  </si>
  <si>
    <t xml:space="preserve"> DOMINIO DI INTERAZIONE  </t>
  </si>
  <si>
    <r>
      <t>[mm</t>
    </r>
    <r>
      <rPr>
        <b/>
        <sz val="16"/>
        <color theme="1"/>
        <rFont val="Calibri"/>
        <family val="2"/>
      </rPr>
      <t>²</t>
    </r>
    <r>
      <rPr>
        <b/>
        <sz val="16"/>
        <color theme="1"/>
        <rFont val="Calibri"/>
        <family val="2"/>
        <scheme val="minor"/>
      </rPr>
      <t>]</t>
    </r>
  </si>
  <si>
    <t>Definizione Dati:</t>
  </si>
  <si>
    <t>ω</t>
  </si>
  <si>
    <t>ω'</t>
  </si>
  <si>
    <t xml:space="preserve"> legame elastico lineare- perfettamente plastico</t>
  </si>
  <si>
    <t xml:space="preserve"> - μ  [-]</t>
  </si>
  <si>
    <t>nocciolo</t>
  </si>
  <si>
    <t>ф[mm]</t>
  </si>
  <si>
    <t>Armatura inferiore</t>
  </si>
  <si>
    <t>Armatura superiore</t>
  </si>
  <si>
    <t>CAMPO 5</t>
  </si>
  <si>
    <t>Es</t>
  </si>
  <si>
    <t>fcd</t>
  </si>
  <si>
    <t>MRd  [kN*m]</t>
  </si>
  <si>
    <t>NRd  [kN]</t>
  </si>
  <si>
    <t>εud</t>
  </si>
  <si>
    <t>C'+T  [N]</t>
  </si>
  <si>
    <t>( dall'asse longitudinale del ferro)</t>
  </si>
  <si>
    <t>copriferro teorico</t>
  </si>
  <si>
    <t>CONFINAMENTO DEL CALCESTRUZZO</t>
  </si>
  <si>
    <t>calcestruzzo confinato</t>
  </si>
  <si>
    <r>
      <t>ε</t>
    </r>
    <r>
      <rPr>
        <sz val="12"/>
        <color theme="1"/>
        <rFont val="Calibri"/>
        <family val="2"/>
      </rPr>
      <t>ccu</t>
    </r>
  </si>
  <si>
    <t xml:space="preserve">ν   &lt; 0,55 per CD "A"  </t>
  </si>
  <si>
    <t xml:space="preserve">ν   &lt; 0,65 per CD "B"  </t>
  </si>
  <si>
    <t>Yu [mm]</t>
  </si>
  <si>
    <t xml:space="preserve">ν  </t>
  </si>
  <si>
    <t xml:space="preserve"> [-]</t>
  </si>
  <si>
    <t>Nsd</t>
  </si>
  <si>
    <t>[KN]</t>
  </si>
  <si>
    <r>
      <rPr>
        <b/>
        <sz val="20"/>
        <color theme="1"/>
        <rFont val="Calibri"/>
        <family val="2"/>
        <scheme val="minor"/>
      </rPr>
      <t>χ</t>
    </r>
    <r>
      <rPr>
        <b/>
        <sz val="11"/>
        <color theme="1"/>
        <rFont val="Calibri"/>
        <family val="2"/>
        <scheme val="minor"/>
      </rPr>
      <t>y</t>
    </r>
    <r>
      <rPr>
        <b/>
        <sz val="14"/>
        <color theme="1"/>
        <rFont val="Calibri"/>
        <family val="2"/>
        <scheme val="minor"/>
      </rPr>
      <t xml:space="preserve">  [mmˉ¹]</t>
    </r>
  </si>
  <si>
    <r>
      <rPr>
        <b/>
        <sz val="20"/>
        <color theme="1"/>
        <rFont val="Calibri"/>
        <family val="2"/>
        <scheme val="minor"/>
      </rPr>
      <t>χ</t>
    </r>
    <r>
      <rPr>
        <b/>
        <sz val="11"/>
        <color theme="1"/>
        <rFont val="Calibri"/>
        <family val="2"/>
        <scheme val="minor"/>
      </rPr>
      <t xml:space="preserve">u </t>
    </r>
    <r>
      <rPr>
        <b/>
        <sz val="14"/>
        <color theme="1"/>
        <rFont val="Calibri"/>
        <family val="2"/>
        <scheme val="minor"/>
      </rPr>
      <t xml:space="preserve"> [mm</t>
    </r>
    <r>
      <rPr>
        <b/>
        <sz val="14"/>
        <color theme="1"/>
        <rFont val="Calibri"/>
        <family val="2"/>
      </rPr>
      <t>ˉ¹]</t>
    </r>
  </si>
  <si>
    <t>Duttilità dovuta al confinamento del calcestruzzo offerto dall'avvolgimento con FRP</t>
  </si>
  <si>
    <t>fccd</t>
  </si>
  <si>
    <t>f1,eff</t>
  </si>
  <si>
    <t>f1</t>
  </si>
  <si>
    <t>keff</t>
  </si>
  <si>
    <t>εfd</t>
  </si>
  <si>
    <t>εfd,rid</t>
  </si>
  <si>
    <t>Et</t>
  </si>
  <si>
    <t>Ef</t>
  </si>
  <si>
    <t>fasciatura continua ortogonale all'asse longitudinale</t>
  </si>
  <si>
    <t>raggio di curvatura</t>
  </si>
  <si>
    <t>avolgimenti</t>
  </si>
  <si>
    <t>tf</t>
  </si>
  <si>
    <t>εfk</t>
  </si>
  <si>
    <t>ffdd</t>
  </si>
  <si>
    <t>γf,d</t>
  </si>
  <si>
    <t>ηa</t>
  </si>
  <si>
    <t>γf</t>
  </si>
  <si>
    <t>fck</t>
  </si>
  <si>
    <t>fctm</t>
  </si>
  <si>
    <t>kb</t>
  </si>
  <si>
    <t>le</t>
  </si>
  <si>
    <t>ffdd,2</t>
  </si>
  <si>
    <t>Kcr</t>
  </si>
  <si>
    <t>εfdd</t>
  </si>
  <si>
    <t>εccu</t>
  </si>
  <si>
    <t>[Gpa]</t>
  </si>
  <si>
    <t>ρf</t>
  </si>
  <si>
    <r>
      <t>tf</t>
    </r>
    <r>
      <rPr>
        <b/>
        <sz val="11.2"/>
        <color theme="1"/>
        <rFont val="Times New Roman"/>
        <family val="1"/>
      </rPr>
      <t xml:space="preserve"> tot</t>
    </r>
  </si>
  <si>
    <t>CAMPO 3-4-4a</t>
  </si>
  <si>
    <t>fcm</t>
  </si>
  <si>
    <t>FC</t>
  </si>
  <si>
    <t>ffk</t>
  </si>
  <si>
    <t>[MPa]</t>
  </si>
  <si>
    <t>VRd,f [kN]</t>
  </si>
  <si>
    <r>
      <t>cotg(</t>
    </r>
    <r>
      <rPr>
        <b/>
        <sz val="14"/>
        <color theme="1"/>
        <rFont val="Calibri"/>
        <family val="2"/>
      </rPr>
      <t>θ)</t>
    </r>
  </si>
  <si>
    <t>γRd</t>
  </si>
  <si>
    <t>[N]</t>
  </si>
  <si>
    <t>fed</t>
  </si>
  <si>
    <r>
      <rPr>
        <b/>
        <sz val="14"/>
        <color theme="1"/>
        <rFont val="Calibri"/>
        <family val="2"/>
      </rPr>
      <t>Φ</t>
    </r>
    <r>
      <rPr>
        <b/>
        <sz val="14"/>
        <color theme="1"/>
        <rFont val="Calibri"/>
        <family val="2"/>
        <scheme val="minor"/>
      </rPr>
      <t xml:space="preserve"> r</t>
    </r>
  </si>
  <si>
    <t>ffd</t>
  </si>
  <si>
    <t>Vrd</t>
  </si>
  <si>
    <t>β</t>
  </si>
  <si>
    <t>90°</t>
  </si>
  <si>
    <t>Rinforzo a taglio espresso dal confinamento</t>
  </si>
  <si>
    <t>NRcc,d</t>
  </si>
  <si>
    <t xml:space="preserve"> legame parabola-lineare</t>
  </si>
  <si>
    <t>1.caratteristiche geometriche</t>
  </si>
  <si>
    <t>2.calcestruzzo</t>
  </si>
  <si>
    <t>3.acciaio</t>
  </si>
  <si>
    <t>4.Armatura Longitudinale simmetrica</t>
  </si>
  <si>
    <t>5.Rinforzo  FRP</t>
  </si>
  <si>
    <t>6.Sforzo normale sollecitante</t>
  </si>
  <si>
    <t xml:space="preserve">diagramma momento-curvatura </t>
  </si>
  <si>
    <t xml:space="preserve"> DOMINIO DI INTERAZIONE  ADIMENSIONALE</t>
  </si>
  <si>
    <t>eccu</t>
  </si>
  <si>
    <t>ec2</t>
  </si>
  <si>
    <t>m</t>
  </si>
  <si>
    <t>q</t>
  </si>
  <si>
    <t>y=mx+q</t>
  </si>
  <si>
    <t>ec</t>
  </si>
  <si>
    <t>fc</t>
  </si>
  <si>
    <t>Ned</t>
  </si>
  <si>
    <t>Med</t>
  </si>
  <si>
    <t>momento-curvatura (semplificato)</t>
  </si>
  <si>
    <t>Duttilità μ [-]</t>
  </si>
  <si>
    <t>Definendo le caratteristiche geometriche della sezione, le caratteristiche meccaniche</t>
  </si>
  <si>
    <t>1.resistenza caratteristica del rinforzo</t>
  </si>
  <si>
    <t>taglio resistente FRP</t>
  </si>
  <si>
    <t>Ipotesi di fasciatura continua ortogonale all'asse</t>
  </si>
  <si>
    <t>Resistenza a taglio offerta solo dall'avvolgimento in FRP (Da sommare alla resistenza a taglio delle staffe valutando che Vrd,f+Vrd,t &lt; Vrd,c)</t>
  </si>
  <si>
    <t xml:space="preserve">dei materiali, nonché le deformazioni ultime e la disposizione delle barre longitudinali il </t>
  </si>
  <si>
    <t xml:space="preserve">calcestruzzo confinato con materiale a matrice fibrosa. Tutte le informazioni relative ai </t>
  </si>
  <si>
    <t>CNR-DT 200 R1/2012.</t>
  </si>
  <si>
    <t>Definendo a sua volta alla voce "6" lo sforzo normale sollecitante con i dati definiti</t>
  </si>
  <si>
    <t>in precedenza il foglio di calcolo disegna il diagramma momento-curvatura</t>
  </si>
  <si>
    <t>semplificato, ossia costruito su tre punti: origine (non sollecitato), snervamento e</t>
  </si>
  <si>
    <t>condizione ultima.</t>
  </si>
  <si>
    <t>Ing. Davide Cicchini</t>
  </si>
  <si>
    <t>In ultimo si quantifica la resistenza a taglio offerta dal confinamento e la duttilità globale</t>
  </si>
  <si>
    <t xml:space="preserve">foglio di calcolo restituisce il dominio di interazione calcolato in modo rigoroso, del </t>
  </si>
  <si>
    <t xml:space="preserve">coefficienti del materiale FRP alla voce "5" devono essere dedotte dal documento </t>
  </si>
  <si>
    <t>dell'elemento avvolto da FRP.</t>
  </si>
  <si>
    <t>legame costitutivo a parabola-lineare (calcolo rigoroso) per calcestruzzo confinato con FRP</t>
  </si>
  <si>
    <t>www.davidecicchini.it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</si>
</sst>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"/>
    <numFmt numFmtId="166" formatCode="0.0"/>
    <numFmt numFmtId="167" formatCode="0.00000"/>
    <numFmt numFmtId="168" formatCode="0.0000000"/>
    <numFmt numFmtId="169" formatCode="0.00000000"/>
  </numFmts>
  <fonts count="4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48"/>
      <color theme="1"/>
      <name val="Algerian"/>
      <family val="5"/>
    </font>
    <font>
      <sz val="48"/>
      <color theme="1"/>
      <name val="Algerian"/>
      <family val="5"/>
    </font>
    <font>
      <b/>
      <i/>
      <sz val="2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</font>
    <font>
      <b/>
      <u/>
      <sz val="22"/>
      <color rgb="FFFF0000"/>
      <name val="Andalus"/>
      <family val="1"/>
    </font>
    <font>
      <sz val="16"/>
      <color indexed="81"/>
      <name val="Tahoma"/>
      <family val="2"/>
    </font>
    <font>
      <b/>
      <u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26"/>
      <color theme="1"/>
      <name val="Algerian"/>
      <family val="5"/>
    </font>
    <font>
      <u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</font>
    <font>
      <sz val="24"/>
      <color theme="1"/>
      <name val="Calibri"/>
      <family val="2"/>
    </font>
    <font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</font>
    <font>
      <sz val="18"/>
      <color theme="1"/>
      <name val="Calibri"/>
      <family val="2"/>
    </font>
    <font>
      <b/>
      <sz val="11.2"/>
      <color theme="1"/>
      <name val="Times New Roman"/>
      <family val="1"/>
    </font>
    <font>
      <sz val="16"/>
      <color rgb="FFFF0000"/>
      <name val="Calibri"/>
      <family val="2"/>
      <scheme val="minor"/>
    </font>
    <font>
      <sz val="20"/>
      <color theme="1"/>
      <name val="Calibri"/>
      <family val="2"/>
    </font>
    <font>
      <sz val="8"/>
      <color indexed="81"/>
      <name val="Tahoma"/>
      <family val="2"/>
    </font>
    <font>
      <b/>
      <sz val="16"/>
      <color rgb="FFFF0000"/>
      <name val="Calibri"/>
      <family val="2"/>
      <scheme val="minor"/>
    </font>
    <font>
      <b/>
      <sz val="16"/>
      <color rgb="FF7CFB25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i/>
      <sz val="28"/>
      <color theme="1"/>
      <name val="Calibri"/>
      <family val="2"/>
      <scheme val="minor"/>
    </font>
    <font>
      <i/>
      <sz val="26"/>
      <color theme="1"/>
      <name val="Algerian"/>
      <family val="5"/>
    </font>
    <font>
      <i/>
      <sz val="28"/>
      <color theme="1"/>
      <name val="Algerian"/>
      <family val="5"/>
    </font>
    <font>
      <b/>
      <i/>
      <sz val="16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CFB2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5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auto="1"/>
      </right>
      <top style="thin">
        <color rgb="FF00B0F0"/>
      </top>
      <bottom style="thin">
        <color rgb="FF00B0F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rgb="FF00B0F0"/>
      </bottom>
      <diagonal/>
    </border>
    <border>
      <left style="thin">
        <color auto="1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/>
      <top/>
      <bottom style="thin">
        <color rgb="FF00B0F0"/>
      </bottom>
      <diagonal/>
    </border>
    <border>
      <left/>
      <right/>
      <top/>
      <bottom style="medium">
        <color rgb="FF7CFB25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dashDot">
        <color auto="1"/>
      </bottom>
      <diagonal/>
    </border>
    <border>
      <left/>
      <right/>
      <top style="double">
        <color rgb="FFFF0000"/>
      </top>
      <bottom/>
      <diagonal/>
    </border>
    <border>
      <left/>
      <right style="thin">
        <color theme="1"/>
      </right>
      <top style="thin">
        <color rgb="FF00B0F0"/>
      </top>
      <bottom style="thin">
        <color rgb="FF00B0F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double">
        <color rgb="FFFF0000"/>
      </left>
      <right style="thin">
        <color rgb="FFFF0000"/>
      </right>
      <top style="double">
        <color rgb="FFFF0000"/>
      </top>
      <bottom/>
      <diagonal/>
    </border>
    <border>
      <left style="thin">
        <color rgb="FFFF0000"/>
      </left>
      <right style="double">
        <color rgb="FFFF0000"/>
      </right>
      <top style="double">
        <color rgb="FFFF0000"/>
      </top>
      <bottom/>
      <diagonal/>
    </border>
    <border>
      <left/>
      <right/>
      <top/>
      <bottom style="medium">
        <color theme="9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9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7CFB2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92D05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thin">
        <color auto="1"/>
      </bottom>
      <diagonal/>
    </border>
    <border>
      <left/>
      <right/>
      <top/>
      <bottom style="thin">
        <color rgb="FF00B0F0"/>
      </bottom>
      <diagonal/>
    </border>
    <border>
      <left/>
      <right style="double">
        <color rgb="FFFF0000"/>
      </right>
      <top/>
      <bottom/>
      <diagonal/>
    </border>
    <border>
      <left/>
      <right style="thin">
        <color theme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291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0" fillId="0" borderId="2" xfId="0" applyBorder="1"/>
    <xf numFmtId="0" fontId="0" fillId="0" borderId="0" xfId="0" applyBorder="1"/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166" fontId="5" fillId="0" borderId="0" xfId="0" applyNumberFormat="1" applyFont="1" applyAlignment="1">
      <alignment horizontal="left" vertical="center"/>
    </xf>
    <xf numFmtId="166" fontId="4" fillId="0" borderId="0" xfId="0" applyNumberFormat="1" applyFon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1" fontId="4" fillId="0" borderId="0" xfId="0" applyNumberFormat="1" applyFont="1" applyAlignment="1">
      <alignment horizontal="right" vertical="center"/>
    </xf>
    <xf numFmtId="1" fontId="0" fillId="0" borderId="0" xfId="0" applyNumberFormat="1"/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/>
    </xf>
    <xf numFmtId="0" fontId="1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164" fontId="4" fillId="0" borderId="0" xfId="0" applyNumberFormat="1" applyFont="1" applyFill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 applyBorder="1"/>
    <xf numFmtId="0" fontId="0" fillId="0" borderId="9" xfId="0" applyBorder="1"/>
    <xf numFmtId="0" fontId="0" fillId="0" borderId="10" xfId="0" applyBorder="1"/>
    <xf numFmtId="0" fontId="13" fillId="0" borderId="0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4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0" fillId="0" borderId="0" xfId="0" applyBorder="1" applyAlignment="1"/>
    <xf numFmtId="164" fontId="0" fillId="0" borderId="0" xfId="0" applyNumberForma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24" fillId="0" borderId="0" xfId="0" applyFont="1" applyAlignment="1"/>
    <xf numFmtId="168" fontId="0" fillId="0" borderId="0" xfId="0" applyNumberFormat="1" applyAlignment="1">
      <alignment horizontal="center" vertical="center"/>
    </xf>
    <xf numFmtId="169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64" fontId="26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0" xfId="0" applyFont="1" applyBorder="1"/>
    <xf numFmtId="164" fontId="1" fillId="0" borderId="0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0" fontId="0" fillId="0" borderId="2" xfId="0" applyBorder="1" applyAlignment="1"/>
    <xf numFmtId="0" fontId="0" fillId="0" borderId="1" xfId="0" applyBorder="1" applyAlignment="1"/>
    <xf numFmtId="168" fontId="4" fillId="0" borderId="0" xfId="0" applyNumberFormat="1" applyFont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protection hidden="1"/>
    </xf>
    <xf numFmtId="0" fontId="33" fillId="0" borderId="33" xfId="0" applyFont="1" applyBorder="1" applyAlignment="1" applyProtection="1">
      <alignment horizontal="center" vertical="center"/>
      <protection hidden="1"/>
    </xf>
    <xf numFmtId="165" fontId="33" fillId="0" borderId="33" xfId="0" applyNumberFormat="1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32" fillId="0" borderId="33" xfId="0" applyFont="1" applyBorder="1" applyAlignment="1" applyProtection="1">
      <alignment horizontal="center" vertical="center"/>
      <protection hidden="1"/>
    </xf>
    <xf numFmtId="0" fontId="34" fillId="0" borderId="33" xfId="0" applyFont="1" applyBorder="1" applyAlignment="1" applyProtection="1">
      <alignment horizontal="center" vertical="center"/>
      <protection hidden="1"/>
    </xf>
    <xf numFmtId="0" fontId="5" fillId="0" borderId="33" xfId="0" applyFont="1" applyFill="1" applyBorder="1" applyAlignment="1" applyProtection="1">
      <alignment horizontal="center" vertical="center"/>
      <protection hidden="1"/>
    </xf>
    <xf numFmtId="0" fontId="0" fillId="0" borderId="33" xfId="0" applyBorder="1" applyProtection="1"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165" fontId="4" fillId="0" borderId="34" xfId="0" applyNumberFormat="1" applyFont="1" applyBorder="1" applyAlignment="1" applyProtection="1">
      <alignment horizontal="center" vertical="center"/>
      <protection hidden="1"/>
    </xf>
    <xf numFmtId="1" fontId="4" fillId="0" borderId="34" xfId="0" applyNumberFormat="1" applyFont="1" applyBorder="1" applyAlignment="1" applyProtection="1">
      <alignment horizontal="center" vertical="center"/>
      <protection hidden="1"/>
    </xf>
    <xf numFmtId="164" fontId="4" fillId="0" borderId="34" xfId="0" applyNumberFormat="1" applyFont="1" applyBorder="1" applyAlignment="1" applyProtection="1">
      <alignment horizontal="center" vertical="center"/>
      <protection hidden="1"/>
    </xf>
    <xf numFmtId="164" fontId="4" fillId="0" borderId="34" xfId="0" applyNumberFormat="1" applyFont="1" applyFill="1" applyBorder="1" applyAlignment="1" applyProtection="1">
      <alignment horizontal="center" vertical="center"/>
      <protection hidden="1"/>
    </xf>
    <xf numFmtId="166" fontId="4" fillId="0" borderId="34" xfId="0" applyNumberFormat="1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165" fontId="4" fillId="0" borderId="35" xfId="0" applyNumberFormat="1" applyFont="1" applyBorder="1" applyAlignment="1" applyProtection="1">
      <alignment horizontal="center" vertical="center"/>
      <protection hidden="1"/>
    </xf>
    <xf numFmtId="1" fontId="4" fillId="0" borderId="35" xfId="0" applyNumberFormat="1" applyFont="1" applyBorder="1" applyAlignment="1" applyProtection="1">
      <alignment horizontal="center" vertical="center"/>
      <protection hidden="1"/>
    </xf>
    <xf numFmtId="164" fontId="4" fillId="0" borderId="35" xfId="0" applyNumberFormat="1" applyFont="1" applyBorder="1" applyAlignment="1" applyProtection="1">
      <alignment horizontal="center" vertical="center"/>
      <protection hidden="1"/>
    </xf>
    <xf numFmtId="164" fontId="4" fillId="0" borderId="35" xfId="0" applyNumberFormat="1" applyFont="1" applyFill="1" applyBorder="1" applyAlignment="1" applyProtection="1">
      <alignment horizontal="center" vertical="center"/>
      <protection hidden="1"/>
    </xf>
    <xf numFmtId="166" fontId="4" fillId="0" borderId="35" xfId="0" applyNumberFormat="1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165" fontId="4" fillId="0" borderId="37" xfId="0" applyNumberFormat="1" applyFont="1" applyBorder="1" applyAlignment="1" applyProtection="1">
      <alignment horizontal="center" vertical="center"/>
      <protection hidden="1"/>
    </xf>
    <xf numFmtId="1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38" xfId="0" applyNumberFormat="1" applyFont="1" applyFill="1" applyBorder="1" applyAlignment="1" applyProtection="1">
      <alignment horizontal="center" vertical="center"/>
      <protection hidden="1"/>
    </xf>
    <xf numFmtId="164" fontId="4" fillId="0" borderId="37" xfId="0" applyNumberFormat="1" applyFont="1" applyFill="1" applyBorder="1" applyAlignment="1" applyProtection="1">
      <alignment horizontal="center" vertical="center"/>
      <protection hidden="1"/>
    </xf>
    <xf numFmtId="166" fontId="4" fillId="0" borderId="37" xfId="0" applyNumberFormat="1" applyFont="1" applyBorder="1" applyAlignment="1" applyProtection="1">
      <alignment horizontal="center" vertical="center"/>
      <protection hidden="1"/>
    </xf>
    <xf numFmtId="165" fontId="4" fillId="0" borderId="39" xfId="0" applyNumberFormat="1" applyFont="1" applyBorder="1" applyAlignment="1" applyProtection="1">
      <alignment horizontal="center" vertical="center"/>
      <protection hidden="1"/>
    </xf>
    <xf numFmtId="165" fontId="4" fillId="0" borderId="39" xfId="0" applyNumberFormat="1" applyFont="1" applyFill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1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39" xfId="0" applyNumberFormat="1" applyFont="1" applyFill="1" applyBorder="1" applyAlignment="1" applyProtection="1">
      <alignment horizontal="center" vertical="center"/>
      <protection hidden="1"/>
    </xf>
    <xf numFmtId="166" fontId="4" fillId="0" borderId="39" xfId="0" applyNumberFormat="1" applyFont="1" applyBorder="1" applyAlignment="1" applyProtection="1">
      <alignment horizontal="center" vertical="center"/>
      <protection hidden="1"/>
    </xf>
    <xf numFmtId="165" fontId="4" fillId="0" borderId="35" xfId="0" applyNumberFormat="1" applyFont="1" applyFill="1" applyBorder="1" applyAlignment="1" applyProtection="1">
      <alignment horizontal="center" vertical="center"/>
      <protection hidden="1"/>
    </xf>
    <xf numFmtId="0" fontId="4" fillId="0" borderId="35" xfId="0" applyFont="1" applyFill="1" applyBorder="1" applyAlignment="1" applyProtection="1">
      <alignment horizontal="center" vertical="center"/>
      <protection hidden="1"/>
    </xf>
    <xf numFmtId="1" fontId="4" fillId="0" borderId="3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165" fontId="4" fillId="0" borderId="40" xfId="0" applyNumberFormat="1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/>
      <protection hidden="1"/>
    </xf>
    <xf numFmtId="1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Fill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6" fontId="4" fillId="0" borderId="40" xfId="0" applyNumberFormat="1" applyFont="1" applyBorder="1" applyAlignment="1" applyProtection="1">
      <alignment horizontal="center" vertical="center"/>
      <protection hidden="1"/>
    </xf>
    <xf numFmtId="165" fontId="4" fillId="0" borderId="41" xfId="0" applyNumberFormat="1" applyFont="1" applyBorder="1" applyAlignment="1" applyProtection="1">
      <alignment horizontal="center" vertical="center"/>
      <protection hidden="1"/>
    </xf>
    <xf numFmtId="0" fontId="4" fillId="0" borderId="41" xfId="0" applyFont="1" applyBorder="1" applyAlignment="1" applyProtection="1">
      <alignment horizontal="center" vertical="center"/>
      <protection hidden="1"/>
    </xf>
    <xf numFmtId="1" fontId="4" fillId="0" borderId="41" xfId="0" applyNumberFormat="1" applyFont="1" applyBorder="1" applyAlignment="1" applyProtection="1">
      <alignment horizontal="center" vertical="center"/>
      <protection hidden="1"/>
    </xf>
    <xf numFmtId="164" fontId="4" fillId="0" borderId="41" xfId="0" applyNumberFormat="1" applyFont="1" applyBorder="1" applyAlignment="1" applyProtection="1">
      <alignment horizontal="center" vertical="center"/>
      <protection hidden="1"/>
    </xf>
    <xf numFmtId="164" fontId="4" fillId="0" borderId="41" xfId="0" applyNumberFormat="1" applyFont="1" applyFill="1" applyBorder="1" applyAlignment="1" applyProtection="1">
      <alignment horizontal="center" vertical="center"/>
      <protection hidden="1"/>
    </xf>
    <xf numFmtId="166" fontId="4" fillId="0" borderId="41" xfId="0" applyNumberFormat="1" applyFont="1" applyBorder="1" applyAlignment="1" applyProtection="1">
      <alignment horizontal="center" vertical="center"/>
      <protection hidden="1"/>
    </xf>
    <xf numFmtId="165" fontId="4" fillId="0" borderId="42" xfId="0" applyNumberFormat="1" applyFont="1" applyBorder="1" applyAlignment="1" applyProtection="1">
      <alignment horizontal="center" vertical="center"/>
      <protection hidden="1"/>
    </xf>
    <xf numFmtId="0" fontId="4" fillId="0" borderId="42" xfId="0" applyFont="1" applyBorder="1" applyAlignment="1" applyProtection="1">
      <alignment horizontal="center" vertical="center"/>
      <protection hidden="1"/>
    </xf>
    <xf numFmtId="1" fontId="4" fillId="0" borderId="42" xfId="0" applyNumberFormat="1" applyFont="1" applyBorder="1" applyAlignment="1" applyProtection="1">
      <alignment horizontal="center" vertical="center"/>
      <protection hidden="1"/>
    </xf>
    <xf numFmtId="164" fontId="4" fillId="0" borderId="42" xfId="0" applyNumberFormat="1" applyFont="1" applyBorder="1" applyAlignment="1" applyProtection="1">
      <alignment horizontal="center" vertical="center"/>
      <protection hidden="1"/>
    </xf>
    <xf numFmtId="164" fontId="4" fillId="0" borderId="42" xfId="0" applyNumberFormat="1" applyFont="1" applyFill="1" applyBorder="1" applyAlignment="1" applyProtection="1">
      <alignment horizontal="center" vertical="center"/>
      <protection hidden="1"/>
    </xf>
    <xf numFmtId="166" fontId="4" fillId="0" borderId="42" xfId="0" applyNumberFormat="1" applyFont="1" applyBorder="1" applyAlignment="1" applyProtection="1">
      <alignment horizontal="center" vertical="center"/>
      <protection hidden="1"/>
    </xf>
    <xf numFmtId="165" fontId="7" fillId="0" borderId="0" xfId="0" applyNumberFormat="1" applyFont="1" applyFill="1" applyAlignment="1" applyProtection="1">
      <alignment horizontal="center" vertical="center"/>
      <protection hidden="1"/>
    </xf>
    <xf numFmtId="167" fontId="4" fillId="0" borderId="42" xfId="0" applyNumberFormat="1" applyFont="1" applyBorder="1" applyAlignment="1" applyProtection="1">
      <alignment horizontal="center" vertical="center"/>
      <protection hidden="1"/>
    </xf>
    <xf numFmtId="165" fontId="4" fillId="0" borderId="43" xfId="0" applyNumberFormat="1" applyFont="1" applyBorder="1" applyAlignment="1" applyProtection="1">
      <alignment horizontal="center" vertical="center"/>
      <protection hidden="1"/>
    </xf>
    <xf numFmtId="167" fontId="4" fillId="0" borderId="43" xfId="0" applyNumberFormat="1" applyFont="1" applyBorder="1" applyAlignment="1" applyProtection="1">
      <alignment horizontal="center" vertical="center"/>
      <protection hidden="1"/>
    </xf>
    <xf numFmtId="1" fontId="4" fillId="0" borderId="43" xfId="0" applyNumberFormat="1" applyFont="1" applyBorder="1" applyAlignment="1" applyProtection="1">
      <alignment horizontal="center" vertical="center"/>
      <protection hidden="1"/>
    </xf>
    <xf numFmtId="164" fontId="4" fillId="0" borderId="43" xfId="0" applyNumberFormat="1" applyFont="1" applyBorder="1" applyAlignment="1" applyProtection="1">
      <alignment horizontal="center" vertical="center"/>
      <protection hidden="1"/>
    </xf>
    <xf numFmtId="164" fontId="4" fillId="0" borderId="43" xfId="0" applyNumberFormat="1" applyFont="1" applyFill="1" applyBorder="1" applyAlignment="1" applyProtection="1">
      <alignment horizontal="center" vertical="center"/>
      <protection hidden="1"/>
    </xf>
    <xf numFmtId="0" fontId="4" fillId="0" borderId="43" xfId="0" applyFont="1" applyBorder="1" applyAlignment="1" applyProtection="1">
      <alignment horizontal="center" vertical="center"/>
      <protection hidden="1"/>
    </xf>
    <xf numFmtId="165" fontId="4" fillId="0" borderId="44" xfId="0" applyNumberFormat="1" applyFont="1" applyBorder="1" applyAlignment="1" applyProtection="1">
      <alignment horizontal="center" vertical="center"/>
      <protection hidden="1"/>
    </xf>
    <xf numFmtId="1" fontId="4" fillId="0" borderId="44" xfId="0" applyNumberFormat="1" applyFont="1" applyBorder="1" applyAlignment="1" applyProtection="1">
      <alignment horizontal="center" vertical="center"/>
      <protection hidden="1"/>
    </xf>
    <xf numFmtId="164" fontId="4" fillId="0" borderId="44" xfId="0" applyNumberFormat="1" applyFont="1" applyBorder="1" applyAlignment="1" applyProtection="1">
      <alignment horizontal="center" vertical="center"/>
      <protection hidden="1"/>
    </xf>
    <xf numFmtId="164" fontId="4" fillId="0" borderId="44" xfId="0" applyNumberFormat="1" applyFont="1" applyFill="1" applyBorder="1" applyAlignment="1" applyProtection="1">
      <alignment horizontal="center" vertical="center"/>
      <protection hidden="1"/>
    </xf>
    <xf numFmtId="0" fontId="4" fillId="0" borderId="44" xfId="0" applyFont="1" applyBorder="1" applyAlignment="1" applyProtection="1">
      <alignment horizontal="center" vertical="center"/>
      <protection hidden="1"/>
    </xf>
    <xf numFmtId="2" fontId="4" fillId="0" borderId="35" xfId="0" applyNumberFormat="1" applyFont="1" applyBorder="1" applyAlignment="1" applyProtection="1">
      <alignment horizontal="center" vertical="center"/>
      <protection hidden="1"/>
    </xf>
    <xf numFmtId="165" fontId="4" fillId="0" borderId="36" xfId="0" applyNumberFormat="1" applyFont="1" applyBorder="1" applyAlignment="1" applyProtection="1">
      <alignment horizontal="center" vertical="center"/>
      <protection hidden="1"/>
    </xf>
    <xf numFmtId="1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36" xfId="0" applyNumberFormat="1" applyFont="1" applyFill="1" applyBorder="1" applyAlignment="1" applyProtection="1">
      <alignment horizontal="center" vertical="center"/>
      <protection hidden="1"/>
    </xf>
    <xf numFmtId="2" fontId="4" fillId="0" borderId="36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Border="1" applyAlignment="1"/>
    <xf numFmtId="0" fontId="8" fillId="0" borderId="0" xfId="0" applyFont="1" applyBorder="1"/>
    <xf numFmtId="0" fontId="12" fillId="0" borderId="0" xfId="0" applyFont="1" applyBorder="1" applyAlignment="1">
      <alignment horizontal="right"/>
    </xf>
    <xf numFmtId="0" fontId="0" fillId="0" borderId="45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4" fillId="0" borderId="35" xfId="0" applyFont="1" applyBorder="1" applyAlignment="1">
      <alignment horizontal="center" vertical="center"/>
    </xf>
    <xf numFmtId="168" fontId="4" fillId="0" borderId="48" xfId="0" applyNumberFormat="1" applyFont="1" applyFill="1" applyBorder="1" applyAlignment="1">
      <alignment horizontal="center" vertical="center"/>
    </xf>
    <xf numFmtId="164" fontId="0" fillId="0" borderId="48" xfId="0" applyNumberForma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164" fontId="0" fillId="0" borderId="49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17" fillId="0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41" fillId="0" borderId="0" xfId="0" applyFont="1"/>
    <xf numFmtId="1" fontId="1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42" fillId="0" borderId="0" xfId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32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7" fillId="4" borderId="0" xfId="0" applyFont="1" applyFill="1" applyAlignment="1" applyProtection="1">
      <alignment horizontal="center" vertical="center" wrapText="1"/>
      <protection hidden="1"/>
    </xf>
    <xf numFmtId="165" fontId="7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0" fillId="0" borderId="0" xfId="0" applyAlignment="1"/>
    <xf numFmtId="0" fontId="2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0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12" xfId="0" applyBorder="1" applyAlignment="1"/>
    <xf numFmtId="0" fontId="0" fillId="0" borderId="22" xfId="0" applyBorder="1" applyAlignment="1"/>
    <xf numFmtId="165" fontId="21" fillId="0" borderId="23" xfId="0" applyNumberFormat="1" applyFont="1" applyBorder="1" applyAlignment="1">
      <alignment horizontal="center" vertical="center"/>
    </xf>
    <xf numFmtId="0" fontId="0" fillId="0" borderId="24" xfId="0" applyBorder="1" applyAlignment="1"/>
    <xf numFmtId="0" fontId="0" fillId="0" borderId="25" xfId="0" applyBorder="1" applyAlignment="1"/>
    <xf numFmtId="0" fontId="17" fillId="0" borderId="23" xfId="0" applyFont="1" applyBorder="1" applyAlignment="1">
      <alignment horizontal="center" vertical="center"/>
    </xf>
    <xf numFmtId="2" fontId="21" fillId="0" borderId="23" xfId="0" applyNumberFormat="1" applyFont="1" applyBorder="1" applyAlignment="1">
      <alignment horizontal="center" vertical="center"/>
    </xf>
    <xf numFmtId="0" fontId="21" fillId="0" borderId="24" xfId="0" applyFont="1" applyBorder="1" applyAlignment="1"/>
    <xf numFmtId="0" fontId="21" fillId="0" borderId="25" xfId="0" applyFont="1" applyBorder="1" applyAlignment="1"/>
    <xf numFmtId="0" fontId="5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19" fillId="0" borderId="0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/>
    <xf numFmtId="0" fontId="38" fillId="0" borderId="0" xfId="0" applyFont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7CFB2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16066358241661E-2"/>
          <c:y val="3.0184114436487972E-2"/>
          <c:w val="0.94009578033515062"/>
          <c:h val="0.95824158087432298"/>
        </c:manualLayout>
      </c:layout>
      <c:scatterChart>
        <c:scatterStyle val="lineMarker"/>
        <c:varyColors val="0"/>
        <c:ser>
          <c:idx val="2"/>
          <c:order val="2"/>
          <c:spPr>
            <a:ln w="3810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 w="38100">
                <a:solidFill>
                  <a:srgbClr val="FF0000"/>
                </a:solidFill>
              </a:ln>
            </c:spPr>
          </c:marker>
          <c:xVal>
            <c:numRef>
              <c:f>'N-M kN'!$V$11</c:f>
              <c:numCache>
                <c:formatCode>General</c:formatCode>
                <c:ptCount val="1"/>
                <c:pt idx="0">
                  <c:v>1000</c:v>
                </c:pt>
              </c:numCache>
            </c:numRef>
          </c:xVal>
          <c:yVal>
            <c:numRef>
              <c:f>'N-M kN'!$W$11</c:f>
              <c:numCache>
                <c:formatCode>General</c:formatCode>
                <c:ptCount val="1"/>
                <c:pt idx="0">
                  <c:v>200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577280"/>
        <c:axId val="548581632"/>
      </c:scatterChart>
      <c:scatterChart>
        <c:scatterStyle val="smoothMarker"/>
        <c:varyColors val="0"/>
        <c:ser>
          <c:idx val="0"/>
          <c:order val="0"/>
          <c:tx>
            <c:v>N M</c:v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Foglio1!$D$3:$D$269</c:f>
              <c:numCache>
                <c:formatCode>0</c:formatCode>
                <c:ptCount val="267"/>
                <c:pt idx="0">
                  <c:v>-704.8094822836232</c:v>
                </c:pt>
                <c:pt idx="1">
                  <c:v>-704.8094822836232</c:v>
                </c:pt>
                <c:pt idx="2">
                  <c:v>-704.8094822836232</c:v>
                </c:pt>
                <c:pt idx="3">
                  <c:v>-704.8094822836232</c:v>
                </c:pt>
                <c:pt idx="4">
                  <c:v>-704.8094822836232</c:v>
                </c:pt>
                <c:pt idx="5">
                  <c:v>-704.8094822836232</c:v>
                </c:pt>
                <c:pt idx="6">
                  <c:v>-704.8094822836232</c:v>
                </c:pt>
                <c:pt idx="7">
                  <c:v>-704.8094822836232</c:v>
                </c:pt>
                <c:pt idx="8">
                  <c:v>-704.8094822836232</c:v>
                </c:pt>
                <c:pt idx="9">
                  <c:v>-704.8094822836232</c:v>
                </c:pt>
                <c:pt idx="10">
                  <c:v>-704.8094822836232</c:v>
                </c:pt>
                <c:pt idx="11">
                  <c:v>-704.8094822836232</c:v>
                </c:pt>
                <c:pt idx="12">
                  <c:v>-704.8094822836232</c:v>
                </c:pt>
                <c:pt idx="13">
                  <c:v>-704.8094822836232</c:v>
                </c:pt>
                <c:pt idx="14">
                  <c:v>-704.8094822836232</c:v>
                </c:pt>
                <c:pt idx="15">
                  <c:v>-704.8094822836232</c:v>
                </c:pt>
                <c:pt idx="16">
                  <c:v>-704.8094822836232</c:v>
                </c:pt>
                <c:pt idx="17">
                  <c:v>-704.8094822836232</c:v>
                </c:pt>
                <c:pt idx="18">
                  <c:v>-704.8094822836232</c:v>
                </c:pt>
                <c:pt idx="19">
                  <c:v>-704.8094822836232</c:v>
                </c:pt>
                <c:pt idx="20">
                  <c:v>-704.8094822836232</c:v>
                </c:pt>
                <c:pt idx="21">
                  <c:v>-704.8094822836232</c:v>
                </c:pt>
                <c:pt idx="22">
                  <c:v>-704.8094822836232</c:v>
                </c:pt>
                <c:pt idx="23">
                  <c:v>-704.8094822836232</c:v>
                </c:pt>
                <c:pt idx="24">
                  <c:v>-704.8094822836232</c:v>
                </c:pt>
                <c:pt idx="25">
                  <c:v>-704.8094822836232</c:v>
                </c:pt>
                <c:pt idx="26">
                  <c:v>-704.8094822836232</c:v>
                </c:pt>
                <c:pt idx="27">
                  <c:v>-704.8094822836232</c:v>
                </c:pt>
                <c:pt idx="28">
                  <c:v>-704.8094822836232</c:v>
                </c:pt>
                <c:pt idx="29">
                  <c:v>-704.8094822836232</c:v>
                </c:pt>
                <c:pt idx="30">
                  <c:v>-704.8094822836232</c:v>
                </c:pt>
                <c:pt idx="31">
                  <c:v>-704.8094822836232</c:v>
                </c:pt>
                <c:pt idx="32">
                  <c:v>-704.8094822836232</c:v>
                </c:pt>
                <c:pt idx="33">
                  <c:v>-704.8094822836232</c:v>
                </c:pt>
                <c:pt idx="34">
                  <c:v>-704.8094822836232</c:v>
                </c:pt>
                <c:pt idx="35">
                  <c:v>-704.8094822836232</c:v>
                </c:pt>
                <c:pt idx="36">
                  <c:v>-704.8094822836232</c:v>
                </c:pt>
                <c:pt idx="37">
                  <c:v>-704.8094822836232</c:v>
                </c:pt>
                <c:pt idx="38">
                  <c:v>-704.8094822836232</c:v>
                </c:pt>
                <c:pt idx="39">
                  <c:v>-704.8094822836232</c:v>
                </c:pt>
                <c:pt idx="40">
                  <c:v>-704.8094822836232</c:v>
                </c:pt>
                <c:pt idx="41">
                  <c:v>-704.8094822836232</c:v>
                </c:pt>
                <c:pt idx="42">
                  <c:v>-704.8094822836232</c:v>
                </c:pt>
                <c:pt idx="43">
                  <c:v>-704.8094822836232</c:v>
                </c:pt>
                <c:pt idx="44">
                  <c:v>-704.8094822836232</c:v>
                </c:pt>
                <c:pt idx="45">
                  <c:v>-704.8094822836232</c:v>
                </c:pt>
                <c:pt idx="46">
                  <c:v>-704.8094822836232</c:v>
                </c:pt>
                <c:pt idx="47">
                  <c:v>-704.8094822836232</c:v>
                </c:pt>
                <c:pt idx="48">
                  <c:v>-704.8094822836232</c:v>
                </c:pt>
                <c:pt idx="49">
                  <c:v>-704.8094822836232</c:v>
                </c:pt>
                <c:pt idx="50">
                  <c:v>-704.8094822836232</c:v>
                </c:pt>
                <c:pt idx="51">
                  <c:v>-704.8094822836232</c:v>
                </c:pt>
                <c:pt idx="52">
                  <c:v>-704.8094822836232</c:v>
                </c:pt>
                <c:pt idx="53">
                  <c:v>-704.8094822836232</c:v>
                </c:pt>
                <c:pt idx="54">
                  <c:v>-704.8094822836232</c:v>
                </c:pt>
                <c:pt idx="55">
                  <c:v>-704.8094822836232</c:v>
                </c:pt>
                <c:pt idx="56">
                  <c:v>-704.8094822836232</c:v>
                </c:pt>
                <c:pt idx="57">
                  <c:v>-704.8094822836232</c:v>
                </c:pt>
                <c:pt idx="58">
                  <c:v>-704.8094822836232</c:v>
                </c:pt>
                <c:pt idx="59">
                  <c:v>-704.8094822836232</c:v>
                </c:pt>
                <c:pt idx="60">
                  <c:v>-704.8094822836232</c:v>
                </c:pt>
                <c:pt idx="61">
                  <c:v>-704.8094822836232</c:v>
                </c:pt>
                <c:pt idx="62">
                  <c:v>-704.8094822836232</c:v>
                </c:pt>
                <c:pt idx="63">
                  <c:v>-704.8094822836232</c:v>
                </c:pt>
                <c:pt idx="64">
                  <c:v>-704.8094822836232</c:v>
                </c:pt>
                <c:pt idx="65">
                  <c:v>-704.8094822836232</c:v>
                </c:pt>
                <c:pt idx="66">
                  <c:v>-704.8094822836232</c:v>
                </c:pt>
                <c:pt idx="67">
                  <c:v>-704.8094822836232</c:v>
                </c:pt>
                <c:pt idx="68">
                  <c:v>-704.8094822836232</c:v>
                </c:pt>
                <c:pt idx="69">
                  <c:v>-704.8094822836232</c:v>
                </c:pt>
                <c:pt idx="70">
                  <c:v>-704.8094822836232</c:v>
                </c:pt>
                <c:pt idx="71">
                  <c:v>-704.8094822836232</c:v>
                </c:pt>
                <c:pt idx="72">
                  <c:v>-704.8094822836232</c:v>
                </c:pt>
                <c:pt idx="73">
                  <c:v>-704.8094822836232</c:v>
                </c:pt>
                <c:pt idx="74">
                  <c:v>-704.8094822836232</c:v>
                </c:pt>
                <c:pt idx="75">
                  <c:v>-704.8094822836232</c:v>
                </c:pt>
                <c:pt idx="76">
                  <c:v>-704.8094822836232</c:v>
                </c:pt>
                <c:pt idx="77">
                  <c:v>-704.8094822836232</c:v>
                </c:pt>
                <c:pt idx="78">
                  <c:v>-704.8094822836232</c:v>
                </c:pt>
                <c:pt idx="79">
                  <c:v>-704.8094822836232</c:v>
                </c:pt>
                <c:pt idx="80">
                  <c:v>-704.8094822836232</c:v>
                </c:pt>
                <c:pt idx="81">
                  <c:v>-704.8094822836232</c:v>
                </c:pt>
                <c:pt idx="82">
                  <c:v>-704.8094822836232</c:v>
                </c:pt>
                <c:pt idx="83">
                  <c:v>-704.8094822836232</c:v>
                </c:pt>
                <c:pt idx="84">
                  <c:v>-704.8094822836232</c:v>
                </c:pt>
                <c:pt idx="85">
                  <c:v>-704.8094822836232</c:v>
                </c:pt>
                <c:pt idx="86">
                  <c:v>-704.8094822836232</c:v>
                </c:pt>
                <c:pt idx="87">
                  <c:v>-704.8094822836232</c:v>
                </c:pt>
                <c:pt idx="88">
                  <c:v>-704.8094822836232</c:v>
                </c:pt>
                <c:pt idx="89">
                  <c:v>-704.8094822836232</c:v>
                </c:pt>
                <c:pt idx="90">
                  <c:v>-703.49290168159666</c:v>
                </c:pt>
                <c:pt idx="91">
                  <c:v>-686.45479977304819</c:v>
                </c:pt>
                <c:pt idx="92">
                  <c:v>-669.41669786449961</c:v>
                </c:pt>
                <c:pt idx="93">
                  <c:v>-652.37859595595114</c:v>
                </c:pt>
                <c:pt idx="94">
                  <c:v>-635.34049404740267</c:v>
                </c:pt>
                <c:pt idx="95">
                  <c:v>-618.30239213885409</c:v>
                </c:pt>
                <c:pt idx="96">
                  <c:v>-601.26429023030562</c:v>
                </c:pt>
                <c:pt idx="97">
                  <c:v>-584.22618832175715</c:v>
                </c:pt>
                <c:pt idx="98">
                  <c:v>-567.18808641320868</c:v>
                </c:pt>
                <c:pt idx="99">
                  <c:v>-550.14998450466021</c:v>
                </c:pt>
                <c:pt idx="100">
                  <c:v>-533.11188259611174</c:v>
                </c:pt>
                <c:pt idx="101">
                  <c:v>-533.1118825961139</c:v>
                </c:pt>
                <c:pt idx="102">
                  <c:v>-516.0520868459397</c:v>
                </c:pt>
                <c:pt idx="103">
                  <c:v>-498.86646667591913</c:v>
                </c:pt>
                <c:pt idx="104">
                  <c:v>-481.44084457076917</c:v>
                </c:pt>
                <c:pt idx="105">
                  <c:v>-463.67319377111261</c:v>
                </c:pt>
                <c:pt idx="106">
                  <c:v>-445.47305966605552</c:v>
                </c:pt>
                <c:pt idx="107">
                  <c:v>-426.76101393712696</c:v>
                </c:pt>
                <c:pt idx="108">
                  <c:v>-407.46813931096773</c:v>
                </c:pt>
                <c:pt idx="109">
                  <c:v>-387.53554293687421</c:v>
                </c:pt>
                <c:pt idx="110">
                  <c:v>-366.91389655089336</c:v>
                </c:pt>
                <c:pt idx="111">
                  <c:v>-345.56300172188281</c:v>
                </c:pt>
                <c:pt idx="112">
                  <c:v>-323.45137859777867</c:v>
                </c:pt>
                <c:pt idx="113">
                  <c:v>-300.55587668331594</c:v>
                </c:pt>
                <c:pt idx="114">
                  <c:v>-276.86130628441703</c:v>
                </c:pt>
                <c:pt idx="115">
                  <c:v>-252.36008935024671</c:v>
                </c:pt>
                <c:pt idx="116">
                  <c:v>-227.05192853220004</c:v>
                </c:pt>
                <c:pt idx="117">
                  <c:v>-200.94349336053</c:v>
                </c:pt>
                <c:pt idx="118">
                  <c:v>-174.04812251448456</c:v>
                </c:pt>
                <c:pt idx="119">
                  <c:v>-146.38554123124393</c:v>
                </c:pt>
                <c:pt idx="120">
                  <c:v>-117.98159296315303</c:v>
                </c:pt>
                <c:pt idx="121">
                  <c:v>-88.867984452088308</c:v>
                </c:pt>
                <c:pt idx="122">
                  <c:v>-59.076207928368824</c:v>
                </c:pt>
                <c:pt idx="123">
                  <c:v>-28.617982017215574</c:v>
                </c:pt>
                <c:pt idx="124">
                  <c:v>2.5005496529414666</c:v>
                </c:pt>
                <c:pt idx="125">
                  <c:v>34.273441635236956</c:v>
                </c:pt>
                <c:pt idx="126">
                  <c:v>66.694938737104238</c:v>
                </c:pt>
                <c:pt idx="127">
                  <c:v>99.759468470502767</c:v>
                </c:pt>
                <c:pt idx="128">
                  <c:v>133.46163385882485</c:v>
                </c:pt>
                <c:pt idx="129">
                  <c:v>167.79620658098429</c:v>
                </c:pt>
                <c:pt idx="130">
                  <c:v>202.7581204343771</c:v>
                </c:pt>
                <c:pt idx="131">
                  <c:v>238.34246509955673</c:v>
                </c:pt>
                <c:pt idx="132">
                  <c:v>274.54448019049238</c:v>
                </c:pt>
                <c:pt idx="133">
                  <c:v>299.25217109784126</c:v>
                </c:pt>
                <c:pt idx="134">
                  <c:v>319.63771556705808</c:v>
                </c:pt>
                <c:pt idx="135">
                  <c:v>340.62749337915392</c:v>
                </c:pt>
                <c:pt idx="136">
                  <c:v>362.2172895847728</c:v>
                </c:pt>
                <c:pt idx="137">
                  <c:v>384.40301320365734</c:v>
                </c:pt>
                <c:pt idx="138">
                  <c:v>407.18069270022926</c:v>
                </c:pt>
                <c:pt idx="139">
                  <c:v>430.54647165588466</c:v>
                </c:pt>
                <c:pt idx="140">
                  <c:v>454.49660462809226</c:v>
                </c:pt>
                <c:pt idx="141">
                  <c:v>479.02745318696645</c:v>
                </c:pt>
                <c:pt idx="142">
                  <c:v>479.02745318696685</c:v>
                </c:pt>
                <c:pt idx="143">
                  <c:v>482.47369385737659</c:v>
                </c:pt>
                <c:pt idx="144">
                  <c:v>485.96988004474889</c:v>
                </c:pt>
                <c:pt idx="145">
                  <c:v>489.51710544653525</c:v>
                </c:pt>
                <c:pt idx="146">
                  <c:v>493.11649592775979</c:v>
                </c:pt>
                <c:pt idx="147">
                  <c:v>496.76921071240992</c:v>
                </c:pt>
                <c:pt idx="148">
                  <c:v>500.47644362817414</c:v>
                </c:pt>
                <c:pt idx="149">
                  <c:v>504.23942440733339</c:v>
                </c:pt>
                <c:pt idx="150">
                  <c:v>508.0594200467828</c:v>
                </c:pt>
                <c:pt idx="151">
                  <c:v>511.93773623034605</c:v>
                </c:pt>
                <c:pt idx="152">
                  <c:v>515.87571881673318</c:v>
                </c:pt>
                <c:pt idx="153">
                  <c:v>519.87475539670777</c:v>
                </c:pt>
                <c:pt idx="154">
                  <c:v>523.93627692324469</c:v>
                </c:pt>
                <c:pt idx="155">
                  <c:v>528.06175941870322</c:v>
                </c:pt>
                <c:pt idx="156">
                  <c:v>532.25272576329598</c:v>
                </c:pt>
                <c:pt idx="157">
                  <c:v>536.5107475694025</c:v>
                </c:pt>
                <c:pt idx="158">
                  <c:v>540.83744714657507</c:v>
                </c:pt>
                <c:pt idx="159">
                  <c:v>545.23449956240074</c:v>
                </c:pt>
                <c:pt idx="160">
                  <c:v>549.70363480471553</c:v>
                </c:pt>
                <c:pt idx="161">
                  <c:v>554.24664005103546</c:v>
                </c:pt>
                <c:pt idx="162">
                  <c:v>558.86536205146069</c:v>
                </c:pt>
                <c:pt idx="163">
                  <c:v>563.56170963172497</c:v>
                </c:pt>
                <c:pt idx="164">
                  <c:v>568.33765632351935</c:v>
                </c:pt>
                <c:pt idx="165">
                  <c:v>573.19524312970327</c:v>
                </c:pt>
                <c:pt idx="166">
                  <c:v>578.13658143254554</c:v>
                </c:pt>
                <c:pt idx="167">
                  <c:v>583.16385605369805</c:v>
                </c:pt>
                <c:pt idx="168">
                  <c:v>588.27932847522175</c:v>
                </c:pt>
                <c:pt idx="169">
                  <c:v>593.48534023163973</c:v>
                </c:pt>
                <c:pt idx="170">
                  <c:v>598.78431648370781</c:v>
                </c:pt>
                <c:pt idx="171">
                  <c:v>604.17876978536299</c:v>
                </c:pt>
                <c:pt idx="172">
                  <c:v>609.67130405613898</c:v>
                </c:pt>
                <c:pt idx="173">
                  <c:v>615.2646187722504</c:v>
                </c:pt>
                <c:pt idx="174">
                  <c:v>620.96151339051187</c:v>
                </c:pt>
                <c:pt idx="175">
                  <c:v>626.76489202032985</c:v>
                </c:pt>
                <c:pt idx="176">
                  <c:v>632.67776836014434</c:v>
                </c:pt>
                <c:pt idx="177">
                  <c:v>638.70327091595516</c:v>
                </c:pt>
                <c:pt idx="178">
                  <c:v>644.84464852091628</c:v>
                </c:pt>
                <c:pt idx="179">
                  <c:v>651.10527617645914</c:v>
                </c:pt>
                <c:pt idx="180">
                  <c:v>657.48866123701282</c:v>
                </c:pt>
                <c:pt idx="181">
                  <c:v>663.99844996213164</c:v>
                </c:pt>
                <c:pt idx="182">
                  <c:v>670.63843446175292</c:v>
                </c:pt>
                <c:pt idx="183">
                  <c:v>677.41256006237677</c:v>
                </c:pt>
                <c:pt idx="184">
                  <c:v>684.32493312423776</c:v>
                </c:pt>
                <c:pt idx="185">
                  <c:v>691.37982934201341</c:v>
                </c:pt>
                <c:pt idx="186">
                  <c:v>698.58170256432595</c:v>
                </c:pt>
                <c:pt idx="187">
                  <c:v>705.9351941702663</c:v>
                </c:pt>
                <c:pt idx="188">
                  <c:v>713.44514304441827</c:v>
                </c:pt>
                <c:pt idx="189">
                  <c:v>721.11659619543343</c:v>
                </c:pt>
                <c:pt idx="190">
                  <c:v>728.95482006712291</c:v>
                </c:pt>
                <c:pt idx="191">
                  <c:v>736.96531259533288</c:v>
                </c:pt>
                <c:pt idx="192">
                  <c:v>745.15381606861467</c:v>
                </c:pt>
                <c:pt idx="193">
                  <c:v>753.52633085590242</c:v>
                </c:pt>
                <c:pt idx="194">
                  <c:v>762.08913007017395</c:v>
                </c:pt>
                <c:pt idx="195">
                  <c:v>770.84877524339447</c:v>
                </c:pt>
                <c:pt idx="196">
                  <c:v>779.81213309506199</c:v>
                </c:pt>
                <c:pt idx="197">
                  <c:v>788.98639348441566</c:v>
                </c:pt>
                <c:pt idx="198">
                  <c:v>798.3790886449442</c:v>
                </c:pt>
                <c:pt idx="199">
                  <c:v>807.99811380934125</c:v>
                </c:pt>
                <c:pt idx="200">
                  <c:v>817.85174934360168</c:v>
                </c:pt>
                <c:pt idx="201">
                  <c:v>827.94868452068317</c:v>
                </c:pt>
                <c:pt idx="202">
                  <c:v>838.29804307719166</c:v>
                </c:pt>
                <c:pt idx="203">
                  <c:v>848.90941071108023</c:v>
                </c:pt>
                <c:pt idx="204">
                  <c:v>859.79286469455565</c:v>
                </c:pt>
                <c:pt idx="205">
                  <c:v>870.95900579448448</c:v>
                </c:pt>
                <c:pt idx="206">
                  <c:v>882.4189927128333</c:v>
                </c:pt>
                <c:pt idx="207">
                  <c:v>894.18457928233772</c:v>
                </c:pt>
                <c:pt idx="208">
                  <c:v>906.26815467804477</c:v>
                </c:pt>
                <c:pt idx="209">
                  <c:v>918.68278693390812</c:v>
                </c:pt>
                <c:pt idx="210">
                  <c:v>931.4422700857682</c:v>
                </c:pt>
                <c:pt idx="211">
                  <c:v>944.56117529824382</c:v>
                </c:pt>
                <c:pt idx="212">
                  <c:v>958.05490637393279</c:v>
                </c:pt>
                <c:pt idx="213">
                  <c:v>971.93976008949721</c:v>
                </c:pt>
                <c:pt idx="214">
                  <c:v>986.23299185551923</c:v>
                </c:pt>
                <c:pt idx="215">
                  <c:v>1000.9528872563479</c:v>
                </c:pt>
                <c:pt idx="216">
                  <c:v>1016.118840093565</c:v>
                </c:pt>
                <c:pt idx="217">
                  <c:v>1031.7514376334661</c:v>
                </c:pt>
                <c:pt idx="218">
                  <c:v>1047.8725538464892</c:v>
                </c:pt>
                <c:pt idx="219">
                  <c:v>1064.505451526592</c:v>
                </c:pt>
                <c:pt idx="220">
                  <c:v>1081.6748942931499</c:v>
                </c:pt>
                <c:pt idx="221">
                  <c:v>1099.4072696094308</c:v>
                </c:pt>
                <c:pt idx="222">
                  <c:v>1117.7307241029214</c:v>
                </c:pt>
                <c:pt idx="223">
                  <c:v>1136.6753126470387</c:v>
                </c:pt>
                <c:pt idx="224">
                  <c:v>1169.464784191254</c:v>
                </c:pt>
                <c:pt idx="225">
                  <c:v>1208.595451599698</c:v>
                </c:pt>
                <c:pt idx="226">
                  <c:v>1248.4506009397617</c:v>
                </c:pt>
                <c:pt idx="227">
                  <c:v>1289.0697494077153</c:v>
                </c:pt>
                <c:pt idx="228">
                  <c:v>1330.4953413995529</c:v>
                </c:pt>
                <c:pt idx="229">
                  <c:v>1372.7730246619092</c:v>
                </c:pt>
                <c:pt idx="230">
                  <c:v>1415.9519583065444</c:v>
                </c:pt>
                <c:pt idx="231">
                  <c:v>1460.0851570618288</c:v>
                </c:pt>
                <c:pt idx="232">
                  <c:v>1505.229876834401</c:v>
                </c:pt>
                <c:pt idx="233">
                  <c:v>1551.4480474824622</c:v>
                </c:pt>
                <c:pt idx="234">
                  <c:v>1598.8067596857302</c:v>
                </c:pt>
                <c:pt idx="235">
                  <c:v>1647.378813969005</c:v>
                </c:pt>
                <c:pt idx="236">
                  <c:v>1697.243341337507</c:v>
                </c:pt>
                <c:pt idx="237">
                  <c:v>1748.4865066635812</c:v>
                </c:pt>
                <c:pt idx="238">
                  <c:v>1801.2023079897917</c:v>
                </c:pt>
                <c:pt idx="239">
                  <c:v>1855.4934873626587</c:v>
                </c:pt>
                <c:pt idx="240">
                  <c:v>1911.4725717855147</c:v>
                </c:pt>
                <c:pt idx="241">
                  <c:v>1969.2630665059205</c:v>
                </c:pt>
                <c:pt idx="242">
                  <c:v>2029.0008272961923</c:v>
                </c:pt>
                <c:pt idx="243">
                  <c:v>2029.0008272961923</c:v>
                </c:pt>
                <c:pt idx="244">
                  <c:v>2090.8356438540109</c:v>
                </c:pt>
                <c:pt idx="245">
                  <c:v>2154.9330732136582</c:v>
                </c:pt>
                <c:pt idx="246">
                  <c:v>2255.7284216404496</c:v>
                </c:pt>
                <c:pt idx="247">
                  <c:v>2299.6335884127434</c:v>
                </c:pt>
                <c:pt idx="248">
                  <c:v>2338.7869679232213</c:v>
                </c:pt>
                <c:pt idx="249">
                  <c:v>2373.4965830888245</c:v>
                </c:pt>
                <c:pt idx="250">
                  <c:v>2404.0640171493023</c:v>
                </c:pt>
                <c:pt idx="251">
                  <c:v>2430.7844136672124</c:v>
                </c:pt>
                <c:pt idx="252">
                  <c:v>2453.9464765279204</c:v>
                </c:pt>
                <c:pt idx="253">
                  <c:v>2473.8324699395989</c:v>
                </c:pt>
                <c:pt idx="254">
                  <c:v>2490.7182184332296</c:v>
                </c:pt>
                <c:pt idx="255">
                  <c:v>2504.8731068626016</c:v>
                </c:pt>
                <c:pt idx="256">
                  <c:v>2516.5600804043124</c:v>
                </c:pt>
                <c:pt idx="257">
                  <c:v>2526.0356445577672</c:v>
                </c:pt>
                <c:pt idx="258">
                  <c:v>2533.549865145178</c:v>
                </c:pt>
                <c:pt idx="259">
                  <c:v>2539.3463683115674</c:v>
                </c:pt>
                <c:pt idx="260">
                  <c:v>2543.6623405247637</c:v>
                </c:pt>
                <c:pt idx="261">
                  <c:v>2546.7285285754042</c:v>
                </c:pt>
                <c:pt idx="262">
                  <c:v>2548.7692395769336</c:v>
                </c:pt>
                <c:pt idx="263">
                  <c:v>2550.002340965606</c:v>
                </c:pt>
                <c:pt idx="264">
                  <c:v>2550.6392605004803</c:v>
                </c:pt>
                <c:pt idx="265">
                  <c:v>2541.9335289349597</c:v>
                </c:pt>
                <c:pt idx="266">
                  <c:v>2526.4393413391062</c:v>
                </c:pt>
              </c:numCache>
            </c:numRef>
          </c:xVal>
          <c:yVal>
            <c:numRef>
              <c:f>Foglio1!$E$3:$E$269</c:f>
              <c:numCache>
                <c:formatCode>0</c:formatCode>
                <c:ptCount val="2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0.24027595986985414</c:v>
                </c:pt>
                <c:pt idx="91">
                  <c:v>3.3497295581799449</c:v>
                </c:pt>
                <c:pt idx="92">
                  <c:v>6.4591831564900426</c:v>
                </c:pt>
                <c:pt idx="93">
                  <c:v>9.5686367548001492</c:v>
                </c:pt>
                <c:pt idx="94">
                  <c:v>12.678090353110246</c:v>
                </c:pt>
                <c:pt idx="95">
                  <c:v>15.787543951420338</c:v>
                </c:pt>
                <c:pt idx="96">
                  <c:v>18.89699754973045</c:v>
                </c:pt>
                <c:pt idx="97">
                  <c:v>22.00645114804054</c:v>
                </c:pt>
                <c:pt idx="98">
                  <c:v>25.115904746350648</c:v>
                </c:pt>
                <c:pt idx="99">
                  <c:v>28.225358344660744</c:v>
                </c:pt>
                <c:pt idx="100">
                  <c:v>31.334811942970841</c:v>
                </c:pt>
                <c:pt idx="101">
                  <c:v>31.334811942970443</c:v>
                </c:pt>
                <c:pt idx="102">
                  <c:v>34.448578076503274</c:v>
                </c:pt>
                <c:pt idx="103">
                  <c:v>37.587154738655329</c:v>
                </c:pt>
                <c:pt idx="104">
                  <c:v>40.772522886038935</c:v>
                </c:pt>
                <c:pt idx="105">
                  <c:v>44.023766612415358</c:v>
                </c:pt>
                <c:pt idx="106">
                  <c:v>47.35726805240391</c:v>
                </c:pt>
                <c:pt idx="107">
                  <c:v>50.786888059291627</c:v>
                </c:pt>
                <c:pt idx="108">
                  <c:v>54.324133794584959</c:v>
                </c:pt>
                <c:pt idx="109">
                  <c:v>57.978314267485366</c:v>
                </c:pt>
                <c:pt idx="110">
                  <c:v>61.75668477246839</c:v>
                </c:pt>
                <c:pt idx="111">
                  <c:v>65.664581091621073</c:v>
                </c:pt>
                <c:pt idx="112">
                  <c:v>69.70554425449528</c:v>
                </c:pt>
                <c:pt idx="113">
                  <c:v>73.881436581178789</c:v>
                </c:pt>
                <c:pt idx="114">
                  <c:v>78.192549673399228</c:v>
                </c:pt>
                <c:pt idx="115">
                  <c:v>82.637704963137736</c:v>
                </c:pt>
                <c:pt idx="116">
                  <c:v>87.214347377897539</c:v>
                </c:pt>
                <c:pt idx="117">
                  <c:v>91.918632635953927</c:v>
                </c:pt>
                <c:pt idx="118">
                  <c:v>96.745508643172272</c:v>
                </c:pt>
                <c:pt idx="119">
                  <c:v>101.68879142492953</c:v>
                </c:pt>
                <c:pt idx="120">
                  <c:v>106.74123599195021</c:v>
                </c:pt>
                <c:pt idx="121">
                  <c:v>111.8946025071713</c:v>
                </c:pt>
                <c:pt idx="122">
                  <c:v>117.11807404934123</c:v>
                </c:pt>
                <c:pt idx="123">
                  <c:v>122.42680947489474</c:v>
                </c:pt>
                <c:pt idx="124">
                  <c:v>127.81787593311275</c:v>
                </c:pt>
                <c:pt idx="125">
                  <c:v>133.2884681453134</c:v>
                </c:pt>
                <c:pt idx="126">
                  <c:v>138.83590199396082</c:v>
                </c:pt>
                <c:pt idx="127">
                  <c:v>144.45760847884634</c:v>
                </c:pt>
                <c:pt idx="128">
                  <c:v>150.15112801673078</c:v>
                </c:pt>
                <c:pt idx="129">
                  <c:v>155.91410506252245</c:v>
                </c:pt>
                <c:pt idx="130">
                  <c:v>161.74428303161537</c:v>
                </c:pt>
                <c:pt idx="131">
                  <c:v>167.63949950445041</c:v>
                </c:pt>
                <c:pt idx="132">
                  <c:v>173.59768169567752</c:v>
                </c:pt>
                <c:pt idx="133">
                  <c:v>177.40724559939159</c:v>
                </c:pt>
                <c:pt idx="134">
                  <c:v>180.37602462965177</c:v>
                </c:pt>
                <c:pt idx="135">
                  <c:v>183.40204715162341</c:v>
                </c:pt>
                <c:pt idx="136">
                  <c:v>186.4835583496247</c:v>
                </c:pt>
                <c:pt idx="137">
                  <c:v>189.61887382082131</c:v>
                </c:pt>
                <c:pt idx="138">
                  <c:v>192.80637632426902</c:v>
                </c:pt>
                <c:pt idx="139">
                  <c:v>196.0445127007024</c:v>
                </c:pt>
                <c:pt idx="140">
                  <c:v>199.33179095300116</c:v>
                </c:pt>
                <c:pt idx="141">
                  <c:v>202.66677747792488</c:v>
                </c:pt>
                <c:pt idx="142">
                  <c:v>202.66677747792491</c:v>
                </c:pt>
                <c:pt idx="143">
                  <c:v>203.04171280285269</c:v>
                </c:pt>
                <c:pt idx="144">
                  <c:v>203.41977961675795</c:v>
                </c:pt>
                <c:pt idx="145">
                  <c:v>203.80099570782644</c:v>
                </c:pt>
                <c:pt idx="146">
                  <c:v>204.18537788277916</c:v>
                </c:pt>
                <c:pt idx="147">
                  <c:v>204.57294187438166</c:v>
                </c:pt>
                <c:pt idx="148">
                  <c:v>204.96370224227903</c:v>
                </c:pt>
                <c:pt idx="149">
                  <c:v>205.35767226667147</c:v>
                </c:pt>
                <c:pt idx="150">
                  <c:v>205.75486383430754</c:v>
                </c:pt>
                <c:pt idx="151">
                  <c:v>206.1552873162305</c:v>
                </c:pt>
                <c:pt idx="152">
                  <c:v>206.55895143666993</c:v>
                </c:pt>
                <c:pt idx="153">
                  <c:v>206.96586313242267</c:v>
                </c:pt>
                <c:pt idx="154">
                  <c:v>207.37602740201436</c:v>
                </c:pt>
                <c:pt idx="155">
                  <c:v>207.78944714387708</c:v>
                </c:pt>
                <c:pt idx="156">
                  <c:v>208.20612298271715</c:v>
                </c:pt>
                <c:pt idx="157">
                  <c:v>208.62605308317924</c:v>
                </c:pt>
                <c:pt idx="158">
                  <c:v>209.04923294984178</c:v>
                </c:pt>
                <c:pt idx="159">
                  <c:v>209.47565521249862</c:v>
                </c:pt>
                <c:pt idx="160">
                  <c:v>209.90530939559596</c:v>
                </c:pt>
                <c:pt idx="161">
                  <c:v>210.33818167059917</c:v>
                </c:pt>
                <c:pt idx="162">
                  <c:v>210.77425458996302</c:v>
                </c:pt>
                <c:pt idx="163">
                  <c:v>211.21350680126591</c:v>
                </c:pt>
                <c:pt idx="164">
                  <c:v>211.65591273994679</c:v>
                </c:pt>
                <c:pt idx="165">
                  <c:v>212.10144229895135</c:v>
                </c:pt>
                <c:pt idx="166">
                  <c:v>212.55006047344713</c:v>
                </c:pt>
                <c:pt idx="167">
                  <c:v>213.00172697860853</c:v>
                </c:pt>
                <c:pt idx="168">
                  <c:v>213.45639583829828</c:v>
                </c:pt>
                <c:pt idx="169">
                  <c:v>213.91401494228089</c:v>
                </c:pt>
                <c:pt idx="170">
                  <c:v>214.374525569394</c:v>
                </c:pt>
                <c:pt idx="171">
                  <c:v>214.83786187387432</c:v>
                </c:pt>
                <c:pt idx="172">
                  <c:v>215.30395033178235</c:v>
                </c:pt>
                <c:pt idx="173">
                  <c:v>215.7727091441933</c:v>
                </c:pt>
                <c:pt idx="174">
                  <c:v>216.24404759351748</c:v>
                </c:pt>
                <c:pt idx="175">
                  <c:v>216.71786534897805</c:v>
                </c:pt>
                <c:pt idx="176">
                  <c:v>217.19405171690497</c:v>
                </c:pt>
                <c:pt idx="177">
                  <c:v>217.67248483109958</c:v>
                </c:pt>
                <c:pt idx="178">
                  <c:v>218.15303077807272</c:v>
                </c:pt>
                <c:pt idx="179">
                  <c:v>218.63554265146854</c:v>
                </c:pt>
                <c:pt idx="180">
                  <c:v>219.11985952943664</c:v>
                </c:pt>
                <c:pt idx="181">
                  <c:v>219.60580536811304</c:v>
                </c:pt>
                <c:pt idx="182">
                  <c:v>220.09318780370171</c:v>
                </c:pt>
                <c:pt idx="183">
                  <c:v>220.58179685490731</c:v>
                </c:pt>
                <c:pt idx="184">
                  <c:v>221.07140351665029</c:v>
                </c:pt>
                <c:pt idx="185">
                  <c:v>221.56175823508406</c:v>
                </c:pt>
                <c:pt idx="186">
                  <c:v>222.05258925292279</c:v>
                </c:pt>
                <c:pt idx="187">
                  <c:v>222.54360081296394</c:v>
                </c:pt>
                <c:pt idx="188">
                  <c:v>223.03447120643924</c:v>
                </c:pt>
                <c:pt idx="189">
                  <c:v>223.52485065143108</c:v>
                </c:pt>
                <c:pt idx="190">
                  <c:v>224.01435898504153</c:v>
                </c:pt>
                <c:pt idx="191">
                  <c:v>224.50258315126058</c:v>
                </c:pt>
                <c:pt idx="192">
                  <c:v>224.98907446454572</c:v>
                </c:pt>
                <c:pt idx="193">
                  <c:v>225.47334562695178</c:v>
                </c:pt>
                <c:pt idx="194">
                  <c:v>225.95486747422302</c:v>
                </c:pt>
                <c:pt idx="195">
                  <c:v>226.43306542353216</c:v>
                </c:pt>
                <c:pt idx="196">
                  <c:v>226.90731559249326</c:v>
                </c:pt>
                <c:pt idx="197">
                  <c:v>227.37694055563722</c:v>
                </c:pt>
                <c:pt idx="198">
                  <c:v>227.84120470066767</c:v>
                </c:pt>
                <c:pt idx="199">
                  <c:v>228.29930914245563</c:v>
                </c:pt>
                <c:pt idx="200">
                  <c:v>228.75038614781027</c:v>
                </c:pt>
                <c:pt idx="201">
                  <c:v>229.19349301850468</c:v>
                </c:pt>
                <c:pt idx="202">
                  <c:v>229.62760537374618</c:v>
                </c:pt>
                <c:pt idx="203">
                  <c:v>230.05160976615534</c:v>
                </c:pt>
                <c:pt idx="204">
                  <c:v>230.46429555723356</c:v>
                </c:pt>
                <c:pt idx="205">
                  <c:v>230.86434596911383</c:v>
                </c:pt>
                <c:pt idx="206">
                  <c:v>231.25032821893635</c:v>
                </c:pt>
                <c:pt idx="207">
                  <c:v>231.6206826302774</c:v>
                </c:pt>
                <c:pt idx="208">
                  <c:v>231.97371060246124</c:v>
                </c:pt>
                <c:pt idx="209">
                  <c:v>232.30756130303598</c:v>
                </c:pt>
                <c:pt idx="210">
                  <c:v>232.62021693088607</c:v>
                </c:pt>
                <c:pt idx="211">
                  <c:v>232.90947637702467</c:v>
                </c:pt>
                <c:pt idx="212">
                  <c:v>233.17293708662919</c:v>
                </c:pt>
                <c:pt idx="213">
                  <c:v>233.40797489884861</c:v>
                </c:pt>
                <c:pt idx="214">
                  <c:v>233.61172160972896</c:v>
                </c:pt>
                <c:pt idx="215">
                  <c:v>233.78103996756269</c:v>
                </c:pt>
                <c:pt idx="216">
                  <c:v>233.91249576823338</c:v>
                </c:pt>
                <c:pt idx="217">
                  <c:v>234.00232666970271</c:v>
                </c:pt>
                <c:pt idx="218">
                  <c:v>234.04640728847576</c:v>
                </c:pt>
                <c:pt idx="219">
                  <c:v>234.04021007526654</c:v>
                </c:pt>
                <c:pt idx="220">
                  <c:v>233.97876139045337</c:v>
                </c:pt>
                <c:pt idx="221">
                  <c:v>233.85659211021394</c:v>
                </c:pt>
                <c:pt idx="222">
                  <c:v>233.6676819889841</c:v>
                </c:pt>
                <c:pt idx="223">
                  <c:v>233.40539688009568</c:v>
                </c:pt>
                <c:pt idx="224">
                  <c:v>230.65494687846189</c:v>
                </c:pt>
                <c:pt idx="225">
                  <c:v>226.78394538933176</c:v>
                </c:pt>
                <c:pt idx="226">
                  <c:v>222.81522497885598</c:v>
                </c:pt>
                <c:pt idx="227">
                  <c:v>218.73888486797267</c:v>
                </c:pt>
                <c:pt idx="228">
                  <c:v>214.5439460497</c:v>
                </c:pt>
                <c:pt idx="229">
                  <c:v>210.21821642393274</c:v>
                </c:pt>
                <c:pt idx="230">
                  <c:v>205.74813647283065</c:v>
                </c:pt>
                <c:pt idx="231">
                  <c:v>201.11860226038357</c:v>
                </c:pt>
                <c:pt idx="232">
                  <c:v>196.31276193608358</c:v>
                </c:pt>
                <c:pt idx="233">
                  <c:v>191.31178119141984</c:v>
                </c:pt>
                <c:pt idx="234">
                  <c:v>186.09457222901014</c:v>
                </c:pt>
                <c:pt idx="235">
                  <c:v>180.63747971957483</c:v>
                </c:pt>
                <c:pt idx="236">
                  <c:v>174.91391589343803</c:v>
                </c:pt>
                <c:pt idx="237">
                  <c:v>168.89393527939396</c:v>
                </c:pt>
                <c:pt idx="238">
                  <c:v>162.54373758601528</c:v>
                </c:pt>
                <c:pt idx="239">
                  <c:v>155.82508471767684</c:v>
                </c:pt>
                <c:pt idx="240">
                  <c:v>148.69461479895747</c:v>
                </c:pt>
                <c:pt idx="241">
                  <c:v>141.10303217660075</c:v>
                </c:pt>
                <c:pt idx="242">
                  <c:v>132.99414745544416</c:v>
                </c:pt>
                <c:pt idx="243">
                  <c:v>132.99414745544416</c:v>
                </c:pt>
                <c:pt idx="244">
                  <c:v>124.30373541098385</c:v>
                </c:pt>
                <c:pt idx="245">
                  <c:v>114.95817071901979</c:v>
                </c:pt>
                <c:pt idx="246">
                  <c:v>99.522719169791415</c:v>
                </c:pt>
                <c:pt idx="247">
                  <c:v>88.198592661722671</c:v>
                </c:pt>
                <c:pt idx="248">
                  <c:v>78.17198200761959</c:v>
                </c:pt>
                <c:pt idx="249">
                  <c:v>69.294526753992784</c:v>
                </c:pt>
                <c:pt idx="250">
                  <c:v>61.427946060699774</c:v>
                </c:pt>
                <c:pt idx="251">
                  <c:v>54.443797213049891</c:v>
                </c:pt>
                <c:pt idx="252">
                  <c:v>48.223234133909493</c:v>
                </c:pt>
                <c:pt idx="253">
                  <c:v>42.656765895808043</c:v>
                </c:pt>
                <c:pt idx="254">
                  <c:v>37.644015233042161</c:v>
                </c:pt>
                <c:pt idx="255">
                  <c:v>33.093477053781761</c:v>
                </c:pt>
                <c:pt idx="256">
                  <c:v>28.922276952175444</c:v>
                </c:pt>
                <c:pt idx="257">
                  <c:v>25.055929720455214</c:v>
                </c:pt>
                <c:pt idx="258">
                  <c:v>21.428097861042097</c:v>
                </c:pt>
                <c:pt idx="259">
                  <c:v>17.980350098651574</c:v>
                </c:pt>
                <c:pt idx="260">
                  <c:v>14.661919892398611</c:v>
                </c:pt>
                <c:pt idx="261">
                  <c:v>11.429463947903201</c:v>
                </c:pt>
                <c:pt idx="262">
                  <c:v>8.2468207293954272</c:v>
                </c:pt>
                <c:pt idx="263">
                  <c:v>5.0847689718208686</c:v>
                </c:pt>
                <c:pt idx="264">
                  <c:v>1.9207861929458752</c:v>
                </c:pt>
                <c:pt idx="265">
                  <c:v>0.37244816790847479</c:v>
                </c:pt>
                <c:pt idx="266">
                  <c:v>-2.6077032089233396E-13</c:v>
                </c:pt>
              </c:numCache>
            </c:numRef>
          </c:yVal>
          <c:smooth val="1"/>
        </c:ser>
        <c:ser>
          <c:idx val="1"/>
          <c:order val="1"/>
          <c:tx>
            <c:v>-N M</c:v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Foglio1!$D$3:$D$269</c:f>
              <c:numCache>
                <c:formatCode>0</c:formatCode>
                <c:ptCount val="267"/>
                <c:pt idx="0">
                  <c:v>-704.8094822836232</c:v>
                </c:pt>
                <c:pt idx="1">
                  <c:v>-704.8094822836232</c:v>
                </c:pt>
                <c:pt idx="2">
                  <c:v>-704.8094822836232</c:v>
                </c:pt>
                <c:pt idx="3">
                  <c:v>-704.8094822836232</c:v>
                </c:pt>
                <c:pt idx="4">
                  <c:v>-704.8094822836232</c:v>
                </c:pt>
                <c:pt idx="5">
                  <c:v>-704.8094822836232</c:v>
                </c:pt>
                <c:pt idx="6">
                  <c:v>-704.8094822836232</c:v>
                </c:pt>
                <c:pt idx="7">
                  <c:v>-704.8094822836232</c:v>
                </c:pt>
                <c:pt idx="8">
                  <c:v>-704.8094822836232</c:v>
                </c:pt>
                <c:pt idx="9">
                  <c:v>-704.8094822836232</c:v>
                </c:pt>
                <c:pt idx="10">
                  <c:v>-704.8094822836232</c:v>
                </c:pt>
                <c:pt idx="11">
                  <c:v>-704.8094822836232</c:v>
                </c:pt>
                <c:pt idx="12">
                  <c:v>-704.8094822836232</c:v>
                </c:pt>
                <c:pt idx="13">
                  <c:v>-704.8094822836232</c:v>
                </c:pt>
                <c:pt idx="14">
                  <c:v>-704.8094822836232</c:v>
                </c:pt>
                <c:pt idx="15">
                  <c:v>-704.8094822836232</c:v>
                </c:pt>
                <c:pt idx="16">
                  <c:v>-704.8094822836232</c:v>
                </c:pt>
                <c:pt idx="17">
                  <c:v>-704.8094822836232</c:v>
                </c:pt>
                <c:pt idx="18">
                  <c:v>-704.8094822836232</c:v>
                </c:pt>
                <c:pt idx="19">
                  <c:v>-704.8094822836232</c:v>
                </c:pt>
                <c:pt idx="20">
                  <c:v>-704.8094822836232</c:v>
                </c:pt>
                <c:pt idx="21">
                  <c:v>-704.8094822836232</c:v>
                </c:pt>
                <c:pt idx="22">
                  <c:v>-704.8094822836232</c:v>
                </c:pt>
                <c:pt idx="23">
                  <c:v>-704.8094822836232</c:v>
                </c:pt>
                <c:pt idx="24">
                  <c:v>-704.8094822836232</c:v>
                </c:pt>
                <c:pt idx="25">
                  <c:v>-704.8094822836232</c:v>
                </c:pt>
                <c:pt idx="26">
                  <c:v>-704.8094822836232</c:v>
                </c:pt>
                <c:pt idx="27">
                  <c:v>-704.8094822836232</c:v>
                </c:pt>
                <c:pt idx="28">
                  <c:v>-704.8094822836232</c:v>
                </c:pt>
                <c:pt idx="29">
                  <c:v>-704.8094822836232</c:v>
                </c:pt>
                <c:pt idx="30">
                  <c:v>-704.8094822836232</c:v>
                </c:pt>
                <c:pt idx="31">
                  <c:v>-704.8094822836232</c:v>
                </c:pt>
                <c:pt idx="32">
                  <c:v>-704.8094822836232</c:v>
                </c:pt>
                <c:pt idx="33">
                  <c:v>-704.8094822836232</c:v>
                </c:pt>
                <c:pt idx="34">
                  <c:v>-704.8094822836232</c:v>
                </c:pt>
                <c:pt idx="35">
                  <c:v>-704.8094822836232</c:v>
                </c:pt>
                <c:pt idx="36">
                  <c:v>-704.8094822836232</c:v>
                </c:pt>
                <c:pt idx="37">
                  <c:v>-704.8094822836232</c:v>
                </c:pt>
                <c:pt idx="38">
                  <c:v>-704.8094822836232</c:v>
                </c:pt>
                <c:pt idx="39">
                  <c:v>-704.8094822836232</c:v>
                </c:pt>
                <c:pt idx="40">
                  <c:v>-704.8094822836232</c:v>
                </c:pt>
                <c:pt idx="41">
                  <c:v>-704.8094822836232</c:v>
                </c:pt>
                <c:pt idx="42">
                  <c:v>-704.8094822836232</c:v>
                </c:pt>
                <c:pt idx="43">
                  <c:v>-704.8094822836232</c:v>
                </c:pt>
                <c:pt idx="44">
                  <c:v>-704.8094822836232</c:v>
                </c:pt>
                <c:pt idx="45">
                  <c:v>-704.8094822836232</c:v>
                </c:pt>
                <c:pt idx="46">
                  <c:v>-704.8094822836232</c:v>
                </c:pt>
                <c:pt idx="47">
                  <c:v>-704.8094822836232</c:v>
                </c:pt>
                <c:pt idx="48">
                  <c:v>-704.8094822836232</c:v>
                </c:pt>
                <c:pt idx="49">
                  <c:v>-704.8094822836232</c:v>
                </c:pt>
                <c:pt idx="50">
                  <c:v>-704.8094822836232</c:v>
                </c:pt>
                <c:pt idx="51">
                  <c:v>-704.8094822836232</c:v>
                </c:pt>
                <c:pt idx="52">
                  <c:v>-704.8094822836232</c:v>
                </c:pt>
                <c:pt idx="53">
                  <c:v>-704.8094822836232</c:v>
                </c:pt>
                <c:pt idx="54">
                  <c:v>-704.8094822836232</c:v>
                </c:pt>
                <c:pt idx="55">
                  <c:v>-704.8094822836232</c:v>
                </c:pt>
                <c:pt idx="56">
                  <c:v>-704.8094822836232</c:v>
                </c:pt>
                <c:pt idx="57">
                  <c:v>-704.8094822836232</c:v>
                </c:pt>
                <c:pt idx="58">
                  <c:v>-704.8094822836232</c:v>
                </c:pt>
                <c:pt idx="59">
                  <c:v>-704.8094822836232</c:v>
                </c:pt>
                <c:pt idx="60">
                  <c:v>-704.8094822836232</c:v>
                </c:pt>
                <c:pt idx="61">
                  <c:v>-704.8094822836232</c:v>
                </c:pt>
                <c:pt idx="62">
                  <c:v>-704.8094822836232</c:v>
                </c:pt>
                <c:pt idx="63">
                  <c:v>-704.8094822836232</c:v>
                </c:pt>
                <c:pt idx="64">
                  <c:v>-704.8094822836232</c:v>
                </c:pt>
                <c:pt idx="65">
                  <c:v>-704.8094822836232</c:v>
                </c:pt>
                <c:pt idx="66">
                  <c:v>-704.8094822836232</c:v>
                </c:pt>
                <c:pt idx="67">
                  <c:v>-704.8094822836232</c:v>
                </c:pt>
                <c:pt idx="68">
                  <c:v>-704.8094822836232</c:v>
                </c:pt>
                <c:pt idx="69">
                  <c:v>-704.8094822836232</c:v>
                </c:pt>
                <c:pt idx="70">
                  <c:v>-704.8094822836232</c:v>
                </c:pt>
                <c:pt idx="71">
                  <c:v>-704.8094822836232</c:v>
                </c:pt>
                <c:pt idx="72">
                  <c:v>-704.8094822836232</c:v>
                </c:pt>
                <c:pt idx="73">
                  <c:v>-704.8094822836232</c:v>
                </c:pt>
                <c:pt idx="74">
                  <c:v>-704.8094822836232</c:v>
                </c:pt>
                <c:pt idx="75">
                  <c:v>-704.8094822836232</c:v>
                </c:pt>
                <c:pt idx="76">
                  <c:v>-704.8094822836232</c:v>
                </c:pt>
                <c:pt idx="77">
                  <c:v>-704.8094822836232</c:v>
                </c:pt>
                <c:pt idx="78">
                  <c:v>-704.8094822836232</c:v>
                </c:pt>
                <c:pt idx="79">
                  <c:v>-704.8094822836232</c:v>
                </c:pt>
                <c:pt idx="80">
                  <c:v>-704.8094822836232</c:v>
                </c:pt>
                <c:pt idx="81">
                  <c:v>-704.8094822836232</c:v>
                </c:pt>
                <c:pt idx="82">
                  <c:v>-704.8094822836232</c:v>
                </c:pt>
                <c:pt idx="83">
                  <c:v>-704.8094822836232</c:v>
                </c:pt>
                <c:pt idx="84">
                  <c:v>-704.8094822836232</c:v>
                </c:pt>
                <c:pt idx="85">
                  <c:v>-704.8094822836232</c:v>
                </c:pt>
                <c:pt idx="86">
                  <c:v>-704.8094822836232</c:v>
                </c:pt>
                <c:pt idx="87">
                  <c:v>-704.8094822836232</c:v>
                </c:pt>
                <c:pt idx="88">
                  <c:v>-704.8094822836232</c:v>
                </c:pt>
                <c:pt idx="89">
                  <c:v>-704.8094822836232</c:v>
                </c:pt>
                <c:pt idx="90">
                  <c:v>-703.49290168159666</c:v>
                </c:pt>
                <c:pt idx="91">
                  <c:v>-686.45479977304819</c:v>
                </c:pt>
                <c:pt idx="92">
                  <c:v>-669.41669786449961</c:v>
                </c:pt>
                <c:pt idx="93">
                  <c:v>-652.37859595595114</c:v>
                </c:pt>
                <c:pt idx="94">
                  <c:v>-635.34049404740267</c:v>
                </c:pt>
                <c:pt idx="95">
                  <c:v>-618.30239213885409</c:v>
                </c:pt>
                <c:pt idx="96">
                  <c:v>-601.26429023030562</c:v>
                </c:pt>
                <c:pt idx="97">
                  <c:v>-584.22618832175715</c:v>
                </c:pt>
                <c:pt idx="98">
                  <c:v>-567.18808641320868</c:v>
                </c:pt>
                <c:pt idx="99">
                  <c:v>-550.14998450466021</c:v>
                </c:pt>
                <c:pt idx="100">
                  <c:v>-533.11188259611174</c:v>
                </c:pt>
                <c:pt idx="101">
                  <c:v>-533.1118825961139</c:v>
                </c:pt>
                <c:pt idx="102">
                  <c:v>-516.0520868459397</c:v>
                </c:pt>
                <c:pt idx="103">
                  <c:v>-498.86646667591913</c:v>
                </c:pt>
                <c:pt idx="104">
                  <c:v>-481.44084457076917</c:v>
                </c:pt>
                <c:pt idx="105">
                  <c:v>-463.67319377111261</c:v>
                </c:pt>
                <c:pt idx="106">
                  <c:v>-445.47305966605552</c:v>
                </c:pt>
                <c:pt idx="107">
                  <c:v>-426.76101393712696</c:v>
                </c:pt>
                <c:pt idx="108">
                  <c:v>-407.46813931096773</c:v>
                </c:pt>
                <c:pt idx="109">
                  <c:v>-387.53554293687421</c:v>
                </c:pt>
                <c:pt idx="110">
                  <c:v>-366.91389655089336</c:v>
                </c:pt>
                <c:pt idx="111">
                  <c:v>-345.56300172188281</c:v>
                </c:pt>
                <c:pt idx="112">
                  <c:v>-323.45137859777867</c:v>
                </c:pt>
                <c:pt idx="113">
                  <c:v>-300.55587668331594</c:v>
                </c:pt>
                <c:pt idx="114">
                  <c:v>-276.86130628441703</c:v>
                </c:pt>
                <c:pt idx="115">
                  <c:v>-252.36008935024671</c:v>
                </c:pt>
                <c:pt idx="116">
                  <c:v>-227.05192853220004</c:v>
                </c:pt>
                <c:pt idx="117">
                  <c:v>-200.94349336053</c:v>
                </c:pt>
                <c:pt idx="118">
                  <c:v>-174.04812251448456</c:v>
                </c:pt>
                <c:pt idx="119">
                  <c:v>-146.38554123124393</c:v>
                </c:pt>
                <c:pt idx="120">
                  <c:v>-117.98159296315303</c:v>
                </c:pt>
                <c:pt idx="121">
                  <c:v>-88.867984452088308</c:v>
                </c:pt>
                <c:pt idx="122">
                  <c:v>-59.076207928368824</c:v>
                </c:pt>
                <c:pt idx="123">
                  <c:v>-28.617982017215574</c:v>
                </c:pt>
                <c:pt idx="124">
                  <c:v>2.5005496529414666</c:v>
                </c:pt>
                <c:pt idx="125">
                  <c:v>34.273441635236956</c:v>
                </c:pt>
                <c:pt idx="126">
                  <c:v>66.694938737104238</c:v>
                </c:pt>
                <c:pt idx="127">
                  <c:v>99.759468470502767</c:v>
                </c:pt>
                <c:pt idx="128">
                  <c:v>133.46163385882485</c:v>
                </c:pt>
                <c:pt idx="129">
                  <c:v>167.79620658098429</c:v>
                </c:pt>
                <c:pt idx="130">
                  <c:v>202.7581204343771</c:v>
                </c:pt>
                <c:pt idx="131">
                  <c:v>238.34246509955673</c:v>
                </c:pt>
                <c:pt idx="132">
                  <c:v>274.54448019049238</c:v>
                </c:pt>
                <c:pt idx="133">
                  <c:v>299.25217109784126</c:v>
                </c:pt>
                <c:pt idx="134">
                  <c:v>319.63771556705808</c:v>
                </c:pt>
                <c:pt idx="135">
                  <c:v>340.62749337915392</c:v>
                </c:pt>
                <c:pt idx="136">
                  <c:v>362.2172895847728</c:v>
                </c:pt>
                <c:pt idx="137">
                  <c:v>384.40301320365734</c:v>
                </c:pt>
                <c:pt idx="138">
                  <c:v>407.18069270022926</c:v>
                </c:pt>
                <c:pt idx="139">
                  <c:v>430.54647165588466</c:v>
                </c:pt>
                <c:pt idx="140">
                  <c:v>454.49660462809226</c:v>
                </c:pt>
                <c:pt idx="141">
                  <c:v>479.02745318696645</c:v>
                </c:pt>
                <c:pt idx="142">
                  <c:v>479.02745318696685</c:v>
                </c:pt>
                <c:pt idx="143">
                  <c:v>482.47369385737659</c:v>
                </c:pt>
                <c:pt idx="144">
                  <c:v>485.96988004474889</c:v>
                </c:pt>
                <c:pt idx="145">
                  <c:v>489.51710544653525</c:v>
                </c:pt>
                <c:pt idx="146">
                  <c:v>493.11649592775979</c:v>
                </c:pt>
                <c:pt idx="147">
                  <c:v>496.76921071240992</c:v>
                </c:pt>
                <c:pt idx="148">
                  <c:v>500.47644362817414</c:v>
                </c:pt>
                <c:pt idx="149">
                  <c:v>504.23942440733339</c:v>
                </c:pt>
                <c:pt idx="150">
                  <c:v>508.0594200467828</c:v>
                </c:pt>
                <c:pt idx="151">
                  <c:v>511.93773623034605</c:v>
                </c:pt>
                <c:pt idx="152">
                  <c:v>515.87571881673318</c:v>
                </c:pt>
                <c:pt idx="153">
                  <c:v>519.87475539670777</c:v>
                </c:pt>
                <c:pt idx="154">
                  <c:v>523.93627692324469</c:v>
                </c:pt>
                <c:pt idx="155">
                  <c:v>528.06175941870322</c:v>
                </c:pt>
                <c:pt idx="156">
                  <c:v>532.25272576329598</c:v>
                </c:pt>
                <c:pt idx="157">
                  <c:v>536.5107475694025</c:v>
                </c:pt>
                <c:pt idx="158">
                  <c:v>540.83744714657507</c:v>
                </c:pt>
                <c:pt idx="159">
                  <c:v>545.23449956240074</c:v>
                </c:pt>
                <c:pt idx="160">
                  <c:v>549.70363480471553</c:v>
                </c:pt>
                <c:pt idx="161">
                  <c:v>554.24664005103546</c:v>
                </c:pt>
                <c:pt idx="162">
                  <c:v>558.86536205146069</c:v>
                </c:pt>
                <c:pt idx="163">
                  <c:v>563.56170963172497</c:v>
                </c:pt>
                <c:pt idx="164">
                  <c:v>568.33765632351935</c:v>
                </c:pt>
                <c:pt idx="165">
                  <c:v>573.19524312970327</c:v>
                </c:pt>
                <c:pt idx="166">
                  <c:v>578.13658143254554</c:v>
                </c:pt>
                <c:pt idx="167">
                  <c:v>583.16385605369805</c:v>
                </c:pt>
                <c:pt idx="168">
                  <c:v>588.27932847522175</c:v>
                </c:pt>
                <c:pt idx="169">
                  <c:v>593.48534023163973</c:v>
                </c:pt>
                <c:pt idx="170">
                  <c:v>598.78431648370781</c:v>
                </c:pt>
                <c:pt idx="171">
                  <c:v>604.17876978536299</c:v>
                </c:pt>
                <c:pt idx="172">
                  <c:v>609.67130405613898</c:v>
                </c:pt>
                <c:pt idx="173">
                  <c:v>615.2646187722504</c:v>
                </c:pt>
                <c:pt idx="174">
                  <c:v>620.96151339051187</c:v>
                </c:pt>
                <c:pt idx="175">
                  <c:v>626.76489202032985</c:v>
                </c:pt>
                <c:pt idx="176">
                  <c:v>632.67776836014434</c:v>
                </c:pt>
                <c:pt idx="177">
                  <c:v>638.70327091595516</c:v>
                </c:pt>
                <c:pt idx="178">
                  <c:v>644.84464852091628</c:v>
                </c:pt>
                <c:pt idx="179">
                  <c:v>651.10527617645914</c:v>
                </c:pt>
                <c:pt idx="180">
                  <c:v>657.48866123701282</c:v>
                </c:pt>
                <c:pt idx="181">
                  <c:v>663.99844996213164</c:v>
                </c:pt>
                <c:pt idx="182">
                  <c:v>670.63843446175292</c:v>
                </c:pt>
                <c:pt idx="183">
                  <c:v>677.41256006237677</c:v>
                </c:pt>
                <c:pt idx="184">
                  <c:v>684.32493312423776</c:v>
                </c:pt>
                <c:pt idx="185">
                  <c:v>691.37982934201341</c:v>
                </c:pt>
                <c:pt idx="186">
                  <c:v>698.58170256432595</c:v>
                </c:pt>
                <c:pt idx="187">
                  <c:v>705.9351941702663</c:v>
                </c:pt>
                <c:pt idx="188">
                  <c:v>713.44514304441827</c:v>
                </c:pt>
                <c:pt idx="189">
                  <c:v>721.11659619543343</c:v>
                </c:pt>
                <c:pt idx="190">
                  <c:v>728.95482006712291</c:v>
                </c:pt>
                <c:pt idx="191">
                  <c:v>736.96531259533288</c:v>
                </c:pt>
                <c:pt idx="192">
                  <c:v>745.15381606861467</c:v>
                </c:pt>
                <c:pt idx="193">
                  <c:v>753.52633085590242</c:v>
                </c:pt>
                <c:pt idx="194">
                  <c:v>762.08913007017395</c:v>
                </c:pt>
                <c:pt idx="195">
                  <c:v>770.84877524339447</c:v>
                </c:pt>
                <c:pt idx="196">
                  <c:v>779.81213309506199</c:v>
                </c:pt>
                <c:pt idx="197">
                  <c:v>788.98639348441566</c:v>
                </c:pt>
                <c:pt idx="198">
                  <c:v>798.3790886449442</c:v>
                </c:pt>
                <c:pt idx="199">
                  <c:v>807.99811380934125</c:v>
                </c:pt>
                <c:pt idx="200">
                  <c:v>817.85174934360168</c:v>
                </c:pt>
                <c:pt idx="201">
                  <c:v>827.94868452068317</c:v>
                </c:pt>
                <c:pt idx="202">
                  <c:v>838.29804307719166</c:v>
                </c:pt>
                <c:pt idx="203">
                  <c:v>848.90941071108023</c:v>
                </c:pt>
                <c:pt idx="204">
                  <c:v>859.79286469455565</c:v>
                </c:pt>
                <c:pt idx="205">
                  <c:v>870.95900579448448</c:v>
                </c:pt>
                <c:pt idx="206">
                  <c:v>882.4189927128333</c:v>
                </c:pt>
                <c:pt idx="207">
                  <c:v>894.18457928233772</c:v>
                </c:pt>
                <c:pt idx="208">
                  <c:v>906.26815467804477</c:v>
                </c:pt>
                <c:pt idx="209">
                  <c:v>918.68278693390812</c:v>
                </c:pt>
                <c:pt idx="210">
                  <c:v>931.4422700857682</c:v>
                </c:pt>
                <c:pt idx="211">
                  <c:v>944.56117529824382</c:v>
                </c:pt>
                <c:pt idx="212">
                  <c:v>958.05490637393279</c:v>
                </c:pt>
                <c:pt idx="213">
                  <c:v>971.93976008949721</c:v>
                </c:pt>
                <c:pt idx="214">
                  <c:v>986.23299185551923</c:v>
                </c:pt>
                <c:pt idx="215">
                  <c:v>1000.9528872563479</c:v>
                </c:pt>
                <c:pt idx="216">
                  <c:v>1016.118840093565</c:v>
                </c:pt>
                <c:pt idx="217">
                  <c:v>1031.7514376334661</c:v>
                </c:pt>
                <c:pt idx="218">
                  <c:v>1047.8725538464892</c:v>
                </c:pt>
                <c:pt idx="219">
                  <c:v>1064.505451526592</c:v>
                </c:pt>
                <c:pt idx="220">
                  <c:v>1081.6748942931499</c:v>
                </c:pt>
                <c:pt idx="221">
                  <c:v>1099.4072696094308</c:v>
                </c:pt>
                <c:pt idx="222">
                  <c:v>1117.7307241029214</c:v>
                </c:pt>
                <c:pt idx="223">
                  <c:v>1136.6753126470387</c:v>
                </c:pt>
                <c:pt idx="224">
                  <c:v>1169.464784191254</c:v>
                </c:pt>
                <c:pt idx="225">
                  <c:v>1208.595451599698</c:v>
                </c:pt>
                <c:pt idx="226">
                  <c:v>1248.4506009397617</c:v>
                </c:pt>
                <c:pt idx="227">
                  <c:v>1289.0697494077153</c:v>
                </c:pt>
                <c:pt idx="228">
                  <c:v>1330.4953413995529</c:v>
                </c:pt>
                <c:pt idx="229">
                  <c:v>1372.7730246619092</c:v>
                </c:pt>
                <c:pt idx="230">
                  <c:v>1415.9519583065444</c:v>
                </c:pt>
                <c:pt idx="231">
                  <c:v>1460.0851570618288</c:v>
                </c:pt>
                <c:pt idx="232">
                  <c:v>1505.229876834401</c:v>
                </c:pt>
                <c:pt idx="233">
                  <c:v>1551.4480474824622</c:v>
                </c:pt>
                <c:pt idx="234">
                  <c:v>1598.8067596857302</c:v>
                </c:pt>
                <c:pt idx="235">
                  <c:v>1647.378813969005</c:v>
                </c:pt>
                <c:pt idx="236">
                  <c:v>1697.243341337507</c:v>
                </c:pt>
                <c:pt idx="237">
                  <c:v>1748.4865066635812</c:v>
                </c:pt>
                <c:pt idx="238">
                  <c:v>1801.2023079897917</c:v>
                </c:pt>
                <c:pt idx="239">
                  <c:v>1855.4934873626587</c:v>
                </c:pt>
                <c:pt idx="240">
                  <c:v>1911.4725717855147</c:v>
                </c:pt>
                <c:pt idx="241">
                  <c:v>1969.2630665059205</c:v>
                </c:pt>
                <c:pt idx="242">
                  <c:v>2029.0008272961923</c:v>
                </c:pt>
                <c:pt idx="243">
                  <c:v>2029.0008272961923</c:v>
                </c:pt>
                <c:pt idx="244">
                  <c:v>2090.8356438540109</c:v>
                </c:pt>
                <c:pt idx="245">
                  <c:v>2154.9330732136582</c:v>
                </c:pt>
                <c:pt idx="246">
                  <c:v>2255.7284216404496</c:v>
                </c:pt>
                <c:pt idx="247">
                  <c:v>2299.6335884127434</c:v>
                </c:pt>
                <c:pt idx="248">
                  <c:v>2338.7869679232213</c:v>
                </c:pt>
                <c:pt idx="249">
                  <c:v>2373.4965830888245</c:v>
                </c:pt>
                <c:pt idx="250">
                  <c:v>2404.0640171493023</c:v>
                </c:pt>
                <c:pt idx="251">
                  <c:v>2430.7844136672124</c:v>
                </c:pt>
                <c:pt idx="252">
                  <c:v>2453.9464765279204</c:v>
                </c:pt>
                <c:pt idx="253">
                  <c:v>2473.8324699395989</c:v>
                </c:pt>
                <c:pt idx="254">
                  <c:v>2490.7182184332296</c:v>
                </c:pt>
                <c:pt idx="255">
                  <c:v>2504.8731068626016</c:v>
                </c:pt>
                <c:pt idx="256">
                  <c:v>2516.5600804043124</c:v>
                </c:pt>
                <c:pt idx="257">
                  <c:v>2526.0356445577672</c:v>
                </c:pt>
                <c:pt idx="258">
                  <c:v>2533.549865145178</c:v>
                </c:pt>
                <c:pt idx="259">
                  <c:v>2539.3463683115674</c:v>
                </c:pt>
                <c:pt idx="260">
                  <c:v>2543.6623405247637</c:v>
                </c:pt>
                <c:pt idx="261">
                  <c:v>2546.7285285754042</c:v>
                </c:pt>
                <c:pt idx="262">
                  <c:v>2548.7692395769336</c:v>
                </c:pt>
                <c:pt idx="263">
                  <c:v>2550.002340965606</c:v>
                </c:pt>
                <c:pt idx="264">
                  <c:v>2550.6392605004803</c:v>
                </c:pt>
                <c:pt idx="265">
                  <c:v>2541.9335289349597</c:v>
                </c:pt>
                <c:pt idx="266">
                  <c:v>2526.4393413391062</c:v>
                </c:pt>
              </c:numCache>
            </c:numRef>
          </c:xVal>
          <c:yVal>
            <c:numRef>
              <c:f>Foglio1!$F$3:$F$269</c:f>
              <c:numCache>
                <c:formatCode>0</c:formatCode>
                <c:ptCount val="2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-0.24027595986985414</c:v>
                </c:pt>
                <c:pt idx="91">
                  <c:v>-3.3497295581799449</c:v>
                </c:pt>
                <c:pt idx="92">
                  <c:v>-6.4591831564900426</c:v>
                </c:pt>
                <c:pt idx="93">
                  <c:v>-9.5686367548001492</c:v>
                </c:pt>
                <c:pt idx="94">
                  <c:v>-12.678090353110246</c:v>
                </c:pt>
                <c:pt idx="95">
                  <c:v>-15.787543951420338</c:v>
                </c:pt>
                <c:pt idx="96">
                  <c:v>-18.89699754973045</c:v>
                </c:pt>
                <c:pt idx="97">
                  <c:v>-22.00645114804054</c:v>
                </c:pt>
                <c:pt idx="98">
                  <c:v>-25.115904746350648</c:v>
                </c:pt>
                <c:pt idx="99">
                  <c:v>-28.225358344660744</c:v>
                </c:pt>
                <c:pt idx="100">
                  <c:v>-31.334811942970841</c:v>
                </c:pt>
                <c:pt idx="101">
                  <c:v>-31.334811942970443</c:v>
                </c:pt>
                <c:pt idx="102">
                  <c:v>-34.448578076503274</c:v>
                </c:pt>
                <c:pt idx="103">
                  <c:v>-37.587154738655329</c:v>
                </c:pt>
                <c:pt idx="104">
                  <c:v>-40.772522886038935</c:v>
                </c:pt>
                <c:pt idx="105">
                  <c:v>-44.023766612415358</c:v>
                </c:pt>
                <c:pt idx="106">
                  <c:v>-47.35726805240391</c:v>
                </c:pt>
                <c:pt idx="107">
                  <c:v>-50.786888059291627</c:v>
                </c:pt>
                <c:pt idx="108">
                  <c:v>-54.324133794584959</c:v>
                </c:pt>
                <c:pt idx="109">
                  <c:v>-57.978314267485366</c:v>
                </c:pt>
                <c:pt idx="110">
                  <c:v>-61.75668477246839</c:v>
                </c:pt>
                <c:pt idx="111">
                  <c:v>-65.664581091621073</c:v>
                </c:pt>
                <c:pt idx="112">
                  <c:v>-69.70554425449528</c:v>
                </c:pt>
                <c:pt idx="113">
                  <c:v>-73.881436581178789</c:v>
                </c:pt>
                <c:pt idx="114">
                  <c:v>-78.192549673399228</c:v>
                </c:pt>
                <c:pt idx="115">
                  <c:v>-82.637704963137736</c:v>
                </c:pt>
                <c:pt idx="116">
                  <c:v>-87.214347377897539</c:v>
                </c:pt>
                <c:pt idx="117">
                  <c:v>-91.918632635953927</c:v>
                </c:pt>
                <c:pt idx="118">
                  <c:v>-96.745508643172272</c:v>
                </c:pt>
                <c:pt idx="119">
                  <c:v>-101.68879142492953</c:v>
                </c:pt>
                <c:pt idx="120">
                  <c:v>-106.74123599195021</c:v>
                </c:pt>
                <c:pt idx="121">
                  <c:v>-111.8946025071713</c:v>
                </c:pt>
                <c:pt idx="122">
                  <c:v>-117.11807404934123</c:v>
                </c:pt>
                <c:pt idx="123">
                  <c:v>-122.42680947489474</c:v>
                </c:pt>
                <c:pt idx="124">
                  <c:v>-127.81787593311275</c:v>
                </c:pt>
                <c:pt idx="125">
                  <c:v>-133.2884681453134</c:v>
                </c:pt>
                <c:pt idx="126">
                  <c:v>-138.83590199396082</c:v>
                </c:pt>
                <c:pt idx="127">
                  <c:v>-144.45760847884634</c:v>
                </c:pt>
                <c:pt idx="128">
                  <c:v>-150.15112801673078</c:v>
                </c:pt>
                <c:pt idx="129">
                  <c:v>-155.91410506252245</c:v>
                </c:pt>
                <c:pt idx="130">
                  <c:v>-161.74428303161537</c:v>
                </c:pt>
                <c:pt idx="131">
                  <c:v>-167.63949950445041</c:v>
                </c:pt>
                <c:pt idx="132">
                  <c:v>-173.59768169567752</c:v>
                </c:pt>
                <c:pt idx="133">
                  <c:v>-177.40724559939159</c:v>
                </c:pt>
                <c:pt idx="134">
                  <c:v>-180.37602462965177</c:v>
                </c:pt>
                <c:pt idx="135">
                  <c:v>-183.40204715162341</c:v>
                </c:pt>
                <c:pt idx="136">
                  <c:v>-186.4835583496247</c:v>
                </c:pt>
                <c:pt idx="137">
                  <c:v>-189.61887382082131</c:v>
                </c:pt>
                <c:pt idx="138">
                  <c:v>-192.80637632426902</c:v>
                </c:pt>
                <c:pt idx="139">
                  <c:v>-196.0445127007024</c:v>
                </c:pt>
                <c:pt idx="140">
                  <c:v>-199.33179095300116</c:v>
                </c:pt>
                <c:pt idx="141">
                  <c:v>-202.66677747792488</c:v>
                </c:pt>
                <c:pt idx="142">
                  <c:v>-202.66677747792491</c:v>
                </c:pt>
                <c:pt idx="143">
                  <c:v>-203.04171280285269</c:v>
                </c:pt>
                <c:pt idx="144">
                  <c:v>-203.41977961675795</c:v>
                </c:pt>
                <c:pt idx="145">
                  <c:v>-203.80099570782644</c:v>
                </c:pt>
                <c:pt idx="146">
                  <c:v>-204.18537788277916</c:v>
                </c:pt>
                <c:pt idx="147">
                  <c:v>-204.57294187438166</c:v>
                </c:pt>
                <c:pt idx="148">
                  <c:v>-204.96370224227903</c:v>
                </c:pt>
                <c:pt idx="149">
                  <c:v>-205.35767226667147</c:v>
                </c:pt>
                <c:pt idx="150">
                  <c:v>-205.75486383430754</c:v>
                </c:pt>
                <c:pt idx="151">
                  <c:v>-206.1552873162305</c:v>
                </c:pt>
                <c:pt idx="152">
                  <c:v>-206.55895143666993</c:v>
                </c:pt>
                <c:pt idx="153">
                  <c:v>-206.96586313242267</c:v>
                </c:pt>
                <c:pt idx="154">
                  <c:v>-207.37602740201436</c:v>
                </c:pt>
                <c:pt idx="155">
                  <c:v>-207.78944714387708</c:v>
                </c:pt>
                <c:pt idx="156">
                  <c:v>-208.20612298271715</c:v>
                </c:pt>
                <c:pt idx="157">
                  <c:v>-208.62605308317924</c:v>
                </c:pt>
                <c:pt idx="158">
                  <c:v>-209.04923294984178</c:v>
                </c:pt>
                <c:pt idx="159">
                  <c:v>-209.47565521249862</c:v>
                </c:pt>
                <c:pt idx="160">
                  <c:v>-209.90530939559596</c:v>
                </c:pt>
                <c:pt idx="161">
                  <c:v>-210.33818167059917</c:v>
                </c:pt>
                <c:pt idx="162">
                  <c:v>-210.77425458996302</c:v>
                </c:pt>
                <c:pt idx="163">
                  <c:v>-211.21350680126591</c:v>
                </c:pt>
                <c:pt idx="164">
                  <c:v>-211.65591273994679</c:v>
                </c:pt>
                <c:pt idx="165">
                  <c:v>-212.10144229895135</c:v>
                </c:pt>
                <c:pt idx="166">
                  <c:v>-212.55006047344713</c:v>
                </c:pt>
                <c:pt idx="167">
                  <c:v>-213.00172697860853</c:v>
                </c:pt>
                <c:pt idx="168">
                  <c:v>-213.45639583829828</c:v>
                </c:pt>
                <c:pt idx="169">
                  <c:v>-213.91401494228089</c:v>
                </c:pt>
                <c:pt idx="170">
                  <c:v>-214.374525569394</c:v>
                </c:pt>
                <c:pt idx="171">
                  <c:v>-214.83786187387432</c:v>
                </c:pt>
                <c:pt idx="172">
                  <c:v>-215.30395033178235</c:v>
                </c:pt>
                <c:pt idx="173">
                  <c:v>-215.7727091441933</c:v>
                </c:pt>
                <c:pt idx="174">
                  <c:v>-216.24404759351748</c:v>
                </c:pt>
                <c:pt idx="175">
                  <c:v>-216.71786534897805</c:v>
                </c:pt>
                <c:pt idx="176">
                  <c:v>-217.19405171690497</c:v>
                </c:pt>
                <c:pt idx="177">
                  <c:v>-217.67248483109958</c:v>
                </c:pt>
                <c:pt idx="178">
                  <c:v>-218.15303077807272</c:v>
                </c:pt>
                <c:pt idx="179">
                  <c:v>-218.63554265146854</c:v>
                </c:pt>
                <c:pt idx="180">
                  <c:v>-219.11985952943664</c:v>
                </c:pt>
                <c:pt idx="181">
                  <c:v>-219.60580536811304</c:v>
                </c:pt>
                <c:pt idx="182">
                  <c:v>-220.09318780370171</c:v>
                </c:pt>
                <c:pt idx="183">
                  <c:v>-220.58179685490731</c:v>
                </c:pt>
                <c:pt idx="184">
                  <c:v>-221.07140351665029</c:v>
                </c:pt>
                <c:pt idx="185">
                  <c:v>-221.56175823508406</c:v>
                </c:pt>
                <c:pt idx="186">
                  <c:v>-222.05258925292279</c:v>
                </c:pt>
                <c:pt idx="187">
                  <c:v>-222.54360081296394</c:v>
                </c:pt>
                <c:pt idx="188">
                  <c:v>-223.03447120643924</c:v>
                </c:pt>
                <c:pt idx="189">
                  <c:v>-223.52485065143108</c:v>
                </c:pt>
                <c:pt idx="190">
                  <c:v>-224.01435898504153</c:v>
                </c:pt>
                <c:pt idx="191">
                  <c:v>-224.50258315126058</c:v>
                </c:pt>
                <c:pt idx="192">
                  <c:v>-224.98907446454572</c:v>
                </c:pt>
                <c:pt idx="193">
                  <c:v>-225.47334562695178</c:v>
                </c:pt>
                <c:pt idx="194">
                  <c:v>-225.95486747422302</c:v>
                </c:pt>
                <c:pt idx="195">
                  <c:v>-226.43306542353216</c:v>
                </c:pt>
                <c:pt idx="196">
                  <c:v>-226.90731559249326</c:v>
                </c:pt>
                <c:pt idx="197">
                  <c:v>-227.37694055563722</c:v>
                </c:pt>
                <c:pt idx="198">
                  <c:v>-227.84120470066767</c:v>
                </c:pt>
                <c:pt idx="199">
                  <c:v>-228.29930914245563</c:v>
                </c:pt>
                <c:pt idx="200">
                  <c:v>-228.75038614781027</c:v>
                </c:pt>
                <c:pt idx="201">
                  <c:v>-229.19349301850468</c:v>
                </c:pt>
                <c:pt idx="202">
                  <c:v>-229.62760537374618</c:v>
                </c:pt>
                <c:pt idx="203">
                  <c:v>-230.05160976615534</c:v>
                </c:pt>
                <c:pt idx="204">
                  <c:v>-230.46429555723356</c:v>
                </c:pt>
                <c:pt idx="205">
                  <c:v>-230.86434596911383</c:v>
                </c:pt>
                <c:pt idx="206">
                  <c:v>-231.25032821893635</c:v>
                </c:pt>
                <c:pt idx="207">
                  <c:v>-231.6206826302774</c:v>
                </c:pt>
                <c:pt idx="208">
                  <c:v>-231.97371060246124</c:v>
                </c:pt>
                <c:pt idx="209">
                  <c:v>-232.30756130303598</c:v>
                </c:pt>
                <c:pt idx="210">
                  <c:v>-232.62021693088607</c:v>
                </c:pt>
                <c:pt idx="211">
                  <c:v>-232.90947637702467</c:v>
                </c:pt>
                <c:pt idx="212">
                  <c:v>-233.17293708662919</c:v>
                </c:pt>
                <c:pt idx="213">
                  <c:v>-233.40797489884861</c:v>
                </c:pt>
                <c:pt idx="214">
                  <c:v>-233.61172160972896</c:v>
                </c:pt>
                <c:pt idx="215">
                  <c:v>-233.78103996756269</c:v>
                </c:pt>
                <c:pt idx="216">
                  <c:v>-233.91249576823338</c:v>
                </c:pt>
                <c:pt idx="217">
                  <c:v>-234.00232666970271</c:v>
                </c:pt>
                <c:pt idx="218">
                  <c:v>-234.04640728847576</c:v>
                </c:pt>
                <c:pt idx="219">
                  <c:v>-234.04021007526654</c:v>
                </c:pt>
                <c:pt idx="220">
                  <c:v>-233.97876139045337</c:v>
                </c:pt>
                <c:pt idx="221">
                  <c:v>-233.85659211021394</c:v>
                </c:pt>
                <c:pt idx="222">
                  <c:v>-233.6676819889841</c:v>
                </c:pt>
                <c:pt idx="223">
                  <c:v>-233.40539688009568</c:v>
                </c:pt>
                <c:pt idx="224">
                  <c:v>-230.65494687846189</c:v>
                </c:pt>
                <c:pt idx="225">
                  <c:v>-226.78394538933176</c:v>
                </c:pt>
                <c:pt idx="226">
                  <c:v>-222.81522497885598</c:v>
                </c:pt>
                <c:pt idx="227">
                  <c:v>-218.73888486797267</c:v>
                </c:pt>
                <c:pt idx="228">
                  <c:v>-214.5439460497</c:v>
                </c:pt>
                <c:pt idx="229">
                  <c:v>-210.21821642393274</c:v>
                </c:pt>
                <c:pt idx="230">
                  <c:v>-205.74813647283065</c:v>
                </c:pt>
                <c:pt idx="231">
                  <c:v>-201.11860226038357</c:v>
                </c:pt>
                <c:pt idx="232">
                  <c:v>-196.31276193608358</c:v>
                </c:pt>
                <c:pt idx="233">
                  <c:v>-191.31178119141984</c:v>
                </c:pt>
                <c:pt idx="234">
                  <c:v>-186.09457222901014</c:v>
                </c:pt>
                <c:pt idx="235">
                  <c:v>-180.63747971957483</c:v>
                </c:pt>
                <c:pt idx="236">
                  <c:v>-174.91391589343803</c:v>
                </c:pt>
                <c:pt idx="237">
                  <c:v>-168.89393527939396</c:v>
                </c:pt>
                <c:pt idx="238">
                  <c:v>-162.54373758601528</c:v>
                </c:pt>
                <c:pt idx="239">
                  <c:v>-155.82508471767684</c:v>
                </c:pt>
                <c:pt idx="240">
                  <c:v>-148.69461479895747</c:v>
                </c:pt>
                <c:pt idx="241">
                  <c:v>-141.10303217660075</c:v>
                </c:pt>
                <c:pt idx="242">
                  <c:v>-132.99414745544416</c:v>
                </c:pt>
                <c:pt idx="243">
                  <c:v>-132.99414745544416</c:v>
                </c:pt>
                <c:pt idx="244">
                  <c:v>-124.30373541098385</c:v>
                </c:pt>
                <c:pt idx="245">
                  <c:v>-114.95817071901979</c:v>
                </c:pt>
                <c:pt idx="246">
                  <c:v>-99.522719169791415</c:v>
                </c:pt>
                <c:pt idx="247">
                  <c:v>-88.198592661722671</c:v>
                </c:pt>
                <c:pt idx="248">
                  <c:v>-78.17198200761959</c:v>
                </c:pt>
                <c:pt idx="249">
                  <c:v>-69.294526753992784</c:v>
                </c:pt>
                <c:pt idx="250">
                  <c:v>-61.427946060699774</c:v>
                </c:pt>
                <c:pt idx="251">
                  <c:v>-54.443797213049891</c:v>
                </c:pt>
                <c:pt idx="252">
                  <c:v>-48.223234133909493</c:v>
                </c:pt>
                <c:pt idx="253">
                  <c:v>-42.656765895808043</c:v>
                </c:pt>
                <c:pt idx="254">
                  <c:v>-37.644015233042161</c:v>
                </c:pt>
                <c:pt idx="255">
                  <c:v>-33.093477053781761</c:v>
                </c:pt>
                <c:pt idx="256">
                  <c:v>-28.922276952175444</c:v>
                </c:pt>
                <c:pt idx="257">
                  <c:v>-25.055929720455214</c:v>
                </c:pt>
                <c:pt idx="258">
                  <c:v>-21.428097861042097</c:v>
                </c:pt>
                <c:pt idx="259">
                  <c:v>-17.980350098651574</c:v>
                </c:pt>
                <c:pt idx="260">
                  <c:v>-14.661919892398611</c:v>
                </c:pt>
                <c:pt idx="261">
                  <c:v>-11.429463947903201</c:v>
                </c:pt>
                <c:pt idx="262">
                  <c:v>-8.2468207293954272</c:v>
                </c:pt>
                <c:pt idx="263">
                  <c:v>-5.0847689718208686</c:v>
                </c:pt>
                <c:pt idx="264">
                  <c:v>-1.9207861929458752</c:v>
                </c:pt>
                <c:pt idx="265">
                  <c:v>-0.37244816790847479</c:v>
                </c:pt>
                <c:pt idx="266">
                  <c:v>2.6077032089233396E-13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577280"/>
        <c:axId val="548581632"/>
      </c:scatterChart>
      <c:valAx>
        <c:axId val="54857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/>
                  <a:t>SFORZO NORMALE SOLLECITANTE kN</a:t>
                </a:r>
              </a:p>
            </c:rich>
          </c:tx>
          <c:layout>
            <c:manualLayout>
              <c:xMode val="edge"/>
              <c:yMode val="edge"/>
              <c:x val="0.72131299231525559"/>
              <c:y val="0.91688457225853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548581632"/>
        <c:crosses val="autoZero"/>
        <c:crossBetween val="midCat"/>
      </c:valAx>
      <c:valAx>
        <c:axId val="5485816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/>
                  <a:t>MOMENTO</a:t>
                </a:r>
                <a:r>
                  <a:rPr lang="it-IT" sz="1200" baseline="0"/>
                  <a:t> RESISTENTE kNm</a:t>
                </a:r>
                <a:endParaRPr lang="it-IT" sz="1200"/>
              </a:p>
            </c:rich>
          </c:tx>
          <c:layout>
            <c:manualLayout>
              <c:xMode val="edge"/>
              <c:yMode val="edge"/>
              <c:x val="0.19038688393068531"/>
              <c:y val="4.092275322921836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548577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767362190240081E-2"/>
          <c:y val="1.0181340655280041E-2"/>
          <c:w val="0.81591819755602668"/>
          <c:h val="0.95086021288029665"/>
        </c:manualLayout>
      </c:layout>
      <c:scatterChart>
        <c:scatterStyle val="smoothMarker"/>
        <c:varyColors val="0"/>
        <c:ser>
          <c:idx val="2"/>
          <c:order val="0"/>
          <c:tx>
            <c:v>CAMPO 1</c:v>
          </c:tx>
          <c:spPr>
            <a:ln w="12700">
              <a:solidFill>
                <a:srgbClr val="7CFB25"/>
              </a:solidFill>
            </a:ln>
          </c:spPr>
          <c:marker>
            <c:symbol val="none"/>
          </c:marker>
          <c:xVal>
            <c:numRef>
              <c:f>TABULATI!$P$2:$P$102</c:f>
              <c:numCache>
                <c:formatCode>0.000</c:formatCode>
                <c:ptCount val="101"/>
                <c:pt idx="0">
                  <c:v>-0.36226084366340999</c:v>
                </c:pt>
                <c:pt idx="1">
                  <c:v>-0.36226084366340999</c:v>
                </c:pt>
                <c:pt idx="2">
                  <c:v>-0.36226084366340999</c:v>
                </c:pt>
                <c:pt idx="3">
                  <c:v>-0.36226084366340999</c:v>
                </c:pt>
                <c:pt idx="4">
                  <c:v>-0.36226084366340999</c:v>
                </c:pt>
                <c:pt idx="5">
                  <c:v>-0.36226084366340999</c:v>
                </c:pt>
                <c:pt idx="6">
                  <c:v>-0.36226084366340999</c:v>
                </c:pt>
                <c:pt idx="7">
                  <c:v>-0.36226084366340999</c:v>
                </c:pt>
                <c:pt idx="8">
                  <c:v>-0.36226084366340999</c:v>
                </c:pt>
                <c:pt idx="9">
                  <c:v>-0.36226084366340999</c:v>
                </c:pt>
                <c:pt idx="10">
                  <c:v>-0.36226084366340999</c:v>
                </c:pt>
                <c:pt idx="11">
                  <c:v>-0.36226084366340999</c:v>
                </c:pt>
                <c:pt idx="12">
                  <c:v>-0.36226084366340999</c:v>
                </c:pt>
                <c:pt idx="13">
                  <c:v>-0.36226084366340999</c:v>
                </c:pt>
                <c:pt idx="14">
                  <c:v>-0.36226084366340999</c:v>
                </c:pt>
                <c:pt idx="15">
                  <c:v>-0.36226084366340999</c:v>
                </c:pt>
                <c:pt idx="16">
                  <c:v>-0.36226084366340999</c:v>
                </c:pt>
                <c:pt idx="17">
                  <c:v>-0.36226084366340999</c:v>
                </c:pt>
                <c:pt idx="18">
                  <c:v>-0.36226084366340999</c:v>
                </c:pt>
                <c:pt idx="19">
                  <c:v>-0.36226084366340999</c:v>
                </c:pt>
                <c:pt idx="20">
                  <c:v>-0.36226084366340999</c:v>
                </c:pt>
                <c:pt idx="21">
                  <c:v>-0.36226084366340999</c:v>
                </c:pt>
                <c:pt idx="22">
                  <c:v>-0.36226084366340999</c:v>
                </c:pt>
                <c:pt idx="23">
                  <c:v>-0.36226084366340999</c:v>
                </c:pt>
                <c:pt idx="24">
                  <c:v>-0.36226084366340999</c:v>
                </c:pt>
                <c:pt idx="25">
                  <c:v>-0.36226084366340999</c:v>
                </c:pt>
                <c:pt idx="26">
                  <c:v>-0.36226084366340999</c:v>
                </c:pt>
                <c:pt idx="27">
                  <c:v>-0.36226084366340999</c:v>
                </c:pt>
                <c:pt idx="28">
                  <c:v>-0.36226084366340999</c:v>
                </c:pt>
                <c:pt idx="29">
                  <c:v>-0.36226084366340999</c:v>
                </c:pt>
                <c:pt idx="30">
                  <c:v>-0.36226084366340999</c:v>
                </c:pt>
                <c:pt idx="31">
                  <c:v>-0.36226084366340999</c:v>
                </c:pt>
                <c:pt idx="32">
                  <c:v>-0.36226084366340999</c:v>
                </c:pt>
                <c:pt idx="33">
                  <c:v>-0.36226084366340999</c:v>
                </c:pt>
                <c:pt idx="34">
                  <c:v>-0.36226084366340999</c:v>
                </c:pt>
                <c:pt idx="35">
                  <c:v>-0.36226084366340999</c:v>
                </c:pt>
                <c:pt idx="36">
                  <c:v>-0.36226084366340999</c:v>
                </c:pt>
                <c:pt idx="37">
                  <c:v>-0.36226084366340999</c:v>
                </c:pt>
                <c:pt idx="38">
                  <c:v>-0.36226084366340999</c:v>
                </c:pt>
                <c:pt idx="39">
                  <c:v>-0.36226084366340999</c:v>
                </c:pt>
                <c:pt idx="40">
                  <c:v>-0.36226084366340999</c:v>
                </c:pt>
                <c:pt idx="41">
                  <c:v>-0.36226084366340999</c:v>
                </c:pt>
                <c:pt idx="42">
                  <c:v>-0.36226084366340999</c:v>
                </c:pt>
                <c:pt idx="43">
                  <c:v>-0.36226084366340999</c:v>
                </c:pt>
                <c:pt idx="44">
                  <c:v>-0.36226084366340999</c:v>
                </c:pt>
                <c:pt idx="45">
                  <c:v>-0.36226084366340999</c:v>
                </c:pt>
                <c:pt idx="46">
                  <c:v>-0.36226084366340999</c:v>
                </c:pt>
                <c:pt idx="47">
                  <c:v>-0.36226084366340999</c:v>
                </c:pt>
                <c:pt idx="48">
                  <c:v>-0.36226084366340999</c:v>
                </c:pt>
                <c:pt idx="49">
                  <c:v>-0.36226084366340999</c:v>
                </c:pt>
                <c:pt idx="50">
                  <c:v>-0.36226084366340999</c:v>
                </c:pt>
                <c:pt idx="51">
                  <c:v>-0.36226084366340999</c:v>
                </c:pt>
                <c:pt idx="52">
                  <c:v>-0.36226084366340999</c:v>
                </c:pt>
                <c:pt idx="53">
                  <c:v>-0.36226084366340999</c:v>
                </c:pt>
                <c:pt idx="54">
                  <c:v>-0.36226084366340999</c:v>
                </c:pt>
                <c:pt idx="55">
                  <c:v>-0.36226084366340999</c:v>
                </c:pt>
                <c:pt idx="56">
                  <c:v>-0.36226084366340999</c:v>
                </c:pt>
                <c:pt idx="57">
                  <c:v>-0.36226084366340999</c:v>
                </c:pt>
                <c:pt idx="58">
                  <c:v>-0.36226084366340999</c:v>
                </c:pt>
                <c:pt idx="59">
                  <c:v>-0.36226084366340999</c:v>
                </c:pt>
                <c:pt idx="60">
                  <c:v>-0.36226084366340999</c:v>
                </c:pt>
                <c:pt idx="61">
                  <c:v>-0.36226084366340999</c:v>
                </c:pt>
                <c:pt idx="62">
                  <c:v>-0.36226084366340999</c:v>
                </c:pt>
                <c:pt idx="63">
                  <c:v>-0.36226084366340999</c:v>
                </c:pt>
                <c:pt idx="64">
                  <c:v>-0.36226084366340999</c:v>
                </c:pt>
                <c:pt idx="65">
                  <c:v>-0.36226084366340999</c:v>
                </c:pt>
                <c:pt idx="66">
                  <c:v>-0.36226084366340999</c:v>
                </c:pt>
                <c:pt idx="67">
                  <c:v>-0.36226084366340999</c:v>
                </c:pt>
                <c:pt idx="68">
                  <c:v>-0.36226084366340999</c:v>
                </c:pt>
                <c:pt idx="69">
                  <c:v>-0.36226084366340999</c:v>
                </c:pt>
                <c:pt idx="70">
                  <c:v>-0.36226084366340999</c:v>
                </c:pt>
                <c:pt idx="71">
                  <c:v>-0.36226084366340999</c:v>
                </c:pt>
                <c:pt idx="72">
                  <c:v>-0.36226084366340999</c:v>
                </c:pt>
                <c:pt idx="73">
                  <c:v>-0.36226084366340999</c:v>
                </c:pt>
                <c:pt idx="74">
                  <c:v>-0.36226084366340999</c:v>
                </c:pt>
                <c:pt idx="75">
                  <c:v>-0.36226084366340999</c:v>
                </c:pt>
                <c:pt idx="76">
                  <c:v>-0.36226084366340999</c:v>
                </c:pt>
                <c:pt idx="77">
                  <c:v>-0.36226084366340999</c:v>
                </c:pt>
                <c:pt idx="78">
                  <c:v>-0.36226084366340999</c:v>
                </c:pt>
                <c:pt idx="79">
                  <c:v>-0.36226084366340999</c:v>
                </c:pt>
                <c:pt idx="80">
                  <c:v>-0.36226084366340999</c:v>
                </c:pt>
                <c:pt idx="81">
                  <c:v>-0.36226084366340999</c:v>
                </c:pt>
                <c:pt idx="82">
                  <c:v>-0.36226084366340999</c:v>
                </c:pt>
                <c:pt idx="83">
                  <c:v>-0.36226084366340999</c:v>
                </c:pt>
                <c:pt idx="84">
                  <c:v>-0.36226084366340999</c:v>
                </c:pt>
                <c:pt idx="85">
                  <c:v>-0.36226084366340999</c:v>
                </c:pt>
                <c:pt idx="86">
                  <c:v>-0.36226084366340999</c:v>
                </c:pt>
                <c:pt idx="87">
                  <c:v>-0.36226084366340999</c:v>
                </c:pt>
                <c:pt idx="88">
                  <c:v>-0.36226084366340999</c:v>
                </c:pt>
                <c:pt idx="89">
                  <c:v>-0.36226084366340999</c:v>
                </c:pt>
                <c:pt idx="90">
                  <c:v>-0.36158414221198276</c:v>
                </c:pt>
                <c:pt idx="91">
                  <c:v>-0.35282682931117509</c:v>
                </c:pt>
                <c:pt idx="92">
                  <c:v>-0.34406951641036743</c:v>
                </c:pt>
                <c:pt idx="93">
                  <c:v>-0.33531220350955976</c:v>
                </c:pt>
                <c:pt idx="94">
                  <c:v>-0.32655489060875215</c:v>
                </c:pt>
                <c:pt idx="95">
                  <c:v>-0.31779757770794448</c:v>
                </c:pt>
                <c:pt idx="96">
                  <c:v>-0.30904026480713681</c:v>
                </c:pt>
                <c:pt idx="97">
                  <c:v>-0.3002829519063292</c:v>
                </c:pt>
                <c:pt idx="98">
                  <c:v>-0.29152563900552153</c:v>
                </c:pt>
                <c:pt idx="99">
                  <c:v>-0.28276832610471392</c:v>
                </c:pt>
                <c:pt idx="100">
                  <c:v>-0.27401101320390625</c:v>
                </c:pt>
              </c:numCache>
            </c:numRef>
          </c:xVal>
          <c:yVal>
            <c:numRef>
              <c:f>TABULATI!$Q$2:$Q$102</c:f>
              <c:numCache>
                <c:formatCode>0.000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2.8759811685659284E-4</c:v>
                </c:pt>
                <c:pt idx="91">
                  <c:v>4.0094560996998324E-3</c:v>
                </c:pt>
                <c:pt idx="92">
                  <c:v>7.7313140825430804E-3</c:v>
                </c:pt>
                <c:pt idx="93">
                  <c:v>1.1453172065386338E-2</c:v>
                </c:pt>
                <c:pt idx="94">
                  <c:v>1.5175030048229586E-2</c:v>
                </c:pt>
                <c:pt idx="95">
                  <c:v>1.8896888031072825E-2</c:v>
                </c:pt>
                <c:pt idx="96">
                  <c:v>2.2618746013916093E-2</c:v>
                </c:pt>
                <c:pt idx="97">
                  <c:v>2.6340603996759332E-2</c:v>
                </c:pt>
                <c:pt idx="98">
                  <c:v>3.0062461979602589E-2</c:v>
                </c:pt>
                <c:pt idx="99">
                  <c:v>3.3784319962445838E-2</c:v>
                </c:pt>
                <c:pt idx="100">
                  <c:v>3.7506177945289085E-2</c:v>
                </c:pt>
              </c:numCache>
            </c:numRef>
          </c:yVal>
          <c:smooth val="1"/>
        </c:ser>
        <c:ser>
          <c:idx val="4"/>
          <c:order val="1"/>
          <c:tx>
            <c:v>CAMPO 1</c:v>
          </c:tx>
          <c:spPr>
            <a:ln w="12700">
              <a:solidFill>
                <a:srgbClr val="7CFB25"/>
              </a:solidFill>
            </a:ln>
          </c:spPr>
          <c:marker>
            <c:symbol val="none"/>
          </c:marker>
          <c:xVal>
            <c:numRef>
              <c:f>TABULATI!$P$2:$P$102</c:f>
              <c:numCache>
                <c:formatCode>0.000</c:formatCode>
                <c:ptCount val="101"/>
                <c:pt idx="0">
                  <c:v>-0.36226084366340999</c:v>
                </c:pt>
                <c:pt idx="1">
                  <c:v>-0.36226084366340999</c:v>
                </c:pt>
                <c:pt idx="2">
                  <c:v>-0.36226084366340999</c:v>
                </c:pt>
                <c:pt idx="3">
                  <c:v>-0.36226084366340999</c:v>
                </c:pt>
                <c:pt idx="4">
                  <c:v>-0.36226084366340999</c:v>
                </c:pt>
                <c:pt idx="5">
                  <c:v>-0.36226084366340999</c:v>
                </c:pt>
                <c:pt idx="6">
                  <c:v>-0.36226084366340999</c:v>
                </c:pt>
                <c:pt idx="7">
                  <c:v>-0.36226084366340999</c:v>
                </c:pt>
                <c:pt idx="8">
                  <c:v>-0.36226084366340999</c:v>
                </c:pt>
                <c:pt idx="9">
                  <c:v>-0.36226084366340999</c:v>
                </c:pt>
                <c:pt idx="10">
                  <c:v>-0.36226084366340999</c:v>
                </c:pt>
                <c:pt idx="11">
                  <c:v>-0.36226084366340999</c:v>
                </c:pt>
                <c:pt idx="12">
                  <c:v>-0.36226084366340999</c:v>
                </c:pt>
                <c:pt idx="13">
                  <c:v>-0.36226084366340999</c:v>
                </c:pt>
                <c:pt idx="14">
                  <c:v>-0.36226084366340999</c:v>
                </c:pt>
                <c:pt idx="15">
                  <c:v>-0.36226084366340999</c:v>
                </c:pt>
                <c:pt idx="16">
                  <c:v>-0.36226084366340999</c:v>
                </c:pt>
                <c:pt idx="17">
                  <c:v>-0.36226084366340999</c:v>
                </c:pt>
                <c:pt idx="18">
                  <c:v>-0.36226084366340999</c:v>
                </c:pt>
                <c:pt idx="19">
                  <c:v>-0.36226084366340999</c:v>
                </c:pt>
                <c:pt idx="20">
                  <c:v>-0.36226084366340999</c:v>
                </c:pt>
                <c:pt idx="21">
                  <c:v>-0.36226084366340999</c:v>
                </c:pt>
                <c:pt idx="22">
                  <c:v>-0.36226084366340999</c:v>
                </c:pt>
                <c:pt idx="23">
                  <c:v>-0.36226084366340999</c:v>
                </c:pt>
                <c:pt idx="24">
                  <c:v>-0.36226084366340999</c:v>
                </c:pt>
                <c:pt idx="25">
                  <c:v>-0.36226084366340999</c:v>
                </c:pt>
                <c:pt idx="26">
                  <c:v>-0.36226084366340999</c:v>
                </c:pt>
                <c:pt idx="27">
                  <c:v>-0.36226084366340999</c:v>
                </c:pt>
                <c:pt idx="28">
                  <c:v>-0.36226084366340999</c:v>
                </c:pt>
                <c:pt idx="29">
                  <c:v>-0.36226084366340999</c:v>
                </c:pt>
                <c:pt idx="30">
                  <c:v>-0.36226084366340999</c:v>
                </c:pt>
                <c:pt idx="31">
                  <c:v>-0.36226084366340999</c:v>
                </c:pt>
                <c:pt idx="32">
                  <c:v>-0.36226084366340999</c:v>
                </c:pt>
                <c:pt idx="33">
                  <c:v>-0.36226084366340999</c:v>
                </c:pt>
                <c:pt idx="34">
                  <c:v>-0.36226084366340999</c:v>
                </c:pt>
                <c:pt idx="35">
                  <c:v>-0.36226084366340999</c:v>
                </c:pt>
                <c:pt idx="36">
                  <c:v>-0.36226084366340999</c:v>
                </c:pt>
                <c:pt idx="37">
                  <c:v>-0.36226084366340999</c:v>
                </c:pt>
                <c:pt idx="38">
                  <c:v>-0.36226084366340999</c:v>
                </c:pt>
                <c:pt idx="39">
                  <c:v>-0.36226084366340999</c:v>
                </c:pt>
                <c:pt idx="40">
                  <c:v>-0.36226084366340999</c:v>
                </c:pt>
                <c:pt idx="41">
                  <c:v>-0.36226084366340999</c:v>
                </c:pt>
                <c:pt idx="42">
                  <c:v>-0.36226084366340999</c:v>
                </c:pt>
                <c:pt idx="43">
                  <c:v>-0.36226084366340999</c:v>
                </c:pt>
                <c:pt idx="44">
                  <c:v>-0.36226084366340999</c:v>
                </c:pt>
                <c:pt idx="45">
                  <c:v>-0.36226084366340999</c:v>
                </c:pt>
                <c:pt idx="46">
                  <c:v>-0.36226084366340999</c:v>
                </c:pt>
                <c:pt idx="47">
                  <c:v>-0.36226084366340999</c:v>
                </c:pt>
                <c:pt idx="48">
                  <c:v>-0.36226084366340999</c:v>
                </c:pt>
                <c:pt idx="49">
                  <c:v>-0.36226084366340999</c:v>
                </c:pt>
                <c:pt idx="50">
                  <c:v>-0.36226084366340999</c:v>
                </c:pt>
                <c:pt idx="51">
                  <c:v>-0.36226084366340999</c:v>
                </c:pt>
                <c:pt idx="52">
                  <c:v>-0.36226084366340999</c:v>
                </c:pt>
                <c:pt idx="53">
                  <c:v>-0.36226084366340999</c:v>
                </c:pt>
                <c:pt idx="54">
                  <c:v>-0.36226084366340999</c:v>
                </c:pt>
                <c:pt idx="55">
                  <c:v>-0.36226084366340999</c:v>
                </c:pt>
                <c:pt idx="56">
                  <c:v>-0.36226084366340999</c:v>
                </c:pt>
                <c:pt idx="57">
                  <c:v>-0.36226084366340999</c:v>
                </c:pt>
                <c:pt idx="58">
                  <c:v>-0.36226084366340999</c:v>
                </c:pt>
                <c:pt idx="59">
                  <c:v>-0.36226084366340999</c:v>
                </c:pt>
                <c:pt idx="60">
                  <c:v>-0.36226084366340999</c:v>
                </c:pt>
                <c:pt idx="61">
                  <c:v>-0.36226084366340999</c:v>
                </c:pt>
                <c:pt idx="62">
                  <c:v>-0.36226084366340999</c:v>
                </c:pt>
                <c:pt idx="63">
                  <c:v>-0.36226084366340999</c:v>
                </c:pt>
                <c:pt idx="64">
                  <c:v>-0.36226084366340999</c:v>
                </c:pt>
                <c:pt idx="65">
                  <c:v>-0.36226084366340999</c:v>
                </c:pt>
                <c:pt idx="66">
                  <c:v>-0.36226084366340999</c:v>
                </c:pt>
                <c:pt idx="67">
                  <c:v>-0.36226084366340999</c:v>
                </c:pt>
                <c:pt idx="68">
                  <c:v>-0.36226084366340999</c:v>
                </c:pt>
                <c:pt idx="69">
                  <c:v>-0.36226084366340999</c:v>
                </c:pt>
                <c:pt idx="70">
                  <c:v>-0.36226084366340999</c:v>
                </c:pt>
                <c:pt idx="71">
                  <c:v>-0.36226084366340999</c:v>
                </c:pt>
                <c:pt idx="72">
                  <c:v>-0.36226084366340999</c:v>
                </c:pt>
                <c:pt idx="73">
                  <c:v>-0.36226084366340999</c:v>
                </c:pt>
                <c:pt idx="74">
                  <c:v>-0.36226084366340999</c:v>
                </c:pt>
                <c:pt idx="75">
                  <c:v>-0.36226084366340999</c:v>
                </c:pt>
                <c:pt idx="76">
                  <c:v>-0.36226084366340999</c:v>
                </c:pt>
                <c:pt idx="77">
                  <c:v>-0.36226084366340999</c:v>
                </c:pt>
                <c:pt idx="78">
                  <c:v>-0.36226084366340999</c:v>
                </c:pt>
                <c:pt idx="79">
                  <c:v>-0.36226084366340999</c:v>
                </c:pt>
                <c:pt idx="80">
                  <c:v>-0.36226084366340999</c:v>
                </c:pt>
                <c:pt idx="81">
                  <c:v>-0.36226084366340999</c:v>
                </c:pt>
                <c:pt idx="82">
                  <c:v>-0.36226084366340999</c:v>
                </c:pt>
                <c:pt idx="83">
                  <c:v>-0.36226084366340999</c:v>
                </c:pt>
                <c:pt idx="84">
                  <c:v>-0.36226084366340999</c:v>
                </c:pt>
                <c:pt idx="85">
                  <c:v>-0.36226084366340999</c:v>
                </c:pt>
                <c:pt idx="86">
                  <c:v>-0.36226084366340999</c:v>
                </c:pt>
                <c:pt idx="87">
                  <c:v>-0.36226084366340999</c:v>
                </c:pt>
                <c:pt idx="88">
                  <c:v>-0.36226084366340999</c:v>
                </c:pt>
                <c:pt idx="89">
                  <c:v>-0.36226084366340999</c:v>
                </c:pt>
                <c:pt idx="90">
                  <c:v>-0.36158414221198276</c:v>
                </c:pt>
                <c:pt idx="91">
                  <c:v>-0.35282682931117509</c:v>
                </c:pt>
                <c:pt idx="92">
                  <c:v>-0.34406951641036743</c:v>
                </c:pt>
                <c:pt idx="93">
                  <c:v>-0.33531220350955976</c:v>
                </c:pt>
                <c:pt idx="94">
                  <c:v>-0.32655489060875215</c:v>
                </c:pt>
                <c:pt idx="95">
                  <c:v>-0.31779757770794448</c:v>
                </c:pt>
                <c:pt idx="96">
                  <c:v>-0.30904026480713681</c:v>
                </c:pt>
                <c:pt idx="97">
                  <c:v>-0.3002829519063292</c:v>
                </c:pt>
                <c:pt idx="98">
                  <c:v>-0.29152563900552153</c:v>
                </c:pt>
                <c:pt idx="99">
                  <c:v>-0.28276832610471392</c:v>
                </c:pt>
                <c:pt idx="100">
                  <c:v>-0.27401101320390625</c:v>
                </c:pt>
              </c:numCache>
            </c:numRef>
          </c:xVal>
          <c:yVal>
            <c:numRef>
              <c:f>Foglio1!$B$3:$B$103</c:f>
              <c:numCache>
                <c:formatCode>0.000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-2.8759811685659284E-4</c:v>
                </c:pt>
                <c:pt idx="91">
                  <c:v>-4.0094560996998324E-3</c:v>
                </c:pt>
                <c:pt idx="92">
                  <c:v>-7.7313140825430804E-3</c:v>
                </c:pt>
                <c:pt idx="93">
                  <c:v>-1.1453172065386338E-2</c:v>
                </c:pt>
                <c:pt idx="94">
                  <c:v>-1.5175030048229586E-2</c:v>
                </c:pt>
                <c:pt idx="95">
                  <c:v>-1.8896888031072825E-2</c:v>
                </c:pt>
                <c:pt idx="96">
                  <c:v>-2.2618746013916093E-2</c:v>
                </c:pt>
                <c:pt idx="97">
                  <c:v>-2.6340603996759332E-2</c:v>
                </c:pt>
                <c:pt idx="98">
                  <c:v>-3.0062461979602589E-2</c:v>
                </c:pt>
                <c:pt idx="99">
                  <c:v>-3.3784319962445838E-2</c:v>
                </c:pt>
                <c:pt idx="100">
                  <c:v>-3.7506177945289085E-2</c:v>
                </c:pt>
              </c:numCache>
            </c:numRef>
          </c:yVal>
          <c:smooth val="1"/>
        </c:ser>
        <c:ser>
          <c:idx val="1"/>
          <c:order val="2"/>
          <c:tx>
            <c:v>CAMPO 2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TABULATI!$P$103:$P$143</c:f>
              <c:numCache>
                <c:formatCode>0.000</c:formatCode>
                <c:ptCount val="41"/>
                <c:pt idx="0">
                  <c:v>-0.27401101320390742</c:v>
                </c:pt>
                <c:pt idx="1">
                  <c:v>-0.26524255001416752</c:v>
                </c:pt>
                <c:pt idx="2">
                  <c:v>-0.2564094150774765</c:v>
                </c:pt>
                <c:pt idx="3">
                  <c:v>-0.2474529229702504</c:v>
                </c:pt>
                <c:pt idx="4">
                  <c:v>-0.23832063356383415</c:v>
                </c:pt>
                <c:pt idx="5">
                  <c:v>-0.22896605462950592</c:v>
                </c:pt>
                <c:pt idx="6">
                  <c:v>-0.21934836127715943</c:v>
                </c:pt>
                <c:pt idx="7">
                  <c:v>-0.20943213112639597</c:v>
                </c:pt>
                <c:pt idx="8">
                  <c:v>-0.19918709419033556</c:v>
                </c:pt>
                <c:pt idx="9">
                  <c:v>-0.18858789652728858</c:v>
                </c:pt>
                <c:pt idx="10">
                  <c:v>-0.17761387678415802</c:v>
                </c:pt>
                <c:pt idx="11">
                  <c:v>-0.16624885481857396</c:v>
                </c:pt>
                <c:pt idx="12">
                  <c:v>-0.15448093164484339</c:v>
                </c:pt>
                <c:pt idx="13">
                  <c:v>-0.14230230000223867</c:v>
                </c:pt>
                <c:pt idx="14">
                  <c:v>-0.12970906489337697</c:v>
                </c:pt>
                <c:pt idx="15">
                  <c:v>-0.1167010734858132</c:v>
                </c:pt>
                <c:pt idx="16">
                  <c:v>-0.10328175381182701</c:v>
                </c:pt>
                <c:pt idx="17">
                  <c:v>-8.9457961740017244E-2</c:v>
                </c:pt>
                <c:pt idx="18">
                  <c:v>-7.5239835727998264E-2</c:v>
                </c:pt>
                <c:pt idx="19">
                  <c:v>-6.0640658898493301E-2</c:v>
                </c:pt>
                <c:pt idx="20">
                  <c:v>-4.5676728011620781E-2</c:v>
                </c:pt>
                <c:pt idx="21">
                  <c:v>-3.0364229571976615E-2</c:v>
                </c:pt>
                <c:pt idx="22">
                  <c:v>-1.4709186766203215E-2</c:v>
                </c:pt>
                <c:pt idx="23">
                  <c:v>1.2852426785772133E-3</c:v>
                </c:pt>
                <c:pt idx="24">
                  <c:v>1.7616002897408913E-2</c:v>
                </c:pt>
                <c:pt idx="25">
                  <c:v>3.4280135813014194E-2</c:v>
                </c:pt>
                <c:pt idx="26">
                  <c:v>5.1274777255330632E-2</c:v>
                </c:pt>
                <c:pt idx="27">
                  <c:v>6.8597153264375738E-2</c:v>
                </c:pt>
                <c:pt idx="28">
                  <c:v>8.6244576566417749E-2</c:v>
                </c:pt>
                <c:pt idx="29">
                  <c:v>0.10421444321404165</c:v>
                </c:pt>
                <c:pt idx="30">
                  <c:v>0.12250422938129148</c:v>
                </c:pt>
                <c:pt idx="31">
                  <c:v>0.14111148830559805</c:v>
                </c:pt>
                <c:pt idx="32">
                  <c:v>0.153810847746777</c:v>
                </c:pt>
                <c:pt idx="33">
                  <c:v>0.16428869278658689</c:v>
                </c:pt>
                <c:pt idx="34">
                  <c:v>0.17507710413695735</c:v>
                </c:pt>
                <c:pt idx="35">
                  <c:v>0.18617391538107916</c:v>
                </c:pt>
                <c:pt idx="36">
                  <c:v>0.19757702382028455</c:v>
                </c:pt>
                <c:pt idx="37">
                  <c:v>0.20928438814856754</c:v>
                </c:pt>
                <c:pt idx="38">
                  <c:v>0.22129402622821281</c:v>
                </c:pt>
                <c:pt idx="39">
                  <c:v>0.2336040129614381</c:v>
                </c:pt>
                <c:pt idx="40">
                  <c:v>0.24621247825325587</c:v>
                </c:pt>
              </c:numCache>
            </c:numRef>
          </c:xVal>
          <c:yVal>
            <c:numRef>
              <c:f>TABULATI!$Q$103:$Q$143</c:f>
              <c:numCache>
                <c:formatCode>0.000</c:formatCode>
                <c:ptCount val="41"/>
                <c:pt idx="0">
                  <c:v>3.7506177945288606E-2</c:v>
                </c:pt>
                <c:pt idx="1">
                  <c:v>4.1233197813697137E-2</c:v>
                </c:pt>
                <c:pt idx="2">
                  <c:v>4.4989914624375585E-2</c:v>
                </c:pt>
                <c:pt idx="3">
                  <c:v>4.880263846565671E-2</c:v>
                </c:pt>
                <c:pt idx="4">
                  <c:v>5.2694212028214289E-2</c:v>
                </c:pt>
                <c:pt idx="5">
                  <c:v>5.6684243894900968E-2</c:v>
                </c:pt>
                <c:pt idx="6">
                  <c:v>6.0789324802907163E-2</c:v>
                </c:pt>
                <c:pt idx="7">
                  <c:v>6.5023228239940153E-2</c:v>
                </c:pt>
                <c:pt idx="8">
                  <c:v>6.939709661707423E-2</c:v>
                </c:pt>
                <c:pt idx="9">
                  <c:v>7.3919614153194771E-2</c:v>
                </c:pt>
                <c:pt idx="10">
                  <c:v>7.8597167508378071E-2</c:v>
                </c:pt>
                <c:pt idx="11">
                  <c:v>8.3433995115097345E-2</c:v>
                </c:pt>
                <c:pt idx="12">
                  <c:v>8.8432326075883361E-2</c:v>
                </c:pt>
                <c:pt idx="13">
                  <c:v>9.3592509423189432E-2</c:v>
                </c:pt>
                <c:pt idx="14">
                  <c:v>9.8913134470973538E-2</c:v>
                </c:pt>
                <c:pt idx="15">
                  <c:v>0.10439114292726635</c:v>
                </c:pt>
                <c:pt idx="16">
                  <c:v>0.11002193338215027</c:v>
                </c:pt>
                <c:pt idx="17">
                  <c:v>0.11579945873561547</c:v>
                </c:pt>
                <c:pt idx="18">
                  <c:v>0.12171631708421204</c:v>
                </c:pt>
                <c:pt idx="19">
                  <c:v>0.12776383654385556</c:v>
                </c:pt>
                <c:pt idx="20">
                  <c:v>0.13393215444820269</c:v>
                </c:pt>
                <c:pt idx="21">
                  <c:v>0.14018438450815449</c:v>
                </c:pt>
                <c:pt idx="22">
                  <c:v>0.14653867110472477</c:v>
                </c:pt>
                <c:pt idx="23">
                  <c:v>0.15299150376460488</c:v>
                </c:pt>
                <c:pt idx="24">
                  <c:v>0.15953952471173355</c:v>
                </c:pt>
                <c:pt idx="25">
                  <c:v>0.16617952119378565</c:v>
                </c:pt>
                <c:pt idx="26">
                  <c:v>0.17290841824802822</c:v>
                </c:pt>
                <c:pt idx="27">
                  <c:v>0.17972327187828199</c:v>
                </c:pt>
                <c:pt idx="28">
                  <c:v>0.18662126261674453</c:v>
                </c:pt>
                <c:pt idx="29">
                  <c:v>0.19359968944628725</c:v>
                </c:pt>
                <c:pt idx="30">
                  <c:v>0.20065596406055855</c:v>
                </c:pt>
                <c:pt idx="31">
                  <c:v>0.20778760544080133</c:v>
                </c:pt>
                <c:pt idx="32">
                  <c:v>0.21234745989043691</c:v>
                </c:pt>
                <c:pt idx="33">
                  <c:v>0.21590093756222994</c:v>
                </c:pt>
                <c:pt idx="34">
                  <c:v>0.21952293278537283</c:v>
                </c:pt>
                <c:pt idx="35">
                  <c:v>0.22321134513464702</c:v>
                </c:pt>
                <c:pt idx="36">
                  <c:v>0.22696415846543508</c:v>
                </c:pt>
                <c:pt idx="37">
                  <c:v>0.23077943702248999</c:v>
                </c:pt>
                <c:pt idx="38">
                  <c:v>0.23465532175307852</c:v>
                </c:pt>
                <c:pt idx="39">
                  <c:v>0.23859002681244793</c:v>
                </c:pt>
                <c:pt idx="40">
                  <c:v>0.24258183625035296</c:v>
                </c:pt>
              </c:numCache>
            </c:numRef>
          </c:yVal>
          <c:smooth val="1"/>
        </c:ser>
        <c:ser>
          <c:idx val="5"/>
          <c:order val="3"/>
          <c:tx>
            <c:v>CAMPO 2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TABULATI!$P$103:$P$143</c:f>
              <c:numCache>
                <c:formatCode>0.000</c:formatCode>
                <c:ptCount val="41"/>
                <c:pt idx="0">
                  <c:v>-0.27401101320390742</c:v>
                </c:pt>
                <c:pt idx="1">
                  <c:v>-0.26524255001416752</c:v>
                </c:pt>
                <c:pt idx="2">
                  <c:v>-0.2564094150774765</c:v>
                </c:pt>
                <c:pt idx="3">
                  <c:v>-0.2474529229702504</c:v>
                </c:pt>
                <c:pt idx="4">
                  <c:v>-0.23832063356383415</c:v>
                </c:pt>
                <c:pt idx="5">
                  <c:v>-0.22896605462950592</c:v>
                </c:pt>
                <c:pt idx="6">
                  <c:v>-0.21934836127715943</c:v>
                </c:pt>
                <c:pt idx="7">
                  <c:v>-0.20943213112639597</c:v>
                </c:pt>
                <c:pt idx="8">
                  <c:v>-0.19918709419033556</c:v>
                </c:pt>
                <c:pt idx="9">
                  <c:v>-0.18858789652728858</c:v>
                </c:pt>
                <c:pt idx="10">
                  <c:v>-0.17761387678415802</c:v>
                </c:pt>
                <c:pt idx="11">
                  <c:v>-0.16624885481857396</c:v>
                </c:pt>
                <c:pt idx="12">
                  <c:v>-0.15448093164484339</c:v>
                </c:pt>
                <c:pt idx="13">
                  <c:v>-0.14230230000223867</c:v>
                </c:pt>
                <c:pt idx="14">
                  <c:v>-0.12970906489337697</c:v>
                </c:pt>
                <c:pt idx="15">
                  <c:v>-0.1167010734858132</c:v>
                </c:pt>
                <c:pt idx="16">
                  <c:v>-0.10328175381182701</c:v>
                </c:pt>
                <c:pt idx="17">
                  <c:v>-8.9457961740017244E-2</c:v>
                </c:pt>
                <c:pt idx="18">
                  <c:v>-7.5239835727998264E-2</c:v>
                </c:pt>
                <c:pt idx="19">
                  <c:v>-6.0640658898493301E-2</c:v>
                </c:pt>
                <c:pt idx="20">
                  <c:v>-4.5676728011620781E-2</c:v>
                </c:pt>
                <c:pt idx="21">
                  <c:v>-3.0364229571976615E-2</c:v>
                </c:pt>
                <c:pt idx="22">
                  <c:v>-1.4709186766203215E-2</c:v>
                </c:pt>
                <c:pt idx="23">
                  <c:v>1.2852426785772133E-3</c:v>
                </c:pt>
                <c:pt idx="24">
                  <c:v>1.7616002897408913E-2</c:v>
                </c:pt>
                <c:pt idx="25">
                  <c:v>3.4280135813014194E-2</c:v>
                </c:pt>
                <c:pt idx="26">
                  <c:v>5.1274777255330632E-2</c:v>
                </c:pt>
                <c:pt idx="27">
                  <c:v>6.8597153264375738E-2</c:v>
                </c:pt>
                <c:pt idx="28">
                  <c:v>8.6244576566417749E-2</c:v>
                </c:pt>
                <c:pt idx="29">
                  <c:v>0.10421444321404165</c:v>
                </c:pt>
                <c:pt idx="30">
                  <c:v>0.12250422938129148</c:v>
                </c:pt>
                <c:pt idx="31">
                  <c:v>0.14111148830559805</c:v>
                </c:pt>
                <c:pt idx="32">
                  <c:v>0.153810847746777</c:v>
                </c:pt>
                <c:pt idx="33">
                  <c:v>0.16428869278658689</c:v>
                </c:pt>
                <c:pt idx="34">
                  <c:v>0.17507710413695735</c:v>
                </c:pt>
                <c:pt idx="35">
                  <c:v>0.18617391538107916</c:v>
                </c:pt>
                <c:pt idx="36">
                  <c:v>0.19757702382028455</c:v>
                </c:pt>
                <c:pt idx="37">
                  <c:v>0.20928438814856754</c:v>
                </c:pt>
                <c:pt idx="38">
                  <c:v>0.22129402622821281</c:v>
                </c:pt>
                <c:pt idx="39">
                  <c:v>0.2336040129614381</c:v>
                </c:pt>
                <c:pt idx="40">
                  <c:v>0.24621247825325587</c:v>
                </c:pt>
              </c:numCache>
            </c:numRef>
          </c:xVal>
          <c:yVal>
            <c:numRef>
              <c:f>Foglio1!$B$104:$B$144</c:f>
              <c:numCache>
                <c:formatCode>0.000</c:formatCode>
                <c:ptCount val="41"/>
                <c:pt idx="0">
                  <c:v>-3.7506177945288606E-2</c:v>
                </c:pt>
                <c:pt idx="1">
                  <c:v>-4.1233197813697137E-2</c:v>
                </c:pt>
                <c:pt idx="2">
                  <c:v>-4.4989914624375585E-2</c:v>
                </c:pt>
                <c:pt idx="3">
                  <c:v>-4.880263846565671E-2</c:v>
                </c:pt>
                <c:pt idx="4">
                  <c:v>-5.2694212028214289E-2</c:v>
                </c:pt>
                <c:pt idx="5">
                  <c:v>-5.6684243894900968E-2</c:v>
                </c:pt>
                <c:pt idx="6">
                  <c:v>-6.0789324802907163E-2</c:v>
                </c:pt>
                <c:pt idx="7">
                  <c:v>-6.5023228239940153E-2</c:v>
                </c:pt>
                <c:pt idx="8">
                  <c:v>-6.939709661707423E-2</c:v>
                </c:pt>
                <c:pt idx="9">
                  <c:v>-7.3919614153194771E-2</c:v>
                </c:pt>
                <c:pt idx="10">
                  <c:v>-7.8597167508378071E-2</c:v>
                </c:pt>
                <c:pt idx="11">
                  <c:v>-8.3433995115097345E-2</c:v>
                </c:pt>
                <c:pt idx="12">
                  <c:v>-8.8432326075883361E-2</c:v>
                </c:pt>
                <c:pt idx="13">
                  <c:v>-9.3592509423189432E-2</c:v>
                </c:pt>
                <c:pt idx="14">
                  <c:v>-9.8913134470973538E-2</c:v>
                </c:pt>
                <c:pt idx="15">
                  <c:v>-0.10439114292726635</c:v>
                </c:pt>
                <c:pt idx="16">
                  <c:v>-0.11002193338215027</c:v>
                </c:pt>
                <c:pt idx="17">
                  <c:v>-0.11579945873561547</c:v>
                </c:pt>
                <c:pt idx="18">
                  <c:v>-0.12171631708421204</c:v>
                </c:pt>
                <c:pt idx="19">
                  <c:v>-0.12776383654385556</c:v>
                </c:pt>
                <c:pt idx="20">
                  <c:v>-0.13393215444820269</c:v>
                </c:pt>
                <c:pt idx="21">
                  <c:v>-0.14018438450815449</c:v>
                </c:pt>
                <c:pt idx="22">
                  <c:v>-0.14653867110472477</c:v>
                </c:pt>
                <c:pt idx="23">
                  <c:v>-0.15299150376460488</c:v>
                </c:pt>
                <c:pt idx="24">
                  <c:v>-0.15953952471173355</c:v>
                </c:pt>
                <c:pt idx="25">
                  <c:v>-0.16617952119378565</c:v>
                </c:pt>
                <c:pt idx="26">
                  <c:v>-0.17290841824802822</c:v>
                </c:pt>
                <c:pt idx="27">
                  <c:v>-0.17972327187828199</c:v>
                </c:pt>
                <c:pt idx="28">
                  <c:v>-0.18662126261674453</c:v>
                </c:pt>
                <c:pt idx="29">
                  <c:v>-0.19359968944628725</c:v>
                </c:pt>
                <c:pt idx="30">
                  <c:v>-0.20065596406055855</c:v>
                </c:pt>
                <c:pt idx="31">
                  <c:v>-0.20778760544080133</c:v>
                </c:pt>
                <c:pt idx="32">
                  <c:v>-0.21234745989043691</c:v>
                </c:pt>
                <c:pt idx="33">
                  <c:v>-0.21590093756222994</c:v>
                </c:pt>
                <c:pt idx="34">
                  <c:v>-0.21952293278537283</c:v>
                </c:pt>
                <c:pt idx="35">
                  <c:v>-0.22321134513464702</c:v>
                </c:pt>
                <c:pt idx="36">
                  <c:v>-0.22696415846543508</c:v>
                </c:pt>
                <c:pt idx="37">
                  <c:v>-0.23077943702248999</c:v>
                </c:pt>
                <c:pt idx="38">
                  <c:v>-0.23465532175307852</c:v>
                </c:pt>
                <c:pt idx="39">
                  <c:v>-0.23859002681244793</c:v>
                </c:pt>
                <c:pt idx="40">
                  <c:v>-0.24258183625035296</c:v>
                </c:pt>
              </c:numCache>
            </c:numRef>
          </c:yVal>
          <c:smooth val="1"/>
        </c:ser>
        <c:ser>
          <c:idx val="0"/>
          <c:order val="4"/>
          <c:tx>
            <c:v>CAMPO 3-4-4a</c:v>
          </c:tx>
          <c:spPr>
            <a:ln w="127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TABULATI!$P$144:$P$247</c:f>
              <c:numCache>
                <c:formatCode>0.000</c:formatCode>
                <c:ptCount val="104"/>
                <c:pt idx="0">
                  <c:v>0.24621247825325607</c:v>
                </c:pt>
                <c:pt idx="1">
                  <c:v>0.24798379104644491</c:v>
                </c:pt>
                <c:pt idx="2">
                  <c:v>0.24978077503953511</c:v>
                </c:pt>
                <c:pt idx="3">
                  <c:v>0.25160399237559006</c:v>
                </c:pt>
                <c:pt idx="4">
                  <c:v>0.25345402173129289</c:v>
                </c:pt>
                <c:pt idx="5">
                  <c:v>0.25533145892930253</c:v>
                </c:pt>
                <c:pt idx="6">
                  <c:v>0.25723691757802863</c:v>
                </c:pt>
                <c:pt idx="7">
                  <c:v>0.25917102974026945</c:v>
                </c:pt>
                <c:pt idx="8">
                  <c:v>0.26113444663224117</c:v>
                </c:pt>
                <c:pt idx="9">
                  <c:v>0.26312783935462469</c:v>
                </c:pt>
                <c:pt idx="10">
                  <c:v>0.26515189965735253</c:v>
                </c:pt>
                <c:pt idx="11">
                  <c:v>0.2672073407399676</c:v>
                </c:pt>
                <c:pt idx="12">
                  <c:v>0.26929489808949869</c:v>
                </c:pt>
                <c:pt idx="13">
                  <c:v>0.27141533035791993</c:v>
                </c:pt>
                <c:pt idx="14">
                  <c:v>0.27356942028139536</c:v>
                </c:pt>
                <c:pt idx="15">
                  <c:v>0.27575797564364657</c:v>
                </c:pt>
                <c:pt idx="16">
                  <c:v>0.2779818302859341</c:v>
                </c:pt>
                <c:pt idx="17">
                  <c:v>0.28024184516630746</c:v>
                </c:pt>
                <c:pt idx="18">
                  <c:v>0.28253890947094934</c:v>
                </c:pt>
                <c:pt idx="19">
                  <c:v>0.28487394178062658</c:v>
                </c:pt>
                <c:pt idx="20">
                  <c:v>0.28724789129546507</c:v>
                </c:pt>
                <c:pt idx="21">
                  <c:v>0.28966173912147736</c:v>
                </c:pt>
                <c:pt idx="22">
                  <c:v>0.29211649962250685</c:v>
                </c:pt>
                <c:pt idx="23">
                  <c:v>0.29461322184150263</c:v>
                </c:pt>
                <c:pt idx="24">
                  <c:v>0.29715299099530873</c:v>
                </c:pt>
                <c:pt idx="25">
                  <c:v>0.29973693004744184</c:v>
                </c:pt>
                <c:pt idx="26">
                  <c:v>0.30236620136364745</c:v>
                </c:pt>
                <c:pt idx="27">
                  <c:v>0.30504200845536117</c:v>
                </c:pt>
                <c:pt idx="28">
                  <c:v>0.30776559781656976</c:v>
                </c:pt>
                <c:pt idx="29">
                  <c:v>0.31053826085996233</c:v>
                </c:pt>
                <c:pt idx="30">
                  <c:v>0.3133613359586892</c:v>
                </c:pt>
                <c:pt idx="31">
                  <c:v>0.31623621060051205</c:v>
                </c:pt>
                <c:pt idx="32">
                  <c:v>0.31916432366162789</c:v>
                </c:pt>
                <c:pt idx="33">
                  <c:v>0.32214716780799829</c:v>
                </c:pt>
                <c:pt idx="34">
                  <c:v>0.32518629203260208</c:v>
                </c:pt>
                <c:pt idx="35">
                  <c:v>0.32828330433767444</c:v>
                </c:pt>
                <c:pt idx="36">
                  <c:v>0.3314398745716905</c:v>
                </c:pt>
                <c:pt idx="37">
                  <c:v>0.33465773743160987</c:v>
                </c:pt>
                <c:pt idx="38">
                  <c:v>0.33793869564172374</c:v>
                </c:pt>
                <c:pt idx="39">
                  <c:v>0.34128462332134474</c:v>
                </c:pt>
                <c:pt idx="40">
                  <c:v>0.34469746955455816</c:v>
                </c:pt>
                <c:pt idx="41">
                  <c:v>0.34817926217632145</c:v>
                </c:pt>
                <c:pt idx="42">
                  <c:v>0.35173211179036556</c:v>
                </c:pt>
                <c:pt idx="43">
                  <c:v>0.35535821603562706</c:v>
                </c:pt>
                <c:pt idx="44">
                  <c:v>0.35905986411933144</c:v>
                </c:pt>
                <c:pt idx="45">
                  <c:v>0.36283944163637705</c:v>
                </c:pt>
                <c:pt idx="46">
                  <c:v>0.36669943569633862</c:v>
                </c:pt>
                <c:pt idx="47">
                  <c:v>0.37064244038124539</c:v>
                </c:pt>
                <c:pt idx="48">
                  <c:v>0.37467116255930244</c:v>
                </c:pt>
                <c:pt idx="49">
                  <c:v>0.37878842808193203</c:v>
                </c:pt>
                <c:pt idx="50">
                  <c:v>0.38299718839395369</c:v>
                </c:pt>
                <c:pt idx="51">
                  <c:v>0.38730052758939132</c:v>
                </c:pt>
                <c:pt idx="52">
                  <c:v>0.39170166994836164</c:v>
                </c:pt>
                <c:pt idx="53">
                  <c:v>0.39620398799374512</c:v>
                </c:pt>
                <c:pt idx="54">
                  <c:v>0.4008110111099516</c:v>
                </c:pt>
                <c:pt idx="55">
                  <c:v>0.40552643477006861</c:v>
                </c:pt>
                <c:pt idx="56">
                  <c:v>0.41035413042209318</c:v>
                </c:pt>
                <c:pt idx="57">
                  <c:v>0.41529815608982928</c:v>
                </c:pt>
                <c:pt idx="58">
                  <c:v>0.42036276774946141</c:v>
                </c:pt>
                <c:pt idx="59">
                  <c:v>0.42555243154883748</c:v>
                </c:pt>
                <c:pt idx="60">
                  <c:v>0.43087183694319797</c:v>
                </c:pt>
                <c:pt idx="61">
                  <c:v>0.43632591082855493</c:v>
                </c:pt>
                <c:pt idx="62">
                  <c:v>0.44191983276225438</c:v>
                </c:pt>
                <c:pt idx="63">
                  <c:v>0.44765905136955614</c:v>
                </c:pt>
                <c:pt idx="64">
                  <c:v>0.45354930204547156</c:v>
                </c:pt>
                <c:pt idx="65">
                  <c:v>0.45959662607274443</c:v>
                </c:pt>
                <c:pt idx="66">
                  <c:v>0.46580739128994358</c:v>
                </c:pt>
                <c:pt idx="67">
                  <c:v>0.47218831445829884</c:v>
                </c:pt>
                <c:pt idx="68">
                  <c:v>0.47874648549244203</c:v>
                </c:pt>
                <c:pt idx="69">
                  <c:v>0.4854893937388145</c:v>
                </c:pt>
                <c:pt idx="70">
                  <c:v>0.49242495650651169</c:v>
                </c:pt>
                <c:pt idx="71">
                  <c:v>0.49956155007906988</c:v>
                </c:pt>
                <c:pt idx="72">
                  <c:v>0.50690804346258567</c:v>
                </c:pt>
                <c:pt idx="73">
                  <c:v>0.51447383515605705</c:v>
                </c:pt>
                <c:pt idx="74">
                  <c:v>0.52226889326448211</c:v>
                </c:pt>
                <c:pt idx="75">
                  <c:v>0.53030379931470484</c:v>
                </c:pt>
                <c:pt idx="76">
                  <c:v>0.53858979617899716</c:v>
                </c:pt>
                <c:pt idx="77">
                  <c:v>0.54713884056279072</c:v>
                </c:pt>
                <c:pt idx="78">
                  <c:v>0.55596366057186808</c:v>
                </c:pt>
                <c:pt idx="79">
                  <c:v>0.56507781894189846</c:v>
                </c:pt>
                <c:pt idx="80">
                  <c:v>0.57449578259093015</c:v>
                </c:pt>
                <c:pt idx="81">
                  <c:v>0.58423299924501371</c:v>
                </c:pt>
                <c:pt idx="82">
                  <c:v>0.60108626516078767</c:v>
                </c:pt>
                <c:pt idx="83">
                  <c:v>0.62119880471199485</c:v>
                </c:pt>
                <c:pt idx="84">
                  <c:v>0.64168371643236899</c:v>
                </c:pt>
                <c:pt idx="85">
                  <c:v>0.66256131153113762</c:v>
                </c:pt>
                <c:pt idx="86">
                  <c:v>0.68385340575154474</c:v>
                </c:pt>
                <c:pt idx="87">
                  <c:v>0.70558346130802263</c:v>
                </c:pt>
                <c:pt idx="88">
                  <c:v>0.72777674520072921</c:v>
                </c:pt>
                <c:pt idx="89">
                  <c:v>0.75046050615532522</c:v>
                </c:pt>
                <c:pt idx="90">
                  <c:v>0.77366417279552391</c:v>
                </c:pt>
                <c:pt idx="91">
                  <c:v>0.79741957608166825</c:v>
                </c:pt>
                <c:pt idx="92">
                  <c:v>0.82176119955412974</c:v>
                </c:pt>
                <c:pt idx="93">
                  <c:v>0.84672646152267328</c:v>
                </c:pt>
                <c:pt idx="94">
                  <c:v>0.87235603406313111</c:v>
                </c:pt>
                <c:pt idx="95">
                  <c:v>0.8986942045469628</c:v>
                </c:pt>
                <c:pt idx="96">
                  <c:v>0.92578928647030867</c:v>
                </c:pt>
                <c:pt idx="97">
                  <c:v>0.95369408760801788</c:v>
                </c:pt>
                <c:pt idx="98">
                  <c:v>0.98246644504683089</c:v>
                </c:pt>
                <c:pt idx="99">
                  <c:v>1.0121698385160969</c:v>
                </c:pt>
                <c:pt idx="100">
                  <c:v>1.0428740957180995</c:v>
                </c:pt>
                <c:pt idx="101">
                  <c:v>1.0428740957180995</c:v>
                </c:pt>
                <c:pt idx="102">
                  <c:v>1.0746562061707416</c:v>
                </c:pt>
                <c:pt idx="103">
                  <c:v>1.1076012635517059</c:v>
                </c:pt>
              </c:numCache>
            </c:numRef>
          </c:xVal>
          <c:yVal>
            <c:numRef>
              <c:f>TABULATI!$Q$144:$Q$247</c:f>
              <c:numCache>
                <c:formatCode>0.000</c:formatCode>
                <c:ptCount val="104"/>
                <c:pt idx="0">
                  <c:v>0.24258183625035298</c:v>
                </c:pt>
                <c:pt idx="1">
                  <c:v>0.24303061478587792</c:v>
                </c:pt>
                <c:pt idx="2">
                  <c:v>0.24348314155461509</c:v>
                </c:pt>
                <c:pt idx="3">
                  <c:v>0.24393943784811908</c:v>
                </c:pt>
                <c:pt idx="4">
                  <c:v>0.24439952378318108</c:v>
                </c:pt>
                <c:pt idx="5">
                  <c:v>0.2448634181911222</c:v>
                </c:pt>
                <c:pt idx="6">
                  <c:v>0.24533113849909782</c:v>
                </c:pt>
                <c:pt idx="7">
                  <c:v>0.24580270060283299</c:v>
                </c:pt>
                <c:pt idx="8">
                  <c:v>0.24627811873016178</c:v>
                </c:pt>
                <c:pt idx="9">
                  <c:v>0.24675740529469609</c:v>
                </c:pt>
                <c:pt idx="10">
                  <c:v>0.24724057073889544</c:v>
                </c:pt>
                <c:pt idx="11">
                  <c:v>0.24772762336575332</c:v>
                </c:pt>
                <c:pt idx="12">
                  <c:v>0.24821856915825094</c:v>
                </c:pt>
                <c:pt idx="13">
                  <c:v>0.24871341158566426</c:v>
                </c:pt>
                <c:pt idx="14">
                  <c:v>0.24921215139573494</c:v>
                </c:pt>
                <c:pt idx="15">
                  <c:v>0.24971478639163594</c:v>
                </c:pt>
                <c:pt idx="16">
                  <c:v>0.25022131119257607</c:v>
                </c:pt>
                <c:pt idx="17">
                  <c:v>0.25073171697679297</c:v>
                </c:pt>
                <c:pt idx="18">
                  <c:v>0.25124599120558089</c:v>
                </c:pt>
                <c:pt idx="19">
                  <c:v>0.25176411732688647</c:v>
                </c:pt>
                <c:pt idx="20">
                  <c:v>0.25228607445688456</c:v>
                </c:pt>
                <c:pt idx="21">
                  <c:v>0.25281183703781118</c:v>
                </c:pt>
                <c:pt idx="22">
                  <c:v>0.25334137447018568</c:v>
                </c:pt>
                <c:pt idx="23">
                  <c:v>0.25387465071739357</c:v>
                </c:pt>
                <c:pt idx="24">
                  <c:v>0.25441162388042876</c:v>
                </c:pt>
                <c:pt idx="25">
                  <c:v>0.25495224574040165</c:v>
                </c:pt>
                <c:pt idx="26">
                  <c:v>0.25549646126621178</c:v>
                </c:pt>
                <c:pt idx="27">
                  <c:v>0.25604420808455469</c:v>
                </c:pt>
                <c:pt idx="28">
                  <c:v>0.25659541590918228</c:v>
                </c:pt>
                <c:pt idx="29">
                  <c:v>0.25715000592606124</c:v>
                </c:pt>
                <c:pt idx="30">
                  <c:v>0.25770789013077133</c:v>
                </c:pt>
                <c:pt idx="31">
                  <c:v>0.25826897061415527</c:v>
                </c:pt>
                <c:pt idx="32">
                  <c:v>0.25883313879186715</c:v>
                </c:pt>
                <c:pt idx="33">
                  <c:v>0.25940027457306425</c:v>
                </c:pt>
                <c:pt idx="34">
                  <c:v>0.25997024546304737</c:v>
                </c:pt>
                <c:pt idx="35">
                  <c:v>0.26054290559416798</c:v>
                </c:pt>
                <c:pt idx="36">
                  <c:v>0.26111809467878305</c:v>
                </c:pt>
                <c:pt idx="37">
                  <c:v>0.26169563687744807</c:v>
                </c:pt>
                <c:pt idx="38">
                  <c:v>0.26227533957488369</c:v>
                </c:pt>
                <c:pt idx="39">
                  <c:v>0.26285699205552859</c:v>
                </c:pt>
                <c:pt idx="40">
                  <c:v>0.26344036406969179</c:v>
                </c:pt>
                <c:pt idx="41">
                  <c:v>0.26402520428043086</c:v>
                </c:pt>
                <c:pt idx="42">
                  <c:v>0.26461123858030006</c:v>
                </c:pt>
                <c:pt idx="43">
                  <c:v>0.26519816826602344</c:v>
                </c:pt>
                <c:pt idx="44">
                  <c:v>0.26578566805793635</c:v>
                </c:pt>
                <c:pt idx="45">
                  <c:v>0.26637338394969323</c:v>
                </c:pt>
                <c:pt idx="46">
                  <c:v>0.26696093087224271</c:v>
                </c:pt>
                <c:pt idx="47">
                  <c:v>0.26754789015439989</c:v>
                </c:pt>
                <c:pt idx="48">
                  <c:v>0.26813380676048992</c:v>
                </c:pt>
                <c:pt idx="49">
                  <c:v>0.26871818628345401</c:v>
                </c:pt>
                <c:pt idx="50">
                  <c:v>0.26930049166949299</c:v>
                </c:pt>
                <c:pt idx="51">
                  <c:v>0.26988013964772339</c:v>
                </c:pt>
                <c:pt idx="52">
                  <c:v>0.27045649683541512</c:v>
                </c:pt>
                <c:pt idx="53">
                  <c:v>0.27102887548611526</c:v>
                </c:pt>
                <c:pt idx="54">
                  <c:v>0.27159652884430396</c:v>
                </c:pt>
                <c:pt idx="55">
                  <c:v>0.27215864606611095</c:v>
                </c:pt>
                <c:pt idx="56">
                  <c:v>0.27271434666098993</c:v>
                </c:pt>
                <c:pt idx="57">
                  <c:v>0.27326267440402846</c:v>
                </c:pt>
                <c:pt idx="58">
                  <c:v>0.27380259066268198</c:v>
                </c:pt>
                <c:pt idx="59">
                  <c:v>0.2743329670750661</c:v>
                </c:pt>
                <c:pt idx="60">
                  <c:v>0.27485257750941527</c:v>
                </c:pt>
                <c:pt idx="61">
                  <c:v>0.27536008922578442</c:v>
                </c:pt>
                <c:pt idx="62">
                  <c:v>0.27585405315139666</c:v>
                </c:pt>
                <c:pt idx="63">
                  <c:v>0.27633289317004356</c:v>
                </c:pt>
                <c:pt idx="64">
                  <c:v>0.27679489431343363</c:v>
                </c:pt>
                <c:pt idx="65">
                  <c:v>0.27723818972812642</c:v>
                </c:pt>
                <c:pt idx="66">
                  <c:v>0.27766074627540971</c:v>
                </c:pt>
                <c:pt idx="67">
                  <c:v>0.27806034860286916</c:v>
                </c:pt>
                <c:pt idx="68">
                  <c:v>0.27843458150508293</c:v>
                </c:pt>
                <c:pt idx="69">
                  <c:v>0.27878081036642016</c:v>
                </c:pt>
                <c:pt idx="70">
                  <c:v>0.27909615945081878</c:v>
                </c:pt>
                <c:pt idx="71">
                  <c:v>0.27937748777105942</c:v>
                </c:pt>
                <c:pt idx="72">
                  <c:v>0.27962136223272699</c:v>
                </c:pt>
                <c:pt idx="73">
                  <c:v>0.2798240277049141</c:v>
                </c:pt>
                <c:pt idx="74">
                  <c:v>0.27998137361976649</c:v>
                </c:pt>
                <c:pt idx="75">
                  <c:v>0.28008889664500841</c:v>
                </c:pt>
                <c:pt idx="76">
                  <c:v>0.28014165890618453</c:v>
                </c:pt>
                <c:pt idx="77">
                  <c:v>0.28013424115681962</c:v>
                </c:pt>
                <c:pt idx="78">
                  <c:v>0.28006069020296992</c:v>
                </c:pt>
                <c:pt idx="79">
                  <c:v>0.27991445978127638</c:v>
                </c:pt>
                <c:pt idx="80">
                  <c:v>0.27968834396365455</c:v>
                </c:pt>
                <c:pt idx="81">
                  <c:v>0.27937440201358726</c:v>
                </c:pt>
                <c:pt idx="82">
                  <c:v>0.27608225309695589</c:v>
                </c:pt>
                <c:pt idx="83">
                  <c:v>0.27144886097888504</c:v>
                </c:pt>
                <c:pt idx="84">
                  <c:v>0.26669850427652747</c:v>
                </c:pt>
                <c:pt idx="85">
                  <c:v>0.26181933226035059</c:v>
                </c:pt>
                <c:pt idx="86">
                  <c:v>0.25679820361678041</c:v>
                </c:pt>
                <c:pt idx="87">
                  <c:v>0.25162052502140497</c:v>
                </c:pt>
                <c:pt idx="88">
                  <c:v>0.2462700664202544</c:v>
                </c:pt>
                <c:pt idx="89">
                  <c:v>0.24072874916927295</c:v>
                </c:pt>
                <c:pt idx="90">
                  <c:v>0.23497640245955301</c:v>
                </c:pt>
                <c:pt idx="91">
                  <c:v>0.22899048258067534</c:v>
                </c:pt>
                <c:pt idx="92">
                  <c:v>0.22274574851052908</c:v>
                </c:pt>
                <c:pt idx="93">
                  <c:v>0.21621388602176447</c:v>
                </c:pt>
                <c:pt idx="94">
                  <c:v>0.20936307090485864</c:v>
                </c:pt>
                <c:pt idx="95">
                  <c:v>0.2021574599521439</c:v>
                </c:pt>
                <c:pt idx="96">
                  <c:v>0.19455659593198968</c:v>
                </c:pt>
                <c:pt idx="97">
                  <c:v>0.18651470978660128</c:v>
                </c:pt>
                <c:pt idx="98">
                  <c:v>0.17797989955407928</c:v>
                </c:pt>
                <c:pt idx="99">
                  <c:v>0.16889316084191838</c:v>
                </c:pt>
                <c:pt idx="100">
                  <c:v>0.15918723779878491</c:v>
                </c:pt>
                <c:pt idx="101">
                  <c:v>0.15918723779878491</c:v>
                </c:pt>
                <c:pt idx="102">
                  <c:v>0.14878525609388019</c:v>
                </c:pt>
                <c:pt idx="103">
                  <c:v>0.13759908995463696</c:v>
                </c:pt>
              </c:numCache>
            </c:numRef>
          </c:yVal>
          <c:smooth val="1"/>
        </c:ser>
        <c:ser>
          <c:idx val="3"/>
          <c:order val="5"/>
          <c:tx>
            <c:v>CAMPO 3-4-4a</c:v>
          </c:tx>
          <c:spPr>
            <a:ln w="127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TABULATI!$P$144:$P$247</c:f>
              <c:numCache>
                <c:formatCode>0.000</c:formatCode>
                <c:ptCount val="104"/>
                <c:pt idx="0">
                  <c:v>0.24621247825325607</c:v>
                </c:pt>
                <c:pt idx="1">
                  <c:v>0.24798379104644491</c:v>
                </c:pt>
                <c:pt idx="2">
                  <c:v>0.24978077503953511</c:v>
                </c:pt>
                <c:pt idx="3">
                  <c:v>0.25160399237559006</c:v>
                </c:pt>
                <c:pt idx="4">
                  <c:v>0.25345402173129289</c:v>
                </c:pt>
                <c:pt idx="5">
                  <c:v>0.25533145892930253</c:v>
                </c:pt>
                <c:pt idx="6">
                  <c:v>0.25723691757802863</c:v>
                </c:pt>
                <c:pt idx="7">
                  <c:v>0.25917102974026945</c:v>
                </c:pt>
                <c:pt idx="8">
                  <c:v>0.26113444663224117</c:v>
                </c:pt>
                <c:pt idx="9">
                  <c:v>0.26312783935462469</c:v>
                </c:pt>
                <c:pt idx="10">
                  <c:v>0.26515189965735253</c:v>
                </c:pt>
                <c:pt idx="11">
                  <c:v>0.2672073407399676</c:v>
                </c:pt>
                <c:pt idx="12">
                  <c:v>0.26929489808949869</c:v>
                </c:pt>
                <c:pt idx="13">
                  <c:v>0.27141533035791993</c:v>
                </c:pt>
                <c:pt idx="14">
                  <c:v>0.27356942028139536</c:v>
                </c:pt>
                <c:pt idx="15">
                  <c:v>0.27575797564364657</c:v>
                </c:pt>
                <c:pt idx="16">
                  <c:v>0.2779818302859341</c:v>
                </c:pt>
                <c:pt idx="17">
                  <c:v>0.28024184516630746</c:v>
                </c:pt>
                <c:pt idx="18">
                  <c:v>0.28253890947094934</c:v>
                </c:pt>
                <c:pt idx="19">
                  <c:v>0.28487394178062658</c:v>
                </c:pt>
                <c:pt idx="20">
                  <c:v>0.28724789129546507</c:v>
                </c:pt>
                <c:pt idx="21">
                  <c:v>0.28966173912147736</c:v>
                </c:pt>
                <c:pt idx="22">
                  <c:v>0.29211649962250685</c:v>
                </c:pt>
                <c:pt idx="23">
                  <c:v>0.29461322184150263</c:v>
                </c:pt>
                <c:pt idx="24">
                  <c:v>0.29715299099530873</c:v>
                </c:pt>
                <c:pt idx="25">
                  <c:v>0.29973693004744184</c:v>
                </c:pt>
                <c:pt idx="26">
                  <c:v>0.30236620136364745</c:v>
                </c:pt>
                <c:pt idx="27">
                  <c:v>0.30504200845536117</c:v>
                </c:pt>
                <c:pt idx="28">
                  <c:v>0.30776559781656976</c:v>
                </c:pt>
                <c:pt idx="29">
                  <c:v>0.31053826085996233</c:v>
                </c:pt>
                <c:pt idx="30">
                  <c:v>0.3133613359586892</c:v>
                </c:pt>
                <c:pt idx="31">
                  <c:v>0.31623621060051205</c:v>
                </c:pt>
                <c:pt idx="32">
                  <c:v>0.31916432366162789</c:v>
                </c:pt>
                <c:pt idx="33">
                  <c:v>0.32214716780799829</c:v>
                </c:pt>
                <c:pt idx="34">
                  <c:v>0.32518629203260208</c:v>
                </c:pt>
                <c:pt idx="35">
                  <c:v>0.32828330433767444</c:v>
                </c:pt>
                <c:pt idx="36">
                  <c:v>0.3314398745716905</c:v>
                </c:pt>
                <c:pt idx="37">
                  <c:v>0.33465773743160987</c:v>
                </c:pt>
                <c:pt idx="38">
                  <c:v>0.33793869564172374</c:v>
                </c:pt>
                <c:pt idx="39">
                  <c:v>0.34128462332134474</c:v>
                </c:pt>
                <c:pt idx="40">
                  <c:v>0.34469746955455816</c:v>
                </c:pt>
                <c:pt idx="41">
                  <c:v>0.34817926217632145</c:v>
                </c:pt>
                <c:pt idx="42">
                  <c:v>0.35173211179036556</c:v>
                </c:pt>
                <c:pt idx="43">
                  <c:v>0.35535821603562706</c:v>
                </c:pt>
                <c:pt idx="44">
                  <c:v>0.35905986411933144</c:v>
                </c:pt>
                <c:pt idx="45">
                  <c:v>0.36283944163637705</c:v>
                </c:pt>
                <c:pt idx="46">
                  <c:v>0.36669943569633862</c:v>
                </c:pt>
                <c:pt idx="47">
                  <c:v>0.37064244038124539</c:v>
                </c:pt>
                <c:pt idx="48">
                  <c:v>0.37467116255930244</c:v>
                </c:pt>
                <c:pt idx="49">
                  <c:v>0.37878842808193203</c:v>
                </c:pt>
                <c:pt idx="50">
                  <c:v>0.38299718839395369</c:v>
                </c:pt>
                <c:pt idx="51">
                  <c:v>0.38730052758939132</c:v>
                </c:pt>
                <c:pt idx="52">
                  <c:v>0.39170166994836164</c:v>
                </c:pt>
                <c:pt idx="53">
                  <c:v>0.39620398799374512</c:v>
                </c:pt>
                <c:pt idx="54">
                  <c:v>0.4008110111099516</c:v>
                </c:pt>
                <c:pt idx="55">
                  <c:v>0.40552643477006861</c:v>
                </c:pt>
                <c:pt idx="56">
                  <c:v>0.41035413042209318</c:v>
                </c:pt>
                <c:pt idx="57">
                  <c:v>0.41529815608982928</c:v>
                </c:pt>
                <c:pt idx="58">
                  <c:v>0.42036276774946141</c:v>
                </c:pt>
                <c:pt idx="59">
                  <c:v>0.42555243154883748</c:v>
                </c:pt>
                <c:pt idx="60">
                  <c:v>0.43087183694319797</c:v>
                </c:pt>
                <c:pt idx="61">
                  <c:v>0.43632591082855493</c:v>
                </c:pt>
                <c:pt idx="62">
                  <c:v>0.44191983276225438</c:v>
                </c:pt>
                <c:pt idx="63">
                  <c:v>0.44765905136955614</c:v>
                </c:pt>
                <c:pt idx="64">
                  <c:v>0.45354930204547156</c:v>
                </c:pt>
                <c:pt idx="65">
                  <c:v>0.45959662607274443</c:v>
                </c:pt>
                <c:pt idx="66">
                  <c:v>0.46580739128994358</c:v>
                </c:pt>
                <c:pt idx="67">
                  <c:v>0.47218831445829884</c:v>
                </c:pt>
                <c:pt idx="68">
                  <c:v>0.47874648549244203</c:v>
                </c:pt>
                <c:pt idx="69">
                  <c:v>0.4854893937388145</c:v>
                </c:pt>
                <c:pt idx="70">
                  <c:v>0.49242495650651169</c:v>
                </c:pt>
                <c:pt idx="71">
                  <c:v>0.49956155007906988</c:v>
                </c:pt>
                <c:pt idx="72">
                  <c:v>0.50690804346258567</c:v>
                </c:pt>
                <c:pt idx="73">
                  <c:v>0.51447383515605705</c:v>
                </c:pt>
                <c:pt idx="74">
                  <c:v>0.52226889326448211</c:v>
                </c:pt>
                <c:pt idx="75">
                  <c:v>0.53030379931470484</c:v>
                </c:pt>
                <c:pt idx="76">
                  <c:v>0.53858979617899716</c:v>
                </c:pt>
                <c:pt idx="77">
                  <c:v>0.54713884056279072</c:v>
                </c:pt>
                <c:pt idx="78">
                  <c:v>0.55596366057186808</c:v>
                </c:pt>
                <c:pt idx="79">
                  <c:v>0.56507781894189846</c:v>
                </c:pt>
                <c:pt idx="80">
                  <c:v>0.57449578259093015</c:v>
                </c:pt>
                <c:pt idx="81">
                  <c:v>0.58423299924501371</c:v>
                </c:pt>
                <c:pt idx="82">
                  <c:v>0.60108626516078767</c:v>
                </c:pt>
                <c:pt idx="83">
                  <c:v>0.62119880471199485</c:v>
                </c:pt>
                <c:pt idx="84">
                  <c:v>0.64168371643236899</c:v>
                </c:pt>
                <c:pt idx="85">
                  <c:v>0.66256131153113762</c:v>
                </c:pt>
                <c:pt idx="86">
                  <c:v>0.68385340575154474</c:v>
                </c:pt>
                <c:pt idx="87">
                  <c:v>0.70558346130802263</c:v>
                </c:pt>
                <c:pt idx="88">
                  <c:v>0.72777674520072921</c:v>
                </c:pt>
                <c:pt idx="89">
                  <c:v>0.75046050615532522</c:v>
                </c:pt>
                <c:pt idx="90">
                  <c:v>0.77366417279552391</c:v>
                </c:pt>
                <c:pt idx="91">
                  <c:v>0.79741957608166825</c:v>
                </c:pt>
                <c:pt idx="92">
                  <c:v>0.82176119955412974</c:v>
                </c:pt>
                <c:pt idx="93">
                  <c:v>0.84672646152267328</c:v>
                </c:pt>
                <c:pt idx="94">
                  <c:v>0.87235603406313111</c:v>
                </c:pt>
                <c:pt idx="95">
                  <c:v>0.8986942045469628</c:v>
                </c:pt>
                <c:pt idx="96">
                  <c:v>0.92578928647030867</c:v>
                </c:pt>
                <c:pt idx="97">
                  <c:v>0.95369408760801788</c:v>
                </c:pt>
                <c:pt idx="98">
                  <c:v>0.98246644504683089</c:v>
                </c:pt>
                <c:pt idx="99">
                  <c:v>1.0121698385160969</c:v>
                </c:pt>
                <c:pt idx="100">
                  <c:v>1.0428740957180995</c:v>
                </c:pt>
                <c:pt idx="101">
                  <c:v>1.0428740957180995</c:v>
                </c:pt>
                <c:pt idx="102">
                  <c:v>1.0746562061707416</c:v>
                </c:pt>
                <c:pt idx="103">
                  <c:v>1.1076012635517059</c:v>
                </c:pt>
              </c:numCache>
            </c:numRef>
          </c:xVal>
          <c:yVal>
            <c:numRef>
              <c:f>Foglio1!$B$145:$B$248</c:f>
              <c:numCache>
                <c:formatCode>0.000</c:formatCode>
                <c:ptCount val="104"/>
                <c:pt idx="0">
                  <c:v>-0.24258183625035298</c:v>
                </c:pt>
                <c:pt idx="1">
                  <c:v>-0.24303061478587792</c:v>
                </c:pt>
                <c:pt idx="2">
                  <c:v>-0.24348314155461509</c:v>
                </c:pt>
                <c:pt idx="3">
                  <c:v>-0.24393943784811908</c:v>
                </c:pt>
                <c:pt idx="4">
                  <c:v>-0.24439952378318108</c:v>
                </c:pt>
                <c:pt idx="5">
                  <c:v>-0.2448634181911222</c:v>
                </c:pt>
                <c:pt idx="6">
                  <c:v>-0.24533113849909782</c:v>
                </c:pt>
                <c:pt idx="7">
                  <c:v>-0.24580270060283299</c:v>
                </c:pt>
                <c:pt idx="8">
                  <c:v>-0.24627811873016178</c:v>
                </c:pt>
                <c:pt idx="9">
                  <c:v>-0.24675740529469609</c:v>
                </c:pt>
                <c:pt idx="10">
                  <c:v>-0.24724057073889544</c:v>
                </c:pt>
                <c:pt idx="11">
                  <c:v>-0.24772762336575332</c:v>
                </c:pt>
                <c:pt idx="12">
                  <c:v>-0.24821856915825094</c:v>
                </c:pt>
                <c:pt idx="13">
                  <c:v>-0.24871341158566426</c:v>
                </c:pt>
                <c:pt idx="14">
                  <c:v>-0.24921215139573494</c:v>
                </c:pt>
                <c:pt idx="15">
                  <c:v>-0.24971478639163594</c:v>
                </c:pt>
                <c:pt idx="16">
                  <c:v>-0.25022131119257607</c:v>
                </c:pt>
                <c:pt idx="17">
                  <c:v>-0.25073171697679297</c:v>
                </c:pt>
                <c:pt idx="18">
                  <c:v>-0.25124599120558089</c:v>
                </c:pt>
                <c:pt idx="19">
                  <c:v>-0.25176411732688647</c:v>
                </c:pt>
                <c:pt idx="20">
                  <c:v>-0.25228607445688456</c:v>
                </c:pt>
                <c:pt idx="21">
                  <c:v>-0.25281183703781118</c:v>
                </c:pt>
                <c:pt idx="22">
                  <c:v>-0.25334137447018568</c:v>
                </c:pt>
                <c:pt idx="23">
                  <c:v>-0.25387465071739357</c:v>
                </c:pt>
                <c:pt idx="24">
                  <c:v>-0.25441162388042876</c:v>
                </c:pt>
                <c:pt idx="25">
                  <c:v>-0.25495224574040165</c:v>
                </c:pt>
                <c:pt idx="26">
                  <c:v>-0.25549646126621178</c:v>
                </c:pt>
                <c:pt idx="27">
                  <c:v>-0.25604420808455469</c:v>
                </c:pt>
                <c:pt idx="28">
                  <c:v>-0.25659541590918228</c:v>
                </c:pt>
                <c:pt idx="29">
                  <c:v>-0.25715000592606124</c:v>
                </c:pt>
                <c:pt idx="30">
                  <c:v>-0.25770789013077133</c:v>
                </c:pt>
                <c:pt idx="31">
                  <c:v>-0.25826897061415527</c:v>
                </c:pt>
                <c:pt idx="32">
                  <c:v>-0.25883313879186715</c:v>
                </c:pt>
                <c:pt idx="33">
                  <c:v>-0.25940027457306425</c:v>
                </c:pt>
                <c:pt idx="34">
                  <c:v>-0.25997024546304737</c:v>
                </c:pt>
                <c:pt idx="35">
                  <c:v>-0.26054290559416798</c:v>
                </c:pt>
                <c:pt idx="36">
                  <c:v>-0.26111809467878305</c:v>
                </c:pt>
                <c:pt idx="37">
                  <c:v>-0.26169563687744807</c:v>
                </c:pt>
                <c:pt idx="38">
                  <c:v>-0.26227533957488369</c:v>
                </c:pt>
                <c:pt idx="39">
                  <c:v>-0.26285699205552859</c:v>
                </c:pt>
                <c:pt idx="40">
                  <c:v>-0.26344036406969179</c:v>
                </c:pt>
                <c:pt idx="41">
                  <c:v>-0.26402520428043086</c:v>
                </c:pt>
                <c:pt idx="42">
                  <c:v>-0.26461123858030006</c:v>
                </c:pt>
                <c:pt idx="43">
                  <c:v>-0.26519816826602344</c:v>
                </c:pt>
                <c:pt idx="44">
                  <c:v>-0.26578566805793635</c:v>
                </c:pt>
                <c:pt idx="45">
                  <c:v>-0.26637338394969323</c:v>
                </c:pt>
                <c:pt idx="46">
                  <c:v>-0.26696093087224271</c:v>
                </c:pt>
                <c:pt idx="47">
                  <c:v>-0.26754789015439989</c:v>
                </c:pt>
                <c:pt idx="48">
                  <c:v>-0.26813380676048992</c:v>
                </c:pt>
                <c:pt idx="49">
                  <c:v>-0.26871818628345401</c:v>
                </c:pt>
                <c:pt idx="50">
                  <c:v>-0.26930049166949299</c:v>
                </c:pt>
                <c:pt idx="51">
                  <c:v>-0.26988013964772339</c:v>
                </c:pt>
                <c:pt idx="52">
                  <c:v>-0.27045649683541512</c:v>
                </c:pt>
                <c:pt idx="53">
                  <c:v>-0.27102887548611526</c:v>
                </c:pt>
                <c:pt idx="54">
                  <c:v>-0.27159652884430396</c:v>
                </c:pt>
                <c:pt idx="55">
                  <c:v>-0.27215864606611095</c:v>
                </c:pt>
                <c:pt idx="56">
                  <c:v>-0.27271434666098993</c:v>
                </c:pt>
                <c:pt idx="57">
                  <c:v>-0.27326267440402846</c:v>
                </c:pt>
                <c:pt idx="58">
                  <c:v>-0.27380259066268198</c:v>
                </c:pt>
                <c:pt idx="59">
                  <c:v>-0.2743329670750661</c:v>
                </c:pt>
                <c:pt idx="60">
                  <c:v>-0.27485257750941527</c:v>
                </c:pt>
                <c:pt idx="61">
                  <c:v>-0.27536008922578442</c:v>
                </c:pt>
                <c:pt idx="62">
                  <c:v>-0.27585405315139666</c:v>
                </c:pt>
                <c:pt idx="63">
                  <c:v>-0.27633289317004356</c:v>
                </c:pt>
                <c:pt idx="64">
                  <c:v>-0.27679489431343363</c:v>
                </c:pt>
                <c:pt idx="65">
                  <c:v>-0.27723818972812642</c:v>
                </c:pt>
                <c:pt idx="66">
                  <c:v>-0.27766074627540971</c:v>
                </c:pt>
                <c:pt idx="67">
                  <c:v>-0.27806034860286916</c:v>
                </c:pt>
                <c:pt idx="68">
                  <c:v>-0.27843458150508293</c:v>
                </c:pt>
                <c:pt idx="69">
                  <c:v>-0.27878081036642016</c:v>
                </c:pt>
                <c:pt idx="70">
                  <c:v>-0.27909615945081878</c:v>
                </c:pt>
                <c:pt idx="71">
                  <c:v>-0.27937748777105942</c:v>
                </c:pt>
                <c:pt idx="72">
                  <c:v>-0.27962136223272699</c:v>
                </c:pt>
                <c:pt idx="73">
                  <c:v>-0.2798240277049141</c:v>
                </c:pt>
                <c:pt idx="74">
                  <c:v>-0.27998137361976649</c:v>
                </c:pt>
                <c:pt idx="75">
                  <c:v>-0.28008889664500841</c:v>
                </c:pt>
                <c:pt idx="76">
                  <c:v>-0.28014165890618453</c:v>
                </c:pt>
                <c:pt idx="77">
                  <c:v>-0.28013424115681962</c:v>
                </c:pt>
                <c:pt idx="78">
                  <c:v>-0.28006069020296992</c:v>
                </c:pt>
                <c:pt idx="79">
                  <c:v>-0.27991445978127638</c:v>
                </c:pt>
                <c:pt idx="80">
                  <c:v>-0.27968834396365455</c:v>
                </c:pt>
                <c:pt idx="81">
                  <c:v>-0.27937440201358726</c:v>
                </c:pt>
                <c:pt idx="82">
                  <c:v>-0.27608225309695589</c:v>
                </c:pt>
                <c:pt idx="83">
                  <c:v>-0.27144886097888504</c:v>
                </c:pt>
                <c:pt idx="84">
                  <c:v>-0.26669850427652747</c:v>
                </c:pt>
                <c:pt idx="85">
                  <c:v>-0.26181933226035059</c:v>
                </c:pt>
                <c:pt idx="86">
                  <c:v>-0.25679820361678041</c:v>
                </c:pt>
                <c:pt idx="87">
                  <c:v>-0.25162052502140497</c:v>
                </c:pt>
                <c:pt idx="88">
                  <c:v>-0.2462700664202544</c:v>
                </c:pt>
                <c:pt idx="89">
                  <c:v>-0.24072874916927295</c:v>
                </c:pt>
                <c:pt idx="90">
                  <c:v>-0.23497640245955301</c:v>
                </c:pt>
                <c:pt idx="91">
                  <c:v>-0.22899048258067534</c:v>
                </c:pt>
                <c:pt idx="92">
                  <c:v>-0.22274574851052908</c:v>
                </c:pt>
                <c:pt idx="93">
                  <c:v>-0.21621388602176447</c:v>
                </c:pt>
                <c:pt idx="94">
                  <c:v>-0.20936307090485864</c:v>
                </c:pt>
                <c:pt idx="95">
                  <c:v>-0.2021574599521439</c:v>
                </c:pt>
                <c:pt idx="96">
                  <c:v>-0.19455659593198968</c:v>
                </c:pt>
                <c:pt idx="97">
                  <c:v>-0.18651470978660128</c:v>
                </c:pt>
                <c:pt idx="98">
                  <c:v>-0.17797989955407928</c:v>
                </c:pt>
                <c:pt idx="99">
                  <c:v>-0.16889316084191838</c:v>
                </c:pt>
                <c:pt idx="100">
                  <c:v>-0.15918723779878491</c:v>
                </c:pt>
                <c:pt idx="101">
                  <c:v>-0.15918723779878491</c:v>
                </c:pt>
                <c:pt idx="102">
                  <c:v>-0.14878525609388019</c:v>
                </c:pt>
                <c:pt idx="103">
                  <c:v>-0.13759908995463696</c:v>
                </c:pt>
              </c:numCache>
            </c:numRef>
          </c:yVal>
          <c:smooth val="1"/>
        </c:ser>
        <c:ser>
          <c:idx val="7"/>
          <c:order val="6"/>
          <c:tx>
            <c:v>CAMPO 5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TABULATI!$P$247:$P$268</c:f>
              <c:numCache>
                <c:formatCode>0.000</c:formatCode>
                <c:ptCount val="22"/>
                <c:pt idx="0">
                  <c:v>1.1076012635517059</c:v>
                </c:pt>
                <c:pt idx="1">
                  <c:v>1.1594084665991573</c:v>
                </c:pt>
                <c:pt idx="2">
                  <c:v>1.1819750227478918</c:v>
                </c:pt>
                <c:pt idx="3">
                  <c:v>1.2020992359576563</c:v>
                </c:pt>
                <c:pt idx="4">
                  <c:v>1.2199394250998106</c:v>
                </c:pt>
                <c:pt idx="5">
                  <c:v>1.2356505991542457</c:v>
                </c:pt>
                <c:pt idx="6">
                  <c:v>1.2493844572093842</c:v>
                </c:pt>
                <c:pt idx="7">
                  <c:v>1.2612893884621801</c:v>
                </c:pt>
                <c:pt idx="8">
                  <c:v>1.2715104722181172</c:v>
                </c:pt>
                <c:pt idx="9">
                  <c:v>1.2801894778912124</c:v>
                </c:pt>
                <c:pt idx="10">
                  <c:v>1.2874648650040128</c:v>
                </c:pt>
                <c:pt idx="11">
                  <c:v>1.2934717831875968</c:v>
                </c:pt>
                <c:pt idx="12">
                  <c:v>1.2983420721815748</c:v>
                </c:pt>
                <c:pt idx="13">
                  <c:v>1.3022042618340874</c:v>
                </c:pt>
                <c:pt idx="14">
                  <c:v>1.305183572101807</c:v>
                </c:pt>
                <c:pt idx="15">
                  <c:v>1.3074019130499375</c:v>
                </c:pt>
                <c:pt idx="16">
                  <c:v>1.3089778848522133</c:v>
                </c:pt>
                <c:pt idx="17">
                  <c:v>1.3100267777909007</c:v>
                </c:pt>
                <c:pt idx="18">
                  <c:v>1.3106605722567977</c:v>
                </c:pt>
                <c:pt idx="19">
                  <c:v>1.3109879387492316</c:v>
                </c:pt>
                <c:pt idx="20">
                  <c:v>1.3065133314391619</c:v>
                </c:pt>
                <c:pt idx="21">
                  <c:v>1.2985495658947954</c:v>
                </c:pt>
              </c:numCache>
            </c:numRef>
          </c:xVal>
          <c:yVal>
            <c:numRef>
              <c:f>TABULATI!$Q$247:$Q$268</c:f>
              <c:numCache>
                <c:formatCode>0.000</c:formatCode>
                <c:ptCount val="22"/>
                <c:pt idx="0">
                  <c:v>0.13759908995463696</c:v>
                </c:pt>
                <c:pt idx="1">
                  <c:v>0.1191236386410983</c:v>
                </c:pt>
                <c:pt idx="2">
                  <c:v>0.1055692345278843</c:v>
                </c:pt>
                <c:pt idx="3">
                  <c:v>9.3567890972181836E-2</c:v>
                </c:pt>
                <c:pt idx="4">
                  <c:v>8.2942028048547486E-2</c:v>
                </c:pt>
                <c:pt idx="5">
                  <c:v>7.3526130616624052E-2</c:v>
                </c:pt>
                <c:pt idx="6">
                  <c:v>6.5166459272398738E-2</c:v>
                </c:pt>
                <c:pt idx="7">
                  <c:v>5.7720761299461902E-2</c:v>
                </c:pt>
                <c:pt idx="8">
                  <c:v>5.1057981620266583E-2</c:v>
                </c:pt>
                <c:pt idx="9">
                  <c:v>4.5057973747385828E-2</c:v>
                </c:pt>
                <c:pt idx="10">
                  <c:v>3.9611210734772362E-2</c:v>
                </c:pt>
                <c:pt idx="11">
                  <c:v>3.4618496129017441E-2</c:v>
                </c:pt>
                <c:pt idx="12">
                  <c:v>2.9990674920608862E-2</c:v>
                </c:pt>
                <c:pt idx="13">
                  <c:v>2.5648344495190104E-2</c:v>
                </c:pt>
                <c:pt idx="14">
                  <c:v>2.1521565584819172E-2</c:v>
                </c:pt>
                <c:pt idx="15">
                  <c:v>1.7549573219227021E-2</c:v>
                </c:pt>
                <c:pt idx="16">
                  <c:v>1.3680487677076551E-2</c:v>
                </c:pt>
                <c:pt idx="17">
                  <c:v>9.8710254372210652E-3</c:v>
                </c:pt>
                <c:pt idx="18">
                  <c:v>6.0862101299631079E-3</c:v>
                </c:pt>
                <c:pt idx="19">
                  <c:v>2.2990834883131633E-3</c:v>
                </c:pt>
                <c:pt idx="20">
                  <c:v>4.4580153493168712E-4</c:v>
                </c:pt>
                <c:pt idx="21">
                  <c:v>-3.1212882579408673E-16</c:v>
                </c:pt>
              </c:numCache>
            </c:numRef>
          </c:yVal>
          <c:smooth val="1"/>
        </c:ser>
        <c:ser>
          <c:idx val="6"/>
          <c:order val="7"/>
          <c:tx>
            <c:v>CAMPO 5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TABULATI!$P$247:$P$268</c:f>
              <c:numCache>
                <c:formatCode>0.000</c:formatCode>
                <c:ptCount val="22"/>
                <c:pt idx="0">
                  <c:v>1.1076012635517059</c:v>
                </c:pt>
                <c:pt idx="1">
                  <c:v>1.1594084665991573</c:v>
                </c:pt>
                <c:pt idx="2">
                  <c:v>1.1819750227478918</c:v>
                </c:pt>
                <c:pt idx="3">
                  <c:v>1.2020992359576563</c:v>
                </c:pt>
                <c:pt idx="4">
                  <c:v>1.2199394250998106</c:v>
                </c:pt>
                <c:pt idx="5">
                  <c:v>1.2356505991542457</c:v>
                </c:pt>
                <c:pt idx="6">
                  <c:v>1.2493844572093842</c:v>
                </c:pt>
                <c:pt idx="7">
                  <c:v>1.2612893884621801</c:v>
                </c:pt>
                <c:pt idx="8">
                  <c:v>1.2715104722181172</c:v>
                </c:pt>
                <c:pt idx="9">
                  <c:v>1.2801894778912124</c:v>
                </c:pt>
                <c:pt idx="10">
                  <c:v>1.2874648650040128</c:v>
                </c:pt>
                <c:pt idx="11">
                  <c:v>1.2934717831875968</c:v>
                </c:pt>
                <c:pt idx="12">
                  <c:v>1.2983420721815748</c:v>
                </c:pt>
                <c:pt idx="13">
                  <c:v>1.3022042618340874</c:v>
                </c:pt>
                <c:pt idx="14">
                  <c:v>1.305183572101807</c:v>
                </c:pt>
                <c:pt idx="15">
                  <c:v>1.3074019130499375</c:v>
                </c:pt>
                <c:pt idx="16">
                  <c:v>1.3089778848522133</c:v>
                </c:pt>
                <c:pt idx="17">
                  <c:v>1.3100267777909007</c:v>
                </c:pt>
                <c:pt idx="18">
                  <c:v>1.3106605722567977</c:v>
                </c:pt>
                <c:pt idx="19">
                  <c:v>1.3109879387492316</c:v>
                </c:pt>
                <c:pt idx="20">
                  <c:v>1.3065133314391619</c:v>
                </c:pt>
                <c:pt idx="21">
                  <c:v>1.2985495658947954</c:v>
                </c:pt>
              </c:numCache>
            </c:numRef>
          </c:xVal>
          <c:yVal>
            <c:numRef>
              <c:f>Foglio1!$B$248:$B$269</c:f>
              <c:numCache>
                <c:formatCode>0.000</c:formatCode>
                <c:ptCount val="22"/>
                <c:pt idx="0">
                  <c:v>-0.13759908995463696</c:v>
                </c:pt>
                <c:pt idx="1">
                  <c:v>-0.1191236386410983</c:v>
                </c:pt>
                <c:pt idx="2">
                  <c:v>-0.1055692345278843</c:v>
                </c:pt>
                <c:pt idx="3">
                  <c:v>-9.3567890972181836E-2</c:v>
                </c:pt>
                <c:pt idx="4">
                  <c:v>-8.2942028048547486E-2</c:v>
                </c:pt>
                <c:pt idx="5">
                  <c:v>-7.3526130616624052E-2</c:v>
                </c:pt>
                <c:pt idx="6">
                  <c:v>-6.5166459272398738E-2</c:v>
                </c:pt>
                <c:pt idx="7">
                  <c:v>-5.7720761299461902E-2</c:v>
                </c:pt>
                <c:pt idx="8">
                  <c:v>-5.1057981620266583E-2</c:v>
                </c:pt>
                <c:pt idx="9">
                  <c:v>-4.5057973747385828E-2</c:v>
                </c:pt>
                <c:pt idx="10">
                  <c:v>-3.9611210734772362E-2</c:v>
                </c:pt>
                <c:pt idx="11">
                  <c:v>-3.4618496129017441E-2</c:v>
                </c:pt>
                <c:pt idx="12">
                  <c:v>-2.9990674920608862E-2</c:v>
                </c:pt>
                <c:pt idx="13">
                  <c:v>-2.5648344495190104E-2</c:v>
                </c:pt>
                <c:pt idx="14">
                  <c:v>-2.1521565584819172E-2</c:v>
                </c:pt>
                <c:pt idx="15">
                  <c:v>-1.7549573219227021E-2</c:v>
                </c:pt>
                <c:pt idx="16">
                  <c:v>-1.3680487677076551E-2</c:v>
                </c:pt>
                <c:pt idx="17">
                  <c:v>-9.8710254372210652E-3</c:v>
                </c:pt>
                <c:pt idx="18">
                  <c:v>-6.0862101299631079E-3</c:v>
                </c:pt>
                <c:pt idx="19">
                  <c:v>-2.2990834883131633E-3</c:v>
                </c:pt>
                <c:pt idx="20">
                  <c:v>-4.4580153493168712E-4</c:v>
                </c:pt>
                <c:pt idx="21">
                  <c:v>3.1212882579408673E-16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129008"/>
        <c:axId val="757130640"/>
      </c:scatterChart>
      <c:valAx>
        <c:axId val="757129008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757130640"/>
        <c:crosses val="autoZero"/>
        <c:crossBetween val="midCat"/>
      </c:valAx>
      <c:valAx>
        <c:axId val="75713064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757129008"/>
        <c:crosses val="autoZero"/>
        <c:crossBetween val="midCat"/>
        <c:majorUnit val="0.05"/>
      </c:valAx>
    </c:plotArea>
    <c:legend>
      <c:legendPos val="r"/>
      <c:layout>
        <c:manualLayout>
          <c:xMode val="edge"/>
          <c:yMode val="edge"/>
          <c:x val="0.86903698739785185"/>
          <c:y val="0.3151924750582491"/>
          <c:w val="0.11281301539435229"/>
          <c:h val="0.37292123404716454"/>
        </c:manualLayout>
      </c:layout>
      <c:overlay val="0"/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v>M-X</c:v>
          </c:tx>
          <c:spPr>
            <a:ln w="5715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'M-X'!$G$39:$G$41</c:f>
              <c:numCache>
                <c:formatCode>0.0000000</c:formatCode>
                <c:ptCount val="3"/>
                <c:pt idx="0">
                  <c:v>0</c:v>
                </c:pt>
                <c:pt idx="1">
                  <c:v>1.1333333333333334E-5</c:v>
                </c:pt>
                <c:pt idx="2">
                  <c:v>2.0060532337788607E-4</c:v>
                </c:pt>
              </c:numCache>
            </c:numRef>
          </c:cat>
          <c:val>
            <c:numRef>
              <c:f>'M-X'!$H$39:$H$41</c:f>
              <c:numCache>
                <c:formatCode>0.000</c:formatCode>
                <c:ptCount val="3"/>
                <c:pt idx="0">
                  <c:v>0</c:v>
                </c:pt>
                <c:pt idx="1">
                  <c:v>220.50380617243135</c:v>
                </c:pt>
                <c:pt idx="2">
                  <c:v>220.50380617243135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119216"/>
        <c:axId val="757131728"/>
      </c:lineChart>
      <c:catAx>
        <c:axId val="75711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/>
                  <a:t>CURVATURA</a:t>
                </a:r>
              </a:p>
            </c:rich>
          </c:tx>
          <c:layout>
            <c:manualLayout>
              <c:xMode val="edge"/>
              <c:yMode val="edge"/>
              <c:x val="0.86459008248968883"/>
              <c:y val="0.93347172913712695"/>
            </c:manualLayout>
          </c:layout>
          <c:overlay val="0"/>
        </c:title>
        <c:numFmt formatCode="0.000000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757131728"/>
        <c:crosses val="autoZero"/>
        <c:auto val="1"/>
        <c:lblAlgn val="ctr"/>
        <c:lblOffset val="100"/>
        <c:noMultiLvlLbl val="0"/>
      </c:catAx>
      <c:valAx>
        <c:axId val="757131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/>
                  <a:t>MOMENTO</a:t>
                </a:r>
              </a:p>
            </c:rich>
          </c:tx>
          <c:layout>
            <c:manualLayout>
              <c:xMode val="edge"/>
              <c:yMode val="edge"/>
              <c:x val="8.7325339007967642E-3"/>
              <c:y val="3.1163739619239926E-2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75711921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tiff"/><Relationship Id="rId1" Type="http://schemas.openxmlformats.org/officeDocument/2006/relationships/image" Target="../media/image2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10</xdr:col>
      <xdr:colOff>266700</xdr:colOff>
      <xdr:row>3</xdr:row>
      <xdr:rowOff>89463</xdr:rowOff>
    </xdr:to>
    <xdr:pic>
      <xdr:nvPicPr>
        <xdr:cNvPr id="2" name="Immagine 1" descr="Cattu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23825"/>
          <a:ext cx="5715000" cy="5371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285749</xdr:colOff>
      <xdr:row>2</xdr:row>
      <xdr:rowOff>408214</xdr:rowOff>
    </xdr:from>
    <xdr:to>
      <xdr:col>15</xdr:col>
      <xdr:colOff>244929</xdr:colOff>
      <xdr:row>17</xdr:row>
      <xdr:rowOff>190500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8428" y="1646464"/>
          <a:ext cx="5347608" cy="4109357"/>
        </a:xfrm>
        <a:prstGeom prst="rect">
          <a:avLst/>
        </a:prstGeom>
      </xdr:spPr>
    </xdr:pic>
    <xdr:clientData/>
  </xdr:twoCellAnchor>
  <xdr:twoCellAnchor editAs="oneCell">
    <xdr:from>
      <xdr:col>0</xdr:col>
      <xdr:colOff>472847</xdr:colOff>
      <xdr:row>52</xdr:row>
      <xdr:rowOff>3402</xdr:rowOff>
    </xdr:from>
    <xdr:to>
      <xdr:col>12</xdr:col>
      <xdr:colOff>122463</xdr:colOff>
      <xdr:row>90</xdr:row>
      <xdr:rowOff>231323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585355" y="12994823"/>
          <a:ext cx="9535207" cy="137602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723900</xdr:colOff>
          <xdr:row>5</xdr:row>
          <xdr:rowOff>47625</xdr:rowOff>
        </xdr:from>
        <xdr:to>
          <xdr:col>3</xdr:col>
          <xdr:colOff>409575</xdr:colOff>
          <xdr:row>7</xdr:row>
          <xdr:rowOff>314325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13607</xdr:rowOff>
    </xdr:from>
    <xdr:to>
      <xdr:col>18</xdr:col>
      <xdr:colOff>585106</xdr:colOff>
      <xdr:row>42</xdr:row>
      <xdr:rowOff>27214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108856</xdr:rowOff>
    </xdr:from>
    <xdr:to>
      <xdr:col>22</xdr:col>
      <xdr:colOff>571499</xdr:colOff>
      <xdr:row>41</xdr:row>
      <xdr:rowOff>71239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24</xdr:col>
      <xdr:colOff>285751</xdr:colOff>
      <xdr:row>7</xdr:row>
      <xdr:rowOff>27214</xdr:rowOff>
    </xdr:from>
    <xdr:ext cx="2160494" cy="742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sellaDiTesto 2"/>
            <xdr:cNvSpPr txBox="1"/>
          </xdr:nvSpPr>
          <xdr:spPr>
            <a:xfrm>
              <a:off x="14981465" y="1905000"/>
              <a:ext cx="2160494" cy="742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l-GR" sz="2000" i="1">
                        <a:latin typeface="Cambria Math" panose="02040503050406030204" pitchFamily="18" charset="0"/>
                      </a:rPr>
                      <m:t>ν</m:t>
                    </m:r>
                    <m:r>
                      <a:rPr lang="it-IT" sz="20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it-IT" sz="2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it-IT" sz="20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it-IT" sz="2000" b="0" i="1">
                                <a:latin typeface="Cambria Math" panose="02040503050406030204" pitchFamily="18" charset="0"/>
                              </a:rPr>
                              <m:t>𝑁</m:t>
                            </m:r>
                          </m:e>
                          <m:sub>
                            <m:r>
                              <a:rPr lang="it-IT" sz="2000" b="0" i="1">
                                <a:latin typeface="Cambria Math" panose="02040503050406030204" pitchFamily="18" charset="0"/>
                              </a:rPr>
                              <m:t>𝑠𝑑</m:t>
                            </m:r>
                          </m:sub>
                        </m:sSub>
                      </m:num>
                      <m:den>
                        <m:r>
                          <a:rPr lang="it-IT" sz="2000" b="0" i="1">
                            <a:latin typeface="Cambria Math" panose="02040503050406030204" pitchFamily="18" charset="0"/>
                          </a:rPr>
                          <m:t>0,85 </m:t>
                        </m:r>
                        <m:sSub>
                          <m:sSubPr>
                            <m:ctrlPr>
                              <a:rPr lang="it-IT" sz="20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it-IT" sz="2000" b="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e>
                          <m:sub>
                            <m:r>
                              <a:rPr lang="it-IT" sz="2000" b="0" i="1">
                                <a:latin typeface="Cambria Math" panose="02040503050406030204" pitchFamily="18" charset="0"/>
                              </a:rPr>
                              <m:t>𝑐𝑑</m:t>
                            </m:r>
                          </m:sub>
                        </m:sSub>
                        <m:r>
                          <a:rPr lang="it-IT" sz="20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it-IT" sz="2000" b="0" i="1">
                            <a:latin typeface="Cambria Math" panose="02040503050406030204" pitchFamily="18" charset="0"/>
                          </a:rPr>
                          <m:t>𝑏</m:t>
                        </m:r>
                        <m:r>
                          <a:rPr lang="it-IT" sz="20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it-IT" sz="2000" b="0" i="1">
                            <a:latin typeface="Cambria Math" panose="02040503050406030204" pitchFamily="18" charset="0"/>
                          </a:rPr>
                          <m:t>𝑑</m:t>
                        </m:r>
                      </m:den>
                    </m:f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3" name="CasellaDiTesto 2"/>
            <xdr:cNvSpPr txBox="1"/>
          </xdr:nvSpPr>
          <xdr:spPr>
            <a:xfrm>
              <a:off x="14981465" y="1905000"/>
              <a:ext cx="2160494" cy="742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l-GR" sz="2000" i="0">
                  <a:latin typeface="Cambria Math" panose="02040503050406030204" pitchFamily="18" charset="0"/>
                </a:rPr>
                <a:t>ν</a:t>
              </a:r>
              <a:r>
                <a:rPr lang="it-IT" sz="2000" b="0" i="0">
                  <a:latin typeface="Cambria Math" panose="02040503050406030204" pitchFamily="18" charset="0"/>
                </a:rPr>
                <a:t>=  𝑁_𝑠𝑑/(0,85 𝑓_𝑐𝑑  𝑏 𝑑)</a:t>
              </a:r>
              <a:endParaRPr lang="it-IT" sz="1100"/>
            </a:p>
          </xdr:txBody>
        </xdr:sp>
      </mc:Fallback>
    </mc:AlternateContent>
    <xdr:clientData/>
  </xdr:oneCellAnchor>
  <xdr:oneCellAnchor>
    <xdr:from>
      <xdr:col>24</xdr:col>
      <xdr:colOff>353786</xdr:colOff>
      <xdr:row>13</xdr:row>
      <xdr:rowOff>122464</xdr:rowOff>
    </xdr:from>
    <xdr:ext cx="2160494" cy="742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sellaDiTesto 3"/>
            <xdr:cNvSpPr txBox="1"/>
          </xdr:nvSpPr>
          <xdr:spPr>
            <a:xfrm>
              <a:off x="15049500" y="3143250"/>
              <a:ext cx="2160494" cy="742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l-GR" sz="2000" b="0" i="1">
                        <a:latin typeface="Cambria Math" panose="02040503050406030204" pitchFamily="18" charset="0"/>
                      </a:rPr>
                      <m:t>µ</m:t>
                    </m:r>
                    <m:r>
                      <a:rPr lang="it-IT" sz="20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it-IT" sz="2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it-IT" sz="20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it-IT" sz="2000" b="0" i="1">
                                <a:latin typeface="Cambria Math" panose="02040503050406030204" pitchFamily="18" charset="0"/>
                              </a:rPr>
                              <m:t>𝑀</m:t>
                            </m:r>
                          </m:e>
                          <m:sub>
                            <m:r>
                              <a:rPr lang="it-IT" sz="2000" b="0" i="1">
                                <a:latin typeface="Cambria Math" panose="02040503050406030204" pitchFamily="18" charset="0"/>
                              </a:rPr>
                              <m:t>𝑟𝑑</m:t>
                            </m:r>
                          </m:sub>
                        </m:sSub>
                      </m:num>
                      <m:den>
                        <m:r>
                          <a:rPr lang="it-IT" sz="2000" b="0" i="1">
                            <a:latin typeface="Cambria Math" panose="02040503050406030204" pitchFamily="18" charset="0"/>
                          </a:rPr>
                          <m:t>0,85 </m:t>
                        </m:r>
                        <m:sSub>
                          <m:sSubPr>
                            <m:ctrlPr>
                              <a:rPr lang="it-IT" sz="20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it-IT" sz="2000" b="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e>
                          <m:sub>
                            <m:r>
                              <a:rPr lang="it-IT" sz="2000" b="0" i="1">
                                <a:latin typeface="Cambria Math" panose="02040503050406030204" pitchFamily="18" charset="0"/>
                              </a:rPr>
                              <m:t>𝑐𝑑</m:t>
                            </m:r>
                          </m:sub>
                        </m:sSub>
                        <m:r>
                          <a:rPr lang="it-IT" sz="20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it-IT" sz="2000" b="0" i="1">
                            <a:latin typeface="Cambria Math" panose="02040503050406030204" pitchFamily="18" charset="0"/>
                          </a:rPr>
                          <m:t>𝑏</m:t>
                        </m:r>
                        <m:r>
                          <a:rPr lang="it-IT" sz="2000" b="0" i="1">
                            <a:latin typeface="Cambria Math" panose="02040503050406030204" pitchFamily="18" charset="0"/>
                          </a:rPr>
                          <m:t> </m:t>
                        </m:r>
                        <m:sSup>
                          <m:sSupPr>
                            <m:ctrlPr>
                              <a:rPr lang="it-IT" sz="20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it-IT" sz="2000" b="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</m:e>
                          <m:sup>
                            <m:r>
                              <a:rPr lang="it-IT" sz="20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4" name="CasellaDiTesto 3"/>
            <xdr:cNvSpPr txBox="1"/>
          </xdr:nvSpPr>
          <xdr:spPr>
            <a:xfrm>
              <a:off x="15049500" y="3143250"/>
              <a:ext cx="2160494" cy="742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l-GR" sz="2000" b="0" i="0">
                  <a:latin typeface="Cambria Math" panose="02040503050406030204" pitchFamily="18" charset="0"/>
                </a:rPr>
                <a:t>µ</a:t>
              </a:r>
              <a:r>
                <a:rPr lang="it-IT" sz="2000" b="0" i="0">
                  <a:latin typeface="Cambria Math" panose="02040503050406030204" pitchFamily="18" charset="0"/>
                </a:rPr>
                <a:t>=  𝑀_𝑟𝑑/(0,85 𝑓_𝑐𝑑  𝑏 𝑑^2 )</a:t>
              </a:r>
              <a:endParaRPr lang="it-IT" sz="110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176894</xdr:colOff>
      <xdr:row>8</xdr:row>
      <xdr:rowOff>27214</xdr:rowOff>
    </xdr:from>
    <xdr:to>
      <xdr:col>9</xdr:col>
      <xdr:colOff>830036</xdr:colOff>
      <xdr:row>35</xdr:row>
      <xdr:rowOff>27214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517072</xdr:colOff>
      <xdr:row>38</xdr:row>
      <xdr:rowOff>54429</xdr:rowOff>
    </xdr:from>
    <xdr:ext cx="2013857" cy="57971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sellaDiTesto 3"/>
            <xdr:cNvSpPr txBox="1"/>
          </xdr:nvSpPr>
          <xdr:spPr>
            <a:xfrm>
              <a:off x="4884965" y="8803822"/>
              <a:ext cx="2013857" cy="5797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l-GR" sz="2000" i="1">
                            <a:latin typeface="Cambria Math" panose="02040503050406030204" pitchFamily="18" charset="0"/>
                          </a:rPr>
                          <m:t>χ</m:t>
                        </m:r>
                      </m:e>
                      <m:sub>
                        <m:r>
                          <a:rPr lang="it-IT" sz="2000" b="0" i="1">
                            <a:latin typeface="Cambria Math" panose="02040503050406030204" pitchFamily="18" charset="0"/>
                          </a:rPr>
                          <m:t>𝑢</m:t>
                        </m:r>
                      </m:sub>
                    </m:sSub>
                    <m:r>
                      <a:rPr lang="it-IT" sz="20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it-IT" sz="2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it-IT" sz="20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it-IT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𝜀</m:t>
                            </m:r>
                          </m:e>
                          <m:sub>
                            <m:r>
                              <a:rPr lang="it-IT" sz="2000" b="0" i="1">
                                <a:latin typeface="Cambria Math" panose="02040503050406030204" pitchFamily="18" charset="0"/>
                              </a:rPr>
                              <m:t>𝑐𝑢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it-IT" sz="20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it-IT" sz="2000" b="0" i="1">
                                <a:latin typeface="Cambria Math" panose="02040503050406030204" pitchFamily="18" charset="0"/>
                              </a:rPr>
                              <m:t>𝑦</m:t>
                            </m:r>
                          </m:e>
                          <m:sub>
                            <m:r>
                              <a:rPr lang="it-IT" sz="2000" b="0" i="1">
                                <a:latin typeface="Cambria Math" panose="02040503050406030204" pitchFamily="18" charset="0"/>
                              </a:rPr>
                              <m:t>𝑢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it-IT" sz="2000"/>
            </a:p>
          </xdr:txBody>
        </xdr:sp>
      </mc:Choice>
      <mc:Fallback xmlns="">
        <xdr:sp macro="" textlink="">
          <xdr:nvSpPr>
            <xdr:cNvPr id="4" name="CasellaDiTesto 3"/>
            <xdr:cNvSpPr txBox="1"/>
          </xdr:nvSpPr>
          <xdr:spPr>
            <a:xfrm>
              <a:off x="4884965" y="8803822"/>
              <a:ext cx="2013857" cy="5797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l-GR" sz="2000" i="0">
                  <a:latin typeface="Cambria Math" panose="02040503050406030204" pitchFamily="18" charset="0"/>
                </a:rPr>
                <a:t>χ</a:t>
              </a:r>
              <a:r>
                <a:rPr lang="it-IT" sz="2000" i="0">
                  <a:latin typeface="Cambria Math" panose="02040503050406030204" pitchFamily="18" charset="0"/>
                </a:rPr>
                <a:t>_</a:t>
              </a:r>
              <a:r>
                <a:rPr lang="it-IT" sz="2000" b="0" i="0">
                  <a:latin typeface="Cambria Math" panose="02040503050406030204" pitchFamily="18" charset="0"/>
                </a:rPr>
                <a:t>𝑢=</a:t>
              </a:r>
              <a:r>
                <a:rPr lang="it-IT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𝜀_</a:t>
              </a:r>
              <a:r>
                <a:rPr lang="it-IT" sz="2000" b="0" i="0">
                  <a:latin typeface="Cambria Math" panose="02040503050406030204" pitchFamily="18" charset="0"/>
                </a:rPr>
                <a:t>𝑐𝑢/𝑦_𝑢 </a:t>
              </a:r>
              <a:endParaRPr lang="it-IT" sz="2000"/>
            </a:p>
          </xdr:txBody>
        </xdr:sp>
      </mc:Fallback>
    </mc:AlternateContent>
    <xdr:clientData/>
  </xdr:oneCellAnchor>
  <xdr:oneCellAnchor>
    <xdr:from>
      <xdr:col>3</xdr:col>
      <xdr:colOff>163286</xdr:colOff>
      <xdr:row>38</xdr:row>
      <xdr:rowOff>13607</xdr:rowOff>
    </xdr:from>
    <xdr:ext cx="1790700" cy="5865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sellaDiTesto 4"/>
            <xdr:cNvSpPr txBox="1"/>
          </xdr:nvSpPr>
          <xdr:spPr>
            <a:xfrm>
              <a:off x="3279322" y="8763000"/>
              <a:ext cx="1790700" cy="5865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l-GR" sz="2000" i="1">
                            <a:latin typeface="Cambria Math" panose="02040503050406030204" pitchFamily="18" charset="0"/>
                          </a:rPr>
                          <m:t>χ</m:t>
                        </m:r>
                      </m:e>
                      <m:sub>
                        <m:r>
                          <a:rPr lang="it-IT" sz="2000" b="0" i="1">
                            <a:latin typeface="Cambria Math" panose="02040503050406030204" pitchFamily="18" charset="0"/>
                          </a:rPr>
                          <m:t>𝑦</m:t>
                        </m:r>
                      </m:sub>
                    </m:sSub>
                    <m:r>
                      <a:rPr lang="it-IT" sz="20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it-IT" sz="2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it-IT" sz="2000" b="0" i="1">
                            <a:latin typeface="Cambria Math" panose="02040503050406030204" pitchFamily="18" charset="0"/>
                          </a:rPr>
                          <m:t>2</m:t>
                        </m:r>
                        <m:sSub>
                          <m:sSubPr>
                            <m:ctrlPr>
                              <a:rPr lang="it-IT" sz="20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it-IT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𝜀</m:t>
                            </m:r>
                          </m:e>
                          <m:sub>
                            <m:r>
                              <a:rPr lang="it-IT" sz="2000" b="0" i="1">
                                <a:latin typeface="Cambria Math" panose="02040503050406030204" pitchFamily="18" charset="0"/>
                              </a:rPr>
                              <m:t>𝑠𝑦</m:t>
                            </m:r>
                          </m:sub>
                        </m:sSub>
                      </m:num>
                      <m:den>
                        <m:r>
                          <a:rPr lang="it-IT" sz="2000" b="0" i="1">
                            <a:latin typeface="Cambria Math" panose="02040503050406030204" pitchFamily="18" charset="0"/>
                          </a:rPr>
                          <m:t>𝐻</m:t>
                        </m:r>
                        <m:r>
                          <a:rPr lang="it-IT" sz="2000" b="0" i="1">
                            <a:latin typeface="Cambria Math" panose="02040503050406030204" pitchFamily="18" charset="0"/>
                          </a:rPr>
                          <m:t>−2</m:t>
                        </m:r>
                        <m:sSup>
                          <m:sSupPr>
                            <m:ctrlPr>
                              <a:rPr lang="it-IT" sz="20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it-IT" sz="2000" b="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</m:e>
                          <m:sup>
                            <m:r>
                              <a:rPr lang="it-IT" sz="2000" b="0" i="1">
                                <a:latin typeface="Cambria Math" panose="02040503050406030204" pitchFamily="18" charset="0"/>
                              </a:rPr>
                              <m:t>′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it-IT" sz="2000"/>
            </a:p>
          </xdr:txBody>
        </xdr:sp>
      </mc:Choice>
      <mc:Fallback xmlns="">
        <xdr:sp macro="" textlink="">
          <xdr:nvSpPr>
            <xdr:cNvPr id="5" name="CasellaDiTesto 4"/>
            <xdr:cNvSpPr txBox="1"/>
          </xdr:nvSpPr>
          <xdr:spPr>
            <a:xfrm>
              <a:off x="3279322" y="8763000"/>
              <a:ext cx="1790700" cy="5865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l-GR" sz="2000" i="0">
                  <a:latin typeface="Cambria Math" panose="02040503050406030204" pitchFamily="18" charset="0"/>
                </a:rPr>
                <a:t>χ</a:t>
              </a:r>
              <a:r>
                <a:rPr lang="it-IT" sz="2000" i="0">
                  <a:latin typeface="Cambria Math" panose="02040503050406030204" pitchFamily="18" charset="0"/>
                </a:rPr>
                <a:t>_</a:t>
              </a:r>
              <a:r>
                <a:rPr lang="it-IT" sz="2000" b="0" i="0">
                  <a:latin typeface="Cambria Math" panose="02040503050406030204" pitchFamily="18" charset="0"/>
                </a:rPr>
                <a:t>𝑦=(2</a:t>
              </a:r>
              <a:r>
                <a:rPr lang="it-IT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𝜀_</a:t>
              </a:r>
              <a:r>
                <a:rPr lang="it-IT" sz="2000" b="0" i="0">
                  <a:latin typeface="Cambria Math" panose="02040503050406030204" pitchFamily="18" charset="0"/>
                </a:rPr>
                <a:t>𝑠𝑦)/(𝐻−2𝑑^′ )</a:t>
              </a:r>
              <a:endParaRPr lang="it-IT" sz="20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davidecicchini.i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9"/>
  <sheetViews>
    <sheetView showGridLines="0" showRowColHeaders="0" tabSelected="1" workbookViewId="0">
      <selection activeCell="H19" sqref="H19:J19"/>
    </sheetView>
  </sheetViews>
  <sheetFormatPr defaultRowHeight="15" x14ac:dyDescent="0.25"/>
  <sheetData>
    <row r="5" spans="2:5" ht="15.75" x14ac:dyDescent="0.25">
      <c r="B5" s="218" t="s">
        <v>142</v>
      </c>
      <c r="C5" s="218"/>
      <c r="D5" s="218"/>
      <c r="E5" s="218"/>
    </row>
    <row r="6" spans="2:5" ht="15.75" x14ac:dyDescent="0.25">
      <c r="B6" s="218" t="s">
        <v>147</v>
      </c>
      <c r="C6" s="218"/>
      <c r="D6" s="218"/>
      <c r="E6" s="218"/>
    </row>
    <row r="7" spans="2:5" ht="15.75" x14ac:dyDescent="0.25">
      <c r="B7" s="218" t="s">
        <v>156</v>
      </c>
      <c r="C7" s="218"/>
      <c r="D7" s="218"/>
      <c r="E7" s="218"/>
    </row>
    <row r="8" spans="2:5" ht="15.75" x14ac:dyDescent="0.25">
      <c r="B8" s="218" t="s">
        <v>148</v>
      </c>
      <c r="C8" s="218"/>
      <c r="D8" s="218"/>
      <c r="E8" s="218"/>
    </row>
    <row r="9" spans="2:5" ht="15.75" x14ac:dyDescent="0.25">
      <c r="B9" s="218" t="s">
        <v>157</v>
      </c>
      <c r="C9" s="218"/>
      <c r="D9" s="218"/>
      <c r="E9" s="218"/>
    </row>
    <row r="10" spans="2:5" ht="15.75" x14ac:dyDescent="0.25">
      <c r="B10" s="218" t="s">
        <v>149</v>
      </c>
      <c r="C10" s="218"/>
      <c r="D10" s="218"/>
      <c r="E10" s="218"/>
    </row>
    <row r="11" spans="2:5" ht="15.75" x14ac:dyDescent="0.25">
      <c r="B11" s="218" t="s">
        <v>150</v>
      </c>
      <c r="C11" s="218"/>
      <c r="D11" s="218"/>
      <c r="E11" s="218"/>
    </row>
    <row r="12" spans="2:5" ht="15.75" x14ac:dyDescent="0.25">
      <c r="B12" s="218" t="s">
        <v>151</v>
      </c>
      <c r="C12" s="218"/>
      <c r="D12" s="218"/>
      <c r="E12" s="218"/>
    </row>
    <row r="13" spans="2:5" ht="15.75" x14ac:dyDescent="0.25">
      <c r="B13" s="218" t="s">
        <v>152</v>
      </c>
      <c r="C13" s="218"/>
      <c r="D13" s="218"/>
      <c r="E13" s="218"/>
    </row>
    <row r="14" spans="2:5" ht="15.75" x14ac:dyDescent="0.25">
      <c r="B14" s="218" t="s">
        <v>153</v>
      </c>
      <c r="C14" s="218"/>
      <c r="D14" s="218"/>
      <c r="E14" s="218"/>
    </row>
    <row r="15" spans="2:5" ht="15.75" x14ac:dyDescent="0.25">
      <c r="B15" s="218" t="s">
        <v>155</v>
      </c>
      <c r="C15" s="218"/>
      <c r="D15" s="218"/>
      <c r="E15" s="218"/>
    </row>
    <row r="16" spans="2:5" ht="15.75" x14ac:dyDescent="0.25">
      <c r="B16" s="218" t="s">
        <v>158</v>
      </c>
      <c r="C16" s="218"/>
      <c r="D16" s="218"/>
      <c r="E16" s="218"/>
    </row>
    <row r="17" spans="2:10" ht="15.75" x14ac:dyDescent="0.25">
      <c r="B17" s="218"/>
      <c r="C17" s="218"/>
      <c r="D17" s="218"/>
      <c r="E17" s="218"/>
      <c r="H17" s="220" t="s">
        <v>154</v>
      </c>
      <c r="I17" s="220"/>
      <c r="J17" s="220"/>
    </row>
    <row r="19" spans="2:10" x14ac:dyDescent="0.25">
      <c r="H19" s="221" t="s">
        <v>160</v>
      </c>
      <c r="I19" s="222"/>
      <c r="J19" s="222"/>
    </row>
  </sheetData>
  <sheetProtection algorithmName="SHA-512" hashValue="UjxlIc1F3I4ItlrPV75GiAHnlIuh616dc84ZmtDXXlBeNtEf9KgaGRE6ilsbw8O8IttC4b6CsGOjedvU9TVE3w==" saltValue="K6MZWNuUOuxMRlrQnf6rpw==" spinCount="100000" sheet="1" objects="1" scenarios="1" selectLockedCells="1"/>
  <mergeCells count="2">
    <mergeCell ref="H17:J17"/>
    <mergeCell ref="H19:J19"/>
  </mergeCells>
  <hyperlinks>
    <hyperlink ref="H19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C452"/>
  <sheetViews>
    <sheetView showGridLines="0" showRowColHeaders="0" zoomScale="70" zoomScaleNormal="70" workbookViewId="0">
      <selection activeCell="C6" sqref="C6"/>
    </sheetView>
  </sheetViews>
  <sheetFormatPr defaultRowHeight="15" x14ac:dyDescent="0.25"/>
  <cols>
    <col min="2" max="2" width="23.5703125" customWidth="1"/>
    <col min="3" max="3" width="15.7109375" customWidth="1"/>
    <col min="4" max="4" width="15.85546875" customWidth="1"/>
    <col min="5" max="5" width="16.28515625" customWidth="1"/>
    <col min="6" max="6" width="20.140625" customWidth="1"/>
    <col min="7" max="7" width="17.42578125" customWidth="1"/>
    <col min="8" max="8" width="26" customWidth="1"/>
    <col min="9" max="9" width="15.5703125" customWidth="1"/>
    <col min="10" max="10" width="10.42578125" customWidth="1"/>
    <col min="11" max="11" width="20.5703125" customWidth="1"/>
    <col min="12" max="12" width="20.7109375" customWidth="1"/>
    <col min="13" max="13" width="20.5703125" customWidth="1"/>
    <col min="14" max="14" width="18.85546875" customWidth="1"/>
    <col min="15" max="15" width="20.5703125" customWidth="1"/>
    <col min="16" max="16" width="27.42578125" customWidth="1"/>
    <col min="17" max="19" width="15.7109375" customWidth="1"/>
    <col min="20" max="20" width="30" customWidth="1"/>
    <col min="21" max="21" width="31.42578125" customWidth="1"/>
    <col min="22" max="22" width="17.7109375" customWidth="1"/>
    <col min="23" max="23" width="15.85546875" customWidth="1"/>
    <col min="24" max="24" width="18.140625" customWidth="1"/>
    <col min="25" max="25" width="22.140625" customWidth="1"/>
    <col min="26" max="26" width="16.42578125" customWidth="1"/>
    <col min="27" max="27" width="32.42578125" customWidth="1"/>
    <col min="28" max="28" width="16.42578125" customWidth="1"/>
    <col min="29" max="29" width="15" customWidth="1"/>
  </cols>
  <sheetData>
    <row r="1" spans="2:27" ht="68.25" x14ac:dyDescent="0.25">
      <c r="B1" s="227" t="s">
        <v>44</v>
      </c>
      <c r="C1" s="227"/>
      <c r="D1" s="227"/>
      <c r="E1" s="227"/>
      <c r="F1" s="227"/>
      <c r="G1" s="227"/>
      <c r="H1" s="227"/>
      <c r="I1" s="227"/>
      <c r="J1" s="227"/>
      <c r="K1" s="227"/>
      <c r="L1" s="198"/>
      <c r="M1" s="198"/>
      <c r="N1" s="198"/>
      <c r="O1" s="198"/>
      <c r="P1" s="198"/>
      <c r="Q1" s="198"/>
      <c r="R1" s="198"/>
      <c r="S1" s="198"/>
    </row>
    <row r="2" spans="2:27" ht="28.5" x14ac:dyDescent="0.25">
      <c r="B2" s="228" t="s">
        <v>159</v>
      </c>
      <c r="C2" s="228"/>
      <c r="D2" s="228"/>
      <c r="E2" s="228"/>
      <c r="F2" s="228"/>
      <c r="G2" s="228"/>
      <c r="H2" s="228"/>
      <c r="I2" s="228"/>
      <c r="J2" s="228"/>
      <c r="K2" s="228"/>
      <c r="L2" s="199"/>
      <c r="M2" s="199"/>
      <c r="N2" s="199"/>
      <c r="O2" s="199"/>
      <c r="P2" s="199"/>
      <c r="Q2" s="199"/>
      <c r="R2" s="199"/>
      <c r="S2" s="199"/>
    </row>
    <row r="3" spans="2:27" ht="36" x14ac:dyDescent="0.25">
      <c r="B3" s="225" t="s">
        <v>46</v>
      </c>
      <c r="C3" s="226"/>
      <c r="D3" s="54"/>
      <c r="E3" s="54"/>
      <c r="F3" s="54"/>
      <c r="G3" s="54"/>
      <c r="H3" s="54"/>
      <c r="I3" s="54"/>
      <c r="J3" s="54"/>
      <c r="K3" s="5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2:27" ht="26.25" x14ac:dyDescent="0.25">
      <c r="B4" s="232" t="s">
        <v>123</v>
      </c>
      <c r="C4" s="233"/>
      <c r="D4" s="233"/>
      <c r="E4" s="233"/>
      <c r="F4" s="234"/>
      <c r="G4" s="232" t="s">
        <v>124</v>
      </c>
      <c r="H4" s="233"/>
      <c r="I4" s="233"/>
      <c r="J4" s="233"/>
      <c r="K4" s="234"/>
    </row>
    <row r="5" spans="2:27" ht="21.75" thickBot="1" x14ac:dyDescent="0.4">
      <c r="B5" s="57"/>
      <c r="C5" s="49"/>
      <c r="D5" s="49"/>
      <c r="E5" s="49"/>
      <c r="F5" s="6"/>
      <c r="G5" s="5"/>
      <c r="H5" s="201"/>
      <c r="I5" s="6"/>
      <c r="J5" s="6"/>
      <c r="K5" s="3"/>
    </row>
    <row r="6" spans="2:27" ht="22.5" thickTop="1" thickBot="1" x14ac:dyDescent="0.4">
      <c r="B6" s="58" t="s">
        <v>6</v>
      </c>
      <c r="C6" s="39">
        <v>400</v>
      </c>
      <c r="D6" s="19" t="s">
        <v>17</v>
      </c>
      <c r="E6" s="49" t="s">
        <v>32</v>
      </c>
      <c r="F6" s="6"/>
      <c r="G6" s="5"/>
      <c r="H6" s="53" t="s">
        <v>106</v>
      </c>
      <c r="I6" s="64">
        <v>15</v>
      </c>
      <c r="J6" s="19" t="s">
        <v>13</v>
      </c>
      <c r="K6" s="3"/>
    </row>
    <row r="7" spans="2:27" ht="22.5" thickTop="1" thickBot="1" x14ac:dyDescent="0.4">
      <c r="B7" s="59"/>
      <c r="C7" s="45"/>
      <c r="D7" s="60"/>
      <c r="E7" s="49"/>
      <c r="F7" s="6"/>
      <c r="G7" s="5"/>
      <c r="H7" s="51"/>
      <c r="I7" s="65" t="str">
        <f>IF(I6&gt;50,"CONCRETE ERROR",IF(I6&lt;5,"CONCRETE ERROR",""))</f>
        <v/>
      </c>
      <c r="J7" s="51"/>
      <c r="K7" s="3"/>
    </row>
    <row r="8" spans="2:27" ht="22.5" thickTop="1" thickBot="1" x14ac:dyDescent="0.4">
      <c r="B8" s="58" t="s">
        <v>7</v>
      </c>
      <c r="C8" s="39">
        <v>400</v>
      </c>
      <c r="D8" s="19" t="s">
        <v>17</v>
      </c>
      <c r="E8" s="49" t="s">
        <v>31</v>
      </c>
      <c r="F8" s="6"/>
      <c r="G8" s="5"/>
      <c r="H8" s="16" t="s">
        <v>107</v>
      </c>
      <c r="I8" s="40">
        <v>1.35</v>
      </c>
      <c r="J8" s="19" t="s">
        <v>42</v>
      </c>
      <c r="K8" s="3"/>
    </row>
    <row r="9" spans="2:27" ht="22.5" thickTop="1" thickBot="1" x14ac:dyDescent="0.4">
      <c r="B9" s="59"/>
      <c r="C9" s="45"/>
      <c r="D9" s="60"/>
      <c r="E9" s="49"/>
      <c r="F9" s="6"/>
      <c r="G9" s="5"/>
      <c r="K9" s="3"/>
    </row>
    <row r="10" spans="2:27" ht="22.5" thickTop="1" thickBot="1" x14ac:dyDescent="0.4">
      <c r="B10" s="58" t="s">
        <v>8</v>
      </c>
      <c r="C10" s="39">
        <v>35</v>
      </c>
      <c r="D10" s="19" t="s">
        <v>17</v>
      </c>
      <c r="E10" s="49" t="s">
        <v>63</v>
      </c>
      <c r="F10" s="6"/>
      <c r="G10" s="5"/>
      <c r="H10" s="53" t="s">
        <v>94</v>
      </c>
      <c r="I10" s="2">
        <f>I6/I8</f>
        <v>11.111111111111111</v>
      </c>
      <c r="J10" s="19" t="s">
        <v>13</v>
      </c>
      <c r="K10" s="3"/>
    </row>
    <row r="11" spans="2:27" ht="21.75" thickTop="1" x14ac:dyDescent="0.35">
      <c r="B11" s="5"/>
      <c r="C11" s="65" t="str">
        <f>IF(C10&lt;10,"h' ERROR","")</f>
        <v/>
      </c>
      <c r="D11" s="49" t="s">
        <v>62</v>
      </c>
      <c r="F11" s="6"/>
      <c r="G11" s="5"/>
      <c r="H11" s="53" t="s">
        <v>77</v>
      </c>
      <c r="I11" s="7">
        <f>'Calcolo Duttilità'!C15</f>
        <v>15.677563286763647</v>
      </c>
      <c r="J11" s="19" t="s">
        <v>13</v>
      </c>
      <c r="K11" s="3"/>
    </row>
    <row r="12" spans="2:27" ht="15.75" thickBot="1" x14ac:dyDescent="0.3">
      <c r="B12" s="5"/>
      <c r="F12" s="6"/>
      <c r="G12" s="5"/>
      <c r="K12" s="3"/>
    </row>
    <row r="13" spans="2:27" ht="22.5" thickTop="1" thickBot="1" x14ac:dyDescent="0.4">
      <c r="B13" s="58" t="s">
        <v>19</v>
      </c>
      <c r="C13" s="45">
        <f>IF((C10*2+(J23/2+J24/2))&gt;C8, "h' ERROR", C8-C10 )</f>
        <v>365</v>
      </c>
      <c r="D13" s="19" t="s">
        <v>17</v>
      </c>
      <c r="E13" s="49" t="s">
        <v>16</v>
      </c>
      <c r="F13" s="6"/>
      <c r="G13" s="5"/>
      <c r="H13" s="50" t="s">
        <v>101</v>
      </c>
      <c r="I13" s="42">
        <v>-4</v>
      </c>
      <c r="J13" s="19" t="s">
        <v>15</v>
      </c>
      <c r="K13" s="3"/>
    </row>
    <row r="14" spans="2:27" ht="22.5" thickTop="1" thickBot="1" x14ac:dyDescent="0.4">
      <c r="B14" s="57"/>
      <c r="C14" s="49"/>
      <c r="D14" s="60"/>
      <c r="E14" s="49"/>
      <c r="F14" s="6"/>
      <c r="G14" s="5"/>
      <c r="H14" s="50" t="s">
        <v>28</v>
      </c>
      <c r="I14" s="42">
        <v>-2</v>
      </c>
      <c r="J14" s="19" t="s">
        <v>15</v>
      </c>
      <c r="K14" s="3"/>
    </row>
    <row r="15" spans="2:27" ht="22.5" thickTop="1" thickBot="1" x14ac:dyDescent="0.4">
      <c r="B15" s="58"/>
      <c r="C15" s="8"/>
      <c r="D15" s="19"/>
      <c r="E15" s="49"/>
      <c r="F15" s="6"/>
      <c r="G15" s="5"/>
      <c r="H15" s="202"/>
      <c r="I15" s="9"/>
      <c r="J15" s="52"/>
      <c r="K15" s="3"/>
    </row>
    <row r="16" spans="2:27" ht="22.5" thickTop="1" thickBot="1" x14ac:dyDescent="0.4">
      <c r="B16" s="5"/>
      <c r="C16" s="6"/>
      <c r="D16" s="6"/>
      <c r="E16" s="49"/>
      <c r="F16" s="6"/>
      <c r="G16" s="5"/>
      <c r="H16" s="63" t="s">
        <v>14</v>
      </c>
      <c r="I16" s="41">
        <v>0.85</v>
      </c>
      <c r="J16" s="19" t="s">
        <v>42</v>
      </c>
      <c r="K16" s="3"/>
    </row>
    <row r="17" spans="2:29" ht="15.75" thickTop="1" x14ac:dyDescent="0.25">
      <c r="B17" s="62"/>
      <c r="G17" s="5"/>
      <c r="K17" s="3"/>
    </row>
    <row r="18" spans="2:29" ht="21" x14ac:dyDescent="0.25">
      <c r="B18" s="229" t="str">
        <f>IF(C6=C8,"SEZIONE QUADRATA","SEZIONE RETTANGOLARE")</f>
        <v>SEZIONE QUADRATA</v>
      </c>
      <c r="C18" s="230"/>
      <c r="D18" s="230"/>
      <c r="E18" s="230"/>
      <c r="F18" s="231"/>
      <c r="G18" s="229" t="s">
        <v>122</v>
      </c>
      <c r="H18" s="230"/>
      <c r="I18" s="230"/>
      <c r="J18" s="230"/>
      <c r="K18" s="231"/>
    </row>
    <row r="19" spans="2:29" ht="21" x14ac:dyDescent="0.35">
      <c r="B19" s="6"/>
      <c r="C19" s="6"/>
      <c r="D19" s="6"/>
      <c r="E19" s="6"/>
      <c r="F19" s="6"/>
      <c r="G19" s="6"/>
      <c r="H19" s="6"/>
      <c r="I19" s="6"/>
      <c r="J19" s="6"/>
      <c r="K19" s="49"/>
      <c r="L19" s="8"/>
      <c r="M19" s="8"/>
      <c r="N19" s="8"/>
      <c r="O19" s="8"/>
      <c r="P19" s="50"/>
      <c r="Q19" s="16"/>
      <c r="R19" s="16"/>
      <c r="S19" s="6"/>
    </row>
    <row r="20" spans="2:29" ht="26.25" x14ac:dyDescent="0.25">
      <c r="B20" s="232" t="s">
        <v>125</v>
      </c>
      <c r="C20" s="233"/>
      <c r="D20" s="233"/>
      <c r="E20" s="233"/>
      <c r="F20" s="234"/>
      <c r="G20" s="232" t="s">
        <v>126</v>
      </c>
      <c r="H20" s="233"/>
      <c r="I20" s="233"/>
      <c r="J20" s="233"/>
      <c r="K20" s="234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2:29" ht="15.75" thickBot="1" x14ac:dyDescent="0.3">
      <c r="B21" s="5"/>
      <c r="C21" s="6"/>
      <c r="D21" s="6"/>
      <c r="E21" s="204"/>
      <c r="F21" s="3"/>
      <c r="G21" s="5"/>
      <c r="H21" s="6"/>
      <c r="I21" s="6"/>
      <c r="J21" s="6"/>
      <c r="K21" s="3"/>
      <c r="Q21" s="6"/>
      <c r="R21" s="6"/>
      <c r="S21" s="6"/>
    </row>
    <row r="22" spans="2:29" ht="22.5" thickTop="1" thickBot="1" x14ac:dyDescent="0.3">
      <c r="B22" s="5"/>
      <c r="C22" s="19" t="s">
        <v>1</v>
      </c>
      <c r="D22" s="41">
        <v>430</v>
      </c>
      <c r="E22" s="19" t="s">
        <v>13</v>
      </c>
      <c r="F22" s="3"/>
      <c r="G22" s="5"/>
      <c r="H22" s="6"/>
      <c r="I22" s="19" t="s">
        <v>41</v>
      </c>
      <c r="J22" s="63" t="s">
        <v>52</v>
      </c>
      <c r="K22" s="3"/>
      <c r="Q22" s="6"/>
      <c r="R22" s="6"/>
      <c r="S22" s="6"/>
    </row>
    <row r="23" spans="2:29" ht="22.5" thickTop="1" thickBot="1" x14ac:dyDescent="0.3">
      <c r="B23" s="5"/>
      <c r="C23" s="19"/>
      <c r="D23" s="8"/>
      <c r="E23" s="19"/>
      <c r="F23" s="3"/>
      <c r="G23" s="223" t="s">
        <v>53</v>
      </c>
      <c r="H23" s="224"/>
      <c r="I23" s="95">
        <v>3</v>
      </c>
      <c r="J23" s="96">
        <v>20</v>
      </c>
      <c r="K23" s="3"/>
      <c r="Q23" s="6"/>
      <c r="R23" s="6"/>
      <c r="S23" s="6"/>
      <c r="T23" s="6"/>
    </row>
    <row r="24" spans="2:29" ht="22.5" thickTop="1" thickBot="1" x14ac:dyDescent="0.3">
      <c r="B24" s="5"/>
      <c r="C24" s="63" t="s">
        <v>60</v>
      </c>
      <c r="D24" s="42">
        <v>10</v>
      </c>
      <c r="E24" s="19" t="s">
        <v>15</v>
      </c>
      <c r="F24" s="3"/>
      <c r="G24" s="223" t="s">
        <v>54</v>
      </c>
      <c r="H24" s="238"/>
      <c r="I24" s="97">
        <f>I23</f>
        <v>3</v>
      </c>
      <c r="J24" s="97">
        <f>J23</f>
        <v>20</v>
      </c>
      <c r="K24" s="121"/>
      <c r="Q24" s="34"/>
      <c r="R24" s="34"/>
      <c r="S24" s="34"/>
      <c r="T24" s="34"/>
    </row>
    <row r="25" spans="2:29" ht="22.5" thickTop="1" thickBot="1" x14ac:dyDescent="0.3">
      <c r="B25" s="5"/>
      <c r="C25" s="201"/>
      <c r="D25" s="65" t="str">
        <f>IF(D24&lt;-I13, "steel ERROR","")</f>
        <v/>
      </c>
      <c r="E25" s="201"/>
      <c r="F25" s="3"/>
      <c r="G25" s="5"/>
      <c r="H25" s="6"/>
      <c r="I25" s="120"/>
      <c r="J25" s="120"/>
      <c r="K25" s="3"/>
    </row>
    <row r="26" spans="2:29" ht="22.5" thickTop="1" thickBot="1" x14ac:dyDescent="0.3">
      <c r="B26" s="5"/>
      <c r="C26" s="63" t="s">
        <v>43</v>
      </c>
      <c r="D26" s="41">
        <v>1.87</v>
      </c>
      <c r="E26" s="19" t="s">
        <v>15</v>
      </c>
      <c r="F26" s="3"/>
      <c r="G26" s="5"/>
      <c r="H26" s="19"/>
      <c r="I26" s="8"/>
      <c r="J26" s="19"/>
      <c r="K26" s="121"/>
      <c r="AB26" s="12"/>
      <c r="AC26" s="12"/>
    </row>
    <row r="27" spans="2:29" ht="20.25" thickTop="1" thickBot="1" x14ac:dyDescent="0.3">
      <c r="B27" s="5"/>
      <c r="C27" s="6"/>
      <c r="D27" s="6"/>
      <c r="E27" s="6"/>
      <c r="F27" s="3"/>
      <c r="G27" s="5"/>
      <c r="H27" s="6"/>
      <c r="I27" s="6"/>
      <c r="J27" s="6"/>
      <c r="K27" s="3"/>
      <c r="AB27" s="12"/>
      <c r="AC27" s="12"/>
    </row>
    <row r="28" spans="2:29" ht="22.5" thickTop="1" thickBot="1" x14ac:dyDescent="0.3">
      <c r="B28" s="5"/>
      <c r="C28" s="19" t="s">
        <v>2</v>
      </c>
      <c r="D28" s="41">
        <v>1.1499999999999999</v>
      </c>
      <c r="E28" s="19" t="s">
        <v>42</v>
      </c>
      <c r="F28" s="3"/>
      <c r="G28" s="5"/>
      <c r="H28" s="19" t="s">
        <v>9</v>
      </c>
      <c r="I28" s="7">
        <f>I23*(J23/2)^2*PI()</f>
        <v>942.47779607693792</v>
      </c>
      <c r="J28" s="19" t="s">
        <v>45</v>
      </c>
      <c r="K28" s="3"/>
      <c r="AB28" s="12"/>
      <c r="AC28" s="12"/>
    </row>
    <row r="29" spans="2:29" ht="21.75" thickTop="1" x14ac:dyDescent="0.25">
      <c r="B29" s="5"/>
      <c r="C29" s="19"/>
      <c r="D29" s="120"/>
      <c r="E29" s="51"/>
      <c r="F29" s="3"/>
      <c r="G29" s="5"/>
      <c r="H29" s="19" t="s">
        <v>10</v>
      </c>
      <c r="I29" s="7">
        <f>I24*(J24/2)^2*PI()</f>
        <v>942.47779607693792</v>
      </c>
      <c r="J29" s="19" t="s">
        <v>45</v>
      </c>
      <c r="K29" s="3"/>
      <c r="AB29" s="12"/>
      <c r="AC29" s="12"/>
    </row>
    <row r="30" spans="2:29" ht="21" x14ac:dyDescent="0.25">
      <c r="B30" s="5"/>
      <c r="C30" s="19" t="s">
        <v>0</v>
      </c>
      <c r="D30" s="7">
        <f>D22/D28</f>
        <v>373.91304347826087</v>
      </c>
      <c r="E30" s="19" t="s">
        <v>13</v>
      </c>
      <c r="F30" s="3"/>
      <c r="G30" s="5"/>
      <c r="H30" s="6"/>
      <c r="I30" s="6"/>
      <c r="J30" s="6"/>
      <c r="K30" s="3"/>
      <c r="AB30" s="12"/>
      <c r="AC30" s="12"/>
    </row>
    <row r="31" spans="2:29" ht="21.75" thickBot="1" x14ac:dyDescent="0.3">
      <c r="B31" s="5"/>
      <c r="C31" s="201"/>
      <c r="D31" s="204"/>
      <c r="E31" s="201"/>
      <c r="F31" s="3"/>
      <c r="G31" s="5"/>
      <c r="H31" s="63" t="s">
        <v>47</v>
      </c>
      <c r="I31" s="38">
        <f>I28*$D$30/($C$6*$C$8*$I$11)</f>
        <v>0.14048928343321618</v>
      </c>
      <c r="J31" s="19" t="s">
        <v>42</v>
      </c>
      <c r="K31" s="3"/>
      <c r="AB31" s="12"/>
      <c r="AC31" s="12"/>
    </row>
    <row r="32" spans="2:29" ht="22.5" thickTop="1" thickBot="1" x14ac:dyDescent="0.4">
      <c r="B32" s="5"/>
      <c r="C32" s="19" t="s">
        <v>56</v>
      </c>
      <c r="D32" s="219">
        <f>D30/(D26*10^-3)</f>
        <v>199953.49918623574</v>
      </c>
      <c r="E32" s="19" t="s">
        <v>13</v>
      </c>
      <c r="F32" s="3"/>
      <c r="G32" s="5"/>
      <c r="H32" s="63" t="s">
        <v>48</v>
      </c>
      <c r="I32" s="38">
        <f>I29*$D$30/($C$6*$C$8*$I$11)</f>
        <v>0.14048928343321618</v>
      </c>
      <c r="J32" s="19" t="s">
        <v>42</v>
      </c>
      <c r="K32" s="3"/>
      <c r="AB32" s="12"/>
      <c r="AC32" s="12"/>
    </row>
    <row r="33" spans="2:29" ht="19.5" thickTop="1" x14ac:dyDescent="0.25">
      <c r="B33" s="5"/>
      <c r="C33" s="6"/>
      <c r="D33" s="6"/>
      <c r="E33" s="6"/>
      <c r="F33" s="3"/>
      <c r="G33" s="62"/>
      <c r="H33" s="203"/>
      <c r="I33" s="203"/>
      <c r="J33" s="203"/>
      <c r="K33" s="55"/>
      <c r="AB33" s="12"/>
      <c r="AC33" s="12"/>
    </row>
    <row r="34" spans="2:29" ht="21" x14ac:dyDescent="0.25">
      <c r="B34" s="229" t="s">
        <v>49</v>
      </c>
      <c r="C34" s="230"/>
      <c r="D34" s="230"/>
      <c r="E34" s="230"/>
      <c r="F34" s="231"/>
      <c r="G34" s="235" t="str">
        <f>IF(I28=I29, "ARMATURA SIMMETRICA", "-")</f>
        <v>ARMATURA SIMMETRICA</v>
      </c>
      <c r="H34" s="236"/>
      <c r="I34" s="236"/>
      <c r="J34" s="236"/>
      <c r="K34" s="237"/>
      <c r="AB34" s="12"/>
      <c r="AC34" s="12"/>
    </row>
    <row r="35" spans="2:29" ht="18.75" x14ac:dyDescent="0.25">
      <c r="AB35" s="12"/>
      <c r="AC35" s="12"/>
    </row>
    <row r="36" spans="2:29" ht="26.25" x14ac:dyDescent="0.25">
      <c r="B36" s="232" t="s">
        <v>127</v>
      </c>
      <c r="C36" s="233"/>
      <c r="D36" s="233"/>
      <c r="E36" s="233"/>
      <c r="F36" s="234"/>
      <c r="G36" s="232" t="s">
        <v>128</v>
      </c>
      <c r="H36" s="233"/>
      <c r="I36" s="233"/>
      <c r="J36" s="233"/>
      <c r="K36" s="239"/>
      <c r="AB36" s="12"/>
      <c r="AC36" s="12"/>
    </row>
    <row r="37" spans="2:29" ht="19.5" thickBot="1" x14ac:dyDescent="0.3">
      <c r="B37" s="5"/>
      <c r="C37" s="6"/>
      <c r="E37" s="77"/>
      <c r="G37" s="5"/>
      <c r="H37" s="6"/>
      <c r="I37" s="118"/>
      <c r="J37" s="6"/>
      <c r="K37" s="61"/>
      <c r="AB37" s="12"/>
      <c r="AC37" s="12"/>
    </row>
    <row r="38" spans="2:29" ht="22.5" thickTop="1" thickBot="1" x14ac:dyDescent="0.3">
      <c r="B38" s="223" t="s">
        <v>84</v>
      </c>
      <c r="C38" s="224"/>
      <c r="D38" s="41">
        <v>230000</v>
      </c>
      <c r="E38" s="19" t="s">
        <v>13</v>
      </c>
      <c r="F38" s="78"/>
      <c r="G38" s="5"/>
      <c r="H38" s="6"/>
      <c r="I38" s="118"/>
      <c r="J38" s="6"/>
      <c r="K38" s="61"/>
      <c r="AB38" s="12"/>
      <c r="AC38" s="12"/>
    </row>
    <row r="39" spans="2:29" ht="22.5" thickTop="1" thickBot="1" x14ac:dyDescent="0.3">
      <c r="B39" s="223" t="s">
        <v>86</v>
      </c>
      <c r="C39" s="224"/>
      <c r="D39" s="41">
        <v>20</v>
      </c>
      <c r="E39" s="19" t="s">
        <v>17</v>
      </c>
      <c r="F39" s="78"/>
      <c r="G39" s="5"/>
      <c r="H39" s="19" t="s">
        <v>72</v>
      </c>
      <c r="I39" s="41">
        <v>800</v>
      </c>
      <c r="J39" s="76" t="s">
        <v>73</v>
      </c>
      <c r="K39" s="3"/>
      <c r="AB39" s="12"/>
      <c r="AC39" s="12"/>
    </row>
    <row r="40" spans="2:29" ht="22.5" thickTop="1" thickBot="1" x14ac:dyDescent="0.3">
      <c r="B40" s="241" t="s">
        <v>87</v>
      </c>
      <c r="C40" s="242"/>
      <c r="D40" s="64">
        <v>2</v>
      </c>
      <c r="E40" s="19" t="s">
        <v>42</v>
      </c>
      <c r="F40" s="66" t="str">
        <f>IF(D40&gt;4,"ERROR","")</f>
        <v/>
      </c>
      <c r="G40" s="5"/>
      <c r="H40" s="118"/>
      <c r="I40" s="6"/>
      <c r="J40" s="6"/>
      <c r="K40" s="3"/>
      <c r="AB40" s="12"/>
      <c r="AC40" s="12"/>
    </row>
    <row r="41" spans="2:29" ht="22.5" thickTop="1" thickBot="1" x14ac:dyDescent="0.3">
      <c r="B41" s="223" t="s">
        <v>88</v>
      </c>
      <c r="C41" s="224"/>
      <c r="D41" s="41">
        <v>0.16500000000000001</v>
      </c>
      <c r="E41" s="19" t="s">
        <v>17</v>
      </c>
      <c r="F41" s="78"/>
      <c r="G41" s="5"/>
      <c r="H41" s="19" t="s">
        <v>121</v>
      </c>
      <c r="I41" s="117">
        <f>(1/1.1*C6*C8*I11+D30*I28)/10^3</f>
        <v>2632.777582852887</v>
      </c>
      <c r="J41" s="76" t="s">
        <v>73</v>
      </c>
      <c r="K41" s="3"/>
      <c r="AB41" s="12"/>
      <c r="AC41" s="12"/>
    </row>
    <row r="42" spans="2:29" ht="22.5" thickTop="1" thickBot="1" x14ac:dyDescent="0.3">
      <c r="B42" s="241" t="s">
        <v>89</v>
      </c>
      <c r="C42" s="242"/>
      <c r="D42" s="40">
        <v>17.5</v>
      </c>
      <c r="E42" s="19" t="s">
        <v>15</v>
      </c>
      <c r="F42" s="78"/>
      <c r="G42" s="5"/>
      <c r="H42" s="6"/>
      <c r="I42" s="6"/>
      <c r="J42" s="6"/>
      <c r="K42" s="3"/>
      <c r="AB42" s="12"/>
      <c r="AC42" s="12"/>
    </row>
    <row r="43" spans="2:29" ht="22.5" thickTop="1" thickBot="1" x14ac:dyDescent="0.3">
      <c r="B43" s="223" t="s">
        <v>93</v>
      </c>
      <c r="C43" s="224"/>
      <c r="D43" s="41">
        <v>1.1000000000000001</v>
      </c>
      <c r="E43" s="19" t="s">
        <v>42</v>
      </c>
      <c r="F43" s="78"/>
      <c r="G43" s="5"/>
      <c r="H43" s="206" t="s">
        <v>70</v>
      </c>
      <c r="I43" s="56">
        <f>I39*10^3/(C6*C8*I11*I16)</f>
        <v>0.37520836839120664</v>
      </c>
      <c r="J43" s="19" t="s">
        <v>71</v>
      </c>
      <c r="K43" s="3"/>
      <c r="AB43" s="12"/>
      <c r="AC43" s="12"/>
    </row>
    <row r="44" spans="2:29" ht="22.5" thickTop="1" thickBot="1" x14ac:dyDescent="0.3">
      <c r="B44" s="223" t="s">
        <v>91</v>
      </c>
      <c r="C44" s="224"/>
      <c r="D44" s="104">
        <v>1.2</v>
      </c>
      <c r="E44" s="19" t="s">
        <v>42</v>
      </c>
      <c r="F44" s="78"/>
      <c r="G44" s="5"/>
      <c r="H44" s="118"/>
      <c r="I44" s="6"/>
      <c r="J44" s="6"/>
      <c r="K44" s="3"/>
      <c r="AB44" s="12"/>
      <c r="AC44" s="12"/>
    </row>
    <row r="45" spans="2:29" ht="24.75" thickTop="1" thickBot="1" x14ac:dyDescent="0.3">
      <c r="B45" s="248" t="s">
        <v>92</v>
      </c>
      <c r="C45" s="249"/>
      <c r="D45" s="104">
        <v>0.95</v>
      </c>
      <c r="E45" s="19" t="s">
        <v>42</v>
      </c>
      <c r="G45" s="5"/>
      <c r="H45" s="240" t="s">
        <v>67</v>
      </c>
      <c r="I45" s="240"/>
      <c r="J45" s="240"/>
      <c r="K45" s="3"/>
      <c r="AB45" s="12"/>
      <c r="AC45" s="12"/>
    </row>
    <row r="46" spans="2:29" ht="22.5" thickTop="1" thickBot="1" x14ac:dyDescent="0.3">
      <c r="B46" s="223" t="s">
        <v>99</v>
      </c>
      <c r="C46" s="224"/>
      <c r="D46" s="101">
        <v>3</v>
      </c>
      <c r="E46" s="19" t="s">
        <v>42</v>
      </c>
      <c r="F46" s="78"/>
      <c r="G46" s="5"/>
      <c r="H46" s="240" t="s">
        <v>68</v>
      </c>
      <c r="I46" s="240"/>
      <c r="J46" s="240"/>
      <c r="K46" s="3"/>
      <c r="AB46" s="12"/>
      <c r="AC46" s="12"/>
    </row>
    <row r="47" spans="2:29" ht="21.75" thickTop="1" x14ac:dyDescent="0.25">
      <c r="B47" s="243" t="s">
        <v>104</v>
      </c>
      <c r="C47" s="244"/>
      <c r="D47" s="107">
        <f>D41*D40</f>
        <v>0.33</v>
      </c>
      <c r="E47" s="19" t="s">
        <v>17</v>
      </c>
      <c r="F47" s="78"/>
      <c r="G47" s="5"/>
      <c r="H47" s="6"/>
      <c r="I47" s="118"/>
      <c r="J47" s="6"/>
      <c r="K47" s="61"/>
      <c r="AB47" s="12"/>
      <c r="AC47" s="12"/>
    </row>
    <row r="48" spans="2:29" ht="21" x14ac:dyDescent="0.25">
      <c r="B48" s="223" t="s">
        <v>77</v>
      </c>
      <c r="C48" s="238"/>
      <c r="D48" s="7">
        <f>'Calcolo Duttilità'!C15</f>
        <v>15.677563286763647</v>
      </c>
      <c r="E48" s="19" t="s">
        <v>13</v>
      </c>
      <c r="F48" s="78"/>
      <c r="G48" s="5"/>
      <c r="H48" s="6"/>
      <c r="I48" s="118"/>
      <c r="J48" s="6"/>
      <c r="K48" s="61"/>
      <c r="AB48" s="12"/>
      <c r="AC48" s="12"/>
    </row>
    <row r="49" spans="2:29" ht="21" x14ac:dyDescent="0.25">
      <c r="B49" s="245" t="s">
        <v>83</v>
      </c>
      <c r="C49" s="246"/>
      <c r="D49" s="106">
        <f>'Calcolo Duttilità'!C43</f>
        <v>1.141613043913134</v>
      </c>
      <c r="E49" s="19" t="s">
        <v>102</v>
      </c>
      <c r="F49" s="78"/>
      <c r="G49" s="5"/>
      <c r="H49" s="6"/>
      <c r="I49" s="118"/>
      <c r="J49" s="6"/>
      <c r="K49" s="61"/>
      <c r="AB49" s="12"/>
      <c r="AC49" s="12"/>
    </row>
    <row r="50" spans="2:29" ht="21" x14ac:dyDescent="0.25">
      <c r="B50" s="235" t="s">
        <v>85</v>
      </c>
      <c r="C50" s="236"/>
      <c r="D50" s="236"/>
      <c r="E50" s="236"/>
      <c r="F50" s="237"/>
      <c r="G50" s="235" t="str">
        <f>IF(I43&gt;0.65,"SFORZO ECCESSIVO!","")</f>
        <v/>
      </c>
      <c r="H50" s="236"/>
      <c r="I50" s="236"/>
      <c r="J50" s="236"/>
      <c r="K50" s="247"/>
      <c r="AB50" s="12"/>
      <c r="AC50" s="12"/>
    </row>
    <row r="51" spans="2:29" ht="18.75" x14ac:dyDescent="0.25">
      <c r="AB51" s="12"/>
      <c r="AC51" s="12"/>
    </row>
    <row r="52" spans="2:29" ht="18.75" x14ac:dyDescent="0.25">
      <c r="AB52" s="12"/>
      <c r="AC52" s="12"/>
    </row>
    <row r="53" spans="2:29" ht="18.75" x14ac:dyDescent="0.25">
      <c r="AB53" s="12"/>
      <c r="AC53" s="12"/>
    </row>
    <row r="54" spans="2:29" ht="18.75" x14ac:dyDescent="0.25">
      <c r="AB54" s="12"/>
      <c r="AC54" s="12"/>
    </row>
    <row r="55" spans="2:29" ht="18.75" x14ac:dyDescent="0.25">
      <c r="AB55" s="12"/>
      <c r="AC55" s="12"/>
    </row>
    <row r="56" spans="2:29" ht="18.75" x14ac:dyDescent="0.25">
      <c r="AB56" s="12"/>
      <c r="AC56" s="12"/>
    </row>
    <row r="57" spans="2:29" ht="18.75" x14ac:dyDescent="0.25">
      <c r="AB57" s="12"/>
      <c r="AC57" s="12"/>
    </row>
    <row r="58" spans="2:29" ht="18.75" x14ac:dyDescent="0.25">
      <c r="AB58" s="12"/>
      <c r="AC58" s="12"/>
    </row>
    <row r="59" spans="2:29" ht="18.75" x14ac:dyDescent="0.25">
      <c r="AB59" s="12"/>
      <c r="AC59" s="12"/>
    </row>
    <row r="60" spans="2:29" ht="18.75" x14ac:dyDescent="0.25">
      <c r="AB60" s="12"/>
      <c r="AC60" s="12"/>
    </row>
    <row r="61" spans="2:29" ht="18.75" x14ac:dyDescent="0.25">
      <c r="AB61" s="12"/>
      <c r="AC61" s="12"/>
    </row>
    <row r="62" spans="2:29" ht="18.75" x14ac:dyDescent="0.25">
      <c r="AB62" s="12"/>
      <c r="AC62" s="12"/>
    </row>
    <row r="63" spans="2:29" ht="18.75" x14ac:dyDescent="0.25">
      <c r="AB63" s="12"/>
      <c r="AC63" s="12"/>
    </row>
    <row r="64" spans="2:29" ht="18.75" x14ac:dyDescent="0.25">
      <c r="AB64" s="12"/>
      <c r="AC64" s="12"/>
    </row>
    <row r="65" spans="28:29" ht="18.75" x14ac:dyDescent="0.25">
      <c r="AB65" s="12"/>
      <c r="AC65" s="12"/>
    </row>
    <row r="66" spans="28:29" ht="18.75" x14ac:dyDescent="0.25">
      <c r="AB66" s="12"/>
      <c r="AC66" s="12"/>
    </row>
    <row r="67" spans="28:29" ht="18.75" x14ac:dyDescent="0.25">
      <c r="AB67" s="12"/>
      <c r="AC67" s="12"/>
    </row>
    <row r="68" spans="28:29" ht="18.75" x14ac:dyDescent="0.25">
      <c r="AB68" s="12"/>
      <c r="AC68" s="12"/>
    </row>
    <row r="69" spans="28:29" ht="18.75" x14ac:dyDescent="0.25">
      <c r="AB69" s="12"/>
      <c r="AC69" s="12"/>
    </row>
    <row r="70" spans="28:29" ht="18.75" x14ac:dyDescent="0.25">
      <c r="AB70" s="12"/>
      <c r="AC70" s="12"/>
    </row>
    <row r="71" spans="28:29" ht="18.75" x14ac:dyDescent="0.25">
      <c r="AB71" s="12"/>
      <c r="AC71" s="12"/>
    </row>
    <row r="72" spans="28:29" ht="18.75" x14ac:dyDescent="0.25">
      <c r="AB72" s="12"/>
      <c r="AC72" s="12"/>
    </row>
    <row r="73" spans="28:29" ht="18.75" x14ac:dyDescent="0.25">
      <c r="AB73" s="12"/>
      <c r="AC73" s="12"/>
    </row>
    <row r="74" spans="28:29" ht="18.75" x14ac:dyDescent="0.25">
      <c r="AB74" s="12"/>
      <c r="AC74" s="12"/>
    </row>
    <row r="75" spans="28:29" ht="18.75" x14ac:dyDescent="0.25">
      <c r="AB75" s="12"/>
      <c r="AC75" s="12"/>
    </row>
    <row r="76" spans="28:29" ht="18.75" x14ac:dyDescent="0.25">
      <c r="AB76" s="12"/>
      <c r="AC76" s="12"/>
    </row>
    <row r="77" spans="28:29" ht="18.75" x14ac:dyDescent="0.25">
      <c r="AB77" s="12"/>
      <c r="AC77" s="12"/>
    </row>
    <row r="78" spans="28:29" ht="18.75" x14ac:dyDescent="0.25">
      <c r="AB78" s="12"/>
      <c r="AC78" s="12"/>
    </row>
    <row r="79" spans="28:29" ht="18.75" x14ac:dyDescent="0.25">
      <c r="AB79" s="12"/>
      <c r="AC79" s="12"/>
    </row>
    <row r="80" spans="28:29" ht="18.75" x14ac:dyDescent="0.25">
      <c r="AB80" s="12"/>
      <c r="AC80" s="12"/>
    </row>
    <row r="81" spans="28:29" ht="18.75" x14ac:dyDescent="0.25">
      <c r="AB81" s="12"/>
      <c r="AC81" s="12"/>
    </row>
    <row r="82" spans="28:29" ht="18.75" x14ac:dyDescent="0.25">
      <c r="AB82" s="12"/>
      <c r="AC82" s="12"/>
    </row>
    <row r="83" spans="28:29" ht="18.75" x14ac:dyDescent="0.25">
      <c r="AB83" s="12"/>
      <c r="AC83" s="12"/>
    </row>
    <row r="84" spans="28:29" ht="18.75" x14ac:dyDescent="0.25">
      <c r="AB84" s="12"/>
      <c r="AC84" s="12"/>
    </row>
    <row r="85" spans="28:29" ht="18.75" x14ac:dyDescent="0.25">
      <c r="AB85" s="12"/>
      <c r="AC85" s="12"/>
    </row>
    <row r="86" spans="28:29" ht="18.75" x14ac:dyDescent="0.25">
      <c r="AB86" s="12"/>
      <c r="AC86" s="12"/>
    </row>
    <row r="87" spans="28:29" ht="18.75" x14ac:dyDescent="0.25">
      <c r="AB87" s="12"/>
      <c r="AC87" s="12"/>
    </row>
    <row r="88" spans="28:29" ht="18.75" x14ac:dyDescent="0.25">
      <c r="AB88" s="12"/>
      <c r="AC88" s="12"/>
    </row>
    <row r="89" spans="28:29" ht="18.75" x14ac:dyDescent="0.25">
      <c r="AB89" s="12"/>
      <c r="AC89" s="12"/>
    </row>
    <row r="90" spans="28:29" ht="18.75" x14ac:dyDescent="0.25">
      <c r="AB90" s="12"/>
      <c r="AC90" s="12"/>
    </row>
    <row r="91" spans="28:29" ht="18.75" x14ac:dyDescent="0.25">
      <c r="AB91" s="12"/>
      <c r="AC91" s="12"/>
    </row>
    <row r="92" spans="28:29" ht="18.75" x14ac:dyDescent="0.25">
      <c r="AB92" s="12"/>
      <c r="AC92" s="12"/>
    </row>
    <row r="93" spans="28:29" ht="18.75" x14ac:dyDescent="0.25">
      <c r="AB93" s="12"/>
      <c r="AC93" s="12"/>
    </row>
    <row r="94" spans="28:29" ht="18.75" x14ac:dyDescent="0.25">
      <c r="AB94" s="12"/>
      <c r="AC94" s="12"/>
    </row>
    <row r="95" spans="28:29" ht="18.75" x14ac:dyDescent="0.25">
      <c r="AB95" s="12"/>
      <c r="AC95" s="12"/>
    </row>
    <row r="96" spans="28:29" ht="18.75" x14ac:dyDescent="0.25">
      <c r="AB96" s="12"/>
      <c r="AC96" s="12"/>
    </row>
    <row r="97" spans="28:29" ht="18.75" x14ac:dyDescent="0.25">
      <c r="AB97" s="12"/>
      <c r="AC97" s="12"/>
    </row>
    <row r="98" spans="28:29" ht="18.75" x14ac:dyDescent="0.25">
      <c r="AB98" s="12"/>
      <c r="AC98" s="12"/>
    </row>
    <row r="99" spans="28:29" ht="18.75" x14ac:dyDescent="0.25">
      <c r="AB99" s="12"/>
      <c r="AC99" s="12"/>
    </row>
    <row r="100" spans="28:29" ht="18.75" x14ac:dyDescent="0.25">
      <c r="AB100" s="12"/>
      <c r="AC100" s="12"/>
    </row>
    <row r="101" spans="28:29" ht="18.75" x14ac:dyDescent="0.25">
      <c r="AB101" s="12"/>
      <c r="AC101" s="12"/>
    </row>
    <row r="102" spans="28:29" ht="18.75" x14ac:dyDescent="0.25">
      <c r="AB102" s="12"/>
      <c r="AC102" s="12"/>
    </row>
    <row r="103" spans="28:29" ht="18.75" x14ac:dyDescent="0.25">
      <c r="AB103" s="12"/>
      <c r="AC103" s="12"/>
    </row>
    <row r="104" spans="28:29" ht="18.75" x14ac:dyDescent="0.25">
      <c r="AB104" s="12"/>
      <c r="AC104" s="12"/>
    </row>
    <row r="105" spans="28:29" ht="18.75" x14ac:dyDescent="0.25">
      <c r="AB105" s="12"/>
      <c r="AC105" s="12"/>
    </row>
    <row r="106" spans="28:29" ht="18.75" x14ac:dyDescent="0.25">
      <c r="AB106" s="12"/>
      <c r="AC106" s="12"/>
    </row>
    <row r="107" spans="28:29" ht="18.75" x14ac:dyDescent="0.25">
      <c r="AB107" s="12"/>
      <c r="AC107" s="12"/>
    </row>
    <row r="108" spans="28:29" ht="18.75" x14ac:dyDescent="0.25">
      <c r="AB108" s="12"/>
      <c r="AC108" s="12"/>
    </row>
    <row r="109" spans="28:29" ht="18.75" x14ac:dyDescent="0.25">
      <c r="AB109" s="12"/>
      <c r="AC109" s="12"/>
    </row>
    <row r="110" spans="28:29" ht="18.75" x14ac:dyDescent="0.25">
      <c r="AB110" s="12"/>
      <c r="AC110" s="12"/>
    </row>
    <row r="111" spans="28:29" ht="18.75" x14ac:dyDescent="0.25">
      <c r="AB111" s="12"/>
      <c r="AC111" s="12"/>
    </row>
    <row r="112" spans="28:29" ht="18.75" x14ac:dyDescent="0.25">
      <c r="AB112" s="12"/>
      <c r="AC112" s="12"/>
    </row>
    <row r="113" spans="28:29" ht="18.75" x14ac:dyDescent="0.25">
      <c r="AB113" s="12"/>
      <c r="AC113" s="12"/>
    </row>
    <row r="114" spans="28:29" ht="18.75" x14ac:dyDescent="0.25">
      <c r="AB114" s="12"/>
      <c r="AC114" s="12"/>
    </row>
    <row r="115" spans="28:29" ht="18.75" x14ac:dyDescent="0.25">
      <c r="AB115" s="12"/>
      <c r="AC115" s="12"/>
    </row>
    <row r="116" spans="28:29" ht="18.75" x14ac:dyDescent="0.25">
      <c r="AB116" s="12"/>
      <c r="AC116" s="12"/>
    </row>
    <row r="117" spans="28:29" ht="18.75" x14ac:dyDescent="0.25">
      <c r="AB117" s="12"/>
      <c r="AC117" s="12"/>
    </row>
    <row r="118" spans="28:29" ht="18.75" x14ac:dyDescent="0.25">
      <c r="AB118" s="12"/>
      <c r="AC118" s="12"/>
    </row>
    <row r="119" spans="28:29" ht="18.75" x14ac:dyDescent="0.25">
      <c r="AB119" s="12"/>
      <c r="AC119" s="12"/>
    </row>
    <row r="120" spans="28:29" ht="18.75" x14ac:dyDescent="0.25">
      <c r="AB120" s="12"/>
      <c r="AC120" s="12"/>
    </row>
    <row r="121" spans="28:29" ht="18.75" x14ac:dyDescent="0.25">
      <c r="AB121" s="12"/>
      <c r="AC121" s="12"/>
    </row>
    <row r="122" spans="28:29" ht="18.75" x14ac:dyDescent="0.25">
      <c r="AB122" s="12"/>
      <c r="AC122" s="12"/>
    </row>
    <row r="123" spans="28:29" ht="18.75" x14ac:dyDescent="0.25">
      <c r="AB123" s="12"/>
      <c r="AC123" s="12"/>
    </row>
    <row r="124" spans="28:29" ht="18.75" x14ac:dyDescent="0.25">
      <c r="AB124" s="12"/>
      <c r="AC124" s="12"/>
    </row>
    <row r="125" spans="28:29" ht="18.75" x14ac:dyDescent="0.25">
      <c r="AB125" s="12"/>
      <c r="AC125" s="12"/>
    </row>
    <row r="126" spans="28:29" ht="18.75" x14ac:dyDescent="0.25">
      <c r="AB126" s="12"/>
      <c r="AC126" s="12"/>
    </row>
    <row r="127" spans="28:29" ht="18.75" x14ac:dyDescent="0.25">
      <c r="AB127" s="12"/>
      <c r="AC127" s="12"/>
    </row>
    <row r="128" spans="28:29" ht="18.75" x14ac:dyDescent="0.25">
      <c r="AB128" s="12"/>
      <c r="AC128" s="12"/>
    </row>
    <row r="129" spans="28:29" ht="18.75" x14ac:dyDescent="0.25">
      <c r="AB129" s="12"/>
      <c r="AC129" s="12"/>
    </row>
    <row r="130" spans="28:29" ht="18.75" x14ac:dyDescent="0.25">
      <c r="AB130" s="12"/>
      <c r="AC130" s="12"/>
    </row>
    <row r="131" spans="28:29" ht="18.75" x14ac:dyDescent="0.25">
      <c r="AB131" s="12"/>
      <c r="AC131" s="12"/>
    </row>
    <row r="132" spans="28:29" ht="18.75" x14ac:dyDescent="0.25">
      <c r="AB132" s="12"/>
      <c r="AC132" s="12"/>
    </row>
    <row r="133" spans="28:29" ht="18.75" x14ac:dyDescent="0.25">
      <c r="AB133" s="12"/>
      <c r="AC133" s="12"/>
    </row>
    <row r="134" spans="28:29" ht="18.75" x14ac:dyDescent="0.25">
      <c r="AB134" s="12"/>
      <c r="AC134" s="12"/>
    </row>
    <row r="135" spans="28:29" ht="18.75" x14ac:dyDescent="0.25">
      <c r="AB135" s="12"/>
      <c r="AC135" s="12"/>
    </row>
    <row r="136" spans="28:29" ht="18.75" x14ac:dyDescent="0.25">
      <c r="AB136" s="12"/>
      <c r="AC136" s="12"/>
    </row>
    <row r="137" spans="28:29" ht="18.75" x14ac:dyDescent="0.25">
      <c r="AB137" s="12"/>
      <c r="AC137" s="12"/>
    </row>
    <row r="138" spans="28:29" ht="18.75" x14ac:dyDescent="0.25">
      <c r="AB138" s="12"/>
      <c r="AC138" s="12"/>
    </row>
    <row r="139" spans="28:29" ht="18.75" x14ac:dyDescent="0.25">
      <c r="AB139" s="12"/>
      <c r="AC139" s="12"/>
    </row>
    <row r="140" spans="28:29" ht="18.75" x14ac:dyDescent="0.25">
      <c r="AB140" s="12"/>
      <c r="AC140" s="12"/>
    </row>
    <row r="141" spans="28:29" ht="18.75" x14ac:dyDescent="0.25">
      <c r="AB141" s="12"/>
      <c r="AC141" s="12"/>
    </row>
    <row r="142" spans="28:29" ht="18.75" x14ac:dyDescent="0.25">
      <c r="AB142" s="12"/>
      <c r="AC142" s="12"/>
    </row>
    <row r="143" spans="28:29" ht="18.75" x14ac:dyDescent="0.25">
      <c r="AB143" s="12"/>
      <c r="AC143" s="12"/>
    </row>
    <row r="144" spans="28:29" ht="18.75" x14ac:dyDescent="0.25">
      <c r="AB144" s="12"/>
      <c r="AC144" s="12"/>
    </row>
    <row r="145" spans="28:29" ht="18.75" x14ac:dyDescent="0.25">
      <c r="AB145" s="12"/>
      <c r="AC145" s="12"/>
    </row>
    <row r="146" spans="28:29" ht="18.75" x14ac:dyDescent="0.25">
      <c r="AB146" s="12"/>
      <c r="AC146" s="12"/>
    </row>
    <row r="147" spans="28:29" ht="18.75" x14ac:dyDescent="0.25">
      <c r="AB147" s="12"/>
      <c r="AC147" s="12"/>
    </row>
    <row r="148" spans="28:29" ht="18.75" x14ac:dyDescent="0.25">
      <c r="AB148" s="12"/>
      <c r="AC148" s="12"/>
    </row>
    <row r="149" spans="28:29" ht="18.75" x14ac:dyDescent="0.25">
      <c r="AB149" s="12"/>
      <c r="AC149" s="12"/>
    </row>
    <row r="150" spans="28:29" ht="18.75" x14ac:dyDescent="0.25">
      <c r="AB150" s="12"/>
      <c r="AC150" s="12"/>
    </row>
    <row r="151" spans="28:29" ht="18.75" x14ac:dyDescent="0.25">
      <c r="AB151" s="12"/>
      <c r="AC151" s="12"/>
    </row>
    <row r="152" spans="28:29" ht="18.75" x14ac:dyDescent="0.25">
      <c r="AB152" s="12"/>
      <c r="AC152" s="12"/>
    </row>
    <row r="153" spans="28:29" ht="18.75" x14ac:dyDescent="0.25">
      <c r="AB153" s="12"/>
      <c r="AC153" s="12"/>
    </row>
    <row r="154" spans="28:29" ht="18.75" x14ac:dyDescent="0.25">
      <c r="AB154" s="12"/>
      <c r="AC154" s="12"/>
    </row>
    <row r="155" spans="28:29" ht="18.75" x14ac:dyDescent="0.25">
      <c r="AB155" s="12"/>
      <c r="AC155" s="12"/>
    </row>
    <row r="156" spans="28:29" ht="18.75" x14ac:dyDescent="0.25">
      <c r="AB156" s="12"/>
      <c r="AC156" s="12"/>
    </row>
    <row r="157" spans="28:29" ht="18.75" x14ac:dyDescent="0.25">
      <c r="AB157" s="12"/>
      <c r="AC157" s="12"/>
    </row>
    <row r="158" spans="28:29" ht="18.75" x14ac:dyDescent="0.25">
      <c r="AB158" s="12"/>
      <c r="AC158" s="12"/>
    </row>
    <row r="159" spans="28:29" ht="18.75" x14ac:dyDescent="0.25">
      <c r="AB159" s="12"/>
      <c r="AC159" s="12"/>
    </row>
    <row r="160" spans="28:29" ht="18.75" x14ac:dyDescent="0.25">
      <c r="AB160" s="12"/>
      <c r="AC160" s="12"/>
    </row>
    <row r="161" spans="28:29" ht="18.75" x14ac:dyDescent="0.25">
      <c r="AB161" s="12"/>
      <c r="AC161" s="12"/>
    </row>
    <row r="162" spans="28:29" ht="18.75" x14ac:dyDescent="0.25">
      <c r="AB162" s="12"/>
      <c r="AC162" s="12"/>
    </row>
    <row r="163" spans="28:29" ht="18.75" x14ac:dyDescent="0.25">
      <c r="AC163" s="12"/>
    </row>
    <row r="164" spans="28:29" ht="18.75" x14ac:dyDescent="0.25">
      <c r="AC164" s="12"/>
    </row>
    <row r="165" spans="28:29" ht="18.75" x14ac:dyDescent="0.25">
      <c r="AC165" s="12"/>
    </row>
    <row r="166" spans="28:29" ht="18.75" x14ac:dyDescent="0.25">
      <c r="AC166" s="12"/>
    </row>
    <row r="167" spans="28:29" ht="18.75" x14ac:dyDescent="0.25">
      <c r="AC167" s="12"/>
    </row>
    <row r="168" spans="28:29" ht="18.75" x14ac:dyDescent="0.25">
      <c r="AB168" s="12"/>
      <c r="AC168" s="12"/>
    </row>
    <row r="169" spans="28:29" ht="18.75" x14ac:dyDescent="0.25">
      <c r="AB169" s="12"/>
      <c r="AC169" s="12"/>
    </row>
    <row r="170" spans="28:29" ht="18.75" x14ac:dyDescent="0.25">
      <c r="AB170" s="12"/>
      <c r="AC170" s="12"/>
    </row>
    <row r="171" spans="28:29" ht="18.75" x14ac:dyDescent="0.25">
      <c r="AB171" s="12"/>
      <c r="AC171" s="12"/>
    </row>
    <row r="172" spans="28:29" ht="18.75" x14ac:dyDescent="0.25">
      <c r="AB172" s="12"/>
      <c r="AC172" s="12"/>
    </row>
    <row r="173" spans="28:29" ht="18.75" x14ac:dyDescent="0.25">
      <c r="AB173" s="12"/>
      <c r="AC173" s="12"/>
    </row>
    <row r="174" spans="28:29" ht="18.75" x14ac:dyDescent="0.25">
      <c r="AB174" s="12"/>
      <c r="AC174" s="12"/>
    </row>
    <row r="175" spans="28:29" ht="18.75" x14ac:dyDescent="0.25">
      <c r="AB175" s="12"/>
      <c r="AC175" s="12"/>
    </row>
    <row r="176" spans="28:29" ht="18.75" x14ac:dyDescent="0.25">
      <c r="AB176" s="12"/>
      <c r="AC176" s="12"/>
    </row>
    <row r="177" spans="28:29" ht="18.75" x14ac:dyDescent="0.25">
      <c r="AB177" s="12"/>
      <c r="AC177" s="12"/>
    </row>
    <row r="178" spans="28:29" ht="18.75" x14ac:dyDescent="0.25">
      <c r="AB178" s="12"/>
      <c r="AC178" s="12"/>
    </row>
    <row r="179" spans="28:29" ht="18.75" x14ac:dyDescent="0.25">
      <c r="AB179" s="12"/>
      <c r="AC179" s="12"/>
    </row>
    <row r="180" spans="28:29" ht="18.75" x14ac:dyDescent="0.25">
      <c r="AB180" s="12"/>
      <c r="AC180" s="12"/>
    </row>
    <row r="181" spans="28:29" ht="18.75" x14ac:dyDescent="0.25">
      <c r="AB181" s="12"/>
      <c r="AC181" s="12"/>
    </row>
    <row r="182" spans="28:29" ht="18.75" x14ac:dyDescent="0.25">
      <c r="AB182" s="12"/>
      <c r="AC182" s="12"/>
    </row>
    <row r="183" spans="28:29" ht="18.75" x14ac:dyDescent="0.25">
      <c r="AB183" s="12"/>
      <c r="AC183" s="12"/>
    </row>
    <row r="184" spans="28:29" ht="18.75" x14ac:dyDescent="0.25">
      <c r="AB184" s="12"/>
      <c r="AC184" s="12"/>
    </row>
    <row r="185" spans="28:29" ht="18.75" x14ac:dyDescent="0.25">
      <c r="AB185" s="12"/>
      <c r="AC185" s="12"/>
    </row>
    <row r="186" spans="28:29" ht="18.75" x14ac:dyDescent="0.25">
      <c r="AB186" s="12"/>
      <c r="AC186" s="12"/>
    </row>
    <row r="187" spans="28:29" ht="18.75" x14ac:dyDescent="0.25">
      <c r="AB187" s="12"/>
      <c r="AC187" s="12"/>
    </row>
    <row r="188" spans="28:29" ht="18.75" x14ac:dyDescent="0.25">
      <c r="AB188" s="12"/>
      <c r="AC188" s="12"/>
    </row>
    <row r="189" spans="28:29" ht="18.75" x14ac:dyDescent="0.25">
      <c r="AB189" s="12"/>
      <c r="AC189" s="12"/>
    </row>
    <row r="190" spans="28:29" ht="18.75" x14ac:dyDescent="0.25">
      <c r="AB190" s="12"/>
      <c r="AC190" s="12"/>
    </row>
    <row r="191" spans="28:29" ht="18.75" x14ac:dyDescent="0.25">
      <c r="AB191" s="12"/>
      <c r="AC191" s="12"/>
    </row>
    <row r="192" spans="28:29" ht="18.75" x14ac:dyDescent="0.25">
      <c r="AB192" s="12"/>
      <c r="AC192" s="12"/>
    </row>
    <row r="193" spans="28:29" ht="18.75" x14ac:dyDescent="0.25">
      <c r="AB193" s="12"/>
      <c r="AC193" s="12"/>
    </row>
    <row r="194" spans="28:29" ht="18.75" x14ac:dyDescent="0.25">
      <c r="AB194" s="12"/>
      <c r="AC194" s="12"/>
    </row>
    <row r="195" spans="28:29" ht="18.75" x14ac:dyDescent="0.25">
      <c r="AB195" s="12"/>
      <c r="AC195" s="12"/>
    </row>
    <row r="196" spans="28:29" ht="18.75" x14ac:dyDescent="0.25">
      <c r="AB196" s="12"/>
      <c r="AC196" s="12"/>
    </row>
    <row r="197" spans="28:29" ht="18.75" x14ac:dyDescent="0.25">
      <c r="AB197" s="12"/>
      <c r="AC197" s="12"/>
    </row>
    <row r="198" spans="28:29" ht="18.75" x14ac:dyDescent="0.25">
      <c r="AB198" s="12"/>
      <c r="AC198" s="12"/>
    </row>
    <row r="199" spans="28:29" ht="18.75" x14ac:dyDescent="0.25">
      <c r="AB199" s="12"/>
      <c r="AC199" s="12"/>
    </row>
    <row r="200" spans="28:29" ht="18.75" x14ac:dyDescent="0.25">
      <c r="AB200" s="12"/>
      <c r="AC200" s="12"/>
    </row>
    <row r="201" spans="28:29" ht="18.75" x14ac:dyDescent="0.25">
      <c r="AB201" s="12"/>
      <c r="AC201" s="12"/>
    </row>
    <row r="202" spans="28:29" ht="18.75" x14ac:dyDescent="0.25">
      <c r="AB202" s="12"/>
      <c r="AC202" s="12"/>
    </row>
    <row r="203" spans="28:29" ht="18.75" x14ac:dyDescent="0.25">
      <c r="AB203" s="12"/>
      <c r="AC203" s="12"/>
    </row>
    <row r="204" spans="28:29" ht="18.75" x14ac:dyDescent="0.25">
      <c r="AB204" s="12"/>
      <c r="AC204" s="12"/>
    </row>
    <row r="205" spans="28:29" ht="18.75" x14ac:dyDescent="0.25">
      <c r="AB205" s="12"/>
      <c r="AC205" s="12"/>
    </row>
    <row r="206" spans="28:29" ht="18.75" x14ac:dyDescent="0.25">
      <c r="AB206" s="12"/>
      <c r="AC206" s="12"/>
    </row>
    <row r="207" spans="28:29" ht="18.75" x14ac:dyDescent="0.25">
      <c r="AB207" s="12"/>
      <c r="AC207" s="12"/>
    </row>
    <row r="208" spans="28:29" ht="18.75" x14ac:dyDescent="0.25">
      <c r="AB208" s="12"/>
      <c r="AC208" s="12"/>
    </row>
    <row r="209" spans="28:29" ht="18.75" x14ac:dyDescent="0.25">
      <c r="AB209" s="12"/>
      <c r="AC209" s="12"/>
    </row>
    <row r="210" spans="28:29" ht="18.75" x14ac:dyDescent="0.25">
      <c r="AB210" s="12"/>
      <c r="AC210" s="12"/>
    </row>
    <row r="211" spans="28:29" ht="18.75" x14ac:dyDescent="0.25">
      <c r="AB211" s="12"/>
      <c r="AC211" s="12"/>
    </row>
    <row r="212" spans="28:29" ht="18.75" x14ac:dyDescent="0.25">
      <c r="AB212" s="12"/>
      <c r="AC212" s="12"/>
    </row>
    <row r="213" spans="28:29" ht="18.75" x14ac:dyDescent="0.25">
      <c r="AB213" s="12"/>
      <c r="AC213" s="12"/>
    </row>
    <row r="214" spans="28:29" ht="18.75" x14ac:dyDescent="0.25">
      <c r="AB214" s="12"/>
      <c r="AC214" s="12"/>
    </row>
    <row r="215" spans="28:29" ht="18.75" x14ac:dyDescent="0.25">
      <c r="AB215" s="12"/>
      <c r="AC215" s="12"/>
    </row>
    <row r="216" spans="28:29" ht="18.75" x14ac:dyDescent="0.25">
      <c r="AB216" s="12"/>
      <c r="AC216" s="12"/>
    </row>
    <row r="217" spans="28:29" ht="18.75" x14ac:dyDescent="0.25">
      <c r="AB217" s="12"/>
      <c r="AC217" s="12"/>
    </row>
    <row r="218" spans="28:29" ht="18.75" x14ac:dyDescent="0.25">
      <c r="AB218" s="12"/>
      <c r="AC218" s="12"/>
    </row>
    <row r="219" spans="28:29" ht="18.75" x14ac:dyDescent="0.25">
      <c r="AB219" s="12"/>
      <c r="AC219" s="12"/>
    </row>
    <row r="220" spans="28:29" ht="18.75" x14ac:dyDescent="0.25">
      <c r="AB220" s="12"/>
      <c r="AC220" s="12"/>
    </row>
    <row r="221" spans="28:29" ht="18.75" x14ac:dyDescent="0.25">
      <c r="AB221" s="12"/>
      <c r="AC221" s="12"/>
    </row>
    <row r="222" spans="28:29" ht="18.75" x14ac:dyDescent="0.25">
      <c r="AB222" s="12"/>
      <c r="AC222" s="12"/>
    </row>
    <row r="223" spans="28:29" ht="18.75" x14ac:dyDescent="0.25">
      <c r="AB223" s="12"/>
      <c r="AC223" s="12"/>
    </row>
    <row r="224" spans="28:29" ht="18.75" x14ac:dyDescent="0.25">
      <c r="AB224" s="12"/>
      <c r="AC224" s="12"/>
    </row>
    <row r="225" spans="28:29" ht="18.75" x14ac:dyDescent="0.25">
      <c r="AB225" s="12"/>
      <c r="AC225" s="12"/>
    </row>
    <row r="226" spans="28:29" ht="18.75" x14ac:dyDescent="0.25">
      <c r="AB226" s="12"/>
      <c r="AC226" s="12"/>
    </row>
    <row r="227" spans="28:29" ht="18.75" x14ac:dyDescent="0.25">
      <c r="AB227" s="12"/>
      <c r="AC227" s="12"/>
    </row>
    <row r="228" spans="28:29" ht="18.75" x14ac:dyDescent="0.25">
      <c r="AB228" s="12"/>
      <c r="AC228" s="12"/>
    </row>
    <row r="229" spans="28:29" ht="18.75" x14ac:dyDescent="0.25">
      <c r="AB229" s="12"/>
      <c r="AC229" s="12"/>
    </row>
    <row r="230" spans="28:29" ht="18.75" x14ac:dyDescent="0.25">
      <c r="AB230" s="12"/>
      <c r="AC230" s="12"/>
    </row>
    <row r="231" spans="28:29" ht="18.75" x14ac:dyDescent="0.25">
      <c r="AB231" s="12"/>
      <c r="AC231" s="12"/>
    </row>
    <row r="232" spans="28:29" ht="18.75" x14ac:dyDescent="0.25">
      <c r="AB232" s="12"/>
      <c r="AC232" s="12"/>
    </row>
    <row r="233" spans="28:29" ht="18.75" x14ac:dyDescent="0.25">
      <c r="AB233" s="12"/>
      <c r="AC233" s="12"/>
    </row>
    <row r="234" spans="28:29" ht="18.75" x14ac:dyDescent="0.25">
      <c r="AB234" s="12"/>
      <c r="AC234" s="12"/>
    </row>
    <row r="235" spans="28:29" ht="18.75" x14ac:dyDescent="0.25">
      <c r="AB235" s="12"/>
      <c r="AC235" s="12"/>
    </row>
    <row r="236" spans="28:29" ht="18.75" x14ac:dyDescent="0.25">
      <c r="AB236" s="12"/>
      <c r="AC236" s="12"/>
    </row>
    <row r="237" spans="28:29" ht="18.75" x14ac:dyDescent="0.25">
      <c r="AB237" s="12"/>
      <c r="AC237" s="12"/>
    </row>
    <row r="238" spans="28:29" ht="18.75" x14ac:dyDescent="0.25">
      <c r="AB238" s="12"/>
      <c r="AC238" s="12"/>
    </row>
    <row r="239" spans="28:29" ht="18.75" x14ac:dyDescent="0.25">
      <c r="AB239" s="12"/>
      <c r="AC239" s="12"/>
    </row>
    <row r="240" spans="28:29" ht="18.75" x14ac:dyDescent="0.25">
      <c r="AB240" s="12"/>
      <c r="AC240" s="12"/>
    </row>
    <row r="241" spans="28:29" ht="18.75" x14ac:dyDescent="0.25">
      <c r="AB241" s="12"/>
      <c r="AC241" s="12"/>
    </row>
    <row r="242" spans="28:29" ht="18.75" x14ac:dyDescent="0.25">
      <c r="AB242" s="12"/>
      <c r="AC242" s="12"/>
    </row>
    <row r="243" spans="28:29" ht="18.75" x14ac:dyDescent="0.25">
      <c r="AB243" s="12"/>
      <c r="AC243" s="12"/>
    </row>
    <row r="244" spans="28:29" ht="18.75" x14ac:dyDescent="0.25">
      <c r="AB244" s="12"/>
      <c r="AC244" s="12"/>
    </row>
    <row r="245" spans="28:29" ht="18.75" x14ac:dyDescent="0.25">
      <c r="AB245" s="12"/>
      <c r="AC245" s="12"/>
    </row>
    <row r="246" spans="28:29" ht="18.75" x14ac:dyDescent="0.25">
      <c r="AB246" s="12"/>
      <c r="AC246" s="12"/>
    </row>
    <row r="247" spans="28:29" ht="18.75" x14ac:dyDescent="0.25">
      <c r="AB247" s="12"/>
      <c r="AC247" s="12"/>
    </row>
    <row r="248" spans="28:29" ht="18.75" x14ac:dyDescent="0.25">
      <c r="AB248" s="12"/>
      <c r="AC248" s="12"/>
    </row>
    <row r="249" spans="28:29" ht="18.75" x14ac:dyDescent="0.25">
      <c r="AB249" s="12"/>
      <c r="AC249" s="12"/>
    </row>
    <row r="250" spans="28:29" ht="18.75" x14ac:dyDescent="0.25">
      <c r="AB250" s="12"/>
      <c r="AC250" s="12"/>
    </row>
    <row r="251" spans="28:29" ht="18.75" x14ac:dyDescent="0.25">
      <c r="AB251" s="12"/>
      <c r="AC251" s="12"/>
    </row>
    <row r="252" spans="28:29" ht="18.75" x14ac:dyDescent="0.25">
      <c r="AB252" s="12"/>
      <c r="AC252" s="12"/>
    </row>
    <row r="253" spans="28:29" ht="18.75" x14ac:dyDescent="0.25">
      <c r="AB253" s="12"/>
      <c r="AC253" s="12"/>
    </row>
    <row r="254" spans="28:29" ht="18.75" x14ac:dyDescent="0.25">
      <c r="AB254" s="12"/>
      <c r="AC254" s="12"/>
    </row>
    <row r="255" spans="28:29" ht="18.75" x14ac:dyDescent="0.25">
      <c r="AB255" s="12"/>
      <c r="AC255" s="12"/>
    </row>
    <row r="256" spans="28:29" ht="18.75" x14ac:dyDescent="0.25">
      <c r="AB256" s="12"/>
      <c r="AC256" s="12"/>
    </row>
    <row r="257" spans="28:29" ht="18.75" x14ac:dyDescent="0.25">
      <c r="AB257" s="12"/>
      <c r="AC257" s="12"/>
    </row>
    <row r="258" spans="28:29" ht="18.75" x14ac:dyDescent="0.25">
      <c r="AB258" s="12"/>
      <c r="AC258" s="12"/>
    </row>
    <row r="259" spans="28:29" ht="18.75" x14ac:dyDescent="0.25">
      <c r="AB259" s="12"/>
      <c r="AC259" s="12"/>
    </row>
    <row r="260" spans="28:29" ht="18.75" x14ac:dyDescent="0.25">
      <c r="AB260" s="12"/>
      <c r="AC260" s="12"/>
    </row>
    <row r="261" spans="28:29" ht="18.75" x14ac:dyDescent="0.25">
      <c r="AB261" s="12"/>
      <c r="AC261" s="12"/>
    </row>
    <row r="262" spans="28:29" ht="18.75" x14ac:dyDescent="0.25">
      <c r="AB262" s="12"/>
      <c r="AC262" s="12"/>
    </row>
    <row r="263" spans="28:29" ht="18.75" x14ac:dyDescent="0.25">
      <c r="AB263" s="12"/>
      <c r="AC263" s="12"/>
    </row>
    <row r="264" spans="28:29" ht="18.75" x14ac:dyDescent="0.25">
      <c r="AB264" s="12"/>
      <c r="AC264" s="12"/>
    </row>
    <row r="265" spans="28:29" ht="18.75" x14ac:dyDescent="0.25">
      <c r="AB265" s="12"/>
      <c r="AC265" s="12"/>
    </row>
    <row r="266" spans="28:29" ht="18.75" x14ac:dyDescent="0.25">
      <c r="AB266" s="12"/>
      <c r="AC266" s="12"/>
    </row>
    <row r="267" spans="28:29" ht="18.75" x14ac:dyDescent="0.25">
      <c r="AB267" s="12"/>
      <c r="AC267" s="12"/>
    </row>
    <row r="268" spans="28:29" ht="18.75" x14ac:dyDescent="0.25">
      <c r="AB268" s="12"/>
      <c r="AC268" s="12"/>
    </row>
    <row r="269" spans="28:29" ht="18.75" x14ac:dyDescent="0.25">
      <c r="AB269" s="12"/>
      <c r="AC269" s="12"/>
    </row>
    <row r="270" spans="28:29" ht="18.75" x14ac:dyDescent="0.25">
      <c r="AB270" s="12"/>
      <c r="AC270" s="12"/>
    </row>
    <row r="271" spans="28:29" ht="18.75" x14ac:dyDescent="0.25">
      <c r="AB271" s="12"/>
      <c r="AC271" s="12"/>
    </row>
    <row r="272" spans="28:29" ht="18.75" x14ac:dyDescent="0.25">
      <c r="AB272" s="12"/>
      <c r="AC272" s="12"/>
    </row>
    <row r="273" spans="28:29" ht="18.75" x14ac:dyDescent="0.25">
      <c r="AB273" s="12"/>
      <c r="AC273" s="12"/>
    </row>
    <row r="274" spans="28:29" ht="18.75" x14ac:dyDescent="0.25">
      <c r="AB274" s="12"/>
      <c r="AC274" s="12"/>
    </row>
    <row r="275" spans="28:29" ht="18.75" x14ac:dyDescent="0.25">
      <c r="AB275" s="12"/>
      <c r="AC275" s="12"/>
    </row>
    <row r="276" spans="28:29" ht="18.75" x14ac:dyDescent="0.25">
      <c r="AB276" s="12"/>
      <c r="AC276" s="12"/>
    </row>
    <row r="277" spans="28:29" ht="18.75" x14ac:dyDescent="0.25">
      <c r="AB277" s="12"/>
      <c r="AC277" s="12"/>
    </row>
    <row r="278" spans="28:29" ht="18.75" x14ac:dyDescent="0.25">
      <c r="AB278" s="12"/>
      <c r="AC278" s="12"/>
    </row>
    <row r="279" spans="28:29" ht="18.75" x14ac:dyDescent="0.25">
      <c r="AB279" s="12"/>
      <c r="AC279" s="12"/>
    </row>
    <row r="280" spans="28:29" ht="18.75" x14ac:dyDescent="0.25">
      <c r="AB280" s="12"/>
      <c r="AC280" s="12"/>
    </row>
    <row r="281" spans="28:29" ht="18.75" x14ac:dyDescent="0.25">
      <c r="AB281" s="12"/>
      <c r="AC281" s="12"/>
    </row>
    <row r="282" spans="28:29" ht="18.75" x14ac:dyDescent="0.25">
      <c r="AB282" s="12"/>
      <c r="AC282" s="12"/>
    </row>
    <row r="283" spans="28:29" ht="18.75" x14ac:dyDescent="0.25">
      <c r="AB283" s="12"/>
    </row>
    <row r="284" spans="28:29" ht="18.75" x14ac:dyDescent="0.25">
      <c r="AB284" s="12"/>
    </row>
    <row r="285" spans="28:29" ht="18.75" x14ac:dyDescent="0.25">
      <c r="AB285" s="12"/>
    </row>
    <row r="286" spans="28:29" ht="18.75" x14ac:dyDescent="0.25">
      <c r="AB286" s="12"/>
    </row>
    <row r="287" spans="28:29" ht="18.75" x14ac:dyDescent="0.25">
      <c r="AB287" s="12"/>
    </row>
    <row r="293" spans="3:25" ht="18.75" x14ac:dyDescent="0.25">
      <c r="H293" s="38"/>
      <c r="I293" s="38"/>
      <c r="J293" s="12"/>
      <c r="K293" s="12"/>
      <c r="L293" s="27"/>
      <c r="M293" s="27"/>
      <c r="N293" s="27"/>
      <c r="O293" s="27"/>
      <c r="P293" s="27"/>
      <c r="Q293" s="44"/>
      <c r="R293" s="44"/>
      <c r="S293" s="12"/>
      <c r="T293" s="11"/>
      <c r="U293" s="11"/>
      <c r="V293" s="10"/>
      <c r="Y293" s="21"/>
    </row>
    <row r="294" spans="3:25" ht="18.75" x14ac:dyDescent="0.25">
      <c r="H294" s="38"/>
      <c r="I294" s="38"/>
      <c r="J294" s="12"/>
      <c r="K294" s="12"/>
      <c r="L294" s="27"/>
      <c r="M294" s="27"/>
      <c r="N294" s="27"/>
      <c r="O294" s="27"/>
      <c r="P294" s="27"/>
      <c r="Q294" s="44"/>
      <c r="R294" s="44"/>
      <c r="S294" s="12"/>
      <c r="T294" s="11"/>
      <c r="U294" s="11"/>
      <c r="V294" s="10"/>
      <c r="Y294" s="21"/>
    </row>
    <row r="295" spans="3:25" ht="18.75" x14ac:dyDescent="0.25">
      <c r="H295" s="38"/>
      <c r="I295" s="38"/>
      <c r="J295" s="12"/>
      <c r="K295" s="12"/>
      <c r="L295" s="27"/>
      <c r="M295" s="27"/>
      <c r="N295" s="27"/>
      <c r="O295" s="27"/>
      <c r="P295" s="27"/>
      <c r="Q295" s="44"/>
      <c r="R295" s="44"/>
      <c r="S295" s="12"/>
      <c r="T295" s="11"/>
      <c r="U295" s="11"/>
      <c r="V295" s="10"/>
      <c r="Y295" s="21"/>
    </row>
    <row r="296" spans="3:25" ht="18.75" x14ac:dyDescent="0.25">
      <c r="H296" s="38"/>
      <c r="I296" s="38"/>
      <c r="J296" s="12"/>
      <c r="K296" s="12"/>
      <c r="L296" s="27"/>
      <c r="M296" s="27"/>
      <c r="N296" s="27"/>
      <c r="O296" s="27"/>
      <c r="P296" s="27"/>
      <c r="Q296" s="44"/>
      <c r="R296" s="44"/>
      <c r="S296" s="12"/>
      <c r="T296" s="11"/>
      <c r="U296" s="11"/>
      <c r="V296" s="10"/>
      <c r="Y296" s="21"/>
    </row>
    <row r="297" spans="3:25" ht="18.75" x14ac:dyDescent="0.25">
      <c r="H297" s="38"/>
      <c r="I297" s="38"/>
      <c r="J297" s="12"/>
      <c r="K297" s="12"/>
      <c r="L297" s="27"/>
      <c r="M297" s="27"/>
      <c r="N297" s="27"/>
      <c r="O297" s="27"/>
      <c r="P297" s="27"/>
      <c r="Q297" s="44"/>
      <c r="R297" s="44"/>
      <c r="S297" s="12"/>
      <c r="T297" s="11"/>
      <c r="U297" s="11"/>
      <c r="V297" s="10"/>
      <c r="Y297" s="21"/>
    </row>
    <row r="298" spans="3:25" ht="18.75" x14ac:dyDescent="0.25">
      <c r="C298" s="10"/>
      <c r="D298" s="13"/>
      <c r="E298" s="13"/>
      <c r="F298" s="37"/>
      <c r="H298" s="38"/>
      <c r="I298" s="38"/>
      <c r="J298" s="12"/>
      <c r="K298" s="12"/>
      <c r="L298" s="27"/>
      <c r="M298" s="27"/>
      <c r="N298" s="27"/>
      <c r="O298" s="27"/>
      <c r="P298" s="27"/>
      <c r="Q298" s="44"/>
      <c r="R298" s="44"/>
      <c r="S298" s="12"/>
      <c r="T298" s="11"/>
      <c r="U298" s="11"/>
      <c r="V298" s="10"/>
      <c r="Y298" s="21"/>
    </row>
    <row r="299" spans="3:25" ht="18.75" x14ac:dyDescent="0.25">
      <c r="C299" s="10"/>
      <c r="D299" s="13"/>
      <c r="E299" s="13"/>
      <c r="F299" s="37"/>
      <c r="G299" s="14"/>
      <c r="H299" s="38"/>
      <c r="I299" s="38"/>
      <c r="J299" s="12"/>
      <c r="K299" s="12"/>
      <c r="L299" s="27"/>
      <c r="M299" s="27"/>
      <c r="N299" s="27"/>
      <c r="O299" s="27"/>
      <c r="P299" s="27"/>
      <c r="Q299" s="44"/>
      <c r="R299" s="44"/>
      <c r="S299" s="12"/>
      <c r="T299" s="11"/>
      <c r="U299" s="11"/>
      <c r="V299" s="10"/>
      <c r="Y299" s="21"/>
    </row>
    <row r="300" spans="3:25" ht="18.75" x14ac:dyDescent="0.25">
      <c r="C300" s="10"/>
      <c r="D300" s="13"/>
      <c r="E300" s="13"/>
      <c r="F300" s="37"/>
      <c r="G300" s="14"/>
      <c r="H300" s="38"/>
      <c r="I300" s="38"/>
      <c r="J300" s="12"/>
      <c r="K300" s="12"/>
      <c r="L300" s="27"/>
      <c r="M300" s="27"/>
      <c r="N300" s="27"/>
      <c r="O300" s="27"/>
      <c r="P300" s="27"/>
      <c r="Q300" s="44"/>
      <c r="R300" s="44"/>
      <c r="S300" s="12"/>
      <c r="T300" s="11"/>
      <c r="U300" s="11"/>
      <c r="V300" s="10"/>
      <c r="Y300" s="21"/>
    </row>
    <row r="301" spans="3:25" ht="18.75" x14ac:dyDescent="0.25">
      <c r="C301" s="36"/>
      <c r="D301" s="46"/>
      <c r="E301" s="46"/>
      <c r="F301" s="37"/>
      <c r="G301" s="47"/>
      <c r="H301" s="38"/>
      <c r="I301" s="38"/>
      <c r="J301" s="38"/>
      <c r="K301" s="38"/>
      <c r="L301" s="43"/>
      <c r="M301" s="43"/>
      <c r="N301" s="43"/>
      <c r="O301" s="43"/>
      <c r="P301" s="43"/>
      <c r="Q301" s="56"/>
      <c r="R301" s="56"/>
      <c r="S301" s="38"/>
      <c r="T301" s="48"/>
      <c r="U301" s="48"/>
      <c r="V301" s="36"/>
      <c r="W301" s="6"/>
      <c r="Y301" s="21"/>
    </row>
    <row r="302" spans="3:25" ht="21" x14ac:dyDescent="0.35">
      <c r="C302" s="1" t="s">
        <v>3</v>
      </c>
      <c r="H302" s="38"/>
      <c r="I302" s="38"/>
      <c r="J302" s="38"/>
      <c r="K302" s="38"/>
      <c r="L302" s="43"/>
      <c r="M302" s="43"/>
      <c r="N302" s="43"/>
      <c r="O302" s="43"/>
      <c r="P302" s="43"/>
      <c r="Q302" s="56"/>
      <c r="R302" s="56"/>
      <c r="S302" s="38"/>
      <c r="T302" s="48"/>
      <c r="U302" s="48"/>
      <c r="V302" s="36"/>
      <c r="W302" s="6"/>
      <c r="Y302" s="21"/>
    </row>
    <row r="303" spans="3:25" ht="18.75" x14ac:dyDescent="0.25">
      <c r="H303" s="38"/>
      <c r="I303" s="38"/>
      <c r="J303" s="38"/>
      <c r="K303" s="38"/>
      <c r="L303" s="43"/>
      <c r="M303" s="43"/>
      <c r="N303" s="43"/>
      <c r="O303" s="43"/>
      <c r="P303" s="43"/>
      <c r="Q303" s="56"/>
      <c r="R303" s="56"/>
      <c r="S303" s="38"/>
      <c r="T303" s="48"/>
      <c r="U303" s="48"/>
      <c r="V303" s="36"/>
      <c r="W303" s="6"/>
      <c r="Y303" s="21"/>
    </row>
    <row r="304" spans="3:25" ht="21" x14ac:dyDescent="0.35">
      <c r="C304" s="1" t="s">
        <v>4</v>
      </c>
      <c r="H304" s="38"/>
      <c r="I304" s="38"/>
      <c r="J304" s="38"/>
      <c r="K304" s="38"/>
      <c r="L304" s="43"/>
      <c r="M304" s="43"/>
      <c r="N304" s="43"/>
      <c r="O304" s="43"/>
      <c r="P304" s="43"/>
      <c r="Q304" s="56"/>
      <c r="R304" s="56"/>
      <c r="S304" s="38"/>
      <c r="T304" s="48"/>
      <c r="U304" s="48"/>
      <c r="V304" s="36"/>
      <c r="W304" s="6"/>
      <c r="Y304" s="21"/>
    </row>
    <row r="305" spans="3:25" x14ac:dyDescent="0.25"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Y305" s="21"/>
    </row>
    <row r="306" spans="3:25" ht="21" x14ac:dyDescent="0.35">
      <c r="C306" s="1" t="s">
        <v>5</v>
      </c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Y306" s="21"/>
    </row>
    <row r="307" spans="3:25" x14ac:dyDescent="0.25"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Y307" s="21"/>
    </row>
    <row r="308" spans="3:25" x14ac:dyDescent="0.25"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Y308" s="21"/>
    </row>
    <row r="309" spans="3:25" x14ac:dyDescent="0.25">
      <c r="Y309" s="21"/>
    </row>
    <row r="310" spans="3:25" x14ac:dyDescent="0.25">
      <c r="Y310" s="21"/>
    </row>
    <row r="311" spans="3:25" x14ac:dyDescent="0.25">
      <c r="Y311" s="21"/>
    </row>
    <row r="312" spans="3:25" x14ac:dyDescent="0.25">
      <c r="Y312" s="21"/>
    </row>
    <row r="313" spans="3:25" x14ac:dyDescent="0.25">
      <c r="Y313" s="21"/>
    </row>
    <row r="314" spans="3:25" x14ac:dyDescent="0.25">
      <c r="Y314" s="21"/>
    </row>
    <row r="315" spans="3:25" x14ac:dyDescent="0.25">
      <c r="Y315" s="21"/>
    </row>
    <row r="330" spans="24:25" ht="18.75" x14ac:dyDescent="0.25">
      <c r="X330" s="17"/>
      <c r="Y330" s="21"/>
    </row>
    <row r="331" spans="24:25" ht="18.75" x14ac:dyDescent="0.25">
      <c r="X331" s="17"/>
      <c r="Y331" s="21"/>
    </row>
    <row r="332" spans="24:25" ht="18.75" x14ac:dyDescent="0.25">
      <c r="X332" s="17"/>
    </row>
    <row r="333" spans="24:25" ht="18.75" x14ac:dyDescent="0.25">
      <c r="X333" s="17"/>
      <c r="Y333" s="21"/>
    </row>
    <row r="334" spans="24:25" x14ac:dyDescent="0.25">
      <c r="X334" s="23"/>
      <c r="Y334" s="21"/>
    </row>
    <row r="335" spans="24:25" x14ac:dyDescent="0.25">
      <c r="X335" s="23"/>
      <c r="Y335" s="21"/>
    </row>
    <row r="336" spans="24:25" x14ac:dyDescent="0.25">
      <c r="X336" s="23"/>
      <c r="Y336" s="21"/>
    </row>
    <row r="337" spans="24:25" x14ac:dyDescent="0.25">
      <c r="Y337" s="21"/>
    </row>
    <row r="338" spans="24:25" x14ac:dyDescent="0.25">
      <c r="X338" s="23"/>
      <c r="Y338" s="21"/>
    </row>
    <row r="339" spans="24:25" x14ac:dyDescent="0.25">
      <c r="X339" s="23"/>
      <c r="Y339" s="21"/>
    </row>
    <row r="340" spans="24:25" x14ac:dyDescent="0.25">
      <c r="X340" s="23"/>
      <c r="Y340" s="21"/>
    </row>
    <row r="341" spans="24:25" ht="21" x14ac:dyDescent="0.25">
      <c r="X341" s="24"/>
      <c r="Y341" s="21"/>
    </row>
    <row r="342" spans="24:25" ht="18.75" x14ac:dyDescent="0.25">
      <c r="X342" s="25"/>
      <c r="Y342" s="21"/>
    </row>
    <row r="343" spans="24:25" ht="18.75" x14ac:dyDescent="0.25">
      <c r="X343" s="25"/>
      <c r="Y343" s="21"/>
    </row>
    <row r="344" spans="24:25" ht="18.75" x14ac:dyDescent="0.25">
      <c r="X344" s="25"/>
      <c r="Y344" s="21"/>
    </row>
    <row r="345" spans="24:25" ht="18.75" x14ac:dyDescent="0.25">
      <c r="X345" s="25"/>
      <c r="Y345" s="21"/>
    </row>
    <row r="346" spans="24:25" ht="18.75" x14ac:dyDescent="0.25">
      <c r="X346" s="25"/>
      <c r="Y346" s="21"/>
    </row>
    <row r="347" spans="24:25" ht="18.75" x14ac:dyDescent="0.25">
      <c r="X347" s="25"/>
      <c r="Y347" s="21"/>
    </row>
    <row r="348" spans="24:25" ht="18.75" x14ac:dyDescent="0.25">
      <c r="X348" s="25"/>
      <c r="Y348" s="21"/>
    </row>
    <row r="349" spans="24:25" ht="18.75" x14ac:dyDescent="0.25">
      <c r="X349" s="25"/>
      <c r="Y349" s="21"/>
    </row>
    <row r="350" spans="24:25" ht="18.75" x14ac:dyDescent="0.25">
      <c r="X350" s="25"/>
      <c r="Y350" s="21"/>
    </row>
    <row r="351" spans="24:25" ht="21" x14ac:dyDescent="0.25">
      <c r="X351" s="25"/>
      <c r="Y351" s="4"/>
    </row>
    <row r="352" spans="24:25" ht="18.75" x14ac:dyDescent="0.25">
      <c r="X352" s="25"/>
      <c r="Y352" s="21"/>
    </row>
    <row r="353" spans="3:25" ht="18.75" x14ac:dyDescent="0.25">
      <c r="X353" s="25"/>
      <c r="Y353" s="21"/>
    </row>
    <row r="354" spans="3:25" ht="18.75" x14ac:dyDescent="0.25">
      <c r="X354" s="17"/>
      <c r="Y354" s="21"/>
    </row>
    <row r="355" spans="3:25" ht="18.75" x14ac:dyDescent="0.25">
      <c r="X355" s="17"/>
      <c r="Y355" s="21"/>
    </row>
    <row r="356" spans="3:25" ht="21" x14ac:dyDescent="0.25">
      <c r="X356" s="4"/>
      <c r="Y356" s="21"/>
    </row>
    <row r="357" spans="3:25" ht="18.75" x14ac:dyDescent="0.25">
      <c r="X357" s="17"/>
      <c r="Y357" s="21"/>
    </row>
    <row r="358" spans="3:25" ht="18.75" x14ac:dyDescent="0.25">
      <c r="X358" s="17"/>
      <c r="Y358" s="21"/>
    </row>
    <row r="359" spans="3:25" ht="18.75" x14ac:dyDescent="0.25">
      <c r="L359" s="27"/>
      <c r="M359" s="27"/>
      <c r="N359" s="27"/>
      <c r="O359" s="14"/>
      <c r="P359" s="27"/>
      <c r="Q359" s="27"/>
      <c r="R359" s="12"/>
      <c r="S359" s="12"/>
      <c r="T359" s="12"/>
      <c r="X359" s="17"/>
      <c r="Y359" s="21"/>
    </row>
    <row r="360" spans="3:25" ht="18.75" x14ac:dyDescent="0.25">
      <c r="X360" s="17"/>
      <c r="Y360" s="21"/>
    </row>
    <row r="361" spans="3:25" ht="18.75" x14ac:dyDescent="0.25">
      <c r="X361" s="17"/>
      <c r="Y361" s="21"/>
    </row>
    <row r="362" spans="3:25" ht="18.75" x14ac:dyDescent="0.25">
      <c r="X362" s="17"/>
      <c r="Y362" s="21"/>
    </row>
    <row r="363" spans="3:25" ht="18.75" x14ac:dyDescent="0.25">
      <c r="X363" s="17"/>
      <c r="Y363" s="21"/>
    </row>
    <row r="364" spans="3:25" ht="18.75" x14ac:dyDescent="0.25">
      <c r="X364" s="17"/>
      <c r="Y364" s="21"/>
    </row>
    <row r="365" spans="3:25" ht="18.75" x14ac:dyDescent="0.25">
      <c r="X365" s="17"/>
      <c r="Y365" s="21"/>
    </row>
    <row r="366" spans="3:25" ht="18.75" x14ac:dyDescent="0.25">
      <c r="C366" s="10"/>
      <c r="D366" s="13"/>
      <c r="E366" s="13"/>
      <c r="F366" s="14"/>
      <c r="L366" s="27"/>
      <c r="M366" s="27"/>
      <c r="N366" s="27"/>
      <c r="O366" s="14"/>
      <c r="P366" s="27"/>
      <c r="Q366" s="27"/>
      <c r="R366" s="12"/>
      <c r="S366" s="12"/>
      <c r="T366" s="12"/>
      <c r="X366" s="17"/>
      <c r="Y366" s="21"/>
    </row>
    <row r="367" spans="3:25" ht="18.75" x14ac:dyDescent="0.25">
      <c r="C367" s="10"/>
      <c r="D367" s="13"/>
      <c r="E367" s="13"/>
      <c r="F367" s="14"/>
      <c r="L367" s="27"/>
      <c r="M367" s="27"/>
      <c r="N367" s="27"/>
      <c r="O367" s="14"/>
      <c r="P367" s="27"/>
      <c r="Q367" s="27"/>
      <c r="R367" s="12"/>
      <c r="S367" s="12"/>
      <c r="T367" s="12"/>
      <c r="X367" s="17"/>
      <c r="Y367" s="21"/>
    </row>
    <row r="368" spans="3:25" ht="18.75" x14ac:dyDescent="0.25">
      <c r="C368" s="10"/>
      <c r="D368" s="13"/>
      <c r="E368" s="13"/>
      <c r="F368" s="14"/>
      <c r="L368" s="27"/>
      <c r="M368" s="27"/>
      <c r="N368" s="27"/>
      <c r="O368" s="14"/>
      <c r="P368" s="27"/>
      <c r="Q368" s="27"/>
      <c r="R368" s="12"/>
      <c r="S368" s="12"/>
      <c r="T368" s="12"/>
      <c r="X368" s="17"/>
      <c r="Y368" s="21"/>
    </row>
    <row r="369" spans="3:25" ht="18.75" x14ac:dyDescent="0.25">
      <c r="C369" s="10"/>
      <c r="D369" s="13"/>
      <c r="E369" s="13"/>
      <c r="F369" s="14"/>
      <c r="L369" s="27"/>
      <c r="M369" s="27"/>
      <c r="N369" s="27"/>
      <c r="O369" s="14"/>
      <c r="P369" s="27"/>
      <c r="Q369" s="27"/>
      <c r="R369" s="12"/>
      <c r="S369" s="12"/>
      <c r="T369" s="12"/>
      <c r="X369" s="17"/>
      <c r="Y369" s="21"/>
    </row>
    <row r="370" spans="3:25" ht="18.75" x14ac:dyDescent="0.25">
      <c r="C370" s="10"/>
      <c r="D370" s="13"/>
      <c r="E370" s="13"/>
      <c r="F370" s="14"/>
      <c r="L370" s="27"/>
      <c r="M370" s="27"/>
      <c r="N370" s="27"/>
      <c r="O370" s="14"/>
      <c r="P370" s="27"/>
      <c r="Q370" s="27"/>
      <c r="R370" s="12"/>
      <c r="S370" s="12"/>
      <c r="T370" s="12"/>
      <c r="X370" s="17"/>
      <c r="Y370" s="21"/>
    </row>
    <row r="371" spans="3:25" ht="18.75" x14ac:dyDescent="0.25">
      <c r="C371" s="10"/>
      <c r="D371" s="13"/>
      <c r="E371" s="13"/>
      <c r="F371" s="14"/>
      <c r="L371" s="27"/>
      <c r="M371" s="27"/>
      <c r="N371" s="27"/>
      <c r="O371" s="14"/>
      <c r="P371" s="27"/>
      <c r="Q371" s="27"/>
      <c r="R371" s="12"/>
      <c r="S371" s="12"/>
      <c r="T371" s="12"/>
      <c r="X371" s="17"/>
      <c r="Y371" s="21"/>
    </row>
    <row r="372" spans="3:25" ht="18.75" x14ac:dyDescent="0.25">
      <c r="U372" s="15"/>
      <c r="V372" s="11"/>
      <c r="W372" s="11"/>
      <c r="X372" s="17"/>
      <c r="Y372" s="21"/>
    </row>
    <row r="373" spans="3:25" ht="18.75" x14ac:dyDescent="0.25">
      <c r="U373" s="15"/>
      <c r="V373" s="11"/>
      <c r="W373" s="11"/>
      <c r="X373" s="17"/>
      <c r="Y373" s="21"/>
    </row>
    <row r="374" spans="3:25" ht="18.75" x14ac:dyDescent="0.25">
      <c r="C374" s="10"/>
      <c r="D374" s="13"/>
      <c r="E374" s="13"/>
      <c r="F374" s="14"/>
      <c r="L374" s="27"/>
      <c r="M374" s="27"/>
      <c r="N374" s="27"/>
      <c r="O374" s="14"/>
      <c r="P374" s="27"/>
      <c r="Q374" s="27"/>
      <c r="R374" s="12"/>
      <c r="S374" s="12"/>
      <c r="T374" s="12"/>
      <c r="U374" s="15"/>
      <c r="V374" s="11"/>
      <c r="W374" s="11"/>
      <c r="X374" s="17"/>
      <c r="Y374" s="21"/>
    </row>
    <row r="375" spans="3:25" ht="18.75" x14ac:dyDescent="0.25">
      <c r="C375" s="10"/>
      <c r="D375" s="13"/>
      <c r="E375" s="13"/>
      <c r="F375" s="14"/>
      <c r="L375" s="27"/>
      <c r="M375" s="27"/>
      <c r="N375" s="27"/>
      <c r="O375" s="14"/>
      <c r="P375" s="27"/>
      <c r="Q375" s="27"/>
      <c r="R375" s="12"/>
      <c r="S375" s="12"/>
      <c r="T375" s="12"/>
      <c r="U375" s="15"/>
      <c r="V375" s="11"/>
      <c r="W375" s="11"/>
      <c r="X375" s="17"/>
      <c r="Y375" s="21"/>
    </row>
    <row r="376" spans="3:25" ht="18.75" x14ac:dyDescent="0.25">
      <c r="C376" s="10"/>
      <c r="D376" s="13"/>
      <c r="E376" s="13"/>
      <c r="F376" s="14"/>
      <c r="L376" s="27"/>
      <c r="M376" s="27"/>
      <c r="N376" s="27"/>
      <c r="O376" s="14"/>
      <c r="P376" s="27"/>
      <c r="Q376" s="27"/>
      <c r="R376" s="12"/>
      <c r="S376" s="12"/>
      <c r="T376" s="12"/>
      <c r="U376" s="15"/>
      <c r="V376" s="11"/>
      <c r="W376" s="11"/>
      <c r="X376" s="17"/>
      <c r="Y376" s="21"/>
    </row>
    <row r="377" spans="3:25" ht="18.75" x14ac:dyDescent="0.25">
      <c r="C377" s="10"/>
      <c r="D377" s="13"/>
      <c r="E377" s="13"/>
      <c r="F377" s="14"/>
      <c r="L377" s="27"/>
      <c r="M377" s="27"/>
      <c r="N377" s="27"/>
      <c r="O377" s="14"/>
      <c r="P377" s="27"/>
      <c r="Q377" s="27"/>
      <c r="R377" s="12"/>
      <c r="S377" s="12"/>
      <c r="T377" s="12"/>
      <c r="U377" s="15"/>
      <c r="V377" s="11"/>
      <c r="W377" s="11"/>
      <c r="X377" s="17"/>
      <c r="Y377" s="21"/>
    </row>
    <row r="378" spans="3:25" ht="18.75" x14ac:dyDescent="0.25">
      <c r="C378" s="10"/>
      <c r="D378" s="13"/>
      <c r="E378" s="13"/>
      <c r="F378" s="14"/>
      <c r="L378" s="27"/>
      <c r="M378" s="27"/>
      <c r="N378" s="27"/>
      <c r="O378" s="14"/>
      <c r="P378" s="27"/>
      <c r="Q378" s="27"/>
      <c r="R378" s="12"/>
      <c r="S378" s="12"/>
      <c r="T378" s="12"/>
      <c r="U378" s="15"/>
      <c r="V378" s="11"/>
      <c r="W378" s="11"/>
      <c r="X378" s="17"/>
      <c r="Y378" s="21"/>
    </row>
    <row r="379" spans="3:25" ht="18.75" x14ac:dyDescent="0.25">
      <c r="C379" s="10"/>
      <c r="D379" s="13"/>
      <c r="E379" s="13"/>
      <c r="F379" s="14"/>
      <c r="L379" s="27"/>
      <c r="M379" s="27"/>
      <c r="N379" s="27"/>
      <c r="O379" s="14"/>
      <c r="P379" s="27"/>
      <c r="Q379" s="27"/>
      <c r="R379" s="12"/>
      <c r="S379" s="12"/>
      <c r="T379" s="12"/>
      <c r="X379" s="17"/>
      <c r="Y379" s="21"/>
    </row>
    <row r="380" spans="3:25" ht="18.75" x14ac:dyDescent="0.25">
      <c r="C380" s="10"/>
      <c r="D380" s="13"/>
      <c r="E380" s="13"/>
      <c r="F380" s="14"/>
      <c r="L380" s="27"/>
      <c r="M380" s="27"/>
      <c r="N380" s="27"/>
      <c r="O380" s="10"/>
      <c r="P380" s="27"/>
      <c r="Q380" s="27"/>
      <c r="R380" s="10"/>
      <c r="S380" s="12"/>
      <c r="T380" s="12"/>
      <c r="X380" s="17"/>
      <c r="Y380" s="21"/>
    </row>
    <row r="381" spans="3:25" ht="18.75" x14ac:dyDescent="0.25">
      <c r="C381" s="10"/>
      <c r="D381" s="13"/>
      <c r="E381" s="13"/>
      <c r="F381" s="14"/>
      <c r="L381" s="27"/>
      <c r="M381" s="27"/>
      <c r="N381" s="27"/>
      <c r="O381" s="10"/>
      <c r="P381" s="27"/>
      <c r="Q381" s="27"/>
      <c r="R381" s="10"/>
      <c r="S381" s="12"/>
      <c r="T381" s="12"/>
      <c r="U381" s="15"/>
      <c r="V381" s="11"/>
      <c r="W381" s="11"/>
      <c r="X381" s="17"/>
      <c r="Y381" s="21"/>
    </row>
    <row r="382" spans="3:25" ht="18.75" x14ac:dyDescent="0.25">
      <c r="C382" s="10"/>
      <c r="D382" s="13"/>
      <c r="E382" s="13"/>
      <c r="F382" s="14"/>
      <c r="L382" s="27"/>
      <c r="M382" s="27"/>
      <c r="N382" s="27"/>
      <c r="O382" s="10"/>
      <c r="P382" s="27"/>
      <c r="Q382" s="27"/>
      <c r="R382" s="10"/>
      <c r="S382" s="12"/>
      <c r="T382" s="12"/>
      <c r="U382" s="15"/>
      <c r="V382" s="11"/>
      <c r="W382" s="11"/>
      <c r="X382" s="17"/>
      <c r="Y382" s="21"/>
    </row>
    <row r="383" spans="3:25" ht="18.75" x14ac:dyDescent="0.25">
      <c r="C383" s="10"/>
      <c r="D383" s="13"/>
      <c r="E383" s="13"/>
      <c r="F383" s="14"/>
      <c r="L383" s="27"/>
      <c r="M383" s="27"/>
      <c r="N383" s="27"/>
      <c r="O383" s="10"/>
      <c r="P383" s="27"/>
      <c r="Q383" s="27"/>
      <c r="R383" s="10"/>
      <c r="S383" s="12"/>
      <c r="T383" s="12"/>
      <c r="U383" s="15"/>
      <c r="V383" s="11"/>
      <c r="W383" s="11"/>
      <c r="X383" s="17"/>
      <c r="Y383" s="21"/>
    </row>
    <row r="384" spans="3:25" ht="18.75" x14ac:dyDescent="0.25">
      <c r="C384" s="10"/>
      <c r="D384" s="13"/>
      <c r="E384" s="13"/>
      <c r="F384" s="14"/>
      <c r="L384" s="27"/>
      <c r="M384" s="27"/>
      <c r="N384" s="27"/>
      <c r="O384" s="10"/>
      <c r="P384" s="27"/>
      <c r="Q384" s="27"/>
      <c r="R384" s="10"/>
      <c r="S384" s="12"/>
      <c r="T384" s="12"/>
      <c r="U384" s="15"/>
      <c r="V384" s="11"/>
      <c r="W384" s="11"/>
      <c r="X384" s="17"/>
      <c r="Y384" s="21"/>
    </row>
    <row r="385" spans="3:25" ht="18.75" x14ac:dyDescent="0.25">
      <c r="C385" s="10"/>
      <c r="D385" s="13"/>
      <c r="E385" s="13"/>
      <c r="F385" s="14"/>
      <c r="L385" s="27"/>
      <c r="M385" s="27"/>
      <c r="N385" s="27"/>
      <c r="O385" s="10"/>
      <c r="P385" s="27"/>
      <c r="Q385" s="27"/>
      <c r="R385" s="10"/>
      <c r="S385" s="12"/>
      <c r="T385" s="12"/>
      <c r="U385" s="15"/>
      <c r="V385" s="11"/>
      <c r="W385" s="11"/>
      <c r="X385" s="17"/>
      <c r="Y385" s="21"/>
    </row>
    <row r="386" spans="3:25" ht="18.75" x14ac:dyDescent="0.25">
      <c r="C386" s="10"/>
      <c r="D386" s="13"/>
      <c r="E386" s="13"/>
      <c r="F386" s="14"/>
      <c r="L386" s="27"/>
      <c r="M386" s="27"/>
      <c r="N386" s="27"/>
      <c r="O386" s="10"/>
      <c r="P386" s="27"/>
      <c r="Q386" s="27"/>
      <c r="R386" s="10"/>
      <c r="S386" s="12"/>
      <c r="T386" s="12"/>
      <c r="U386" s="15"/>
      <c r="V386" s="11"/>
      <c r="W386" s="11"/>
      <c r="X386" s="17"/>
      <c r="Y386" s="21"/>
    </row>
    <row r="387" spans="3:25" ht="18.75" x14ac:dyDescent="0.25">
      <c r="C387" s="10"/>
      <c r="D387" s="13"/>
      <c r="E387" s="13"/>
      <c r="F387" s="14"/>
      <c r="L387" s="27"/>
      <c r="M387" s="27"/>
      <c r="N387" s="27"/>
      <c r="O387" s="10"/>
      <c r="P387" s="27"/>
      <c r="Q387" s="27"/>
      <c r="R387" s="10"/>
      <c r="S387" s="12"/>
      <c r="T387" s="12"/>
      <c r="U387" s="10"/>
      <c r="V387" s="10"/>
      <c r="W387" s="11"/>
      <c r="X387" s="17"/>
      <c r="Y387" s="21"/>
    </row>
    <row r="388" spans="3:25" ht="18.75" x14ac:dyDescent="0.25">
      <c r="C388" s="10"/>
      <c r="D388" s="13"/>
      <c r="E388" s="13"/>
      <c r="F388" s="14"/>
      <c r="L388" s="27"/>
      <c r="M388" s="27"/>
      <c r="N388" s="27"/>
      <c r="O388" s="10"/>
      <c r="P388" s="27"/>
      <c r="Q388" s="27"/>
      <c r="R388" s="10"/>
      <c r="S388" s="12"/>
      <c r="T388" s="12"/>
      <c r="U388" s="10"/>
      <c r="V388" s="10"/>
      <c r="W388" s="11"/>
      <c r="X388" s="17"/>
      <c r="Y388" s="21"/>
    </row>
    <row r="389" spans="3:25" ht="18.75" x14ac:dyDescent="0.25">
      <c r="C389" s="10"/>
      <c r="D389" s="13"/>
      <c r="E389" s="13"/>
      <c r="F389" s="14"/>
      <c r="L389" s="27"/>
      <c r="M389" s="27"/>
      <c r="N389" s="27"/>
      <c r="O389" s="10"/>
      <c r="P389" s="27"/>
      <c r="Q389" s="27"/>
      <c r="R389" s="10"/>
      <c r="S389" s="12"/>
      <c r="T389" s="12"/>
      <c r="U389" s="10"/>
      <c r="V389" s="10"/>
      <c r="W389" s="11"/>
      <c r="X389" s="17"/>
      <c r="Y389" s="21"/>
    </row>
    <row r="390" spans="3:25" ht="18.75" x14ac:dyDescent="0.25">
      <c r="C390" s="10"/>
      <c r="D390" s="13"/>
      <c r="E390" s="13"/>
      <c r="F390" s="14"/>
      <c r="L390" s="27"/>
      <c r="M390" s="27"/>
      <c r="N390" s="27"/>
      <c r="O390" s="10"/>
      <c r="P390" s="27"/>
      <c r="Q390" s="27"/>
      <c r="R390" s="10"/>
      <c r="S390" s="12"/>
      <c r="T390" s="12"/>
      <c r="U390" s="10"/>
      <c r="V390" s="10"/>
      <c r="W390" s="11"/>
      <c r="X390" s="17"/>
      <c r="Y390" s="21"/>
    </row>
    <row r="391" spans="3:25" ht="18.75" x14ac:dyDescent="0.25">
      <c r="C391" s="10"/>
      <c r="D391" s="13"/>
      <c r="E391" s="13"/>
      <c r="F391" s="14"/>
      <c r="L391" s="27"/>
      <c r="M391" s="27"/>
      <c r="N391" s="27"/>
      <c r="O391" s="10"/>
      <c r="P391" s="27"/>
      <c r="Q391" s="27"/>
      <c r="R391" s="10"/>
      <c r="S391" s="12"/>
      <c r="T391" s="12"/>
      <c r="U391" s="10"/>
      <c r="V391" s="10"/>
      <c r="W391" s="11"/>
      <c r="X391" s="17"/>
      <c r="Y391" s="21"/>
    </row>
    <row r="392" spans="3:25" ht="18.75" x14ac:dyDescent="0.25">
      <c r="C392" s="10"/>
      <c r="D392" s="13"/>
      <c r="E392" s="13"/>
      <c r="F392" s="14"/>
      <c r="L392" s="27"/>
      <c r="M392" s="27"/>
      <c r="N392" s="27"/>
      <c r="O392" s="10"/>
      <c r="P392" s="27"/>
      <c r="Q392" s="27"/>
      <c r="R392" s="10"/>
      <c r="S392" s="12"/>
      <c r="T392" s="12"/>
      <c r="U392" s="10"/>
      <c r="V392" s="10"/>
      <c r="W392" s="11"/>
      <c r="X392" s="17"/>
      <c r="Y392" s="21"/>
    </row>
    <row r="393" spans="3:25" ht="18.75" x14ac:dyDescent="0.25">
      <c r="C393" s="10"/>
      <c r="D393" s="13"/>
      <c r="E393" s="13"/>
      <c r="F393" s="14"/>
      <c r="L393" s="27"/>
      <c r="M393" s="27"/>
      <c r="N393" s="27"/>
      <c r="O393" s="10"/>
      <c r="P393" s="27"/>
      <c r="Q393" s="27"/>
      <c r="R393" s="10"/>
      <c r="S393" s="12"/>
      <c r="T393" s="12"/>
      <c r="U393" s="10"/>
      <c r="V393" s="10"/>
      <c r="W393" s="11"/>
      <c r="X393" s="17"/>
      <c r="Y393" s="21"/>
    </row>
    <row r="394" spans="3:25" ht="18.75" x14ac:dyDescent="0.25">
      <c r="C394" s="10"/>
      <c r="D394" s="13"/>
      <c r="E394" s="13"/>
      <c r="F394" s="14"/>
      <c r="L394" s="27"/>
      <c r="M394" s="27"/>
      <c r="N394" s="27"/>
      <c r="O394" s="10"/>
      <c r="P394" s="27"/>
      <c r="Q394" s="27"/>
      <c r="R394" s="10"/>
      <c r="S394" s="12"/>
      <c r="T394" s="12"/>
      <c r="U394" s="10"/>
      <c r="V394" s="10"/>
      <c r="W394" s="11"/>
      <c r="X394" s="17"/>
      <c r="Y394" s="21"/>
    </row>
    <row r="395" spans="3:25" ht="18.75" x14ac:dyDescent="0.25">
      <c r="C395" s="10"/>
      <c r="D395" s="13"/>
      <c r="E395" s="13"/>
      <c r="F395" s="14"/>
      <c r="L395" s="27"/>
      <c r="M395" s="27"/>
      <c r="N395" s="27"/>
      <c r="O395" s="10"/>
      <c r="P395" s="27"/>
      <c r="Q395" s="27"/>
      <c r="R395" s="10"/>
      <c r="S395" s="12"/>
      <c r="T395" s="12"/>
      <c r="U395" s="10"/>
      <c r="V395" s="10"/>
      <c r="W395" s="11"/>
      <c r="X395" s="17"/>
      <c r="Y395" s="21"/>
    </row>
    <row r="396" spans="3:25" ht="18.75" x14ac:dyDescent="0.25">
      <c r="C396" s="10"/>
      <c r="D396" s="13"/>
      <c r="E396" s="13"/>
      <c r="F396" s="14"/>
      <c r="L396" s="27"/>
      <c r="M396" s="27"/>
      <c r="N396" s="27"/>
      <c r="O396" s="10"/>
      <c r="P396" s="27"/>
      <c r="Q396" s="27"/>
      <c r="R396" s="10"/>
      <c r="S396" s="12"/>
      <c r="T396" s="12"/>
      <c r="U396" s="10"/>
      <c r="V396" s="10"/>
      <c r="W396" s="11"/>
      <c r="X396" s="17"/>
      <c r="Y396" s="21"/>
    </row>
    <row r="397" spans="3:25" ht="18.75" x14ac:dyDescent="0.25">
      <c r="C397" s="10"/>
      <c r="D397" s="13"/>
      <c r="E397" s="13"/>
      <c r="F397" s="14"/>
      <c r="L397" s="27"/>
      <c r="M397" s="27"/>
      <c r="N397" s="27"/>
      <c r="O397" s="10"/>
      <c r="P397" s="27"/>
      <c r="Q397" s="27"/>
      <c r="R397" s="10"/>
      <c r="S397" s="12"/>
      <c r="T397" s="12"/>
      <c r="U397" s="10"/>
      <c r="V397" s="10"/>
      <c r="W397" s="11"/>
      <c r="X397" s="17"/>
      <c r="Y397" s="21"/>
    </row>
    <row r="398" spans="3:25" ht="18.75" x14ac:dyDescent="0.25">
      <c r="C398" s="10"/>
      <c r="D398" s="13"/>
      <c r="E398" s="13"/>
      <c r="F398" s="14"/>
      <c r="L398" s="27"/>
      <c r="M398" s="27"/>
      <c r="N398" s="27"/>
      <c r="O398" s="10"/>
      <c r="P398" s="27"/>
      <c r="Q398" s="27"/>
      <c r="R398" s="10"/>
      <c r="S398" s="12"/>
      <c r="T398" s="12"/>
      <c r="U398" s="10"/>
      <c r="V398" s="10"/>
      <c r="W398" s="11"/>
      <c r="X398" s="17"/>
      <c r="Y398" s="21"/>
    </row>
    <row r="399" spans="3:25" ht="18.75" x14ac:dyDescent="0.25">
      <c r="C399" s="10"/>
      <c r="D399" s="13"/>
      <c r="E399" s="13"/>
      <c r="F399" s="14"/>
      <c r="L399" s="27"/>
      <c r="M399" s="27"/>
      <c r="N399" s="27"/>
      <c r="O399" s="10"/>
      <c r="P399" s="27"/>
      <c r="Q399" s="27"/>
      <c r="R399" s="10"/>
      <c r="S399" s="12"/>
      <c r="T399" s="12"/>
      <c r="U399" s="10"/>
      <c r="V399" s="10"/>
      <c r="W399" s="11"/>
      <c r="X399" s="17"/>
      <c r="Y399" s="21"/>
    </row>
    <row r="400" spans="3:25" ht="18.75" x14ac:dyDescent="0.25">
      <c r="C400" s="10"/>
      <c r="D400" s="13"/>
      <c r="E400" s="13"/>
      <c r="F400" s="14"/>
      <c r="L400" s="27"/>
      <c r="M400" s="27"/>
      <c r="N400" s="27"/>
      <c r="O400" s="10"/>
      <c r="P400" s="27"/>
      <c r="Q400" s="27"/>
      <c r="R400" s="10"/>
      <c r="S400" s="12"/>
      <c r="T400" s="12"/>
      <c r="U400" s="10"/>
      <c r="V400" s="10"/>
      <c r="W400" s="11"/>
      <c r="X400" s="17"/>
      <c r="Y400" s="21"/>
    </row>
    <row r="401" spans="3:25" ht="18.75" x14ac:dyDescent="0.25">
      <c r="C401" s="10"/>
      <c r="D401" s="13"/>
      <c r="E401" s="13"/>
      <c r="F401" s="14"/>
      <c r="L401" s="27"/>
      <c r="M401" s="27"/>
      <c r="N401" s="27"/>
      <c r="O401" s="10"/>
      <c r="P401" s="27"/>
      <c r="Q401" s="27"/>
      <c r="R401" s="10"/>
      <c r="S401" s="12"/>
      <c r="T401" s="12"/>
      <c r="U401" s="10"/>
      <c r="V401" s="10"/>
      <c r="W401" s="11"/>
      <c r="X401" s="17"/>
      <c r="Y401" s="21"/>
    </row>
    <row r="402" spans="3:25" ht="18.75" x14ac:dyDescent="0.25">
      <c r="C402" s="10"/>
      <c r="D402" s="13"/>
      <c r="E402" s="13"/>
      <c r="F402" s="14"/>
      <c r="L402" s="27"/>
      <c r="M402" s="27"/>
      <c r="N402" s="27"/>
      <c r="O402" s="10"/>
      <c r="P402" s="27"/>
      <c r="Q402" s="27"/>
      <c r="R402" s="10"/>
      <c r="S402" s="12"/>
      <c r="T402" s="12"/>
      <c r="U402" s="10"/>
      <c r="V402" s="10"/>
      <c r="W402" s="11"/>
      <c r="X402" s="17"/>
      <c r="Y402" s="21"/>
    </row>
    <row r="403" spans="3:25" ht="18.75" x14ac:dyDescent="0.25">
      <c r="U403" s="10"/>
      <c r="V403" s="10"/>
      <c r="W403" s="11"/>
      <c r="X403" s="17"/>
      <c r="Y403" s="21"/>
    </row>
    <row r="404" spans="3:25" ht="18.75" x14ac:dyDescent="0.25">
      <c r="U404" s="10"/>
      <c r="V404" s="10"/>
      <c r="W404" s="11"/>
      <c r="X404" s="17"/>
      <c r="Y404" s="21"/>
    </row>
    <row r="405" spans="3:25" ht="18.75" x14ac:dyDescent="0.25">
      <c r="U405" s="10"/>
      <c r="V405" s="10"/>
      <c r="W405" s="11"/>
      <c r="X405" s="17"/>
      <c r="Y405" s="21"/>
    </row>
    <row r="406" spans="3:25" ht="18.75" x14ac:dyDescent="0.25">
      <c r="U406" s="10"/>
      <c r="V406" s="10"/>
      <c r="W406" s="11"/>
      <c r="X406" s="17"/>
      <c r="Y406" s="21"/>
    </row>
    <row r="407" spans="3:25" ht="18.75" x14ac:dyDescent="0.25">
      <c r="U407" s="10"/>
      <c r="V407" s="10"/>
      <c r="W407" s="11"/>
      <c r="X407" s="17"/>
      <c r="Y407" s="21"/>
    </row>
    <row r="408" spans="3:25" ht="18.75" x14ac:dyDescent="0.25">
      <c r="C408" s="10"/>
      <c r="D408" s="13"/>
      <c r="E408" s="13"/>
      <c r="F408" s="14"/>
      <c r="L408" s="27"/>
      <c r="M408" s="27"/>
      <c r="N408" s="27"/>
      <c r="O408" s="10"/>
      <c r="P408" s="27"/>
      <c r="Q408" s="27"/>
      <c r="R408" s="10"/>
      <c r="S408" s="12"/>
      <c r="T408" s="12"/>
      <c r="U408" s="10"/>
      <c r="V408" s="10"/>
      <c r="W408" s="11"/>
      <c r="X408" s="17"/>
      <c r="Y408" s="21"/>
    </row>
    <row r="409" spans="3:25" ht="18.75" x14ac:dyDescent="0.25">
      <c r="C409" s="10"/>
      <c r="D409" s="13"/>
      <c r="E409" s="13"/>
      <c r="F409" s="14"/>
      <c r="L409" s="27"/>
      <c r="M409" s="27"/>
      <c r="N409" s="27"/>
      <c r="O409" s="10"/>
      <c r="P409" s="27"/>
      <c r="Q409" s="27"/>
      <c r="R409" s="10"/>
      <c r="S409" s="12"/>
      <c r="T409" s="12"/>
      <c r="U409" s="10"/>
      <c r="V409" s="10"/>
      <c r="W409" s="11"/>
      <c r="X409" s="17"/>
      <c r="Y409" s="21"/>
    </row>
    <row r="410" spans="3:25" ht="18.75" x14ac:dyDescent="0.25">
      <c r="C410" s="10"/>
      <c r="D410" s="13"/>
      <c r="E410" s="13"/>
      <c r="F410" s="14"/>
      <c r="L410" s="27"/>
      <c r="M410" s="27"/>
      <c r="N410" s="27"/>
      <c r="O410" s="10"/>
      <c r="P410" s="27"/>
      <c r="Q410" s="27"/>
      <c r="R410" s="10"/>
      <c r="S410" s="12"/>
      <c r="T410" s="12"/>
      <c r="U410" s="10"/>
      <c r="V410" s="10"/>
      <c r="W410" s="11"/>
      <c r="X410" s="17"/>
      <c r="Y410" s="21"/>
    </row>
    <row r="411" spans="3:25" ht="18.75" x14ac:dyDescent="0.25">
      <c r="C411" s="10"/>
      <c r="D411" s="13"/>
      <c r="E411" s="13"/>
      <c r="F411" s="14"/>
      <c r="L411" s="27"/>
      <c r="M411" s="27"/>
      <c r="N411" s="27"/>
      <c r="O411" s="10"/>
      <c r="P411" s="27"/>
      <c r="Q411" s="27"/>
      <c r="R411" s="10"/>
      <c r="S411" s="12"/>
      <c r="T411" s="12"/>
      <c r="U411" s="10"/>
      <c r="V411" s="10"/>
      <c r="W411" s="11"/>
      <c r="X411" s="17"/>
      <c r="Y411" s="21"/>
    </row>
    <row r="412" spans="3:25" ht="18.75" x14ac:dyDescent="0.25">
      <c r="C412" s="10"/>
      <c r="D412" s="13"/>
      <c r="E412" s="13"/>
      <c r="F412" s="14"/>
      <c r="L412" s="27"/>
      <c r="M412" s="27"/>
      <c r="N412" s="27"/>
      <c r="O412" s="10"/>
      <c r="P412" s="27"/>
      <c r="Q412" s="27"/>
      <c r="R412" s="10"/>
      <c r="S412" s="12"/>
      <c r="T412" s="12"/>
      <c r="U412" s="10"/>
      <c r="V412" s="10"/>
      <c r="W412" s="11"/>
      <c r="X412" s="17"/>
      <c r="Y412" s="21"/>
    </row>
    <row r="413" spans="3:25" ht="18.75" x14ac:dyDescent="0.25">
      <c r="C413" s="10"/>
      <c r="D413" s="13"/>
      <c r="E413" s="13"/>
      <c r="F413" s="14"/>
      <c r="L413" s="27"/>
      <c r="M413" s="27"/>
      <c r="N413" s="27"/>
      <c r="O413" s="10"/>
      <c r="P413" s="27"/>
      <c r="Q413" s="27"/>
      <c r="R413" s="10"/>
      <c r="S413" s="12"/>
      <c r="T413" s="12"/>
      <c r="U413" s="10"/>
      <c r="V413" s="10"/>
      <c r="W413" s="11"/>
      <c r="X413" s="17"/>
      <c r="Y413" s="21"/>
    </row>
    <row r="414" spans="3:25" ht="18.75" x14ac:dyDescent="0.25">
      <c r="C414" s="10"/>
      <c r="D414" s="13"/>
      <c r="E414" s="13"/>
      <c r="F414" s="14"/>
      <c r="L414" s="27"/>
      <c r="M414" s="27"/>
      <c r="N414" s="27"/>
      <c r="O414" s="10"/>
      <c r="P414" s="27"/>
      <c r="Q414" s="27"/>
      <c r="R414" s="10"/>
      <c r="S414" s="12"/>
      <c r="T414" s="12"/>
      <c r="U414" s="10"/>
      <c r="V414" s="10"/>
      <c r="W414" s="11"/>
      <c r="X414" s="17"/>
      <c r="Y414" s="21"/>
    </row>
    <row r="415" spans="3:25" ht="18.75" x14ac:dyDescent="0.25">
      <c r="C415" s="10"/>
      <c r="D415" s="13"/>
      <c r="E415" s="13"/>
      <c r="F415" s="14"/>
      <c r="L415" s="27"/>
      <c r="M415" s="27"/>
      <c r="N415" s="27"/>
      <c r="O415" s="10"/>
      <c r="P415" s="27"/>
      <c r="Q415" s="27"/>
      <c r="R415" s="10"/>
      <c r="S415" s="12"/>
      <c r="T415" s="12"/>
      <c r="U415" s="10"/>
      <c r="V415" s="10"/>
      <c r="W415" s="11"/>
      <c r="X415" s="17"/>
      <c r="Y415" s="21"/>
    </row>
    <row r="416" spans="3:25" ht="18.75" x14ac:dyDescent="0.25">
      <c r="U416" s="10"/>
      <c r="V416" s="10"/>
      <c r="W416" s="11"/>
      <c r="X416" s="17"/>
      <c r="Y416" s="21"/>
    </row>
    <row r="417" spans="3:25" ht="18.75" x14ac:dyDescent="0.25">
      <c r="U417" s="10"/>
      <c r="V417" s="10"/>
      <c r="W417" s="11"/>
      <c r="X417" s="17"/>
      <c r="Y417" s="21"/>
    </row>
    <row r="418" spans="3:25" ht="18.75" x14ac:dyDescent="0.25">
      <c r="X418" s="17"/>
      <c r="Y418" s="21"/>
    </row>
    <row r="419" spans="3:25" ht="18.75" x14ac:dyDescent="0.25">
      <c r="X419" s="17"/>
      <c r="Y419" s="21"/>
    </row>
    <row r="420" spans="3:25" ht="18.75" x14ac:dyDescent="0.25">
      <c r="X420" s="17"/>
      <c r="Y420" s="21"/>
    </row>
    <row r="421" spans="3:25" ht="18.75" x14ac:dyDescent="0.25">
      <c r="C421" s="10"/>
      <c r="D421" s="13"/>
      <c r="E421" s="13"/>
      <c r="F421" s="14"/>
      <c r="L421" s="27"/>
      <c r="M421" s="27"/>
      <c r="N421" s="27"/>
      <c r="O421" s="10"/>
      <c r="P421" s="27"/>
      <c r="Q421" s="27"/>
      <c r="R421" s="10"/>
      <c r="S421" s="12"/>
      <c r="T421" s="12"/>
      <c r="X421" s="17"/>
      <c r="Y421" s="21"/>
    </row>
    <row r="422" spans="3:25" ht="18.75" x14ac:dyDescent="0.25">
      <c r="C422" s="10"/>
      <c r="D422" s="13"/>
      <c r="E422" s="13"/>
      <c r="F422" s="14"/>
      <c r="L422" s="27"/>
      <c r="M422" s="27"/>
      <c r="N422" s="27"/>
      <c r="O422" s="10"/>
      <c r="P422" s="27"/>
      <c r="Q422" s="27"/>
      <c r="R422" s="10"/>
      <c r="S422" s="12"/>
      <c r="T422" s="12"/>
      <c r="X422" s="17"/>
      <c r="Y422" s="21"/>
    </row>
    <row r="423" spans="3:25" ht="18.75" x14ac:dyDescent="0.25">
      <c r="C423" s="10"/>
      <c r="D423" s="13"/>
      <c r="E423" s="13"/>
      <c r="F423" s="14"/>
      <c r="L423" s="27"/>
      <c r="M423" s="27"/>
      <c r="N423" s="27"/>
      <c r="O423" s="10"/>
      <c r="P423" s="27"/>
      <c r="Q423" s="27"/>
      <c r="R423" s="10"/>
      <c r="S423" s="12"/>
      <c r="T423" s="12"/>
      <c r="U423" s="10"/>
      <c r="V423" s="10"/>
      <c r="W423" s="11"/>
      <c r="X423" s="17"/>
      <c r="Y423" s="21"/>
    </row>
    <row r="424" spans="3:25" ht="18.75" x14ac:dyDescent="0.25">
      <c r="C424" s="10"/>
      <c r="D424" s="13"/>
      <c r="E424" s="13"/>
      <c r="F424" s="14"/>
      <c r="L424" s="27"/>
      <c r="M424" s="27"/>
      <c r="N424" s="27"/>
      <c r="O424" s="10"/>
      <c r="P424" s="27"/>
      <c r="Q424" s="27"/>
      <c r="R424" s="10"/>
      <c r="S424" s="12"/>
      <c r="T424" s="12"/>
      <c r="U424" s="10"/>
      <c r="V424" s="10"/>
      <c r="W424" s="11"/>
      <c r="X424" s="17"/>
      <c r="Y424" s="21"/>
    </row>
    <row r="425" spans="3:25" ht="18.75" x14ac:dyDescent="0.25">
      <c r="C425" s="10"/>
      <c r="D425" s="13"/>
      <c r="E425" s="13"/>
      <c r="F425" s="14"/>
      <c r="L425" s="27"/>
      <c r="M425" s="27"/>
      <c r="N425" s="27"/>
      <c r="O425" s="10"/>
      <c r="P425" s="27"/>
      <c r="Q425" s="27"/>
      <c r="R425" s="10"/>
      <c r="S425" s="12"/>
      <c r="T425" s="12"/>
      <c r="U425" s="10"/>
      <c r="V425" s="10"/>
      <c r="W425" s="11"/>
      <c r="X425" s="17"/>
      <c r="Y425" s="21"/>
    </row>
    <row r="426" spans="3:25" ht="18.75" x14ac:dyDescent="0.25">
      <c r="C426" s="10"/>
      <c r="D426" s="13"/>
      <c r="E426" s="13"/>
      <c r="F426" s="14"/>
      <c r="L426" s="27"/>
      <c r="M426" s="27"/>
      <c r="N426" s="27"/>
      <c r="O426" s="10"/>
      <c r="P426" s="27"/>
      <c r="Q426" s="27"/>
      <c r="R426" s="10"/>
      <c r="S426" s="12"/>
      <c r="T426" s="12"/>
      <c r="U426" s="10"/>
      <c r="V426" s="10"/>
      <c r="W426" s="11"/>
      <c r="X426" s="17"/>
      <c r="Y426" s="21"/>
    </row>
    <row r="427" spans="3:25" ht="18.75" x14ac:dyDescent="0.25">
      <c r="C427" s="10"/>
      <c r="D427" s="13"/>
      <c r="E427" s="13"/>
      <c r="F427" s="14"/>
      <c r="L427" s="27"/>
      <c r="M427" s="27"/>
      <c r="N427" s="27"/>
      <c r="O427" s="10"/>
      <c r="P427" s="27"/>
      <c r="Q427" s="27"/>
      <c r="R427" s="10"/>
      <c r="S427" s="12"/>
      <c r="T427" s="12"/>
      <c r="U427" s="10"/>
      <c r="V427" s="10"/>
      <c r="W427" s="11"/>
      <c r="X427" s="17"/>
      <c r="Y427" s="21"/>
    </row>
    <row r="428" spans="3:25" ht="18.75" x14ac:dyDescent="0.25">
      <c r="C428" s="10"/>
      <c r="D428" s="13"/>
      <c r="E428" s="13"/>
      <c r="F428" s="14"/>
      <c r="L428" s="27"/>
      <c r="M428" s="27"/>
      <c r="N428" s="27"/>
      <c r="O428" s="10"/>
      <c r="P428" s="27"/>
      <c r="Q428" s="27"/>
      <c r="R428" s="10"/>
      <c r="S428" s="12"/>
      <c r="T428" s="12"/>
      <c r="U428" s="10"/>
      <c r="V428" s="10"/>
      <c r="W428" s="11"/>
      <c r="X428" s="17"/>
      <c r="Y428" s="21"/>
    </row>
    <row r="429" spans="3:25" ht="18.75" x14ac:dyDescent="0.25">
      <c r="C429" s="10"/>
      <c r="D429" s="13"/>
      <c r="E429" s="13"/>
      <c r="F429" s="14"/>
      <c r="L429" s="27"/>
      <c r="M429" s="27"/>
      <c r="N429" s="27"/>
      <c r="O429" s="10"/>
      <c r="P429" s="27"/>
      <c r="Q429" s="27"/>
      <c r="R429" s="10"/>
      <c r="S429" s="12"/>
      <c r="T429" s="12"/>
      <c r="U429" s="10"/>
      <c r="V429" s="10"/>
      <c r="W429" s="11"/>
      <c r="X429" s="17"/>
      <c r="Y429" s="21"/>
    </row>
    <row r="430" spans="3:25" ht="18.75" x14ac:dyDescent="0.25">
      <c r="C430" s="10"/>
      <c r="D430" s="13"/>
      <c r="E430" s="13"/>
      <c r="F430" s="14"/>
      <c r="L430" s="27"/>
      <c r="M430" s="27"/>
      <c r="N430" s="27"/>
      <c r="O430" s="10"/>
      <c r="P430" s="27"/>
      <c r="Q430" s="27"/>
      <c r="R430" s="10"/>
      <c r="S430" s="12"/>
      <c r="T430" s="12"/>
      <c r="U430" s="10"/>
      <c r="V430" s="10"/>
      <c r="W430" s="11"/>
      <c r="X430" s="17"/>
      <c r="Y430" s="21"/>
    </row>
    <row r="431" spans="3:25" ht="18.75" x14ac:dyDescent="0.25">
      <c r="U431" s="10"/>
      <c r="V431" s="10"/>
      <c r="W431" s="11"/>
      <c r="X431" s="17"/>
      <c r="Y431" s="21"/>
    </row>
    <row r="432" spans="3:25" ht="18.75" x14ac:dyDescent="0.25">
      <c r="U432" s="10"/>
      <c r="V432" s="10"/>
      <c r="W432" s="11"/>
      <c r="X432" s="17"/>
      <c r="Y432" s="21"/>
    </row>
    <row r="433" spans="3:25" ht="18.75" x14ac:dyDescent="0.25">
      <c r="C433" s="10"/>
      <c r="D433" s="13"/>
      <c r="E433" s="13"/>
      <c r="F433" s="14"/>
      <c r="L433" s="27"/>
      <c r="M433" s="27"/>
      <c r="N433" s="27"/>
      <c r="O433" s="10"/>
      <c r="P433" s="27"/>
      <c r="Q433" s="27"/>
      <c r="R433" s="10"/>
      <c r="S433" s="12"/>
      <c r="T433" s="12"/>
      <c r="U433" s="10"/>
      <c r="V433" s="10"/>
      <c r="W433" s="11"/>
      <c r="X433" s="17"/>
      <c r="Y433" s="21"/>
    </row>
    <row r="434" spans="3:25" ht="18.75" x14ac:dyDescent="0.25">
      <c r="C434" s="10"/>
      <c r="D434" s="13"/>
      <c r="E434" s="13"/>
      <c r="F434" s="14"/>
      <c r="L434" s="27"/>
      <c r="M434" s="27"/>
      <c r="N434" s="27"/>
      <c r="O434" s="10"/>
      <c r="P434" s="27"/>
      <c r="Q434" s="27"/>
      <c r="R434" s="10"/>
      <c r="S434" s="12"/>
      <c r="T434" s="12"/>
      <c r="U434" s="10"/>
      <c r="V434" s="10"/>
      <c r="W434" s="11"/>
      <c r="X434" s="17"/>
      <c r="Y434" s="21"/>
    </row>
    <row r="435" spans="3:25" ht="18.75" x14ac:dyDescent="0.25">
      <c r="C435" s="10"/>
      <c r="D435" s="13"/>
      <c r="E435" s="13"/>
      <c r="F435" s="14"/>
      <c r="L435" s="27"/>
      <c r="M435" s="27"/>
      <c r="N435" s="27"/>
      <c r="O435" s="10"/>
      <c r="P435" s="27"/>
      <c r="Q435" s="27"/>
      <c r="R435" s="10"/>
      <c r="S435" s="12"/>
      <c r="T435" s="12"/>
      <c r="U435" s="10"/>
      <c r="V435" s="10"/>
      <c r="W435" s="11"/>
      <c r="X435" s="30"/>
      <c r="Y435" s="21"/>
    </row>
    <row r="436" spans="3:25" ht="23.25" x14ac:dyDescent="0.25">
      <c r="D436" s="10"/>
      <c r="E436" s="13"/>
      <c r="F436" s="14"/>
      <c r="H436" s="10"/>
      <c r="I436" s="10"/>
      <c r="J436" s="10"/>
      <c r="L436" s="14"/>
      <c r="M436" s="14"/>
      <c r="N436" s="14"/>
      <c r="O436" s="10"/>
      <c r="P436" s="14"/>
      <c r="Q436" s="14"/>
      <c r="R436" s="10"/>
      <c r="S436" s="12"/>
      <c r="T436" s="12"/>
      <c r="U436" s="18"/>
      <c r="V436" s="18"/>
      <c r="W436" s="30"/>
      <c r="Y436" s="21"/>
    </row>
    <row r="437" spans="3:25" ht="23.25" x14ac:dyDescent="0.25">
      <c r="D437" s="20"/>
      <c r="E437" s="29"/>
      <c r="F437" s="26"/>
      <c r="Q437" s="21"/>
      <c r="R437" s="21"/>
      <c r="S437" s="21"/>
      <c r="T437" s="33"/>
      <c r="U437" s="33"/>
      <c r="V437" s="22"/>
      <c r="W437" s="22"/>
      <c r="Y437" s="21"/>
    </row>
    <row r="438" spans="3:25" x14ac:dyDescent="0.25">
      <c r="X438" s="21"/>
      <c r="Y438" s="21"/>
    </row>
    <row r="441" spans="3:25" x14ac:dyDescent="0.25">
      <c r="W441" s="32"/>
    </row>
    <row r="442" spans="3:25" x14ac:dyDescent="0.25">
      <c r="W442" s="32"/>
    </row>
    <row r="443" spans="3:25" x14ac:dyDescent="0.25">
      <c r="D443" s="29"/>
      <c r="E443" s="28"/>
      <c r="W443" s="32"/>
    </row>
    <row r="444" spans="3:25" x14ac:dyDescent="0.25">
      <c r="D444" s="29"/>
      <c r="E444" s="28"/>
      <c r="W444" s="32"/>
    </row>
    <row r="445" spans="3:25" x14ac:dyDescent="0.25">
      <c r="E445" s="28"/>
      <c r="W445" s="32"/>
    </row>
    <row r="446" spans="3:25" x14ac:dyDescent="0.25">
      <c r="E446" s="28"/>
    </row>
    <row r="447" spans="3:25" x14ac:dyDescent="0.25">
      <c r="V447" s="31"/>
    </row>
    <row r="448" spans="3:25" x14ac:dyDescent="0.25">
      <c r="V448" s="31"/>
    </row>
    <row r="449" spans="22:22" x14ac:dyDescent="0.25">
      <c r="V449" s="31"/>
    </row>
    <row r="450" spans="22:22" x14ac:dyDescent="0.25">
      <c r="V450" s="31"/>
    </row>
    <row r="451" spans="22:22" x14ac:dyDescent="0.25">
      <c r="V451" s="31"/>
    </row>
    <row r="452" spans="22:22" x14ac:dyDescent="0.25">
      <c r="V452" s="31"/>
    </row>
  </sheetData>
  <sheetProtection algorithmName="SHA-512" hashValue="vBSJFibWUDwdMyMAvks4ls6ViSPt4qOdu1Jq615GYFMA7GV1PkldUfEcj5ySaquEFgmGWOTbjc6shOzriTYKlg==" saltValue="awQnUfTUaCDWSU4nUZuhaw==" spinCount="100000" sheet="1" objects="1" scenarios="1"/>
  <protectedRanges>
    <protectedRange sqref="C6 C8 C10 I6 I8 I13:I14 I16 D22 D24 D26 D28 D30 D32 I23:J23 D38:D46 I39" name="Intervallo1"/>
  </protectedRanges>
  <mergeCells count="31">
    <mergeCell ref="H46:J46"/>
    <mergeCell ref="B36:F36"/>
    <mergeCell ref="B50:F50"/>
    <mergeCell ref="B38:C38"/>
    <mergeCell ref="B39:C39"/>
    <mergeCell ref="B40:C40"/>
    <mergeCell ref="B41:C41"/>
    <mergeCell ref="B47:C47"/>
    <mergeCell ref="B48:C48"/>
    <mergeCell ref="B49:C49"/>
    <mergeCell ref="G50:K50"/>
    <mergeCell ref="B42:C42"/>
    <mergeCell ref="B43:C43"/>
    <mergeCell ref="B44:C44"/>
    <mergeCell ref="B45:C45"/>
    <mergeCell ref="B46:C46"/>
    <mergeCell ref="B3:C3"/>
    <mergeCell ref="B1:K1"/>
    <mergeCell ref="B2:K2"/>
    <mergeCell ref="G18:K18"/>
    <mergeCell ref="G4:K4"/>
    <mergeCell ref="B4:F4"/>
    <mergeCell ref="B18:F18"/>
    <mergeCell ref="G20:K20"/>
    <mergeCell ref="B20:F20"/>
    <mergeCell ref="G34:K34"/>
    <mergeCell ref="B34:F34"/>
    <mergeCell ref="G23:H23"/>
    <mergeCell ref="G24:H24"/>
    <mergeCell ref="G36:K36"/>
    <mergeCell ref="H45:J4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68"/>
  <sheetViews>
    <sheetView showGridLines="0" showRowColHeaders="0" zoomScale="60" zoomScaleNormal="60" workbookViewId="0">
      <pane ySplit="1" topLeftCell="A2" activePane="bottomLeft" state="frozen"/>
      <selection pane="bottomLeft" activeCell="I18" sqref="I17:I18"/>
    </sheetView>
  </sheetViews>
  <sheetFormatPr defaultRowHeight="15" x14ac:dyDescent="0.25"/>
  <cols>
    <col min="1" max="1" width="14.42578125" customWidth="1"/>
    <col min="2" max="14" width="14.7109375" customWidth="1"/>
    <col min="15" max="15" width="19.7109375" customWidth="1"/>
    <col min="16" max="20" width="14.7109375" customWidth="1"/>
    <col min="21" max="21" width="26.140625" customWidth="1"/>
  </cols>
  <sheetData>
    <row r="1" spans="1:21" ht="21.75" thickBot="1" x14ac:dyDescent="0.3">
      <c r="A1" s="122"/>
      <c r="B1" s="123" t="s">
        <v>27</v>
      </c>
      <c r="C1" s="123" t="s">
        <v>25</v>
      </c>
      <c r="D1" s="123" t="s">
        <v>26</v>
      </c>
      <c r="E1" s="124" t="s">
        <v>34</v>
      </c>
      <c r="F1" s="125" t="s">
        <v>18</v>
      </c>
      <c r="G1" s="125" t="s">
        <v>29</v>
      </c>
      <c r="H1" s="125" t="s">
        <v>33</v>
      </c>
      <c r="I1" s="125" t="s">
        <v>11</v>
      </c>
      <c r="J1" s="125" t="s">
        <v>12</v>
      </c>
      <c r="K1" s="126" t="s">
        <v>21</v>
      </c>
      <c r="L1" s="126" t="s">
        <v>20</v>
      </c>
      <c r="M1" s="126" t="s">
        <v>40</v>
      </c>
      <c r="N1" s="127" t="s">
        <v>38</v>
      </c>
      <c r="O1" s="127" t="s">
        <v>39</v>
      </c>
      <c r="P1" s="128" t="s">
        <v>24</v>
      </c>
      <c r="Q1" s="128" t="s">
        <v>23</v>
      </c>
      <c r="R1" s="125" t="s">
        <v>22</v>
      </c>
      <c r="S1" s="125" t="s">
        <v>51</v>
      </c>
      <c r="T1" s="125" t="s">
        <v>61</v>
      </c>
      <c r="U1" s="129"/>
    </row>
    <row r="2" spans="1:21" ht="26.25" customHeight="1" x14ac:dyDescent="0.25">
      <c r="A2" s="253" t="s">
        <v>35</v>
      </c>
      <c r="B2" s="130" t="s">
        <v>37</v>
      </c>
      <c r="C2" s="131">
        <f>DATI!$D$24*10^-3</f>
        <v>0.01</v>
      </c>
      <c r="D2" s="131">
        <f>DATI!$D$24*10^-3</f>
        <v>0.01</v>
      </c>
      <c r="E2" s="130" t="s">
        <v>37</v>
      </c>
      <c r="F2" s="132" t="e">
        <f>(D2*DATI!$C$13-C2*DATI!$C$10)/(D2-C2)</f>
        <v>#DIV/0!</v>
      </c>
      <c r="G2" s="133">
        <v>0</v>
      </c>
      <c r="H2" s="133">
        <v>0</v>
      </c>
      <c r="I2" s="133">
        <v>0</v>
      </c>
      <c r="J2" s="133">
        <v>0</v>
      </c>
      <c r="K2" s="132">
        <f>IF(D2&gt;=(DATI!$D$26*10^-3),DATI!$D$30*DATI!$I$29,IF(D2&gt;=(-DATI!$D$26*10^-3),DATI!$D$32*D2*DATI!$I$29,-DATI!$D$30*DATI!$I$29))</f>
        <v>352404.7411418116</v>
      </c>
      <c r="L2" s="132">
        <v>0</v>
      </c>
      <c r="M2" s="132">
        <f>IF(C2&gt;=(DATI!$D$26*10^-3),DATI!$D$30*DATI!$I$28,IF(C2&gt;=(-DATI!$D$26*10^-3),DATI!$I$28*DATI!$D$32*C2,-DATI!$D$30*DATI!$I$28))</f>
        <v>352404.7411418116</v>
      </c>
      <c r="N2" s="132">
        <f>K2+L2+M2</f>
        <v>704809.48228362319</v>
      </c>
      <c r="O2" s="132">
        <f>-K2*(DATI!$C$13/2)+M2*(DATI!$C$13/2)</f>
        <v>0</v>
      </c>
      <c r="P2" s="134">
        <f>-N2/(DATI!$C$6*DATI!$C$13*DATI!$I$11*DATI!$I$16)</f>
        <v>-0.36226084366340999</v>
      </c>
      <c r="Q2" s="134">
        <f>O2/(DATI!$C$6*DATI!$C$13^2*DATI!$I$11)</f>
        <v>0</v>
      </c>
      <c r="R2" s="135">
        <f t="shared" ref="R2:R65" si="0">O2/N2</f>
        <v>0</v>
      </c>
      <c r="S2" s="130" t="str">
        <f>IF(R2&gt;=0, IF(R2&lt;=DATI!$C$8/6, "SI", "NO"),IF(R2&gt; -DATI!$C$8/6, "SI", "NO"))</f>
        <v>SI</v>
      </c>
      <c r="T2" s="132">
        <f t="shared" ref="T2:T65" si="1">(K2+M2)/10^3</f>
        <v>704.8094822836232</v>
      </c>
      <c r="U2" s="130" t="str">
        <f t="shared" ref="U2:U65" si="2">IF(T2&lt;1,IF(T2&gt;-1,"ROTTURA BILANCIATA",""),"")</f>
        <v/>
      </c>
    </row>
    <row r="3" spans="1:21" ht="18.75" customHeight="1" x14ac:dyDescent="0.25">
      <c r="A3" s="253"/>
      <c r="B3" s="136" t="s">
        <v>37</v>
      </c>
      <c r="C3" s="137">
        <f>DATI!$D$24*10^-3</f>
        <v>0.01</v>
      </c>
      <c r="D3" s="137">
        <f>D2-(C3-(DATI!$C$10/DATI!$C$13*C3))/100</f>
        <v>9.9095890410958905E-3</v>
      </c>
      <c r="E3" s="136" t="s">
        <v>37</v>
      </c>
      <c r="F3" s="138">
        <f>(D3*DATI!$C$13-C3*DATI!$C$10)/(D3-C3)</f>
        <v>-36134.999999999942</v>
      </c>
      <c r="G3" s="139">
        <v>0</v>
      </c>
      <c r="H3" s="139">
        <v>0</v>
      </c>
      <c r="I3" s="139">
        <v>0</v>
      </c>
      <c r="J3" s="139">
        <v>0</v>
      </c>
      <c r="K3" s="138">
        <f>IF(D3&gt;=(DATI!$D$26*10^-3),DATI!$D$30*DATI!$I$29,IF(D3&gt;=(-DATI!$D$26*10^-3),DATI!$D$32*D3*DATI!$I$29,-DATI!$D$30*DATI!$I$29))</f>
        <v>352404.7411418116</v>
      </c>
      <c r="L3" s="138">
        <v>0</v>
      </c>
      <c r="M3" s="138">
        <f>IF(C3&gt;=(DATI!$D$26*10^-3),DATI!$D$30*DATI!$I$28,IF(C3&gt;=(-DATI!$D$26*10^-3),DATI!$I$28*DATI!$D$32*C3,-DATI!$D$30*DATI!$I$28))</f>
        <v>352404.7411418116</v>
      </c>
      <c r="N3" s="138">
        <f t="shared" ref="N3:N65" si="3">K3+L3+M3</f>
        <v>704809.48228362319</v>
      </c>
      <c r="O3" s="138">
        <f>-K3*(DATI!$C$13/2)+M3*(DATI!$C$13/2)</f>
        <v>0</v>
      </c>
      <c r="P3" s="140">
        <f>-N3/(DATI!$C$6*DATI!$C$13*DATI!$I$11*DATI!$I$16)</f>
        <v>-0.36226084366340999</v>
      </c>
      <c r="Q3" s="140">
        <f>O3/(DATI!$C$6*DATI!$C$13^2*DATI!$I$11)</f>
        <v>0</v>
      </c>
      <c r="R3" s="141">
        <f t="shared" si="0"/>
        <v>0</v>
      </c>
      <c r="S3" s="136" t="str">
        <f>IF(R3&gt;=0, IF(R3&lt;=DATI!$C$8/6, "SI", "NO"),IF(R3&gt; -DATI!$C$8/6, "SI", "NO"))</f>
        <v>SI</v>
      </c>
      <c r="T3" s="138">
        <f t="shared" si="1"/>
        <v>704.8094822836232</v>
      </c>
      <c r="U3" s="136" t="str">
        <f t="shared" si="2"/>
        <v/>
      </c>
    </row>
    <row r="4" spans="1:21" ht="18.75" x14ac:dyDescent="0.25">
      <c r="A4" s="253"/>
      <c r="B4" s="136" t="s">
        <v>37</v>
      </c>
      <c r="C4" s="137">
        <f>DATI!$D$24*10^-3</f>
        <v>0.01</v>
      </c>
      <c r="D4" s="137">
        <f>D3-(C4-(DATI!$C$10/DATI!$C$13*C4))/100</f>
        <v>9.8191780821917807E-3</v>
      </c>
      <c r="E4" s="136" t="s">
        <v>37</v>
      </c>
      <c r="F4" s="138">
        <f>(D4*DATI!$C$13-C4*DATI!$C$10)/(D4-C4)</f>
        <v>-17884.999999999971</v>
      </c>
      <c r="G4" s="139">
        <v>0</v>
      </c>
      <c r="H4" s="139">
        <v>0</v>
      </c>
      <c r="I4" s="139">
        <v>0</v>
      </c>
      <c r="J4" s="139">
        <v>0</v>
      </c>
      <c r="K4" s="138">
        <f>IF(D4&gt;=(DATI!$D$26*10^-3),DATI!$D$30*DATI!$I$29,IF(D4&gt;=(-DATI!$D$26*10^-3),DATI!$D$32*D4*DATI!$I$29,-DATI!$D$30*DATI!$I$29))</f>
        <v>352404.7411418116</v>
      </c>
      <c r="L4" s="138">
        <v>0</v>
      </c>
      <c r="M4" s="138">
        <f>IF(C4&gt;=(DATI!$D$26*10^-3),DATI!$D$30*DATI!$I$28,IF(C4&gt;=(-DATI!$D$26*10^-3),DATI!$I$28*DATI!$D$32*C4,-DATI!$D$30*DATI!$I$28))</f>
        <v>352404.7411418116</v>
      </c>
      <c r="N4" s="138">
        <f t="shared" si="3"/>
        <v>704809.48228362319</v>
      </c>
      <c r="O4" s="138">
        <f>-K4*(DATI!$C$13/2)+M4*(DATI!$C$13/2)</f>
        <v>0</v>
      </c>
      <c r="P4" s="140">
        <f>-N4/(DATI!$C$6*DATI!$C$13*DATI!$I$11*DATI!$I$16)</f>
        <v>-0.36226084366340999</v>
      </c>
      <c r="Q4" s="140">
        <f>O4/(DATI!$C$6*DATI!$C$13^2*DATI!$I$11)</f>
        <v>0</v>
      </c>
      <c r="R4" s="141">
        <f t="shared" si="0"/>
        <v>0</v>
      </c>
      <c r="S4" s="136" t="str">
        <f>IF(R4&gt;=0, IF(R4&lt;=DATI!$C$8/6, "SI", "NO"),IF(R4&gt; -DATI!$C$8/6, "SI", "NO"))</f>
        <v>SI</v>
      </c>
      <c r="T4" s="138">
        <f t="shared" si="1"/>
        <v>704.8094822836232</v>
      </c>
      <c r="U4" s="136" t="str">
        <f t="shared" si="2"/>
        <v/>
      </c>
    </row>
    <row r="5" spans="1:21" ht="18.75" x14ac:dyDescent="0.25">
      <c r="A5" s="122"/>
      <c r="B5" s="136" t="s">
        <v>37</v>
      </c>
      <c r="C5" s="137">
        <f>DATI!$D$24*10^-3</f>
        <v>0.01</v>
      </c>
      <c r="D5" s="137">
        <f>D4-(C5-(DATI!$C$10/DATI!$C$13*C5))/100</f>
        <v>9.728767123287671E-3</v>
      </c>
      <c r="E5" s="136" t="s">
        <v>37</v>
      </c>
      <c r="F5" s="138">
        <f>(D5*DATI!$C$13-C5*DATI!$C$10)/(D5-C5)</f>
        <v>-11801.666666666646</v>
      </c>
      <c r="G5" s="139">
        <v>0</v>
      </c>
      <c r="H5" s="139">
        <v>0</v>
      </c>
      <c r="I5" s="139">
        <v>0</v>
      </c>
      <c r="J5" s="139">
        <v>0</v>
      </c>
      <c r="K5" s="138">
        <f>IF(D5&gt;=(DATI!$D$26*10^-3),DATI!$D$30*DATI!$I$29,IF(D5&gt;=(-DATI!$D$26*10^-3),DATI!$D$32*D5*DATI!$I$29,-DATI!$D$30*DATI!$I$29))</f>
        <v>352404.7411418116</v>
      </c>
      <c r="L5" s="138">
        <v>0</v>
      </c>
      <c r="M5" s="138">
        <f>IF(C5&gt;=(DATI!$D$26*10^-3),DATI!$D$30*DATI!$I$28,IF(C5&gt;=(-DATI!$D$26*10^-3),DATI!$I$28*DATI!$D$32*C5,-DATI!$D$30*DATI!$I$28))</f>
        <v>352404.7411418116</v>
      </c>
      <c r="N5" s="138">
        <f t="shared" si="3"/>
        <v>704809.48228362319</v>
      </c>
      <c r="O5" s="138">
        <f>-K5*(DATI!$C$13/2)+M5*(DATI!$C$13/2)</f>
        <v>0</v>
      </c>
      <c r="P5" s="140">
        <f>-N5/(DATI!$C$6*DATI!$C$13*DATI!$I$11*DATI!$I$16)</f>
        <v>-0.36226084366340999</v>
      </c>
      <c r="Q5" s="140">
        <f>O5/(DATI!$C$6*DATI!$C$13^2*DATI!$I$11)</f>
        <v>0</v>
      </c>
      <c r="R5" s="141">
        <f t="shared" si="0"/>
        <v>0</v>
      </c>
      <c r="S5" s="136" t="str">
        <f>IF(R5&gt;=0, IF(R5&lt;=DATI!$C$8/6, "SI", "NO"),IF(R5&gt; -DATI!$C$8/6, "SI", "NO"))</f>
        <v>SI</v>
      </c>
      <c r="T5" s="138">
        <f t="shared" si="1"/>
        <v>704.8094822836232</v>
      </c>
      <c r="U5" s="136" t="str">
        <f t="shared" si="2"/>
        <v/>
      </c>
    </row>
    <row r="6" spans="1:21" ht="18.75" x14ac:dyDescent="0.25">
      <c r="A6" s="122"/>
      <c r="B6" s="136" t="s">
        <v>37</v>
      </c>
      <c r="C6" s="137">
        <f>DATI!$D$24*10^-3</f>
        <v>0.01</v>
      </c>
      <c r="D6" s="137">
        <f>D5-(C6-(DATI!$C$10/DATI!$C$13*C6))/100</f>
        <v>9.6383561643835613E-3</v>
      </c>
      <c r="E6" s="136" t="s">
        <v>37</v>
      </c>
      <c r="F6" s="138">
        <f>(D6*DATI!$C$13-C6*DATI!$C$10)/(D6-C6)</f>
        <v>-8759.9999999999854</v>
      </c>
      <c r="G6" s="139">
        <v>0</v>
      </c>
      <c r="H6" s="139">
        <v>0</v>
      </c>
      <c r="I6" s="139">
        <v>0</v>
      </c>
      <c r="J6" s="139">
        <v>0</v>
      </c>
      <c r="K6" s="138">
        <f>IF(D6&gt;=(DATI!$D$26*10^-3),DATI!$D$30*DATI!$I$29,IF(D6&gt;=(-DATI!$D$26*10^-3),DATI!$D$32*D6*DATI!$I$29,-DATI!$D$30*DATI!$I$29))</f>
        <v>352404.7411418116</v>
      </c>
      <c r="L6" s="138">
        <v>0</v>
      </c>
      <c r="M6" s="138">
        <f>IF(C6&gt;=(DATI!$D$26*10^-3),DATI!$D$30*DATI!$I$28,IF(C6&gt;=(-DATI!$D$26*10^-3),DATI!$I$28*DATI!$D$32*C6,-DATI!$D$30*DATI!$I$28))</f>
        <v>352404.7411418116</v>
      </c>
      <c r="N6" s="138">
        <f t="shared" si="3"/>
        <v>704809.48228362319</v>
      </c>
      <c r="O6" s="138">
        <f>-K6*(DATI!$C$13/2)+M6*(DATI!$C$13/2)</f>
        <v>0</v>
      </c>
      <c r="P6" s="140">
        <f>-N6/(DATI!$C$6*DATI!$C$13*DATI!$I$11*DATI!$I$16)</f>
        <v>-0.36226084366340999</v>
      </c>
      <c r="Q6" s="140">
        <f>O6/(DATI!$C$6*DATI!$C$13^2*DATI!$I$11)</f>
        <v>0</v>
      </c>
      <c r="R6" s="141">
        <f t="shared" si="0"/>
        <v>0</v>
      </c>
      <c r="S6" s="136" t="str">
        <f>IF(R6&gt;=0, IF(R6&lt;=DATI!$C$8/6, "SI", "NO"),IF(R6&gt; -DATI!$C$8/6, "SI", "NO"))</f>
        <v>SI</v>
      </c>
      <c r="T6" s="138">
        <f t="shared" si="1"/>
        <v>704.8094822836232</v>
      </c>
      <c r="U6" s="136" t="str">
        <f t="shared" si="2"/>
        <v/>
      </c>
    </row>
    <row r="7" spans="1:21" ht="18.75" x14ac:dyDescent="0.25">
      <c r="A7" s="122"/>
      <c r="B7" s="136" t="s">
        <v>37</v>
      </c>
      <c r="C7" s="137">
        <f>DATI!$D$24*10^-3</f>
        <v>0.01</v>
      </c>
      <c r="D7" s="137">
        <f>D6-(C7-(DATI!$C$10/DATI!$C$13*C7))/100</f>
        <v>9.5479452054794516E-3</v>
      </c>
      <c r="E7" s="136" t="s">
        <v>37</v>
      </c>
      <c r="F7" s="138">
        <f>(D7*DATI!$C$13-C7*DATI!$C$10)/(D7-C7)</f>
        <v>-6934.9999999999882</v>
      </c>
      <c r="G7" s="139">
        <v>0</v>
      </c>
      <c r="H7" s="139">
        <v>0</v>
      </c>
      <c r="I7" s="139">
        <v>0</v>
      </c>
      <c r="J7" s="139">
        <v>0</v>
      </c>
      <c r="K7" s="138">
        <f>IF(D7&gt;=(DATI!$D$26*10^-3),DATI!$D$30*DATI!$I$29,IF(D7&gt;=(-DATI!$D$26*10^-3),DATI!$D$32*D7*DATI!$I$29,-DATI!$D$30*DATI!$I$29))</f>
        <v>352404.7411418116</v>
      </c>
      <c r="L7" s="138">
        <v>0</v>
      </c>
      <c r="M7" s="138">
        <f>IF(C7&gt;=(DATI!$D$26*10^-3),DATI!$D$30*DATI!$I$28,IF(C7&gt;=(-DATI!$D$26*10^-3),DATI!$I$28*DATI!$D$32*C7,-DATI!$D$30*DATI!$I$28))</f>
        <v>352404.7411418116</v>
      </c>
      <c r="N7" s="138">
        <f t="shared" si="3"/>
        <v>704809.48228362319</v>
      </c>
      <c r="O7" s="138">
        <f>-K7*(DATI!$C$13/2)+M7*(DATI!$C$13/2)</f>
        <v>0</v>
      </c>
      <c r="P7" s="140">
        <f>-N7/(DATI!$C$6*DATI!$C$13*DATI!$I$11*DATI!$I$16)</f>
        <v>-0.36226084366340999</v>
      </c>
      <c r="Q7" s="140">
        <f>O7/(DATI!$C$6*DATI!$C$13^2*DATI!$I$11)</f>
        <v>0</v>
      </c>
      <c r="R7" s="141">
        <f t="shared" si="0"/>
        <v>0</v>
      </c>
      <c r="S7" s="136" t="str">
        <f>IF(R7&gt;=0, IF(R7&lt;=DATI!$C$8/6, "SI", "NO"),IF(R7&gt; -DATI!$C$8/6, "SI", "NO"))</f>
        <v>SI</v>
      </c>
      <c r="T7" s="138">
        <f t="shared" si="1"/>
        <v>704.8094822836232</v>
      </c>
      <c r="U7" s="136" t="str">
        <f t="shared" si="2"/>
        <v/>
      </c>
    </row>
    <row r="8" spans="1:21" ht="18.75" x14ac:dyDescent="0.25">
      <c r="A8" s="122"/>
      <c r="B8" s="136" t="s">
        <v>37</v>
      </c>
      <c r="C8" s="137">
        <f>DATI!$D$24*10^-3</f>
        <v>0.01</v>
      </c>
      <c r="D8" s="137">
        <f>D7-(C8-(DATI!$C$10/DATI!$C$13*C8))/100</f>
        <v>9.4575342465753418E-3</v>
      </c>
      <c r="E8" s="136" t="s">
        <v>37</v>
      </c>
      <c r="F8" s="138">
        <f>(D8*DATI!$C$13-C8*DATI!$C$10)/(D8-C8)</f>
        <v>-5718.3333333333239</v>
      </c>
      <c r="G8" s="139">
        <v>0</v>
      </c>
      <c r="H8" s="139">
        <v>0</v>
      </c>
      <c r="I8" s="139">
        <v>0</v>
      </c>
      <c r="J8" s="139">
        <v>0</v>
      </c>
      <c r="K8" s="138">
        <f>IF(D8&gt;=(DATI!$D$26*10^-3),DATI!$D$30*DATI!$I$29,IF(D8&gt;=(-DATI!$D$26*10^-3),DATI!$D$32*D8*DATI!$I$29,-DATI!$D$30*DATI!$I$29))</f>
        <v>352404.7411418116</v>
      </c>
      <c r="L8" s="138">
        <v>0</v>
      </c>
      <c r="M8" s="138">
        <f>IF(C8&gt;=(DATI!$D$26*10^-3),DATI!$D$30*DATI!$I$28,IF(C8&gt;=(-DATI!$D$26*10^-3),DATI!$I$28*DATI!$D$32*C8,-DATI!$D$30*DATI!$I$28))</f>
        <v>352404.7411418116</v>
      </c>
      <c r="N8" s="138">
        <f t="shared" si="3"/>
        <v>704809.48228362319</v>
      </c>
      <c r="O8" s="138">
        <f>-K8*(DATI!$C$13/2)+M8*(DATI!$C$13/2)</f>
        <v>0</v>
      </c>
      <c r="P8" s="140">
        <f>-N8/(DATI!$C$6*DATI!$C$13*DATI!$I$11*DATI!$I$16)</f>
        <v>-0.36226084366340999</v>
      </c>
      <c r="Q8" s="140">
        <f>O8/(DATI!$C$6*DATI!$C$13^2*DATI!$I$11)</f>
        <v>0</v>
      </c>
      <c r="R8" s="141">
        <f t="shared" si="0"/>
        <v>0</v>
      </c>
      <c r="S8" s="136" t="str">
        <f>IF(R8&gt;=0, IF(R8&lt;=DATI!$C$8/6, "SI", "NO"),IF(R8&gt; -DATI!$C$8/6, "SI", "NO"))</f>
        <v>SI</v>
      </c>
      <c r="T8" s="138">
        <f t="shared" si="1"/>
        <v>704.8094822836232</v>
      </c>
      <c r="U8" s="136" t="str">
        <f t="shared" si="2"/>
        <v/>
      </c>
    </row>
    <row r="9" spans="1:21" ht="18.75" x14ac:dyDescent="0.25">
      <c r="A9" s="122"/>
      <c r="B9" s="136" t="s">
        <v>37</v>
      </c>
      <c r="C9" s="137">
        <f>DATI!$D$24*10^-3</f>
        <v>0.01</v>
      </c>
      <c r="D9" s="137">
        <f>D8-(C9-(DATI!$C$10/DATI!$C$13*C9))/100</f>
        <v>9.3671232876712321E-3</v>
      </c>
      <c r="E9" s="136" t="s">
        <v>37</v>
      </c>
      <c r="F9" s="138">
        <f>(D9*DATI!$C$13-C9*DATI!$C$10)/(D9-C9)</f>
        <v>-4849.2857142857056</v>
      </c>
      <c r="G9" s="139">
        <v>0</v>
      </c>
      <c r="H9" s="139">
        <v>0</v>
      </c>
      <c r="I9" s="139">
        <v>0</v>
      </c>
      <c r="J9" s="139">
        <v>0</v>
      </c>
      <c r="K9" s="138">
        <f>IF(D9&gt;=(DATI!$D$26*10^-3),DATI!$D$30*DATI!$I$29,IF(D9&gt;=(-DATI!$D$26*10^-3),DATI!$D$32*D9*DATI!$I$29,-DATI!$D$30*DATI!$I$29))</f>
        <v>352404.7411418116</v>
      </c>
      <c r="L9" s="138">
        <v>0</v>
      </c>
      <c r="M9" s="138">
        <f>IF(C9&gt;=(DATI!$D$26*10^-3),DATI!$D$30*DATI!$I$28,IF(C9&gt;=(-DATI!$D$26*10^-3),DATI!$I$28*DATI!$D$32*C9,-DATI!$D$30*DATI!$I$28))</f>
        <v>352404.7411418116</v>
      </c>
      <c r="N9" s="138">
        <f t="shared" si="3"/>
        <v>704809.48228362319</v>
      </c>
      <c r="O9" s="138">
        <f>-K9*(DATI!$C$13/2)+M9*(DATI!$C$13/2)</f>
        <v>0</v>
      </c>
      <c r="P9" s="140">
        <f>-N9/(DATI!$C$6*DATI!$C$13*DATI!$I$11*DATI!$I$16)</f>
        <v>-0.36226084366340999</v>
      </c>
      <c r="Q9" s="140">
        <f>O9/(DATI!$C$6*DATI!$C$13^2*DATI!$I$11)</f>
        <v>0</v>
      </c>
      <c r="R9" s="141">
        <f t="shared" si="0"/>
        <v>0</v>
      </c>
      <c r="S9" s="136" t="str">
        <f>IF(R9&gt;=0, IF(R9&lt;=DATI!$C$8/6, "SI", "NO"),IF(R9&gt; -DATI!$C$8/6, "SI", "NO"))</f>
        <v>SI</v>
      </c>
      <c r="T9" s="138">
        <f t="shared" si="1"/>
        <v>704.8094822836232</v>
      </c>
      <c r="U9" s="136" t="str">
        <f t="shared" si="2"/>
        <v/>
      </c>
    </row>
    <row r="10" spans="1:21" ht="18.75" x14ac:dyDescent="0.25">
      <c r="A10" s="122"/>
      <c r="B10" s="136" t="s">
        <v>37</v>
      </c>
      <c r="C10" s="137">
        <f>DATI!$D$24*10^-3</f>
        <v>0.01</v>
      </c>
      <c r="D10" s="137">
        <f>D9-(C10-(DATI!$C$10/DATI!$C$13*C10))/100</f>
        <v>9.2767123287671224E-3</v>
      </c>
      <c r="E10" s="136" t="s">
        <v>37</v>
      </c>
      <c r="F10" s="138">
        <f>(D10*DATI!$C$13-C10*DATI!$C$10)/(D10-C10)</f>
        <v>-4197.4999999999927</v>
      </c>
      <c r="G10" s="139">
        <v>0</v>
      </c>
      <c r="H10" s="139">
        <v>0</v>
      </c>
      <c r="I10" s="139">
        <v>0</v>
      </c>
      <c r="J10" s="139">
        <v>0</v>
      </c>
      <c r="K10" s="138">
        <f>IF(D10&gt;=(DATI!$D$26*10^-3),DATI!$D$30*DATI!$I$29,IF(D10&gt;=(-DATI!$D$26*10^-3),DATI!$D$32*D10*DATI!$I$29,-DATI!$D$30*DATI!$I$29))</f>
        <v>352404.7411418116</v>
      </c>
      <c r="L10" s="138">
        <v>0</v>
      </c>
      <c r="M10" s="138">
        <f>IF(C10&gt;=(DATI!$D$26*10^-3),DATI!$D$30*DATI!$I$28,IF(C10&gt;=(-DATI!$D$26*10^-3),DATI!$I$28*DATI!$D$32*C10,-DATI!$D$30*DATI!$I$28))</f>
        <v>352404.7411418116</v>
      </c>
      <c r="N10" s="138">
        <f t="shared" si="3"/>
        <v>704809.48228362319</v>
      </c>
      <c r="O10" s="138">
        <f>-K10*(DATI!$C$13/2)+M10*(DATI!$C$13/2)</f>
        <v>0</v>
      </c>
      <c r="P10" s="140">
        <f>-N10/(DATI!$C$6*DATI!$C$13*DATI!$I$11*DATI!$I$16)</f>
        <v>-0.36226084366340999</v>
      </c>
      <c r="Q10" s="140">
        <f>O10/(DATI!$C$6*DATI!$C$13^2*DATI!$I$11)</f>
        <v>0</v>
      </c>
      <c r="R10" s="141">
        <f t="shared" si="0"/>
        <v>0</v>
      </c>
      <c r="S10" s="136" t="str">
        <f>IF(R10&gt;=0, IF(R10&lt;=DATI!$C$8/6, "SI", "NO"),IF(R10&gt; -DATI!$C$8/6, "SI", "NO"))</f>
        <v>SI</v>
      </c>
      <c r="T10" s="138">
        <f t="shared" si="1"/>
        <v>704.8094822836232</v>
      </c>
      <c r="U10" s="136" t="str">
        <f t="shared" si="2"/>
        <v/>
      </c>
    </row>
    <row r="11" spans="1:21" ht="18.75" x14ac:dyDescent="0.25">
      <c r="A11" s="122"/>
      <c r="B11" s="136" t="s">
        <v>37</v>
      </c>
      <c r="C11" s="137">
        <f>DATI!$D$24*10^-3</f>
        <v>0.01</v>
      </c>
      <c r="D11" s="137">
        <f>D10-(C11-(DATI!$C$10/DATI!$C$13*C11))/100</f>
        <v>9.1863013698630126E-3</v>
      </c>
      <c r="E11" s="136" t="s">
        <v>37</v>
      </c>
      <c r="F11" s="138">
        <f>(D11*DATI!$C$13-C11*DATI!$C$10)/(D11-C11)</f>
        <v>-3690.5555555555493</v>
      </c>
      <c r="G11" s="139">
        <v>0</v>
      </c>
      <c r="H11" s="139">
        <v>0</v>
      </c>
      <c r="I11" s="139">
        <v>0</v>
      </c>
      <c r="J11" s="139">
        <v>0</v>
      </c>
      <c r="K11" s="138">
        <f>IF(D11&gt;=(DATI!$D$26*10^-3),DATI!$D$30*DATI!$I$29,IF(D11&gt;=(-DATI!$D$26*10^-3),DATI!$D$32*D11*DATI!$I$29,-DATI!$D$30*DATI!$I$29))</f>
        <v>352404.7411418116</v>
      </c>
      <c r="L11" s="138">
        <v>0</v>
      </c>
      <c r="M11" s="138">
        <f>IF(C11&gt;=(DATI!$D$26*10^-3),DATI!$D$30*DATI!$I$28,IF(C11&gt;=(-DATI!$D$26*10^-3),DATI!$I$28*DATI!$D$32*C11,-DATI!$D$30*DATI!$I$28))</f>
        <v>352404.7411418116</v>
      </c>
      <c r="N11" s="138">
        <f t="shared" si="3"/>
        <v>704809.48228362319</v>
      </c>
      <c r="O11" s="138">
        <f>-K11*(DATI!$C$13/2)+M11*(DATI!$C$13/2)</f>
        <v>0</v>
      </c>
      <c r="P11" s="140">
        <f>-N11/(DATI!$C$6*DATI!$C$13*DATI!$I$11*DATI!$I$16)</f>
        <v>-0.36226084366340999</v>
      </c>
      <c r="Q11" s="140">
        <f>O11/(DATI!$C$6*DATI!$C$13^2*DATI!$I$11)</f>
        <v>0</v>
      </c>
      <c r="R11" s="141">
        <f t="shared" si="0"/>
        <v>0</v>
      </c>
      <c r="S11" s="136" t="str">
        <f>IF(R11&gt;=0, IF(R11&lt;=DATI!$C$8/6, "SI", "NO"),IF(R11&gt; -DATI!$C$8/6, "SI", "NO"))</f>
        <v>SI</v>
      </c>
      <c r="T11" s="138">
        <f t="shared" si="1"/>
        <v>704.8094822836232</v>
      </c>
      <c r="U11" s="136" t="str">
        <f t="shared" si="2"/>
        <v/>
      </c>
    </row>
    <row r="12" spans="1:21" ht="18.75" x14ac:dyDescent="0.25">
      <c r="A12" s="122"/>
      <c r="B12" s="136" t="s">
        <v>37</v>
      </c>
      <c r="C12" s="137">
        <f>DATI!$D$24*10^-3</f>
        <v>0.01</v>
      </c>
      <c r="D12" s="137">
        <f>D11-(C12-(DATI!$C$10/DATI!$C$13*C12))/100</f>
        <v>9.0958904109589029E-3</v>
      </c>
      <c r="E12" s="136" t="s">
        <v>37</v>
      </c>
      <c r="F12" s="138">
        <f>(D12*DATI!$C$13-C12*DATI!$C$10)/(D12-C12)</f>
        <v>-3284.9999999999941</v>
      </c>
      <c r="G12" s="139">
        <v>0</v>
      </c>
      <c r="H12" s="139">
        <v>0</v>
      </c>
      <c r="I12" s="139">
        <v>0</v>
      </c>
      <c r="J12" s="139">
        <v>0</v>
      </c>
      <c r="K12" s="138">
        <f>IF(D12&gt;=(DATI!$D$26*10^-3),DATI!$D$30*DATI!$I$29,IF(D12&gt;=(-DATI!$D$26*10^-3),DATI!$D$32*D12*DATI!$I$29,-DATI!$D$30*DATI!$I$29))</f>
        <v>352404.7411418116</v>
      </c>
      <c r="L12" s="138">
        <v>0</v>
      </c>
      <c r="M12" s="138">
        <f>IF(C12&gt;=(DATI!$D$26*10^-3),DATI!$D$30*DATI!$I$28,IF(C12&gt;=(-DATI!$D$26*10^-3),DATI!$I$28*DATI!$D$32*C12,-DATI!$D$30*DATI!$I$28))</f>
        <v>352404.7411418116</v>
      </c>
      <c r="N12" s="138">
        <f t="shared" si="3"/>
        <v>704809.48228362319</v>
      </c>
      <c r="O12" s="138">
        <f>-K12*(DATI!$C$13/2)+M12*(DATI!$C$13/2)</f>
        <v>0</v>
      </c>
      <c r="P12" s="140">
        <f>-N12/(DATI!$C$6*DATI!$C$13*DATI!$I$11*DATI!$I$16)</f>
        <v>-0.36226084366340999</v>
      </c>
      <c r="Q12" s="140">
        <f>O12/(DATI!$C$6*DATI!$C$13^2*DATI!$I$11)</f>
        <v>0</v>
      </c>
      <c r="R12" s="141">
        <f t="shared" si="0"/>
        <v>0</v>
      </c>
      <c r="S12" s="136" t="str">
        <f>IF(R12&gt;=0, IF(R12&lt;=DATI!$C$8/6, "SI", "NO"),IF(R12&gt; -DATI!$C$8/6, "SI", "NO"))</f>
        <v>SI</v>
      </c>
      <c r="T12" s="138">
        <f t="shared" si="1"/>
        <v>704.8094822836232</v>
      </c>
      <c r="U12" s="136" t="str">
        <f t="shared" si="2"/>
        <v/>
      </c>
    </row>
    <row r="13" spans="1:21" ht="18.75" x14ac:dyDescent="0.25">
      <c r="A13" s="122"/>
      <c r="B13" s="136" t="s">
        <v>37</v>
      </c>
      <c r="C13" s="137">
        <f>DATI!$D$24*10^-3</f>
        <v>0.01</v>
      </c>
      <c r="D13" s="137">
        <f>D12-(C13-(DATI!$C$10/DATI!$C$13*C13))/100</f>
        <v>9.0054794520547932E-3</v>
      </c>
      <c r="E13" s="136" t="s">
        <v>37</v>
      </c>
      <c r="F13" s="138">
        <f>(D13*DATI!$C$13-C13*DATI!$C$10)/(D13-C13)</f>
        <v>-2953.181818181813</v>
      </c>
      <c r="G13" s="139">
        <v>0</v>
      </c>
      <c r="H13" s="139">
        <v>0</v>
      </c>
      <c r="I13" s="139">
        <v>0</v>
      </c>
      <c r="J13" s="139">
        <v>0</v>
      </c>
      <c r="K13" s="138">
        <f>IF(D13&gt;=(DATI!$D$26*10^-3),DATI!$D$30*DATI!$I$29,IF(D13&gt;=(-DATI!$D$26*10^-3),DATI!$D$32*D13*DATI!$I$29,-DATI!$D$30*DATI!$I$29))</f>
        <v>352404.7411418116</v>
      </c>
      <c r="L13" s="138">
        <v>0</v>
      </c>
      <c r="M13" s="138">
        <f>IF(C13&gt;=(DATI!$D$26*10^-3),DATI!$D$30*DATI!$I$28,IF(C13&gt;=(-DATI!$D$26*10^-3),DATI!$I$28*DATI!$D$32*C13,-DATI!$D$30*DATI!$I$28))</f>
        <v>352404.7411418116</v>
      </c>
      <c r="N13" s="138">
        <f t="shared" si="3"/>
        <v>704809.48228362319</v>
      </c>
      <c r="O13" s="138">
        <f>-K13*(DATI!$C$13/2)+M13*(DATI!$C$13/2)</f>
        <v>0</v>
      </c>
      <c r="P13" s="140">
        <f>-N13/(DATI!$C$6*DATI!$C$13*DATI!$I$11*DATI!$I$16)</f>
        <v>-0.36226084366340999</v>
      </c>
      <c r="Q13" s="140">
        <f>O13/(DATI!$C$6*DATI!$C$13^2*DATI!$I$11)</f>
        <v>0</v>
      </c>
      <c r="R13" s="141">
        <f t="shared" si="0"/>
        <v>0</v>
      </c>
      <c r="S13" s="136" t="str">
        <f>IF(R13&gt;=0, IF(R13&lt;=DATI!$C$8/6, "SI", "NO"),IF(R13&gt; -DATI!$C$8/6, "SI", "NO"))</f>
        <v>SI</v>
      </c>
      <c r="T13" s="138">
        <f t="shared" si="1"/>
        <v>704.8094822836232</v>
      </c>
      <c r="U13" s="136" t="str">
        <f t="shared" si="2"/>
        <v/>
      </c>
    </row>
    <row r="14" spans="1:21" ht="18.75" x14ac:dyDescent="0.25">
      <c r="A14" s="122"/>
      <c r="B14" s="136" t="s">
        <v>37</v>
      </c>
      <c r="C14" s="137">
        <f>DATI!$D$24*10^-3</f>
        <v>0.01</v>
      </c>
      <c r="D14" s="137">
        <f>D13-(C14-(DATI!$C$10/DATI!$C$13*C14))/100</f>
        <v>8.9150684931506834E-3</v>
      </c>
      <c r="E14" s="136" t="s">
        <v>37</v>
      </c>
      <c r="F14" s="138">
        <f>(D14*DATI!$C$13-C14*DATI!$C$10)/(D14-C14)</f>
        <v>-2676.666666666662</v>
      </c>
      <c r="G14" s="139">
        <v>0</v>
      </c>
      <c r="H14" s="139">
        <v>0</v>
      </c>
      <c r="I14" s="139">
        <v>0</v>
      </c>
      <c r="J14" s="139">
        <v>0</v>
      </c>
      <c r="K14" s="138">
        <f>IF(D14&gt;=(DATI!$D$26*10^-3),DATI!$D$30*DATI!$I$29,IF(D14&gt;=(-DATI!$D$26*10^-3),DATI!$D$32*D14*DATI!$I$29,-DATI!$D$30*DATI!$I$29))</f>
        <v>352404.7411418116</v>
      </c>
      <c r="L14" s="138">
        <v>0</v>
      </c>
      <c r="M14" s="138">
        <f>IF(C14&gt;=(DATI!$D$26*10^-3),DATI!$D$30*DATI!$I$28,IF(C14&gt;=(-DATI!$D$26*10^-3),DATI!$I$28*DATI!$D$32*C14,-DATI!$D$30*DATI!$I$28))</f>
        <v>352404.7411418116</v>
      </c>
      <c r="N14" s="138">
        <f t="shared" si="3"/>
        <v>704809.48228362319</v>
      </c>
      <c r="O14" s="138">
        <f>-K14*(DATI!$C$13/2)+M14*(DATI!$C$13/2)</f>
        <v>0</v>
      </c>
      <c r="P14" s="140">
        <f>-N14/(DATI!$C$6*DATI!$C$13*DATI!$I$11*DATI!$I$16)</f>
        <v>-0.36226084366340999</v>
      </c>
      <c r="Q14" s="140">
        <f>O14/(DATI!$C$6*DATI!$C$13^2*DATI!$I$11)</f>
        <v>0</v>
      </c>
      <c r="R14" s="141">
        <f t="shared" si="0"/>
        <v>0</v>
      </c>
      <c r="S14" s="136" t="str">
        <f>IF(R14&gt;=0, IF(R14&lt;=DATI!$C$8/6, "SI", "NO"),IF(R14&gt; -DATI!$C$8/6, "SI", "NO"))</f>
        <v>SI</v>
      </c>
      <c r="T14" s="138">
        <f t="shared" si="1"/>
        <v>704.8094822836232</v>
      </c>
      <c r="U14" s="136" t="str">
        <f t="shared" si="2"/>
        <v/>
      </c>
    </row>
    <row r="15" spans="1:21" ht="18.75" x14ac:dyDescent="0.25">
      <c r="A15" s="122"/>
      <c r="B15" s="136" t="s">
        <v>37</v>
      </c>
      <c r="C15" s="137">
        <f>DATI!$D$24*10^-3</f>
        <v>0.01</v>
      </c>
      <c r="D15" s="137">
        <f>D14-(C15-(DATI!$C$10/DATI!$C$13*C15))/100</f>
        <v>8.8246575342465737E-3</v>
      </c>
      <c r="E15" s="136" t="s">
        <v>37</v>
      </c>
      <c r="F15" s="138">
        <f>(D15*DATI!$C$13-C15*DATI!$C$10)/(D15-C15)</f>
        <v>-2442.6923076923031</v>
      </c>
      <c r="G15" s="139">
        <v>0</v>
      </c>
      <c r="H15" s="139">
        <v>0</v>
      </c>
      <c r="I15" s="139">
        <v>0</v>
      </c>
      <c r="J15" s="139">
        <v>0</v>
      </c>
      <c r="K15" s="138">
        <f>IF(D15&gt;=(DATI!$D$26*10^-3),DATI!$D$30*DATI!$I$29,IF(D15&gt;=(-DATI!$D$26*10^-3),DATI!$D$32*D15*DATI!$I$29,-DATI!$D$30*DATI!$I$29))</f>
        <v>352404.7411418116</v>
      </c>
      <c r="L15" s="138">
        <v>0</v>
      </c>
      <c r="M15" s="138">
        <f>IF(C15&gt;=(DATI!$D$26*10^-3),DATI!$D$30*DATI!$I$28,IF(C15&gt;=(-DATI!$D$26*10^-3),DATI!$I$28*DATI!$D$32*C15,-DATI!$D$30*DATI!$I$28))</f>
        <v>352404.7411418116</v>
      </c>
      <c r="N15" s="138">
        <f t="shared" si="3"/>
        <v>704809.48228362319</v>
      </c>
      <c r="O15" s="138">
        <f>-K15*(DATI!$C$13/2)+M15*(DATI!$C$13/2)</f>
        <v>0</v>
      </c>
      <c r="P15" s="140">
        <f>-N15/(DATI!$C$6*DATI!$C$13*DATI!$I$11*DATI!$I$16)</f>
        <v>-0.36226084366340999</v>
      </c>
      <c r="Q15" s="140">
        <f>O15/(DATI!$C$6*DATI!$C$13^2*DATI!$I$11)</f>
        <v>0</v>
      </c>
      <c r="R15" s="141">
        <f t="shared" si="0"/>
        <v>0</v>
      </c>
      <c r="S15" s="136" t="str">
        <f>IF(R15&gt;=0, IF(R15&lt;=DATI!$C$8/6, "SI", "NO"),IF(R15&gt; -DATI!$C$8/6, "SI", "NO"))</f>
        <v>SI</v>
      </c>
      <c r="T15" s="138">
        <f t="shared" si="1"/>
        <v>704.8094822836232</v>
      </c>
      <c r="U15" s="136" t="str">
        <f t="shared" si="2"/>
        <v/>
      </c>
    </row>
    <row r="16" spans="1:21" ht="18.75" x14ac:dyDescent="0.25">
      <c r="A16" s="122"/>
      <c r="B16" s="136" t="s">
        <v>37</v>
      </c>
      <c r="C16" s="137">
        <f>DATI!$D$24*10^-3</f>
        <v>0.01</v>
      </c>
      <c r="D16" s="137">
        <f>D15-(C16-(DATI!$C$10/DATI!$C$13*C16))/100</f>
        <v>8.734246575342464E-3</v>
      </c>
      <c r="E16" s="136" t="s">
        <v>37</v>
      </c>
      <c r="F16" s="138">
        <f>(D16*DATI!$C$13-C16*DATI!$C$10)/(D16-C16)</f>
        <v>-2242.1428571428528</v>
      </c>
      <c r="G16" s="139">
        <v>0</v>
      </c>
      <c r="H16" s="139">
        <v>0</v>
      </c>
      <c r="I16" s="139">
        <v>0</v>
      </c>
      <c r="J16" s="139">
        <v>0</v>
      </c>
      <c r="K16" s="138">
        <f>IF(D16&gt;=(DATI!$D$26*10^-3),DATI!$D$30*DATI!$I$29,IF(D16&gt;=(-DATI!$D$26*10^-3),DATI!$D$32*D16*DATI!$I$29,-DATI!$D$30*DATI!$I$29))</f>
        <v>352404.7411418116</v>
      </c>
      <c r="L16" s="138">
        <v>0</v>
      </c>
      <c r="M16" s="138">
        <f>IF(C16&gt;=(DATI!$D$26*10^-3),DATI!$D$30*DATI!$I$28,IF(C16&gt;=(-DATI!$D$26*10^-3),DATI!$I$28*DATI!$D$32*C16,-DATI!$D$30*DATI!$I$28))</f>
        <v>352404.7411418116</v>
      </c>
      <c r="N16" s="138">
        <f t="shared" si="3"/>
        <v>704809.48228362319</v>
      </c>
      <c r="O16" s="138">
        <f>-K16*(DATI!$C$13/2)+M16*(DATI!$C$13/2)</f>
        <v>0</v>
      </c>
      <c r="P16" s="140">
        <f>-N16/(DATI!$C$6*DATI!$C$13*DATI!$I$11*DATI!$I$16)</f>
        <v>-0.36226084366340999</v>
      </c>
      <c r="Q16" s="140">
        <f>O16/(DATI!$C$6*DATI!$C$13^2*DATI!$I$11)</f>
        <v>0</v>
      </c>
      <c r="R16" s="141">
        <f t="shared" si="0"/>
        <v>0</v>
      </c>
      <c r="S16" s="136" t="str">
        <f>IF(R16&gt;=0, IF(R16&lt;=DATI!$C$8/6, "SI", "NO"),IF(R16&gt; -DATI!$C$8/6, "SI", "NO"))</f>
        <v>SI</v>
      </c>
      <c r="T16" s="138">
        <f t="shared" si="1"/>
        <v>704.8094822836232</v>
      </c>
      <c r="U16" s="136" t="str">
        <f t="shared" si="2"/>
        <v/>
      </c>
    </row>
    <row r="17" spans="1:21" ht="18.75" x14ac:dyDescent="0.25">
      <c r="A17" s="122"/>
      <c r="B17" s="136" t="s">
        <v>37</v>
      </c>
      <c r="C17" s="137">
        <f>DATI!$D$24*10^-3</f>
        <v>0.01</v>
      </c>
      <c r="D17" s="137">
        <f>D16-(C17-(DATI!$C$10/DATI!$C$13*C17))/100</f>
        <v>8.6438356164383542E-3</v>
      </c>
      <c r="E17" s="136" t="s">
        <v>37</v>
      </c>
      <c r="F17" s="138">
        <f>(D17*DATI!$C$13-C17*DATI!$C$10)/(D17-C17)</f>
        <v>-2068.3333333333294</v>
      </c>
      <c r="G17" s="139">
        <v>0</v>
      </c>
      <c r="H17" s="139">
        <v>0</v>
      </c>
      <c r="I17" s="139">
        <v>0</v>
      </c>
      <c r="J17" s="139">
        <v>0</v>
      </c>
      <c r="K17" s="138">
        <f>IF(D17&gt;=(DATI!$D$26*10^-3),DATI!$D$30*DATI!$I$29,IF(D17&gt;=(-DATI!$D$26*10^-3),DATI!$D$32*D17*DATI!$I$29,-DATI!$D$30*DATI!$I$29))</f>
        <v>352404.7411418116</v>
      </c>
      <c r="L17" s="138">
        <v>0</v>
      </c>
      <c r="M17" s="138">
        <f>IF(C17&gt;=(DATI!$D$26*10^-3),DATI!$D$30*DATI!$I$28,IF(C17&gt;=(-DATI!$D$26*10^-3),DATI!$I$28*DATI!$D$32*C17,-DATI!$D$30*DATI!$I$28))</f>
        <v>352404.7411418116</v>
      </c>
      <c r="N17" s="138">
        <f t="shared" si="3"/>
        <v>704809.48228362319</v>
      </c>
      <c r="O17" s="138">
        <f>-K17*(DATI!$C$13/2)+M17*(DATI!$C$13/2)</f>
        <v>0</v>
      </c>
      <c r="P17" s="140">
        <f>-N17/(DATI!$C$6*DATI!$C$13*DATI!$I$11*DATI!$I$16)</f>
        <v>-0.36226084366340999</v>
      </c>
      <c r="Q17" s="140">
        <f>O17/(DATI!$C$6*DATI!$C$13^2*DATI!$I$11)</f>
        <v>0</v>
      </c>
      <c r="R17" s="141">
        <f t="shared" si="0"/>
        <v>0</v>
      </c>
      <c r="S17" s="136" t="str">
        <f>IF(R17&gt;=0, IF(R17&lt;=DATI!$C$8/6, "SI", "NO"),IF(R17&gt; -DATI!$C$8/6, "SI", "NO"))</f>
        <v>SI</v>
      </c>
      <c r="T17" s="138">
        <f t="shared" si="1"/>
        <v>704.8094822836232</v>
      </c>
      <c r="U17" s="136" t="str">
        <f t="shared" si="2"/>
        <v/>
      </c>
    </row>
    <row r="18" spans="1:21" ht="18.75" x14ac:dyDescent="0.25">
      <c r="A18" s="122"/>
      <c r="B18" s="136" t="s">
        <v>37</v>
      </c>
      <c r="C18" s="137">
        <f>DATI!$D$24*10^-3</f>
        <v>0.01</v>
      </c>
      <c r="D18" s="137">
        <f>D17-(C18-(DATI!$C$10/DATI!$C$13*C18))/100</f>
        <v>8.5534246575342445E-3</v>
      </c>
      <c r="E18" s="136" t="s">
        <v>37</v>
      </c>
      <c r="F18" s="138">
        <f>(D18*DATI!$C$13-C18*DATI!$C$10)/(D18-C18)</f>
        <v>-1916.2499999999966</v>
      </c>
      <c r="G18" s="139">
        <v>0</v>
      </c>
      <c r="H18" s="139">
        <v>0</v>
      </c>
      <c r="I18" s="139">
        <v>0</v>
      </c>
      <c r="J18" s="139">
        <v>0</v>
      </c>
      <c r="K18" s="138">
        <f>IF(D18&gt;=(DATI!$D$26*10^-3),DATI!$D$30*DATI!$I$29,IF(D18&gt;=(-DATI!$D$26*10^-3),DATI!$D$32*D18*DATI!$I$29,-DATI!$D$30*DATI!$I$29))</f>
        <v>352404.7411418116</v>
      </c>
      <c r="L18" s="138">
        <v>0</v>
      </c>
      <c r="M18" s="138">
        <f>IF(C18&gt;=(DATI!$D$26*10^-3),DATI!$D$30*DATI!$I$28,IF(C18&gt;=(-DATI!$D$26*10^-3),DATI!$I$28*DATI!$D$32*C18,-DATI!$D$30*DATI!$I$28))</f>
        <v>352404.7411418116</v>
      </c>
      <c r="N18" s="138">
        <f t="shared" si="3"/>
        <v>704809.48228362319</v>
      </c>
      <c r="O18" s="138">
        <f>-K18*(DATI!$C$13/2)+M18*(DATI!$C$13/2)</f>
        <v>0</v>
      </c>
      <c r="P18" s="140">
        <f>-N18/(DATI!$C$6*DATI!$C$13*DATI!$I$11*DATI!$I$16)</f>
        <v>-0.36226084366340999</v>
      </c>
      <c r="Q18" s="140">
        <f>O18/(DATI!$C$6*DATI!$C$13^2*DATI!$I$11)</f>
        <v>0</v>
      </c>
      <c r="R18" s="141">
        <f t="shared" si="0"/>
        <v>0</v>
      </c>
      <c r="S18" s="136" t="str">
        <f>IF(R18&gt;=0, IF(R18&lt;=DATI!$C$8/6, "SI", "NO"),IF(R18&gt; -DATI!$C$8/6, "SI", "NO"))</f>
        <v>SI</v>
      </c>
      <c r="T18" s="138">
        <f t="shared" si="1"/>
        <v>704.8094822836232</v>
      </c>
      <c r="U18" s="136" t="str">
        <f t="shared" si="2"/>
        <v/>
      </c>
    </row>
    <row r="19" spans="1:21" ht="18.75" x14ac:dyDescent="0.25">
      <c r="A19" s="122"/>
      <c r="B19" s="136" t="s">
        <v>37</v>
      </c>
      <c r="C19" s="137">
        <f>DATI!$D$24*10^-3</f>
        <v>0.01</v>
      </c>
      <c r="D19" s="137">
        <f>D18-(C19-(DATI!$C$10/DATI!$C$13*C19))/100</f>
        <v>8.4630136986301348E-3</v>
      </c>
      <c r="E19" s="136" t="s">
        <v>37</v>
      </c>
      <c r="F19" s="138">
        <f>(D19*DATI!$C$13-C19*DATI!$C$10)/(D19-C19)</f>
        <v>-1782.0588235294083</v>
      </c>
      <c r="G19" s="139">
        <v>0</v>
      </c>
      <c r="H19" s="139">
        <v>0</v>
      </c>
      <c r="I19" s="139">
        <v>0</v>
      </c>
      <c r="J19" s="139">
        <v>0</v>
      </c>
      <c r="K19" s="138">
        <f>IF(D19&gt;=(DATI!$D$26*10^-3),DATI!$D$30*DATI!$I$29,IF(D19&gt;=(-DATI!$D$26*10^-3),DATI!$D$32*D19*DATI!$I$29,-DATI!$D$30*DATI!$I$29))</f>
        <v>352404.7411418116</v>
      </c>
      <c r="L19" s="138">
        <v>0</v>
      </c>
      <c r="M19" s="138">
        <f>IF(C19&gt;=(DATI!$D$26*10^-3),DATI!$D$30*DATI!$I$28,IF(C19&gt;=(-DATI!$D$26*10^-3),DATI!$I$28*DATI!$D$32*C19,-DATI!$D$30*DATI!$I$28))</f>
        <v>352404.7411418116</v>
      </c>
      <c r="N19" s="138">
        <f t="shared" si="3"/>
        <v>704809.48228362319</v>
      </c>
      <c r="O19" s="138">
        <f>-K19*(DATI!$C$13/2)+M19*(DATI!$C$13/2)</f>
        <v>0</v>
      </c>
      <c r="P19" s="140">
        <f>-N19/(DATI!$C$6*DATI!$C$13*DATI!$I$11*DATI!$I$16)</f>
        <v>-0.36226084366340999</v>
      </c>
      <c r="Q19" s="140">
        <f>O19/(DATI!$C$6*DATI!$C$13^2*DATI!$I$11)</f>
        <v>0</v>
      </c>
      <c r="R19" s="141">
        <f t="shared" si="0"/>
        <v>0</v>
      </c>
      <c r="S19" s="136" t="str">
        <f>IF(R19&gt;=0, IF(R19&lt;=DATI!$C$8/6, "SI", "NO"),IF(R19&gt; -DATI!$C$8/6, "SI", "NO"))</f>
        <v>SI</v>
      </c>
      <c r="T19" s="138">
        <f t="shared" si="1"/>
        <v>704.8094822836232</v>
      </c>
      <c r="U19" s="136" t="str">
        <f t="shared" si="2"/>
        <v/>
      </c>
    </row>
    <row r="20" spans="1:21" ht="18.75" x14ac:dyDescent="0.25">
      <c r="A20" s="122"/>
      <c r="B20" s="136" t="s">
        <v>37</v>
      </c>
      <c r="C20" s="137">
        <f>DATI!$D$24*10^-3</f>
        <v>0.01</v>
      </c>
      <c r="D20" s="137">
        <f>D19-(C20-(DATI!$C$10/DATI!$C$13*C20))/100</f>
        <v>8.372602739726025E-3</v>
      </c>
      <c r="E20" s="136" t="s">
        <v>37</v>
      </c>
      <c r="F20" s="138">
        <f>(D20*DATI!$C$13-C20*DATI!$C$10)/(D20-C20)</f>
        <v>-1662.7777777777746</v>
      </c>
      <c r="G20" s="139">
        <v>0</v>
      </c>
      <c r="H20" s="139">
        <v>0</v>
      </c>
      <c r="I20" s="139">
        <v>0</v>
      </c>
      <c r="J20" s="139">
        <v>0</v>
      </c>
      <c r="K20" s="138">
        <f>IF(D20&gt;=(DATI!$D$26*10^-3),DATI!$D$30*DATI!$I$29,IF(D20&gt;=(-DATI!$D$26*10^-3),DATI!$D$32*D20*DATI!$I$29,-DATI!$D$30*DATI!$I$29))</f>
        <v>352404.7411418116</v>
      </c>
      <c r="L20" s="138">
        <v>0</v>
      </c>
      <c r="M20" s="138">
        <f>IF(C20&gt;=(DATI!$D$26*10^-3),DATI!$D$30*DATI!$I$28,IF(C20&gt;=(-DATI!$D$26*10^-3),DATI!$I$28*DATI!$D$32*C20,-DATI!$D$30*DATI!$I$28))</f>
        <v>352404.7411418116</v>
      </c>
      <c r="N20" s="138">
        <f t="shared" si="3"/>
        <v>704809.48228362319</v>
      </c>
      <c r="O20" s="138">
        <f>-K20*(DATI!$C$13/2)+M20*(DATI!$C$13/2)</f>
        <v>0</v>
      </c>
      <c r="P20" s="140">
        <f>-N20/(DATI!$C$6*DATI!$C$13*DATI!$I$11*DATI!$I$16)</f>
        <v>-0.36226084366340999</v>
      </c>
      <c r="Q20" s="140">
        <f>O20/(DATI!$C$6*DATI!$C$13^2*DATI!$I$11)</f>
        <v>0</v>
      </c>
      <c r="R20" s="141">
        <f t="shared" si="0"/>
        <v>0</v>
      </c>
      <c r="S20" s="136" t="str">
        <f>IF(R20&gt;=0, IF(R20&lt;=DATI!$C$8/6, "SI", "NO"),IF(R20&gt; -DATI!$C$8/6, "SI", "NO"))</f>
        <v>SI</v>
      </c>
      <c r="T20" s="138">
        <f t="shared" si="1"/>
        <v>704.8094822836232</v>
      </c>
      <c r="U20" s="136" t="str">
        <f t="shared" si="2"/>
        <v/>
      </c>
    </row>
    <row r="21" spans="1:21" ht="18.75" x14ac:dyDescent="0.25">
      <c r="A21" s="122"/>
      <c r="B21" s="136" t="s">
        <v>37</v>
      </c>
      <c r="C21" s="137">
        <f>DATI!$D$24*10^-3</f>
        <v>0.01</v>
      </c>
      <c r="D21" s="137">
        <f>D20-(C21-(DATI!$C$10/DATI!$C$13*C21))/100</f>
        <v>8.2821917808219153E-3</v>
      </c>
      <c r="E21" s="136" t="s">
        <v>37</v>
      </c>
      <c r="F21" s="138">
        <f>(D21*DATI!$C$13-C21*DATI!$C$10)/(D21-C21)</f>
        <v>-1556.0526315789443</v>
      </c>
      <c r="G21" s="139">
        <v>0</v>
      </c>
      <c r="H21" s="139">
        <v>0</v>
      </c>
      <c r="I21" s="139">
        <v>0</v>
      </c>
      <c r="J21" s="139">
        <v>0</v>
      </c>
      <c r="K21" s="138">
        <f>IF(D21&gt;=(DATI!$D$26*10^-3),DATI!$D$30*DATI!$I$29,IF(D21&gt;=(-DATI!$D$26*10^-3),DATI!$D$32*D21*DATI!$I$29,-DATI!$D$30*DATI!$I$29))</f>
        <v>352404.7411418116</v>
      </c>
      <c r="L21" s="138">
        <v>0</v>
      </c>
      <c r="M21" s="138">
        <f>IF(C21&gt;=(DATI!$D$26*10^-3),DATI!$D$30*DATI!$I$28,IF(C21&gt;=(-DATI!$D$26*10^-3),DATI!$I$28*DATI!$D$32*C21,-DATI!$D$30*DATI!$I$28))</f>
        <v>352404.7411418116</v>
      </c>
      <c r="N21" s="138">
        <f t="shared" si="3"/>
        <v>704809.48228362319</v>
      </c>
      <c r="O21" s="138">
        <f>-K21*(DATI!$C$13/2)+M21*(DATI!$C$13/2)</f>
        <v>0</v>
      </c>
      <c r="P21" s="140">
        <f>-N21/(DATI!$C$6*DATI!$C$13*DATI!$I$11*DATI!$I$16)</f>
        <v>-0.36226084366340999</v>
      </c>
      <c r="Q21" s="140">
        <f>O21/(DATI!$C$6*DATI!$C$13^2*DATI!$I$11)</f>
        <v>0</v>
      </c>
      <c r="R21" s="141">
        <f t="shared" si="0"/>
        <v>0</v>
      </c>
      <c r="S21" s="136" t="str">
        <f>IF(R21&gt;=0, IF(R21&lt;=DATI!$C$8/6, "SI", "NO"),IF(R21&gt; -DATI!$C$8/6, "SI", "NO"))</f>
        <v>SI</v>
      </c>
      <c r="T21" s="138">
        <f t="shared" si="1"/>
        <v>704.8094822836232</v>
      </c>
      <c r="U21" s="136" t="str">
        <f t="shared" si="2"/>
        <v/>
      </c>
    </row>
    <row r="22" spans="1:21" ht="18.75" x14ac:dyDescent="0.25">
      <c r="A22" s="122"/>
      <c r="B22" s="136" t="s">
        <v>37</v>
      </c>
      <c r="C22" s="137">
        <f>DATI!$D$24*10^-3</f>
        <v>0.01</v>
      </c>
      <c r="D22" s="137">
        <f>D21-(C22-(DATI!$C$10/DATI!$C$13*C22))/100</f>
        <v>8.1917808219178056E-3</v>
      </c>
      <c r="E22" s="136" t="s">
        <v>37</v>
      </c>
      <c r="F22" s="138">
        <f>(D22*DATI!$C$13-C22*DATI!$C$10)/(D22-C22)</f>
        <v>-1459.999999999997</v>
      </c>
      <c r="G22" s="139">
        <v>0</v>
      </c>
      <c r="H22" s="139">
        <v>0</v>
      </c>
      <c r="I22" s="139">
        <v>0</v>
      </c>
      <c r="J22" s="139">
        <v>0</v>
      </c>
      <c r="K22" s="138">
        <f>IF(D22&gt;=(DATI!$D$26*10^-3),DATI!$D$30*DATI!$I$29,IF(D22&gt;=(-DATI!$D$26*10^-3),DATI!$D$32*D22*DATI!$I$29,-DATI!$D$30*DATI!$I$29))</f>
        <v>352404.7411418116</v>
      </c>
      <c r="L22" s="138">
        <v>0</v>
      </c>
      <c r="M22" s="138">
        <f>IF(C22&gt;=(DATI!$D$26*10^-3),DATI!$D$30*DATI!$I$28,IF(C22&gt;=(-DATI!$D$26*10^-3),DATI!$I$28*DATI!$D$32*C22,-DATI!$D$30*DATI!$I$28))</f>
        <v>352404.7411418116</v>
      </c>
      <c r="N22" s="138">
        <f t="shared" si="3"/>
        <v>704809.48228362319</v>
      </c>
      <c r="O22" s="138">
        <f>-K22*(DATI!$C$13/2)+M22*(DATI!$C$13/2)</f>
        <v>0</v>
      </c>
      <c r="P22" s="140">
        <f>-N22/(DATI!$C$6*DATI!$C$13*DATI!$I$11*DATI!$I$16)</f>
        <v>-0.36226084366340999</v>
      </c>
      <c r="Q22" s="140">
        <f>O22/(DATI!$C$6*DATI!$C$13^2*DATI!$I$11)</f>
        <v>0</v>
      </c>
      <c r="R22" s="141">
        <f t="shared" si="0"/>
        <v>0</v>
      </c>
      <c r="S22" s="136" t="str">
        <f>IF(R22&gt;=0, IF(R22&lt;=DATI!$C$8/6, "SI", "NO"),IF(R22&gt; -DATI!$C$8/6, "SI", "NO"))</f>
        <v>SI</v>
      </c>
      <c r="T22" s="138">
        <f t="shared" si="1"/>
        <v>704.8094822836232</v>
      </c>
      <c r="U22" s="136" t="str">
        <f t="shared" si="2"/>
        <v/>
      </c>
    </row>
    <row r="23" spans="1:21" ht="18.75" x14ac:dyDescent="0.25">
      <c r="A23" s="122"/>
      <c r="B23" s="136" t="s">
        <v>37</v>
      </c>
      <c r="C23" s="137">
        <f>DATI!$D$24*10^-3</f>
        <v>0.01</v>
      </c>
      <c r="D23" s="137">
        <f>D22-(C23-(DATI!$C$10/DATI!$C$13*C23))/100</f>
        <v>8.1013698630136959E-3</v>
      </c>
      <c r="E23" s="136" t="s">
        <v>37</v>
      </c>
      <c r="F23" s="138">
        <f>(D23*DATI!$C$13-C23*DATI!$C$10)/(D23-C23)</f>
        <v>-1373.0952380952353</v>
      </c>
      <c r="G23" s="139">
        <v>0</v>
      </c>
      <c r="H23" s="139">
        <v>0</v>
      </c>
      <c r="I23" s="139">
        <v>0</v>
      </c>
      <c r="J23" s="139">
        <v>0</v>
      </c>
      <c r="K23" s="138">
        <f>IF(D23&gt;=(DATI!$D$26*10^-3),DATI!$D$30*DATI!$I$29,IF(D23&gt;=(-DATI!$D$26*10^-3),DATI!$D$32*D23*DATI!$I$29,-DATI!$D$30*DATI!$I$29))</f>
        <v>352404.7411418116</v>
      </c>
      <c r="L23" s="138">
        <v>0</v>
      </c>
      <c r="M23" s="138">
        <f>IF(C23&gt;=(DATI!$D$26*10^-3),DATI!$D$30*DATI!$I$28,IF(C23&gt;=(-DATI!$D$26*10^-3),DATI!$I$28*DATI!$D$32*C23,-DATI!$D$30*DATI!$I$28))</f>
        <v>352404.7411418116</v>
      </c>
      <c r="N23" s="138">
        <f t="shared" si="3"/>
        <v>704809.48228362319</v>
      </c>
      <c r="O23" s="138">
        <f>-K23*(DATI!$C$13/2)+M23*(DATI!$C$13/2)</f>
        <v>0</v>
      </c>
      <c r="P23" s="140">
        <f>-N23/(DATI!$C$6*DATI!$C$13*DATI!$I$11*DATI!$I$16)</f>
        <v>-0.36226084366340999</v>
      </c>
      <c r="Q23" s="140">
        <f>O23/(DATI!$C$6*DATI!$C$13^2*DATI!$I$11)</f>
        <v>0</v>
      </c>
      <c r="R23" s="141">
        <f t="shared" si="0"/>
        <v>0</v>
      </c>
      <c r="S23" s="136" t="str">
        <f>IF(R23&gt;=0, IF(R23&lt;=DATI!$C$8/6, "SI", "NO"),IF(R23&gt; -DATI!$C$8/6, "SI", "NO"))</f>
        <v>SI</v>
      </c>
      <c r="T23" s="138">
        <f t="shared" si="1"/>
        <v>704.8094822836232</v>
      </c>
      <c r="U23" s="136" t="str">
        <f t="shared" si="2"/>
        <v/>
      </c>
    </row>
    <row r="24" spans="1:21" ht="18.75" x14ac:dyDescent="0.25">
      <c r="A24" s="122"/>
      <c r="B24" s="136" t="s">
        <v>37</v>
      </c>
      <c r="C24" s="137">
        <f>DATI!$D$24*10^-3</f>
        <v>0.01</v>
      </c>
      <c r="D24" s="137">
        <f>D23-(C24-(DATI!$C$10/DATI!$C$13*C24))/100</f>
        <v>8.0109589041095861E-3</v>
      </c>
      <c r="E24" s="136" t="s">
        <v>37</v>
      </c>
      <c r="F24" s="138">
        <f>(D24*DATI!$C$13-C24*DATI!$C$10)/(D24-C24)</f>
        <v>-1294.0909090909065</v>
      </c>
      <c r="G24" s="139">
        <v>0</v>
      </c>
      <c r="H24" s="139">
        <v>0</v>
      </c>
      <c r="I24" s="139">
        <v>0</v>
      </c>
      <c r="J24" s="139">
        <v>0</v>
      </c>
      <c r="K24" s="138">
        <f>IF(D24&gt;=(DATI!$D$26*10^-3),DATI!$D$30*DATI!$I$29,IF(D24&gt;=(-DATI!$D$26*10^-3),DATI!$D$32*D24*DATI!$I$29,-DATI!$D$30*DATI!$I$29))</f>
        <v>352404.7411418116</v>
      </c>
      <c r="L24" s="138">
        <v>0</v>
      </c>
      <c r="M24" s="138">
        <f>IF(C24&gt;=(DATI!$D$26*10^-3),DATI!$D$30*DATI!$I$28,IF(C24&gt;=(-DATI!$D$26*10^-3),DATI!$I$28*DATI!$D$32*C24,-DATI!$D$30*DATI!$I$28))</f>
        <v>352404.7411418116</v>
      </c>
      <c r="N24" s="138">
        <f t="shared" si="3"/>
        <v>704809.48228362319</v>
      </c>
      <c r="O24" s="138">
        <f>-K24*(DATI!$C$13/2)+M24*(DATI!$C$13/2)</f>
        <v>0</v>
      </c>
      <c r="P24" s="140">
        <f>-N24/(DATI!$C$6*DATI!$C$13*DATI!$I$11*DATI!$I$16)</f>
        <v>-0.36226084366340999</v>
      </c>
      <c r="Q24" s="140">
        <f>O24/(DATI!$C$6*DATI!$C$13^2*DATI!$I$11)</f>
        <v>0</v>
      </c>
      <c r="R24" s="141">
        <f t="shared" si="0"/>
        <v>0</v>
      </c>
      <c r="S24" s="136" t="str">
        <f>IF(R24&gt;=0, IF(R24&lt;=DATI!$C$8/6, "SI", "NO"),IF(R24&gt; -DATI!$C$8/6, "SI", "NO"))</f>
        <v>SI</v>
      </c>
      <c r="T24" s="138">
        <f t="shared" si="1"/>
        <v>704.8094822836232</v>
      </c>
      <c r="U24" s="136" t="str">
        <f t="shared" si="2"/>
        <v/>
      </c>
    </row>
    <row r="25" spans="1:21" ht="18.75" x14ac:dyDescent="0.25">
      <c r="A25" s="122"/>
      <c r="B25" s="136" t="s">
        <v>37</v>
      </c>
      <c r="C25" s="137">
        <f>DATI!$D$24*10^-3</f>
        <v>0.01</v>
      </c>
      <c r="D25" s="137">
        <f>D24-(C25-(DATI!$C$10/DATI!$C$13*C25))/100</f>
        <v>7.9205479452054764E-3</v>
      </c>
      <c r="E25" s="136" t="s">
        <v>37</v>
      </c>
      <c r="F25" s="138">
        <f>(D25*DATI!$C$13-C25*DATI!$C$10)/(D25-C25)</f>
        <v>-1221.9565217391278</v>
      </c>
      <c r="G25" s="139">
        <v>0</v>
      </c>
      <c r="H25" s="139">
        <v>0</v>
      </c>
      <c r="I25" s="139">
        <v>0</v>
      </c>
      <c r="J25" s="139">
        <v>0</v>
      </c>
      <c r="K25" s="138">
        <f>IF(D25&gt;=(DATI!$D$26*10^-3),DATI!$D$30*DATI!$I$29,IF(D25&gt;=(-DATI!$D$26*10^-3),DATI!$D$32*D25*DATI!$I$29,-DATI!$D$30*DATI!$I$29))</f>
        <v>352404.7411418116</v>
      </c>
      <c r="L25" s="138">
        <v>0</v>
      </c>
      <c r="M25" s="138">
        <f>IF(C25&gt;=(DATI!$D$26*10^-3),DATI!$D$30*DATI!$I$28,IF(C25&gt;=(-DATI!$D$26*10^-3),DATI!$I$28*DATI!$D$32*C25,-DATI!$D$30*DATI!$I$28))</f>
        <v>352404.7411418116</v>
      </c>
      <c r="N25" s="138">
        <f t="shared" si="3"/>
        <v>704809.48228362319</v>
      </c>
      <c r="O25" s="138">
        <f>-K25*(DATI!$C$13/2)+M25*(DATI!$C$13/2)</f>
        <v>0</v>
      </c>
      <c r="P25" s="140">
        <f>-N25/(DATI!$C$6*DATI!$C$13*DATI!$I$11*DATI!$I$16)</f>
        <v>-0.36226084366340999</v>
      </c>
      <c r="Q25" s="140">
        <f>O25/(DATI!$C$6*DATI!$C$13^2*DATI!$I$11)</f>
        <v>0</v>
      </c>
      <c r="R25" s="141">
        <f t="shared" si="0"/>
        <v>0</v>
      </c>
      <c r="S25" s="136" t="str">
        <f>IF(R25&gt;=0, IF(R25&lt;=DATI!$C$8/6, "SI", "NO"),IF(R25&gt; -DATI!$C$8/6, "SI", "NO"))</f>
        <v>SI</v>
      </c>
      <c r="T25" s="138">
        <f t="shared" si="1"/>
        <v>704.8094822836232</v>
      </c>
      <c r="U25" s="136" t="str">
        <f t="shared" si="2"/>
        <v/>
      </c>
    </row>
    <row r="26" spans="1:21" ht="18.75" x14ac:dyDescent="0.25">
      <c r="A26" s="122"/>
      <c r="B26" s="136" t="s">
        <v>37</v>
      </c>
      <c r="C26" s="137">
        <f>DATI!$D$24*10^-3</f>
        <v>0.01</v>
      </c>
      <c r="D26" s="137">
        <f>D25-(C26-(DATI!$C$10/DATI!$C$13*C26))/100</f>
        <v>7.8301369863013667E-3</v>
      </c>
      <c r="E26" s="136" t="s">
        <v>37</v>
      </c>
      <c r="F26" s="138">
        <f>(D26*DATI!$C$13-C26*DATI!$C$10)/(D26-C26)</f>
        <v>-1155.833333333331</v>
      </c>
      <c r="G26" s="139">
        <v>0</v>
      </c>
      <c r="H26" s="139">
        <v>0</v>
      </c>
      <c r="I26" s="139">
        <v>0</v>
      </c>
      <c r="J26" s="139">
        <v>0</v>
      </c>
      <c r="K26" s="138">
        <f>IF(D26&gt;=(DATI!$D$26*10^-3),DATI!$D$30*DATI!$I$29,IF(D26&gt;=(-DATI!$D$26*10^-3),DATI!$D$32*D26*DATI!$I$29,-DATI!$D$30*DATI!$I$29))</f>
        <v>352404.7411418116</v>
      </c>
      <c r="L26" s="138">
        <v>0</v>
      </c>
      <c r="M26" s="138">
        <f>IF(C26&gt;=(DATI!$D$26*10^-3),DATI!$D$30*DATI!$I$28,IF(C26&gt;=(-DATI!$D$26*10^-3),DATI!$I$28*DATI!$D$32*C26,-DATI!$D$30*DATI!$I$28))</f>
        <v>352404.7411418116</v>
      </c>
      <c r="N26" s="138">
        <f t="shared" si="3"/>
        <v>704809.48228362319</v>
      </c>
      <c r="O26" s="138">
        <f>-K26*(DATI!$C$13/2)+M26*(DATI!$C$13/2)</f>
        <v>0</v>
      </c>
      <c r="P26" s="140">
        <f>-N26/(DATI!$C$6*DATI!$C$13*DATI!$I$11*DATI!$I$16)</f>
        <v>-0.36226084366340999</v>
      </c>
      <c r="Q26" s="140">
        <f>O26/(DATI!$C$6*DATI!$C$13^2*DATI!$I$11)</f>
        <v>0</v>
      </c>
      <c r="R26" s="141">
        <f t="shared" si="0"/>
        <v>0</v>
      </c>
      <c r="S26" s="136" t="str">
        <f>IF(R26&gt;=0, IF(R26&lt;=DATI!$C$8/6, "SI", "NO"),IF(R26&gt; -DATI!$C$8/6, "SI", "NO"))</f>
        <v>SI</v>
      </c>
      <c r="T26" s="138">
        <f t="shared" si="1"/>
        <v>704.8094822836232</v>
      </c>
      <c r="U26" s="136" t="str">
        <f t="shared" si="2"/>
        <v/>
      </c>
    </row>
    <row r="27" spans="1:21" ht="18.75" x14ac:dyDescent="0.25">
      <c r="A27" s="122"/>
      <c r="B27" s="136" t="s">
        <v>37</v>
      </c>
      <c r="C27" s="137">
        <f>DATI!$D$24*10^-3</f>
        <v>0.01</v>
      </c>
      <c r="D27" s="137">
        <f>D26-(C27-(DATI!$C$10/DATI!$C$13*C27))/100</f>
        <v>7.7397260273972569E-3</v>
      </c>
      <c r="E27" s="136" t="s">
        <v>37</v>
      </c>
      <c r="F27" s="138">
        <f>(D27*DATI!$C$13-C27*DATI!$C$10)/(D27-C27)</f>
        <v>-1094.9999999999977</v>
      </c>
      <c r="G27" s="139">
        <v>0</v>
      </c>
      <c r="H27" s="139">
        <v>0</v>
      </c>
      <c r="I27" s="139">
        <v>0</v>
      </c>
      <c r="J27" s="139">
        <v>0</v>
      </c>
      <c r="K27" s="138">
        <f>IF(D27&gt;=(DATI!$D$26*10^-3),DATI!$D$30*DATI!$I$29,IF(D27&gt;=(-DATI!$D$26*10^-3),DATI!$D$32*D27*DATI!$I$29,-DATI!$D$30*DATI!$I$29))</f>
        <v>352404.7411418116</v>
      </c>
      <c r="L27" s="138">
        <v>0</v>
      </c>
      <c r="M27" s="138">
        <f>IF(C27&gt;=(DATI!$D$26*10^-3),DATI!$D$30*DATI!$I$28,IF(C27&gt;=(-DATI!$D$26*10^-3),DATI!$I$28*DATI!$D$32*C27,-DATI!$D$30*DATI!$I$28))</f>
        <v>352404.7411418116</v>
      </c>
      <c r="N27" s="138">
        <f t="shared" si="3"/>
        <v>704809.48228362319</v>
      </c>
      <c r="O27" s="138">
        <f>-K27*(DATI!$C$13/2)+M27*(DATI!$C$13/2)</f>
        <v>0</v>
      </c>
      <c r="P27" s="140">
        <f>-N27/(DATI!$C$6*DATI!$C$13*DATI!$I$11*DATI!$I$16)</f>
        <v>-0.36226084366340999</v>
      </c>
      <c r="Q27" s="140">
        <f>O27/(DATI!$C$6*DATI!$C$13^2*DATI!$I$11)</f>
        <v>0</v>
      </c>
      <c r="R27" s="141">
        <f t="shared" si="0"/>
        <v>0</v>
      </c>
      <c r="S27" s="136" t="str">
        <f>IF(R27&gt;=0, IF(R27&lt;=DATI!$C$8/6, "SI", "NO"),IF(R27&gt; -DATI!$C$8/6, "SI", "NO"))</f>
        <v>SI</v>
      </c>
      <c r="T27" s="138">
        <f t="shared" si="1"/>
        <v>704.8094822836232</v>
      </c>
      <c r="U27" s="136" t="str">
        <f t="shared" si="2"/>
        <v/>
      </c>
    </row>
    <row r="28" spans="1:21" ht="18.75" x14ac:dyDescent="0.25">
      <c r="A28" s="122"/>
      <c r="B28" s="136" t="s">
        <v>37</v>
      </c>
      <c r="C28" s="137">
        <f>DATI!$D$24*10^-3</f>
        <v>0.01</v>
      </c>
      <c r="D28" s="137">
        <f>D27-(C28-(DATI!$C$10/DATI!$C$13*C28))/100</f>
        <v>7.6493150684931472E-3</v>
      </c>
      <c r="E28" s="136" t="s">
        <v>37</v>
      </c>
      <c r="F28" s="138">
        <f>(D28*DATI!$C$13-C28*DATI!$C$10)/(D28-C28)</f>
        <v>-1038.8461538461518</v>
      </c>
      <c r="G28" s="139">
        <v>0</v>
      </c>
      <c r="H28" s="139">
        <v>0</v>
      </c>
      <c r="I28" s="139">
        <v>0</v>
      </c>
      <c r="J28" s="139">
        <v>0</v>
      </c>
      <c r="K28" s="138">
        <f>IF(D28&gt;=(DATI!$D$26*10^-3),DATI!$D$30*DATI!$I$29,IF(D28&gt;=(-DATI!$D$26*10^-3),DATI!$D$32*D28*DATI!$I$29,-DATI!$D$30*DATI!$I$29))</f>
        <v>352404.7411418116</v>
      </c>
      <c r="L28" s="138">
        <v>0</v>
      </c>
      <c r="M28" s="138">
        <f>IF(C28&gt;=(DATI!$D$26*10^-3),DATI!$D$30*DATI!$I$28,IF(C28&gt;=(-DATI!$D$26*10^-3),DATI!$I$28*DATI!$D$32*C28,-DATI!$D$30*DATI!$I$28))</f>
        <v>352404.7411418116</v>
      </c>
      <c r="N28" s="138">
        <f t="shared" si="3"/>
        <v>704809.48228362319</v>
      </c>
      <c r="O28" s="138">
        <f>-K28*(DATI!$C$13/2)+M28*(DATI!$C$13/2)</f>
        <v>0</v>
      </c>
      <c r="P28" s="140">
        <f>-N28/(DATI!$C$6*DATI!$C$13*DATI!$I$11*DATI!$I$16)</f>
        <v>-0.36226084366340999</v>
      </c>
      <c r="Q28" s="140">
        <f>O28/(DATI!$C$6*DATI!$C$13^2*DATI!$I$11)</f>
        <v>0</v>
      </c>
      <c r="R28" s="141">
        <f t="shared" si="0"/>
        <v>0</v>
      </c>
      <c r="S28" s="136" t="str">
        <f>IF(R28&gt;=0, IF(R28&lt;=DATI!$C$8/6, "SI", "NO"),IF(R28&gt; -DATI!$C$8/6, "SI", "NO"))</f>
        <v>SI</v>
      </c>
      <c r="T28" s="138">
        <f t="shared" si="1"/>
        <v>704.8094822836232</v>
      </c>
      <c r="U28" s="136" t="str">
        <f t="shared" si="2"/>
        <v/>
      </c>
    </row>
    <row r="29" spans="1:21" ht="18.75" x14ac:dyDescent="0.25">
      <c r="A29" s="122"/>
      <c r="B29" s="136" t="s">
        <v>37</v>
      </c>
      <c r="C29" s="137">
        <f>DATI!$D$24*10^-3</f>
        <v>0.01</v>
      </c>
      <c r="D29" s="137">
        <f>D28-(C29-(DATI!$C$10/DATI!$C$13*C29))/100</f>
        <v>7.5589041095890375E-3</v>
      </c>
      <c r="E29" s="136" t="s">
        <v>37</v>
      </c>
      <c r="F29" s="138">
        <f>(D29*DATI!$C$13-C29*DATI!$C$10)/(D29-C29)</f>
        <v>-986.85185185184969</v>
      </c>
      <c r="G29" s="139">
        <v>0</v>
      </c>
      <c r="H29" s="139">
        <v>0</v>
      </c>
      <c r="I29" s="139">
        <v>0</v>
      </c>
      <c r="J29" s="139">
        <v>0</v>
      </c>
      <c r="K29" s="138">
        <f>IF(D29&gt;=(DATI!$D$26*10^-3),DATI!$D$30*DATI!$I$29,IF(D29&gt;=(-DATI!$D$26*10^-3),DATI!$D$32*D29*DATI!$I$29,-DATI!$D$30*DATI!$I$29))</f>
        <v>352404.7411418116</v>
      </c>
      <c r="L29" s="138">
        <v>0</v>
      </c>
      <c r="M29" s="138">
        <f>IF(C29&gt;=(DATI!$D$26*10^-3),DATI!$D$30*DATI!$I$28,IF(C29&gt;=(-DATI!$D$26*10^-3),DATI!$I$28*DATI!$D$32*C29,-DATI!$D$30*DATI!$I$28))</f>
        <v>352404.7411418116</v>
      </c>
      <c r="N29" s="138">
        <f t="shared" si="3"/>
        <v>704809.48228362319</v>
      </c>
      <c r="O29" s="138">
        <f>-K29*(DATI!$C$13/2)+M29*(DATI!$C$13/2)</f>
        <v>0</v>
      </c>
      <c r="P29" s="140">
        <f>-N29/(DATI!$C$6*DATI!$C$13*DATI!$I$11*DATI!$I$16)</f>
        <v>-0.36226084366340999</v>
      </c>
      <c r="Q29" s="140">
        <f>O29/(DATI!$C$6*DATI!$C$13^2*DATI!$I$11)</f>
        <v>0</v>
      </c>
      <c r="R29" s="141">
        <f t="shared" si="0"/>
        <v>0</v>
      </c>
      <c r="S29" s="136" t="str">
        <f>IF(R29&gt;=0, IF(R29&lt;=DATI!$C$8/6, "SI", "NO"),IF(R29&gt; -DATI!$C$8/6, "SI", "NO"))</f>
        <v>SI</v>
      </c>
      <c r="T29" s="138">
        <f t="shared" si="1"/>
        <v>704.8094822836232</v>
      </c>
      <c r="U29" s="136" t="str">
        <f t="shared" si="2"/>
        <v/>
      </c>
    </row>
    <row r="30" spans="1:21" ht="18.75" x14ac:dyDescent="0.25">
      <c r="A30" s="122"/>
      <c r="B30" s="136" t="s">
        <v>37</v>
      </c>
      <c r="C30" s="137">
        <f>DATI!$D$24*10^-3</f>
        <v>0.01</v>
      </c>
      <c r="D30" s="137">
        <f>D29-(C30-(DATI!$C$10/DATI!$C$13*C30))/100</f>
        <v>7.4684931506849277E-3</v>
      </c>
      <c r="E30" s="136" t="s">
        <v>37</v>
      </c>
      <c r="F30" s="138">
        <f>(D30*DATI!$C$13-C30*DATI!$C$10)/(D30-C30)</f>
        <v>-938.57142857142651</v>
      </c>
      <c r="G30" s="139">
        <v>0</v>
      </c>
      <c r="H30" s="139">
        <v>0</v>
      </c>
      <c r="I30" s="139">
        <v>0</v>
      </c>
      <c r="J30" s="139">
        <v>0</v>
      </c>
      <c r="K30" s="138">
        <f>IF(D30&gt;=(DATI!$D$26*10^-3),DATI!$D$30*DATI!$I$29,IF(D30&gt;=(-DATI!$D$26*10^-3),DATI!$D$32*D30*DATI!$I$29,-DATI!$D$30*DATI!$I$29))</f>
        <v>352404.7411418116</v>
      </c>
      <c r="L30" s="138">
        <v>0</v>
      </c>
      <c r="M30" s="138">
        <f>IF(C30&gt;=(DATI!$D$26*10^-3),DATI!$D$30*DATI!$I$28,IF(C30&gt;=(-DATI!$D$26*10^-3),DATI!$I$28*DATI!$D$32*C30,-DATI!$D$30*DATI!$I$28))</f>
        <v>352404.7411418116</v>
      </c>
      <c r="N30" s="138">
        <f t="shared" si="3"/>
        <v>704809.48228362319</v>
      </c>
      <c r="O30" s="138">
        <f>-K30*(DATI!$C$13/2)+M30*(DATI!$C$13/2)</f>
        <v>0</v>
      </c>
      <c r="P30" s="140">
        <f>-N30/(DATI!$C$6*DATI!$C$13*DATI!$I$11*DATI!$I$16)</f>
        <v>-0.36226084366340999</v>
      </c>
      <c r="Q30" s="140">
        <f>O30/(DATI!$C$6*DATI!$C$13^2*DATI!$I$11)</f>
        <v>0</v>
      </c>
      <c r="R30" s="141">
        <f t="shared" si="0"/>
        <v>0</v>
      </c>
      <c r="S30" s="136" t="str">
        <f>IF(R30&gt;=0, IF(R30&lt;=DATI!$C$8/6, "SI", "NO"),IF(R30&gt; -DATI!$C$8/6, "SI", "NO"))</f>
        <v>SI</v>
      </c>
      <c r="T30" s="138">
        <f t="shared" si="1"/>
        <v>704.8094822836232</v>
      </c>
      <c r="U30" s="136" t="str">
        <f t="shared" si="2"/>
        <v/>
      </c>
    </row>
    <row r="31" spans="1:21" ht="18.75" x14ac:dyDescent="0.25">
      <c r="A31" s="122"/>
      <c r="B31" s="136" t="s">
        <v>37</v>
      </c>
      <c r="C31" s="137">
        <f>DATI!$D$24*10^-3</f>
        <v>0.01</v>
      </c>
      <c r="D31" s="137">
        <f>D30-(C31-(DATI!$C$10/DATI!$C$13*C31))/100</f>
        <v>7.378082191780818E-3</v>
      </c>
      <c r="E31" s="136" t="s">
        <v>37</v>
      </c>
      <c r="F31" s="138">
        <f>(D31*DATI!$C$13-C31*DATI!$C$10)/(D31-C31)</f>
        <v>-893.62068965517051</v>
      </c>
      <c r="G31" s="139">
        <v>0</v>
      </c>
      <c r="H31" s="139">
        <v>0</v>
      </c>
      <c r="I31" s="139">
        <v>0</v>
      </c>
      <c r="J31" s="139">
        <v>0</v>
      </c>
      <c r="K31" s="138">
        <f>IF(D31&gt;=(DATI!$D$26*10^-3),DATI!$D$30*DATI!$I$29,IF(D31&gt;=(-DATI!$D$26*10^-3),DATI!$D$32*D31*DATI!$I$29,-DATI!$D$30*DATI!$I$29))</f>
        <v>352404.7411418116</v>
      </c>
      <c r="L31" s="138">
        <v>0</v>
      </c>
      <c r="M31" s="138">
        <f>IF(C31&gt;=(DATI!$D$26*10^-3),DATI!$D$30*DATI!$I$28,IF(C31&gt;=(-DATI!$D$26*10^-3),DATI!$I$28*DATI!$D$32*C31,-DATI!$D$30*DATI!$I$28))</f>
        <v>352404.7411418116</v>
      </c>
      <c r="N31" s="138">
        <f t="shared" si="3"/>
        <v>704809.48228362319</v>
      </c>
      <c r="O31" s="138">
        <f>-K31*(DATI!$C$13/2)+M31*(DATI!$C$13/2)</f>
        <v>0</v>
      </c>
      <c r="P31" s="140">
        <f>-N31/(DATI!$C$6*DATI!$C$13*DATI!$I$11*DATI!$I$16)</f>
        <v>-0.36226084366340999</v>
      </c>
      <c r="Q31" s="140">
        <f>O31/(DATI!$C$6*DATI!$C$13^2*DATI!$I$11)</f>
        <v>0</v>
      </c>
      <c r="R31" s="141">
        <f t="shared" si="0"/>
        <v>0</v>
      </c>
      <c r="S31" s="136" t="str">
        <f>IF(R31&gt;=0, IF(R31&lt;=DATI!$C$8/6, "SI", "NO"),IF(R31&gt; -DATI!$C$8/6, "SI", "NO"))</f>
        <v>SI</v>
      </c>
      <c r="T31" s="138">
        <f t="shared" si="1"/>
        <v>704.8094822836232</v>
      </c>
      <c r="U31" s="136" t="str">
        <f t="shared" si="2"/>
        <v/>
      </c>
    </row>
    <row r="32" spans="1:21" ht="18.75" x14ac:dyDescent="0.25">
      <c r="A32" s="122"/>
      <c r="B32" s="136" t="s">
        <v>37</v>
      </c>
      <c r="C32" s="137">
        <f>DATI!$D$24*10^-3</f>
        <v>0.01</v>
      </c>
      <c r="D32" s="137">
        <f>D31-(C32-(DATI!$C$10/DATI!$C$13*C32))/100</f>
        <v>7.2876712328767083E-3</v>
      </c>
      <c r="E32" s="136" t="s">
        <v>37</v>
      </c>
      <c r="F32" s="138">
        <f>(D32*DATI!$C$13-C32*DATI!$C$10)/(D32-C32)</f>
        <v>-851.6666666666647</v>
      </c>
      <c r="G32" s="139">
        <v>0</v>
      </c>
      <c r="H32" s="139">
        <v>0</v>
      </c>
      <c r="I32" s="139">
        <v>0</v>
      </c>
      <c r="J32" s="139">
        <v>0</v>
      </c>
      <c r="K32" s="138">
        <f>IF(D32&gt;=(DATI!$D$26*10^-3),DATI!$D$30*DATI!$I$29,IF(D32&gt;=(-DATI!$D$26*10^-3),DATI!$D$32*D32*DATI!$I$29,-DATI!$D$30*DATI!$I$29))</f>
        <v>352404.7411418116</v>
      </c>
      <c r="L32" s="138">
        <v>0</v>
      </c>
      <c r="M32" s="138">
        <f>IF(C32&gt;=(DATI!$D$26*10^-3),DATI!$D$30*DATI!$I$28,IF(C32&gt;=(-DATI!$D$26*10^-3),DATI!$I$28*DATI!$D$32*C32,-DATI!$D$30*DATI!$I$28))</f>
        <v>352404.7411418116</v>
      </c>
      <c r="N32" s="138">
        <f t="shared" si="3"/>
        <v>704809.48228362319</v>
      </c>
      <c r="O32" s="138">
        <f>-K32*(DATI!$C$13/2)+M32*(DATI!$C$13/2)</f>
        <v>0</v>
      </c>
      <c r="P32" s="140">
        <f>-N32/(DATI!$C$6*DATI!$C$13*DATI!$I$11*DATI!$I$16)</f>
        <v>-0.36226084366340999</v>
      </c>
      <c r="Q32" s="140">
        <f>O32/(DATI!$C$6*DATI!$C$13^2*DATI!$I$11)</f>
        <v>0</v>
      </c>
      <c r="R32" s="141">
        <f t="shared" si="0"/>
        <v>0</v>
      </c>
      <c r="S32" s="136" t="str">
        <f>IF(R32&gt;=0, IF(R32&lt;=DATI!$C$8/6, "SI", "NO"),IF(R32&gt; -DATI!$C$8/6, "SI", "NO"))</f>
        <v>SI</v>
      </c>
      <c r="T32" s="138">
        <f t="shared" si="1"/>
        <v>704.8094822836232</v>
      </c>
      <c r="U32" s="136" t="str">
        <f t="shared" si="2"/>
        <v/>
      </c>
    </row>
    <row r="33" spans="1:21" ht="18.75" x14ac:dyDescent="0.25">
      <c r="A33" s="122"/>
      <c r="B33" s="136" t="s">
        <v>37</v>
      </c>
      <c r="C33" s="137">
        <f>DATI!$D$24*10^-3</f>
        <v>0.01</v>
      </c>
      <c r="D33" s="137">
        <f>D32-(C33-(DATI!$C$10/DATI!$C$13*C33))/100</f>
        <v>7.1972602739725985E-3</v>
      </c>
      <c r="E33" s="136" t="s">
        <v>37</v>
      </c>
      <c r="F33" s="138">
        <f>(D33*DATI!$C$13-C33*DATI!$C$10)/(D33-C33)</f>
        <v>-812.41935483870782</v>
      </c>
      <c r="G33" s="139">
        <v>0</v>
      </c>
      <c r="H33" s="139">
        <v>0</v>
      </c>
      <c r="I33" s="139">
        <v>0</v>
      </c>
      <c r="J33" s="139">
        <v>0</v>
      </c>
      <c r="K33" s="138">
        <f>IF(D33&gt;=(DATI!$D$26*10^-3),DATI!$D$30*DATI!$I$29,IF(D33&gt;=(-DATI!$D$26*10^-3),DATI!$D$32*D33*DATI!$I$29,-DATI!$D$30*DATI!$I$29))</f>
        <v>352404.7411418116</v>
      </c>
      <c r="L33" s="138">
        <v>0</v>
      </c>
      <c r="M33" s="138">
        <f>IF(C33&gt;=(DATI!$D$26*10^-3),DATI!$D$30*DATI!$I$28,IF(C33&gt;=(-DATI!$D$26*10^-3),DATI!$I$28*DATI!$D$32*C33,-DATI!$D$30*DATI!$I$28))</f>
        <v>352404.7411418116</v>
      </c>
      <c r="N33" s="138">
        <f t="shared" si="3"/>
        <v>704809.48228362319</v>
      </c>
      <c r="O33" s="138">
        <f>-K33*(DATI!$C$13/2)+M33*(DATI!$C$13/2)</f>
        <v>0</v>
      </c>
      <c r="P33" s="140">
        <f>-N33/(DATI!$C$6*DATI!$C$13*DATI!$I$11*DATI!$I$16)</f>
        <v>-0.36226084366340999</v>
      </c>
      <c r="Q33" s="140">
        <f>O33/(DATI!$C$6*DATI!$C$13^2*DATI!$I$11)</f>
        <v>0</v>
      </c>
      <c r="R33" s="141">
        <f t="shared" si="0"/>
        <v>0</v>
      </c>
      <c r="S33" s="136" t="str">
        <f>IF(R33&gt;=0, IF(R33&lt;=DATI!$C$8/6, "SI", "NO"),IF(R33&gt; -DATI!$C$8/6, "SI", "NO"))</f>
        <v>SI</v>
      </c>
      <c r="T33" s="138">
        <f t="shared" si="1"/>
        <v>704.8094822836232</v>
      </c>
      <c r="U33" s="136" t="str">
        <f t="shared" si="2"/>
        <v/>
      </c>
    </row>
    <row r="34" spans="1:21" ht="18.75" x14ac:dyDescent="0.25">
      <c r="A34" s="122"/>
      <c r="B34" s="136" t="s">
        <v>37</v>
      </c>
      <c r="C34" s="137">
        <f>DATI!$D$24*10^-3</f>
        <v>0.01</v>
      </c>
      <c r="D34" s="137">
        <f>D33-(C34-(DATI!$C$10/DATI!$C$13*C34))/100</f>
        <v>7.1068493150684888E-3</v>
      </c>
      <c r="E34" s="136" t="s">
        <v>37</v>
      </c>
      <c r="F34" s="138">
        <f>(D34*DATI!$C$13-C34*DATI!$C$10)/(D34-C34)</f>
        <v>-775.62499999999829</v>
      </c>
      <c r="G34" s="139">
        <v>0</v>
      </c>
      <c r="H34" s="139">
        <v>0</v>
      </c>
      <c r="I34" s="139">
        <v>0</v>
      </c>
      <c r="J34" s="139">
        <v>0</v>
      </c>
      <c r="K34" s="138">
        <f>IF(D34&gt;=(DATI!$D$26*10^-3),DATI!$D$30*DATI!$I$29,IF(D34&gt;=(-DATI!$D$26*10^-3),DATI!$D$32*D34*DATI!$I$29,-DATI!$D$30*DATI!$I$29))</f>
        <v>352404.7411418116</v>
      </c>
      <c r="L34" s="138">
        <v>0</v>
      </c>
      <c r="M34" s="138">
        <f>IF(C34&gt;=(DATI!$D$26*10^-3),DATI!$D$30*DATI!$I$28,IF(C34&gt;=(-DATI!$D$26*10^-3),DATI!$I$28*DATI!$D$32*C34,-DATI!$D$30*DATI!$I$28))</f>
        <v>352404.7411418116</v>
      </c>
      <c r="N34" s="138">
        <f t="shared" si="3"/>
        <v>704809.48228362319</v>
      </c>
      <c r="O34" s="138">
        <f>-K34*(DATI!$C$13/2)+M34*(DATI!$C$13/2)</f>
        <v>0</v>
      </c>
      <c r="P34" s="140">
        <f>-N34/(DATI!$C$6*DATI!$C$13*DATI!$I$11*DATI!$I$16)</f>
        <v>-0.36226084366340999</v>
      </c>
      <c r="Q34" s="140">
        <f>O34/(DATI!$C$6*DATI!$C$13^2*DATI!$I$11)</f>
        <v>0</v>
      </c>
      <c r="R34" s="141">
        <f t="shared" si="0"/>
        <v>0</v>
      </c>
      <c r="S34" s="136" t="str">
        <f>IF(R34&gt;=0, IF(R34&lt;=DATI!$C$8/6, "SI", "NO"),IF(R34&gt; -DATI!$C$8/6, "SI", "NO"))</f>
        <v>SI</v>
      </c>
      <c r="T34" s="138">
        <f t="shared" si="1"/>
        <v>704.8094822836232</v>
      </c>
      <c r="U34" s="136" t="str">
        <f t="shared" si="2"/>
        <v/>
      </c>
    </row>
    <row r="35" spans="1:21" ht="18.75" x14ac:dyDescent="0.25">
      <c r="A35" s="122"/>
      <c r="B35" s="136" t="s">
        <v>37</v>
      </c>
      <c r="C35" s="137">
        <f>DATI!$D$24*10^-3</f>
        <v>0.01</v>
      </c>
      <c r="D35" s="137">
        <f>D34-(C35-(DATI!$C$10/DATI!$C$13*C35))/100</f>
        <v>7.0164383561643791E-3</v>
      </c>
      <c r="E35" s="136" t="s">
        <v>37</v>
      </c>
      <c r="F35" s="138">
        <f>(D35*DATI!$C$13-C35*DATI!$C$10)/(D35-C35)</f>
        <v>-741.0606060606043</v>
      </c>
      <c r="G35" s="139">
        <v>0</v>
      </c>
      <c r="H35" s="139">
        <v>0</v>
      </c>
      <c r="I35" s="139">
        <v>0</v>
      </c>
      <c r="J35" s="139">
        <v>0</v>
      </c>
      <c r="K35" s="138">
        <f>IF(D35&gt;=(DATI!$D$26*10^-3),DATI!$D$30*DATI!$I$29,IF(D35&gt;=(-DATI!$D$26*10^-3),DATI!$D$32*D35*DATI!$I$29,-DATI!$D$30*DATI!$I$29))</f>
        <v>352404.7411418116</v>
      </c>
      <c r="L35" s="138">
        <v>0</v>
      </c>
      <c r="M35" s="138">
        <f>IF(C35&gt;=(DATI!$D$26*10^-3),DATI!$D$30*DATI!$I$28,IF(C35&gt;=(-DATI!$D$26*10^-3),DATI!$I$28*DATI!$D$32*C35,-DATI!$D$30*DATI!$I$28))</f>
        <v>352404.7411418116</v>
      </c>
      <c r="N35" s="138">
        <f t="shared" si="3"/>
        <v>704809.48228362319</v>
      </c>
      <c r="O35" s="138">
        <f>-K35*(DATI!$C$13/2)+M35*(DATI!$C$13/2)</f>
        <v>0</v>
      </c>
      <c r="P35" s="140">
        <f>-N35/(DATI!$C$6*DATI!$C$13*DATI!$I$11*DATI!$I$16)</f>
        <v>-0.36226084366340999</v>
      </c>
      <c r="Q35" s="140">
        <f>O35/(DATI!$C$6*DATI!$C$13^2*DATI!$I$11)</f>
        <v>0</v>
      </c>
      <c r="R35" s="141">
        <f t="shared" si="0"/>
        <v>0</v>
      </c>
      <c r="S35" s="136" t="str">
        <f>IF(R35&gt;=0, IF(R35&lt;=DATI!$C$8/6, "SI", "NO"),IF(R35&gt; -DATI!$C$8/6, "SI", "NO"))</f>
        <v>SI</v>
      </c>
      <c r="T35" s="138">
        <f t="shared" si="1"/>
        <v>704.8094822836232</v>
      </c>
      <c r="U35" s="136" t="str">
        <f t="shared" si="2"/>
        <v/>
      </c>
    </row>
    <row r="36" spans="1:21" ht="18.75" x14ac:dyDescent="0.25">
      <c r="A36" s="122"/>
      <c r="B36" s="136" t="s">
        <v>37</v>
      </c>
      <c r="C36" s="137">
        <f>DATI!$D$24*10^-3</f>
        <v>0.01</v>
      </c>
      <c r="D36" s="137">
        <f>D35-(C36-(DATI!$C$10/DATI!$C$13*C36))/100</f>
        <v>6.9260273972602693E-3</v>
      </c>
      <c r="E36" s="136" t="s">
        <v>37</v>
      </c>
      <c r="F36" s="138">
        <f>(D36*DATI!$C$13-C36*DATI!$C$10)/(D36-C36)</f>
        <v>-708.52941176470415</v>
      </c>
      <c r="G36" s="139">
        <v>0</v>
      </c>
      <c r="H36" s="139">
        <v>0</v>
      </c>
      <c r="I36" s="139">
        <v>0</v>
      </c>
      <c r="J36" s="139">
        <v>0</v>
      </c>
      <c r="K36" s="138">
        <f>IF(D36&gt;=(DATI!$D$26*10^-3),DATI!$D$30*DATI!$I$29,IF(D36&gt;=(-DATI!$D$26*10^-3),DATI!$D$32*D36*DATI!$I$29,-DATI!$D$30*DATI!$I$29))</f>
        <v>352404.7411418116</v>
      </c>
      <c r="L36" s="138">
        <v>0</v>
      </c>
      <c r="M36" s="138">
        <f>IF(C36&gt;=(DATI!$D$26*10^-3),DATI!$D$30*DATI!$I$28,IF(C36&gt;=(-DATI!$D$26*10^-3),DATI!$I$28*DATI!$D$32*C36,-DATI!$D$30*DATI!$I$28))</f>
        <v>352404.7411418116</v>
      </c>
      <c r="N36" s="138">
        <f t="shared" si="3"/>
        <v>704809.48228362319</v>
      </c>
      <c r="O36" s="138">
        <f>-K36*(DATI!$C$13/2)+M36*(DATI!$C$13/2)</f>
        <v>0</v>
      </c>
      <c r="P36" s="140">
        <f>-N36/(DATI!$C$6*DATI!$C$13*DATI!$I$11*DATI!$I$16)</f>
        <v>-0.36226084366340999</v>
      </c>
      <c r="Q36" s="140">
        <f>O36/(DATI!$C$6*DATI!$C$13^2*DATI!$I$11)</f>
        <v>0</v>
      </c>
      <c r="R36" s="141">
        <f t="shared" si="0"/>
        <v>0</v>
      </c>
      <c r="S36" s="136" t="str">
        <f>IF(R36&gt;=0, IF(R36&lt;=DATI!$C$8/6, "SI", "NO"),IF(R36&gt; -DATI!$C$8/6, "SI", "NO"))</f>
        <v>SI</v>
      </c>
      <c r="T36" s="138">
        <f t="shared" si="1"/>
        <v>704.8094822836232</v>
      </c>
      <c r="U36" s="136" t="str">
        <f t="shared" si="2"/>
        <v/>
      </c>
    </row>
    <row r="37" spans="1:21" ht="18.75" x14ac:dyDescent="0.25">
      <c r="A37" s="122"/>
      <c r="B37" s="136" t="s">
        <v>37</v>
      </c>
      <c r="C37" s="137">
        <f>DATI!$D$24*10^-3</f>
        <v>0.01</v>
      </c>
      <c r="D37" s="137">
        <f>D36-(C37-(DATI!$C$10/DATI!$C$13*C37))/100</f>
        <v>6.8356164383561596E-3</v>
      </c>
      <c r="E37" s="136" t="s">
        <v>37</v>
      </c>
      <c r="F37" s="138">
        <f>(D37*DATI!$C$13-C37*DATI!$C$10)/(D37-C37)</f>
        <v>-677.85714285714118</v>
      </c>
      <c r="G37" s="139">
        <v>0</v>
      </c>
      <c r="H37" s="139">
        <v>0</v>
      </c>
      <c r="I37" s="139">
        <v>0</v>
      </c>
      <c r="J37" s="139">
        <v>0</v>
      </c>
      <c r="K37" s="138">
        <f>IF(D37&gt;=(DATI!$D$26*10^-3),DATI!$D$30*DATI!$I$29,IF(D37&gt;=(-DATI!$D$26*10^-3),DATI!$D$32*D37*DATI!$I$29,-DATI!$D$30*DATI!$I$29))</f>
        <v>352404.7411418116</v>
      </c>
      <c r="L37" s="138">
        <v>0</v>
      </c>
      <c r="M37" s="138">
        <f>IF(C37&gt;=(DATI!$D$26*10^-3),DATI!$D$30*DATI!$I$28,IF(C37&gt;=(-DATI!$D$26*10^-3),DATI!$I$28*DATI!$D$32*C37,-DATI!$D$30*DATI!$I$28))</f>
        <v>352404.7411418116</v>
      </c>
      <c r="N37" s="138">
        <f t="shared" si="3"/>
        <v>704809.48228362319</v>
      </c>
      <c r="O37" s="138">
        <f>-K37*(DATI!$C$13/2)+M37*(DATI!$C$13/2)</f>
        <v>0</v>
      </c>
      <c r="P37" s="140">
        <f>-N37/(DATI!$C$6*DATI!$C$13*DATI!$I$11*DATI!$I$16)</f>
        <v>-0.36226084366340999</v>
      </c>
      <c r="Q37" s="140">
        <f>O37/(DATI!$C$6*DATI!$C$13^2*DATI!$I$11)</f>
        <v>0</v>
      </c>
      <c r="R37" s="141">
        <f t="shared" si="0"/>
        <v>0</v>
      </c>
      <c r="S37" s="136" t="str">
        <f>IF(R37&gt;=0, IF(R37&lt;=DATI!$C$8/6, "SI", "NO"),IF(R37&gt; -DATI!$C$8/6, "SI", "NO"))</f>
        <v>SI</v>
      </c>
      <c r="T37" s="138">
        <f t="shared" si="1"/>
        <v>704.8094822836232</v>
      </c>
      <c r="U37" s="136" t="str">
        <f t="shared" si="2"/>
        <v/>
      </c>
    </row>
    <row r="38" spans="1:21" ht="18.75" x14ac:dyDescent="0.25">
      <c r="A38" s="122"/>
      <c r="B38" s="136" t="s">
        <v>37</v>
      </c>
      <c r="C38" s="137">
        <f>DATI!$D$24*10^-3</f>
        <v>0.01</v>
      </c>
      <c r="D38" s="137">
        <f>D37-(C38-(DATI!$C$10/DATI!$C$13*C38))/100</f>
        <v>6.7452054794520499E-3</v>
      </c>
      <c r="E38" s="136" t="s">
        <v>37</v>
      </c>
      <c r="F38" s="138">
        <f>(D38*DATI!$C$13-C38*DATI!$C$10)/(D38-C38)</f>
        <v>-648.88888888888732</v>
      </c>
      <c r="G38" s="139">
        <v>0</v>
      </c>
      <c r="H38" s="139">
        <v>0</v>
      </c>
      <c r="I38" s="139">
        <v>0</v>
      </c>
      <c r="J38" s="139">
        <v>0</v>
      </c>
      <c r="K38" s="138">
        <f>IF(D38&gt;=(DATI!$D$26*10^-3),DATI!$D$30*DATI!$I$29,IF(D38&gt;=(-DATI!$D$26*10^-3),DATI!$D$32*D38*DATI!$I$29,-DATI!$D$30*DATI!$I$29))</f>
        <v>352404.7411418116</v>
      </c>
      <c r="L38" s="138">
        <v>0</v>
      </c>
      <c r="M38" s="138">
        <f>IF(C38&gt;=(DATI!$D$26*10^-3),DATI!$D$30*DATI!$I$28,IF(C38&gt;=(-DATI!$D$26*10^-3),DATI!$I$28*DATI!$D$32*C38,-DATI!$D$30*DATI!$I$28))</f>
        <v>352404.7411418116</v>
      </c>
      <c r="N38" s="138">
        <f t="shared" si="3"/>
        <v>704809.48228362319</v>
      </c>
      <c r="O38" s="138">
        <f>-K38*(DATI!$C$13/2)+M38*(DATI!$C$13/2)</f>
        <v>0</v>
      </c>
      <c r="P38" s="140">
        <f>-N38/(DATI!$C$6*DATI!$C$13*DATI!$I$11*DATI!$I$16)</f>
        <v>-0.36226084366340999</v>
      </c>
      <c r="Q38" s="140">
        <f>O38/(DATI!$C$6*DATI!$C$13^2*DATI!$I$11)</f>
        <v>0</v>
      </c>
      <c r="R38" s="141">
        <f t="shared" si="0"/>
        <v>0</v>
      </c>
      <c r="S38" s="136" t="str">
        <f>IF(R38&gt;=0, IF(R38&lt;=DATI!$C$8/6, "SI", "NO"),IF(R38&gt; -DATI!$C$8/6, "SI", "NO"))</f>
        <v>SI</v>
      </c>
      <c r="T38" s="138">
        <f t="shared" si="1"/>
        <v>704.8094822836232</v>
      </c>
      <c r="U38" s="136" t="str">
        <f t="shared" si="2"/>
        <v/>
      </c>
    </row>
    <row r="39" spans="1:21" ht="18.75" x14ac:dyDescent="0.25">
      <c r="A39" s="122"/>
      <c r="B39" s="136" t="s">
        <v>37</v>
      </c>
      <c r="C39" s="137">
        <f>DATI!$D$24*10^-3</f>
        <v>0.01</v>
      </c>
      <c r="D39" s="137">
        <f>D38-(C39-(DATI!$C$10/DATI!$C$13*C39))/100</f>
        <v>6.6547945205479402E-3</v>
      </c>
      <c r="E39" s="136" t="s">
        <v>37</v>
      </c>
      <c r="F39" s="138">
        <f>(D39*DATI!$C$13-C39*DATI!$C$10)/(D39-C39)</f>
        <v>-621.48648648648486</v>
      </c>
      <c r="G39" s="139">
        <v>0</v>
      </c>
      <c r="H39" s="139">
        <v>0</v>
      </c>
      <c r="I39" s="139">
        <v>0</v>
      </c>
      <c r="J39" s="139">
        <v>0</v>
      </c>
      <c r="K39" s="138">
        <f>IF(D39&gt;=(DATI!$D$26*10^-3),DATI!$D$30*DATI!$I$29,IF(D39&gt;=(-DATI!$D$26*10^-3),DATI!$D$32*D39*DATI!$I$29,-DATI!$D$30*DATI!$I$29))</f>
        <v>352404.7411418116</v>
      </c>
      <c r="L39" s="138">
        <v>0</v>
      </c>
      <c r="M39" s="138">
        <f>IF(C39&gt;=(DATI!$D$26*10^-3),DATI!$D$30*DATI!$I$28,IF(C39&gt;=(-DATI!$D$26*10^-3),DATI!$I$28*DATI!$D$32*C39,-DATI!$D$30*DATI!$I$28))</f>
        <v>352404.7411418116</v>
      </c>
      <c r="N39" s="138">
        <f t="shared" si="3"/>
        <v>704809.48228362319</v>
      </c>
      <c r="O39" s="138">
        <f>-K39*(DATI!$C$13/2)+M39*(DATI!$C$13/2)</f>
        <v>0</v>
      </c>
      <c r="P39" s="140">
        <f>-N39/(DATI!$C$6*DATI!$C$13*DATI!$I$11*DATI!$I$16)</f>
        <v>-0.36226084366340999</v>
      </c>
      <c r="Q39" s="140">
        <f>O39/(DATI!$C$6*DATI!$C$13^2*DATI!$I$11)</f>
        <v>0</v>
      </c>
      <c r="R39" s="141">
        <f t="shared" si="0"/>
        <v>0</v>
      </c>
      <c r="S39" s="136" t="str">
        <f>IF(R39&gt;=0, IF(R39&lt;=DATI!$C$8/6, "SI", "NO"),IF(R39&gt; -DATI!$C$8/6, "SI", "NO"))</f>
        <v>SI</v>
      </c>
      <c r="T39" s="138">
        <f t="shared" si="1"/>
        <v>704.8094822836232</v>
      </c>
      <c r="U39" s="136" t="str">
        <f t="shared" si="2"/>
        <v/>
      </c>
    </row>
    <row r="40" spans="1:21" ht="18.75" x14ac:dyDescent="0.25">
      <c r="A40" s="122"/>
      <c r="B40" s="136" t="s">
        <v>37</v>
      </c>
      <c r="C40" s="137">
        <f>DATI!$D$24*10^-3</f>
        <v>0.01</v>
      </c>
      <c r="D40" s="137">
        <f>D39-(C40-(DATI!$C$10/DATI!$C$13*C40))/100</f>
        <v>6.5643835616438304E-3</v>
      </c>
      <c r="E40" s="136" t="s">
        <v>37</v>
      </c>
      <c r="F40" s="138">
        <f>(D40*DATI!$C$13-C40*DATI!$C$10)/(D40-C40)</f>
        <v>-595.52631578947216</v>
      </c>
      <c r="G40" s="139">
        <v>0</v>
      </c>
      <c r="H40" s="139">
        <v>0</v>
      </c>
      <c r="I40" s="139">
        <v>0</v>
      </c>
      <c r="J40" s="139">
        <v>0</v>
      </c>
      <c r="K40" s="138">
        <f>IF(D40&gt;=(DATI!$D$26*10^-3),DATI!$D$30*DATI!$I$29,IF(D40&gt;=(-DATI!$D$26*10^-3),DATI!$D$32*D40*DATI!$I$29,-DATI!$D$30*DATI!$I$29))</f>
        <v>352404.7411418116</v>
      </c>
      <c r="L40" s="138">
        <v>0</v>
      </c>
      <c r="M40" s="138">
        <f>IF(C40&gt;=(DATI!$D$26*10^-3),DATI!$D$30*DATI!$I$28,IF(C40&gt;=(-DATI!$D$26*10^-3),DATI!$I$28*DATI!$D$32*C40,-DATI!$D$30*DATI!$I$28))</f>
        <v>352404.7411418116</v>
      </c>
      <c r="N40" s="138">
        <f t="shared" si="3"/>
        <v>704809.48228362319</v>
      </c>
      <c r="O40" s="138">
        <f>-K40*(DATI!$C$13/2)+M40*(DATI!$C$13/2)</f>
        <v>0</v>
      </c>
      <c r="P40" s="140">
        <f>-N40/(DATI!$C$6*DATI!$C$13*DATI!$I$11*DATI!$I$16)</f>
        <v>-0.36226084366340999</v>
      </c>
      <c r="Q40" s="140">
        <f>O40/(DATI!$C$6*DATI!$C$13^2*DATI!$I$11)</f>
        <v>0</v>
      </c>
      <c r="R40" s="141">
        <f t="shared" si="0"/>
        <v>0</v>
      </c>
      <c r="S40" s="136" t="str">
        <f>IF(R40&gt;=0, IF(R40&lt;=DATI!$C$8/6, "SI", "NO"),IF(R40&gt; -DATI!$C$8/6, "SI", "NO"))</f>
        <v>SI</v>
      </c>
      <c r="T40" s="138">
        <f t="shared" si="1"/>
        <v>704.8094822836232</v>
      </c>
      <c r="U40" s="136" t="str">
        <f t="shared" si="2"/>
        <v/>
      </c>
    </row>
    <row r="41" spans="1:21" ht="18.75" x14ac:dyDescent="0.25">
      <c r="A41" s="122"/>
      <c r="B41" s="136" t="s">
        <v>37</v>
      </c>
      <c r="C41" s="137">
        <f>DATI!$D$24*10^-3</f>
        <v>0.01</v>
      </c>
      <c r="D41" s="137">
        <f>D40-(C41-(DATI!$C$10/DATI!$C$13*C41))/100</f>
        <v>6.4739726027397207E-3</v>
      </c>
      <c r="E41" s="136" t="s">
        <v>37</v>
      </c>
      <c r="F41" s="138">
        <f>(D41*DATI!$C$13-C41*DATI!$C$10)/(D41-C41)</f>
        <v>-570.89743589743443</v>
      </c>
      <c r="G41" s="139">
        <v>0</v>
      </c>
      <c r="H41" s="139">
        <v>0</v>
      </c>
      <c r="I41" s="139">
        <v>0</v>
      </c>
      <c r="J41" s="139">
        <v>0</v>
      </c>
      <c r="K41" s="138">
        <f>IF(D41&gt;=(DATI!$D$26*10^-3),DATI!$D$30*DATI!$I$29,IF(D41&gt;=(-DATI!$D$26*10^-3),DATI!$D$32*D41*DATI!$I$29,-DATI!$D$30*DATI!$I$29))</f>
        <v>352404.7411418116</v>
      </c>
      <c r="L41" s="138">
        <v>0</v>
      </c>
      <c r="M41" s="138">
        <f>IF(C41&gt;=(DATI!$D$26*10^-3),DATI!$D$30*DATI!$I$28,IF(C41&gt;=(-DATI!$D$26*10^-3),DATI!$I$28*DATI!$D$32*C41,-DATI!$D$30*DATI!$I$28))</f>
        <v>352404.7411418116</v>
      </c>
      <c r="N41" s="138">
        <f t="shared" si="3"/>
        <v>704809.48228362319</v>
      </c>
      <c r="O41" s="138">
        <f>-K41*(DATI!$C$13/2)+M41*(DATI!$C$13/2)</f>
        <v>0</v>
      </c>
      <c r="P41" s="140">
        <f>-N41/(DATI!$C$6*DATI!$C$13*DATI!$I$11*DATI!$I$16)</f>
        <v>-0.36226084366340999</v>
      </c>
      <c r="Q41" s="140">
        <f>O41/(DATI!$C$6*DATI!$C$13^2*DATI!$I$11)</f>
        <v>0</v>
      </c>
      <c r="R41" s="141">
        <f t="shared" si="0"/>
        <v>0</v>
      </c>
      <c r="S41" s="136" t="str">
        <f>IF(R41&gt;=0, IF(R41&lt;=DATI!$C$8/6, "SI", "NO"),IF(R41&gt; -DATI!$C$8/6, "SI", "NO"))</f>
        <v>SI</v>
      </c>
      <c r="T41" s="138">
        <f t="shared" si="1"/>
        <v>704.8094822836232</v>
      </c>
      <c r="U41" s="136" t="str">
        <f t="shared" si="2"/>
        <v/>
      </c>
    </row>
    <row r="42" spans="1:21" ht="18.75" x14ac:dyDescent="0.25">
      <c r="A42" s="122"/>
      <c r="B42" s="136" t="s">
        <v>37</v>
      </c>
      <c r="C42" s="137">
        <f>DATI!$D$24*10^-3</f>
        <v>0.01</v>
      </c>
      <c r="D42" s="137">
        <f>D41-(C42-(DATI!$C$10/DATI!$C$13*C42))/100</f>
        <v>6.383561643835611E-3</v>
      </c>
      <c r="E42" s="136" t="s">
        <v>37</v>
      </c>
      <c r="F42" s="138">
        <f>(D42*DATI!$C$13-C42*DATI!$C$10)/(D42-C42)</f>
        <v>-547.49999999999852</v>
      </c>
      <c r="G42" s="139">
        <v>0</v>
      </c>
      <c r="H42" s="139">
        <v>0</v>
      </c>
      <c r="I42" s="139">
        <v>0</v>
      </c>
      <c r="J42" s="139">
        <v>0</v>
      </c>
      <c r="K42" s="138">
        <f>IF(D42&gt;=(DATI!$D$26*10^-3),DATI!$D$30*DATI!$I$29,IF(D42&gt;=(-DATI!$D$26*10^-3),DATI!$D$32*D42*DATI!$I$29,-DATI!$D$30*DATI!$I$29))</f>
        <v>352404.7411418116</v>
      </c>
      <c r="L42" s="138">
        <v>0</v>
      </c>
      <c r="M42" s="138">
        <f>IF(C42&gt;=(DATI!$D$26*10^-3),DATI!$D$30*DATI!$I$28,IF(C42&gt;=(-DATI!$D$26*10^-3),DATI!$I$28*DATI!$D$32*C42,-DATI!$D$30*DATI!$I$28))</f>
        <v>352404.7411418116</v>
      </c>
      <c r="N42" s="138">
        <f t="shared" si="3"/>
        <v>704809.48228362319</v>
      </c>
      <c r="O42" s="138">
        <f>-K42*(DATI!$C$13/2)+M42*(DATI!$C$13/2)</f>
        <v>0</v>
      </c>
      <c r="P42" s="140">
        <f>-N42/(DATI!$C$6*DATI!$C$13*DATI!$I$11*DATI!$I$16)</f>
        <v>-0.36226084366340999</v>
      </c>
      <c r="Q42" s="140">
        <f>O42/(DATI!$C$6*DATI!$C$13^2*DATI!$I$11)</f>
        <v>0</v>
      </c>
      <c r="R42" s="141">
        <f t="shared" si="0"/>
        <v>0</v>
      </c>
      <c r="S42" s="136" t="str">
        <f>IF(R42&gt;=0, IF(R42&lt;=DATI!$C$8/6, "SI", "NO"),IF(R42&gt; -DATI!$C$8/6, "SI", "NO"))</f>
        <v>SI</v>
      </c>
      <c r="T42" s="138">
        <f t="shared" si="1"/>
        <v>704.8094822836232</v>
      </c>
      <c r="U42" s="136" t="str">
        <f t="shared" si="2"/>
        <v/>
      </c>
    </row>
    <row r="43" spans="1:21" ht="18.75" x14ac:dyDescent="0.25">
      <c r="A43" s="122"/>
      <c r="B43" s="136" t="s">
        <v>37</v>
      </c>
      <c r="C43" s="137">
        <f>DATI!$D$24*10^-3</f>
        <v>0.01</v>
      </c>
      <c r="D43" s="137">
        <f>D42-(C43-(DATI!$C$10/DATI!$C$13*C43))/100</f>
        <v>6.2931506849315012E-3</v>
      </c>
      <c r="E43" s="136" t="s">
        <v>37</v>
      </c>
      <c r="F43" s="138">
        <f>(D43*DATI!$C$13-C43*DATI!$C$10)/(D43-C43)</f>
        <v>-525.24390243902303</v>
      </c>
      <c r="G43" s="139">
        <v>0</v>
      </c>
      <c r="H43" s="139">
        <v>0</v>
      </c>
      <c r="I43" s="139">
        <v>0</v>
      </c>
      <c r="J43" s="139">
        <v>0</v>
      </c>
      <c r="K43" s="138">
        <f>IF(D43&gt;=(DATI!$D$26*10^-3),DATI!$D$30*DATI!$I$29,IF(D43&gt;=(-DATI!$D$26*10^-3),DATI!$D$32*D43*DATI!$I$29,-DATI!$D$30*DATI!$I$29))</f>
        <v>352404.7411418116</v>
      </c>
      <c r="L43" s="138">
        <v>0</v>
      </c>
      <c r="M43" s="138">
        <f>IF(C43&gt;=(DATI!$D$26*10^-3),DATI!$D$30*DATI!$I$28,IF(C43&gt;=(-DATI!$D$26*10^-3),DATI!$I$28*DATI!$D$32*C43,-DATI!$D$30*DATI!$I$28))</f>
        <v>352404.7411418116</v>
      </c>
      <c r="N43" s="138">
        <f t="shared" si="3"/>
        <v>704809.48228362319</v>
      </c>
      <c r="O43" s="138">
        <f>-K43*(DATI!$C$13/2)+M43*(DATI!$C$13/2)</f>
        <v>0</v>
      </c>
      <c r="P43" s="140">
        <f>-N43/(DATI!$C$6*DATI!$C$13*DATI!$I$11*DATI!$I$16)</f>
        <v>-0.36226084366340999</v>
      </c>
      <c r="Q43" s="140">
        <f>O43/(DATI!$C$6*DATI!$C$13^2*DATI!$I$11)</f>
        <v>0</v>
      </c>
      <c r="R43" s="141">
        <f t="shared" si="0"/>
        <v>0</v>
      </c>
      <c r="S43" s="136" t="str">
        <f>IF(R43&gt;=0, IF(R43&lt;=DATI!$C$8/6, "SI", "NO"),IF(R43&gt; -DATI!$C$8/6, "SI", "NO"))</f>
        <v>SI</v>
      </c>
      <c r="T43" s="138">
        <f t="shared" si="1"/>
        <v>704.8094822836232</v>
      </c>
      <c r="U43" s="136" t="str">
        <f t="shared" si="2"/>
        <v/>
      </c>
    </row>
    <row r="44" spans="1:21" ht="18.75" x14ac:dyDescent="0.25">
      <c r="A44" s="122"/>
      <c r="B44" s="136" t="s">
        <v>37</v>
      </c>
      <c r="C44" s="137">
        <f>DATI!$D$24*10^-3</f>
        <v>0.01</v>
      </c>
      <c r="D44" s="137">
        <f>D43-(C44-(DATI!$C$10/DATI!$C$13*C44))/100</f>
        <v>6.2027397260273915E-3</v>
      </c>
      <c r="E44" s="136" t="s">
        <v>37</v>
      </c>
      <c r="F44" s="138">
        <f>(D44*DATI!$C$13-C44*DATI!$C$10)/(D44-C44)</f>
        <v>-504.04761904761773</v>
      </c>
      <c r="G44" s="139">
        <v>0</v>
      </c>
      <c r="H44" s="139">
        <v>0</v>
      </c>
      <c r="I44" s="139">
        <v>0</v>
      </c>
      <c r="J44" s="139">
        <v>0</v>
      </c>
      <c r="K44" s="138">
        <f>IF(D44&gt;=(DATI!$D$26*10^-3),DATI!$D$30*DATI!$I$29,IF(D44&gt;=(-DATI!$D$26*10^-3),DATI!$D$32*D44*DATI!$I$29,-DATI!$D$30*DATI!$I$29))</f>
        <v>352404.7411418116</v>
      </c>
      <c r="L44" s="138">
        <v>0</v>
      </c>
      <c r="M44" s="138">
        <f>IF(C44&gt;=(DATI!$D$26*10^-3),DATI!$D$30*DATI!$I$28,IF(C44&gt;=(-DATI!$D$26*10^-3),DATI!$I$28*DATI!$D$32*C44,-DATI!$D$30*DATI!$I$28))</f>
        <v>352404.7411418116</v>
      </c>
      <c r="N44" s="138">
        <f t="shared" si="3"/>
        <v>704809.48228362319</v>
      </c>
      <c r="O44" s="138">
        <f>-K44*(DATI!$C$13/2)+M44*(DATI!$C$13/2)</f>
        <v>0</v>
      </c>
      <c r="P44" s="140">
        <f>-N44/(DATI!$C$6*DATI!$C$13*DATI!$I$11*DATI!$I$16)</f>
        <v>-0.36226084366340999</v>
      </c>
      <c r="Q44" s="140">
        <f>O44/(DATI!$C$6*DATI!$C$13^2*DATI!$I$11)</f>
        <v>0</v>
      </c>
      <c r="R44" s="141">
        <f t="shared" si="0"/>
        <v>0</v>
      </c>
      <c r="S44" s="136" t="str">
        <f>IF(R44&gt;=0, IF(R44&lt;=DATI!$C$8/6, "SI", "NO"),IF(R44&gt; -DATI!$C$8/6, "SI", "NO"))</f>
        <v>SI</v>
      </c>
      <c r="T44" s="138">
        <f t="shared" si="1"/>
        <v>704.8094822836232</v>
      </c>
      <c r="U44" s="136" t="str">
        <f t="shared" si="2"/>
        <v/>
      </c>
    </row>
    <row r="45" spans="1:21" ht="18.75" x14ac:dyDescent="0.25">
      <c r="A45" s="122"/>
      <c r="B45" s="136" t="s">
        <v>37</v>
      </c>
      <c r="C45" s="137">
        <f>DATI!$D$24*10^-3</f>
        <v>0.01</v>
      </c>
      <c r="D45" s="137">
        <f>D44-(C45-(DATI!$C$10/DATI!$C$13*C45))/100</f>
        <v>6.1123287671232818E-3</v>
      </c>
      <c r="E45" s="136" t="s">
        <v>37</v>
      </c>
      <c r="F45" s="138">
        <f>(D45*DATI!$C$13-C45*DATI!$C$10)/(D45-C45)</f>
        <v>-483.8372093023242</v>
      </c>
      <c r="G45" s="139">
        <v>0</v>
      </c>
      <c r="H45" s="139">
        <v>0</v>
      </c>
      <c r="I45" s="139">
        <v>0</v>
      </c>
      <c r="J45" s="139">
        <v>0</v>
      </c>
      <c r="K45" s="138">
        <f>IF(D45&gt;=(DATI!$D$26*10^-3),DATI!$D$30*DATI!$I$29,IF(D45&gt;=(-DATI!$D$26*10^-3),DATI!$D$32*D45*DATI!$I$29,-DATI!$D$30*DATI!$I$29))</f>
        <v>352404.7411418116</v>
      </c>
      <c r="L45" s="138">
        <v>0</v>
      </c>
      <c r="M45" s="138">
        <f>IF(C45&gt;=(DATI!$D$26*10^-3),DATI!$D$30*DATI!$I$28,IF(C45&gt;=(-DATI!$D$26*10^-3),DATI!$I$28*DATI!$D$32*C45,-DATI!$D$30*DATI!$I$28))</f>
        <v>352404.7411418116</v>
      </c>
      <c r="N45" s="138">
        <f t="shared" si="3"/>
        <v>704809.48228362319</v>
      </c>
      <c r="O45" s="138">
        <f>-K45*(DATI!$C$13/2)+M45*(DATI!$C$13/2)</f>
        <v>0</v>
      </c>
      <c r="P45" s="140">
        <f>-N45/(DATI!$C$6*DATI!$C$13*DATI!$I$11*DATI!$I$16)</f>
        <v>-0.36226084366340999</v>
      </c>
      <c r="Q45" s="140">
        <f>O45/(DATI!$C$6*DATI!$C$13^2*DATI!$I$11)</f>
        <v>0</v>
      </c>
      <c r="R45" s="141">
        <f t="shared" si="0"/>
        <v>0</v>
      </c>
      <c r="S45" s="136" t="str">
        <f>IF(R45&gt;=0, IF(R45&lt;=DATI!$C$8/6, "SI", "NO"),IF(R45&gt; -DATI!$C$8/6, "SI", "NO"))</f>
        <v>SI</v>
      </c>
      <c r="T45" s="138">
        <f t="shared" si="1"/>
        <v>704.8094822836232</v>
      </c>
      <c r="U45" s="136" t="str">
        <f t="shared" si="2"/>
        <v/>
      </c>
    </row>
    <row r="46" spans="1:21" ht="18.75" x14ac:dyDescent="0.25">
      <c r="A46" s="122"/>
      <c r="B46" s="136" t="s">
        <v>37</v>
      </c>
      <c r="C46" s="137">
        <f>DATI!$D$24*10^-3</f>
        <v>0.01</v>
      </c>
      <c r="D46" s="137">
        <f>D45-(C46-(DATI!$C$10/DATI!$C$13*C46))/100</f>
        <v>6.021917808219172E-3</v>
      </c>
      <c r="E46" s="136" t="s">
        <v>37</v>
      </c>
      <c r="F46" s="138">
        <f>(D46*DATI!$C$13-C46*DATI!$C$10)/(D46-C46)</f>
        <v>-464.5454545454532</v>
      </c>
      <c r="G46" s="139">
        <v>0</v>
      </c>
      <c r="H46" s="139">
        <v>0</v>
      </c>
      <c r="I46" s="139">
        <v>0</v>
      </c>
      <c r="J46" s="139">
        <v>0</v>
      </c>
      <c r="K46" s="138">
        <f>IF(D46&gt;=(DATI!$D$26*10^-3),DATI!$D$30*DATI!$I$29,IF(D46&gt;=(-DATI!$D$26*10^-3),DATI!$D$32*D46*DATI!$I$29,-DATI!$D$30*DATI!$I$29))</f>
        <v>352404.7411418116</v>
      </c>
      <c r="L46" s="138">
        <v>0</v>
      </c>
      <c r="M46" s="138">
        <f>IF(C46&gt;=(DATI!$D$26*10^-3),DATI!$D$30*DATI!$I$28,IF(C46&gt;=(-DATI!$D$26*10^-3),DATI!$I$28*DATI!$D$32*C46,-DATI!$D$30*DATI!$I$28))</f>
        <v>352404.7411418116</v>
      </c>
      <c r="N46" s="138">
        <f t="shared" si="3"/>
        <v>704809.48228362319</v>
      </c>
      <c r="O46" s="138">
        <f>-K46*(DATI!$C$13/2)+M46*(DATI!$C$13/2)</f>
        <v>0</v>
      </c>
      <c r="P46" s="140">
        <f>-N46/(DATI!$C$6*DATI!$C$13*DATI!$I$11*DATI!$I$16)</f>
        <v>-0.36226084366340999</v>
      </c>
      <c r="Q46" s="140">
        <f>O46/(DATI!$C$6*DATI!$C$13^2*DATI!$I$11)</f>
        <v>0</v>
      </c>
      <c r="R46" s="141">
        <f t="shared" si="0"/>
        <v>0</v>
      </c>
      <c r="S46" s="136" t="str">
        <f>IF(R46&gt;=0, IF(R46&lt;=DATI!$C$8/6, "SI", "NO"),IF(R46&gt; -DATI!$C$8/6, "SI", "NO"))</f>
        <v>SI</v>
      </c>
      <c r="T46" s="138">
        <f t="shared" si="1"/>
        <v>704.8094822836232</v>
      </c>
      <c r="U46" s="136" t="str">
        <f t="shared" si="2"/>
        <v/>
      </c>
    </row>
    <row r="47" spans="1:21" ht="18.75" x14ac:dyDescent="0.25">
      <c r="A47" s="122"/>
      <c r="B47" s="136" t="s">
        <v>37</v>
      </c>
      <c r="C47" s="137">
        <f>DATI!$D$24*10^-3</f>
        <v>0.01</v>
      </c>
      <c r="D47" s="137">
        <f>D46-(C47-(DATI!$C$10/DATI!$C$13*C47))/100</f>
        <v>5.9315068493150623E-3</v>
      </c>
      <c r="E47" s="136" t="s">
        <v>37</v>
      </c>
      <c r="F47" s="138">
        <f>(D47*DATI!$C$13-C47*DATI!$C$10)/(D47-C47)</f>
        <v>-446.11111111110984</v>
      </c>
      <c r="G47" s="139">
        <v>0</v>
      </c>
      <c r="H47" s="139">
        <v>0</v>
      </c>
      <c r="I47" s="139">
        <v>0</v>
      </c>
      <c r="J47" s="139">
        <v>0</v>
      </c>
      <c r="K47" s="138">
        <f>IF(D47&gt;=(DATI!$D$26*10^-3),DATI!$D$30*DATI!$I$29,IF(D47&gt;=(-DATI!$D$26*10^-3),DATI!$D$32*D47*DATI!$I$29,-DATI!$D$30*DATI!$I$29))</f>
        <v>352404.7411418116</v>
      </c>
      <c r="L47" s="138">
        <v>0</v>
      </c>
      <c r="M47" s="138">
        <f>IF(C47&gt;=(DATI!$D$26*10^-3),DATI!$D$30*DATI!$I$28,IF(C47&gt;=(-DATI!$D$26*10^-3),DATI!$I$28*DATI!$D$32*C47,-DATI!$D$30*DATI!$I$28))</f>
        <v>352404.7411418116</v>
      </c>
      <c r="N47" s="138">
        <f t="shared" si="3"/>
        <v>704809.48228362319</v>
      </c>
      <c r="O47" s="138">
        <f>-K47*(DATI!$C$13/2)+M47*(DATI!$C$13/2)</f>
        <v>0</v>
      </c>
      <c r="P47" s="140">
        <f>-N47/(DATI!$C$6*DATI!$C$13*DATI!$I$11*DATI!$I$16)</f>
        <v>-0.36226084366340999</v>
      </c>
      <c r="Q47" s="140">
        <f>O47/(DATI!$C$6*DATI!$C$13^2*DATI!$I$11)</f>
        <v>0</v>
      </c>
      <c r="R47" s="141">
        <f t="shared" si="0"/>
        <v>0</v>
      </c>
      <c r="S47" s="136" t="str">
        <f>IF(R47&gt;=0, IF(R47&lt;=DATI!$C$8/6, "SI", "NO"),IF(R47&gt; -DATI!$C$8/6, "SI", "NO"))</f>
        <v>SI</v>
      </c>
      <c r="T47" s="138">
        <f t="shared" si="1"/>
        <v>704.8094822836232</v>
      </c>
      <c r="U47" s="136" t="str">
        <f t="shared" si="2"/>
        <v/>
      </c>
    </row>
    <row r="48" spans="1:21" ht="18.75" x14ac:dyDescent="0.25">
      <c r="A48" s="122"/>
      <c r="B48" s="136" t="s">
        <v>37</v>
      </c>
      <c r="C48" s="137">
        <f>DATI!$D$24*10^-3</f>
        <v>0.01</v>
      </c>
      <c r="D48" s="137">
        <f>D47-(C48-(DATI!$C$10/DATI!$C$13*C48))/100</f>
        <v>5.8410958904109526E-3</v>
      </c>
      <c r="E48" s="136" t="s">
        <v>37</v>
      </c>
      <c r="F48" s="138">
        <f>(D48*DATI!$C$13-C48*DATI!$C$10)/(D48-C48)</f>
        <v>-428.478260869564</v>
      </c>
      <c r="G48" s="139">
        <v>0</v>
      </c>
      <c r="H48" s="139">
        <v>0</v>
      </c>
      <c r="I48" s="139">
        <v>0</v>
      </c>
      <c r="J48" s="139">
        <v>0</v>
      </c>
      <c r="K48" s="138">
        <f>IF(D48&gt;=(DATI!$D$26*10^-3),DATI!$D$30*DATI!$I$29,IF(D48&gt;=(-DATI!$D$26*10^-3),DATI!$D$32*D48*DATI!$I$29,-DATI!$D$30*DATI!$I$29))</f>
        <v>352404.7411418116</v>
      </c>
      <c r="L48" s="138">
        <v>0</v>
      </c>
      <c r="M48" s="138">
        <f>IF(C48&gt;=(DATI!$D$26*10^-3),DATI!$D$30*DATI!$I$28,IF(C48&gt;=(-DATI!$D$26*10^-3),DATI!$I$28*DATI!$D$32*C48,-DATI!$D$30*DATI!$I$28))</f>
        <v>352404.7411418116</v>
      </c>
      <c r="N48" s="138">
        <f t="shared" si="3"/>
        <v>704809.48228362319</v>
      </c>
      <c r="O48" s="138">
        <f>-K48*(DATI!$C$13/2)+M48*(DATI!$C$13/2)</f>
        <v>0</v>
      </c>
      <c r="P48" s="140">
        <f>-N48/(DATI!$C$6*DATI!$C$13*DATI!$I$11*DATI!$I$16)</f>
        <v>-0.36226084366340999</v>
      </c>
      <c r="Q48" s="140">
        <f>O48/(DATI!$C$6*DATI!$C$13^2*DATI!$I$11)</f>
        <v>0</v>
      </c>
      <c r="R48" s="141">
        <f t="shared" si="0"/>
        <v>0</v>
      </c>
      <c r="S48" s="136" t="str">
        <f>IF(R48&gt;=0, IF(R48&lt;=DATI!$C$8/6, "SI", "NO"),IF(R48&gt; -DATI!$C$8/6, "SI", "NO"))</f>
        <v>SI</v>
      </c>
      <c r="T48" s="138">
        <f t="shared" si="1"/>
        <v>704.8094822836232</v>
      </c>
      <c r="U48" s="136" t="str">
        <f t="shared" si="2"/>
        <v/>
      </c>
    </row>
    <row r="49" spans="1:21" ht="18.75" x14ac:dyDescent="0.25">
      <c r="A49" s="122"/>
      <c r="B49" s="136" t="s">
        <v>37</v>
      </c>
      <c r="C49" s="137">
        <f>DATI!$D$24*10^-3</f>
        <v>0.01</v>
      </c>
      <c r="D49" s="137">
        <f>D48-(C49-(DATI!$C$10/DATI!$C$13*C49))/100</f>
        <v>5.7506849315068428E-3</v>
      </c>
      <c r="E49" s="136" t="s">
        <v>37</v>
      </c>
      <c r="F49" s="138">
        <f>(D49*DATI!$C$13-C49*DATI!$C$10)/(D49-C49)</f>
        <v>-411.5957446808498</v>
      </c>
      <c r="G49" s="139">
        <v>0</v>
      </c>
      <c r="H49" s="139">
        <v>0</v>
      </c>
      <c r="I49" s="139">
        <v>0</v>
      </c>
      <c r="J49" s="139">
        <v>0</v>
      </c>
      <c r="K49" s="138">
        <f>IF(D49&gt;=(DATI!$D$26*10^-3),DATI!$D$30*DATI!$I$29,IF(D49&gt;=(-DATI!$D$26*10^-3),DATI!$D$32*D49*DATI!$I$29,-DATI!$D$30*DATI!$I$29))</f>
        <v>352404.7411418116</v>
      </c>
      <c r="L49" s="138">
        <v>0</v>
      </c>
      <c r="M49" s="138">
        <f>IF(C49&gt;=(DATI!$D$26*10^-3),DATI!$D$30*DATI!$I$28,IF(C49&gt;=(-DATI!$D$26*10^-3),DATI!$I$28*DATI!$D$32*C49,-DATI!$D$30*DATI!$I$28))</f>
        <v>352404.7411418116</v>
      </c>
      <c r="N49" s="138">
        <f t="shared" si="3"/>
        <v>704809.48228362319</v>
      </c>
      <c r="O49" s="138">
        <f>-K49*(DATI!$C$13/2)+M49*(DATI!$C$13/2)</f>
        <v>0</v>
      </c>
      <c r="P49" s="140">
        <f>-N49/(DATI!$C$6*DATI!$C$13*DATI!$I$11*DATI!$I$16)</f>
        <v>-0.36226084366340999</v>
      </c>
      <c r="Q49" s="140">
        <f>O49/(DATI!$C$6*DATI!$C$13^2*DATI!$I$11)</f>
        <v>0</v>
      </c>
      <c r="R49" s="141">
        <f t="shared" si="0"/>
        <v>0</v>
      </c>
      <c r="S49" s="136" t="str">
        <f>IF(R49&gt;=0, IF(R49&lt;=DATI!$C$8/6, "SI", "NO"),IF(R49&gt; -DATI!$C$8/6, "SI", "NO"))</f>
        <v>SI</v>
      </c>
      <c r="T49" s="138">
        <f t="shared" si="1"/>
        <v>704.8094822836232</v>
      </c>
      <c r="U49" s="136" t="str">
        <f t="shared" si="2"/>
        <v/>
      </c>
    </row>
    <row r="50" spans="1:21" ht="18.75" x14ac:dyDescent="0.25">
      <c r="A50" s="122"/>
      <c r="B50" s="136" t="s">
        <v>37</v>
      </c>
      <c r="C50" s="137">
        <f>DATI!$D$24*10^-3</f>
        <v>0.01</v>
      </c>
      <c r="D50" s="137">
        <f>D49-(C50-(DATI!$C$10/DATI!$C$13*C50))/100</f>
        <v>5.6602739726027331E-3</v>
      </c>
      <c r="E50" s="136" t="s">
        <v>37</v>
      </c>
      <c r="F50" s="138">
        <f>(D50*DATI!$C$13-C50*DATI!$C$10)/(D50-C50)</f>
        <v>-395.41666666666549</v>
      </c>
      <c r="G50" s="139">
        <v>0</v>
      </c>
      <c r="H50" s="139">
        <v>0</v>
      </c>
      <c r="I50" s="139">
        <v>0</v>
      </c>
      <c r="J50" s="139">
        <v>0</v>
      </c>
      <c r="K50" s="138">
        <f>IF(D50&gt;=(DATI!$D$26*10^-3),DATI!$D$30*DATI!$I$29,IF(D50&gt;=(-DATI!$D$26*10^-3),DATI!$D$32*D50*DATI!$I$29,-DATI!$D$30*DATI!$I$29))</f>
        <v>352404.7411418116</v>
      </c>
      <c r="L50" s="138">
        <v>0</v>
      </c>
      <c r="M50" s="138">
        <f>IF(C50&gt;=(DATI!$D$26*10^-3),DATI!$D$30*DATI!$I$28,IF(C50&gt;=(-DATI!$D$26*10^-3),DATI!$I$28*DATI!$D$32*C50,-DATI!$D$30*DATI!$I$28))</f>
        <v>352404.7411418116</v>
      </c>
      <c r="N50" s="138">
        <f t="shared" si="3"/>
        <v>704809.48228362319</v>
      </c>
      <c r="O50" s="138">
        <f>-K50*(DATI!$C$13/2)+M50*(DATI!$C$13/2)</f>
        <v>0</v>
      </c>
      <c r="P50" s="140">
        <f>-N50/(DATI!$C$6*DATI!$C$13*DATI!$I$11*DATI!$I$16)</f>
        <v>-0.36226084366340999</v>
      </c>
      <c r="Q50" s="140">
        <f>O50/(DATI!$C$6*DATI!$C$13^2*DATI!$I$11)</f>
        <v>0</v>
      </c>
      <c r="R50" s="141">
        <f t="shared" si="0"/>
        <v>0</v>
      </c>
      <c r="S50" s="136" t="str">
        <f>IF(R50&gt;=0, IF(R50&lt;=DATI!$C$8/6, "SI", "NO"),IF(R50&gt; -DATI!$C$8/6, "SI", "NO"))</f>
        <v>SI</v>
      </c>
      <c r="T50" s="138">
        <f t="shared" si="1"/>
        <v>704.8094822836232</v>
      </c>
      <c r="U50" s="136" t="str">
        <f t="shared" si="2"/>
        <v/>
      </c>
    </row>
    <row r="51" spans="1:21" ht="18.75" x14ac:dyDescent="0.25">
      <c r="A51" s="122"/>
      <c r="B51" s="136" t="s">
        <v>37</v>
      </c>
      <c r="C51" s="137">
        <f>DATI!$D$24*10^-3</f>
        <v>0.01</v>
      </c>
      <c r="D51" s="137">
        <f>D50-(C51-(DATI!$C$10/DATI!$C$13*C51))/100</f>
        <v>5.5698630136986234E-3</v>
      </c>
      <c r="E51" s="136" t="s">
        <v>37</v>
      </c>
      <c r="F51" s="138">
        <f>(D51*DATI!$C$13-C51*DATI!$C$10)/(D51-C51)</f>
        <v>-379.89795918367236</v>
      </c>
      <c r="G51" s="139">
        <v>0</v>
      </c>
      <c r="H51" s="139">
        <v>0</v>
      </c>
      <c r="I51" s="139">
        <v>0</v>
      </c>
      <c r="J51" s="139">
        <v>0</v>
      </c>
      <c r="K51" s="138">
        <f>IF(D51&gt;=(DATI!$D$26*10^-3),DATI!$D$30*DATI!$I$29,IF(D51&gt;=(-DATI!$D$26*10^-3),DATI!$D$32*D51*DATI!$I$29,-DATI!$D$30*DATI!$I$29))</f>
        <v>352404.7411418116</v>
      </c>
      <c r="L51" s="138">
        <v>0</v>
      </c>
      <c r="M51" s="138">
        <f>IF(C51&gt;=(DATI!$D$26*10^-3),DATI!$D$30*DATI!$I$28,IF(C51&gt;=(-DATI!$D$26*10^-3),DATI!$I$28*DATI!$D$32*C51,-DATI!$D$30*DATI!$I$28))</f>
        <v>352404.7411418116</v>
      </c>
      <c r="N51" s="138">
        <f t="shared" si="3"/>
        <v>704809.48228362319</v>
      </c>
      <c r="O51" s="138">
        <f>-K51*(DATI!$C$13/2)+M51*(DATI!$C$13/2)</f>
        <v>0</v>
      </c>
      <c r="P51" s="140">
        <f>-N51/(DATI!$C$6*DATI!$C$13*DATI!$I$11*DATI!$I$16)</f>
        <v>-0.36226084366340999</v>
      </c>
      <c r="Q51" s="140">
        <f>O51/(DATI!$C$6*DATI!$C$13^2*DATI!$I$11)</f>
        <v>0</v>
      </c>
      <c r="R51" s="141">
        <f t="shared" si="0"/>
        <v>0</v>
      </c>
      <c r="S51" s="136" t="str">
        <f>IF(R51&gt;=0, IF(R51&lt;=DATI!$C$8/6, "SI", "NO"),IF(R51&gt; -DATI!$C$8/6, "SI", "NO"))</f>
        <v>SI</v>
      </c>
      <c r="T51" s="138">
        <f t="shared" si="1"/>
        <v>704.8094822836232</v>
      </c>
      <c r="U51" s="136" t="str">
        <f t="shared" si="2"/>
        <v/>
      </c>
    </row>
    <row r="52" spans="1:21" ht="18.75" x14ac:dyDescent="0.25">
      <c r="A52" s="122"/>
      <c r="B52" s="136" t="s">
        <v>37</v>
      </c>
      <c r="C52" s="137">
        <f>DATI!$D$24*10^-3</f>
        <v>0.01</v>
      </c>
      <c r="D52" s="137">
        <f>D51-(C52-(DATI!$C$10/DATI!$C$13*C52))/100</f>
        <v>5.4794520547945137E-3</v>
      </c>
      <c r="E52" s="136" t="s">
        <v>37</v>
      </c>
      <c r="F52" s="138">
        <f>(D52*DATI!$C$13-C52*DATI!$C$10)/(D52-C52)</f>
        <v>-364.99999999999886</v>
      </c>
      <c r="G52" s="139">
        <v>0</v>
      </c>
      <c r="H52" s="139">
        <v>0</v>
      </c>
      <c r="I52" s="139">
        <v>0</v>
      </c>
      <c r="J52" s="139">
        <v>0</v>
      </c>
      <c r="K52" s="138">
        <f>IF(D52&gt;=(DATI!$D$26*10^-3),DATI!$D$30*DATI!$I$29,IF(D52&gt;=(-DATI!$D$26*10^-3),DATI!$D$32*D52*DATI!$I$29,-DATI!$D$30*DATI!$I$29))</f>
        <v>352404.7411418116</v>
      </c>
      <c r="L52" s="138">
        <v>0</v>
      </c>
      <c r="M52" s="138">
        <f>IF(C52&gt;=(DATI!$D$26*10^-3),DATI!$D$30*DATI!$I$28,IF(C52&gt;=(-DATI!$D$26*10^-3),DATI!$I$28*DATI!$D$32*C52,-DATI!$D$30*DATI!$I$28))</f>
        <v>352404.7411418116</v>
      </c>
      <c r="N52" s="138">
        <f t="shared" si="3"/>
        <v>704809.48228362319</v>
      </c>
      <c r="O52" s="138">
        <f>-K52*(DATI!$C$13/2)+M52*(DATI!$C$13/2)</f>
        <v>0</v>
      </c>
      <c r="P52" s="140">
        <f>-N52/(DATI!$C$6*DATI!$C$13*DATI!$I$11*DATI!$I$16)</f>
        <v>-0.36226084366340999</v>
      </c>
      <c r="Q52" s="140">
        <f>O52/(DATI!$C$6*DATI!$C$13^2*DATI!$I$11)</f>
        <v>0</v>
      </c>
      <c r="R52" s="141">
        <f t="shared" si="0"/>
        <v>0</v>
      </c>
      <c r="S52" s="136" t="str">
        <f>IF(R52&gt;=0, IF(R52&lt;=DATI!$C$8/6, "SI", "NO"),IF(R52&gt; -DATI!$C$8/6, "SI", "NO"))</f>
        <v>SI</v>
      </c>
      <c r="T52" s="138">
        <f t="shared" si="1"/>
        <v>704.8094822836232</v>
      </c>
      <c r="U52" s="136" t="str">
        <f t="shared" si="2"/>
        <v/>
      </c>
    </row>
    <row r="53" spans="1:21" ht="18.75" x14ac:dyDescent="0.25">
      <c r="A53" s="122"/>
      <c r="B53" s="136" t="s">
        <v>37</v>
      </c>
      <c r="C53" s="137">
        <f>DATI!$D$24*10^-3</f>
        <v>0.01</v>
      </c>
      <c r="D53" s="137">
        <f>D52-(C53-(DATI!$C$10/DATI!$C$13*C53))/100</f>
        <v>5.3890410958904039E-3</v>
      </c>
      <c r="E53" s="136" t="s">
        <v>37</v>
      </c>
      <c r="F53" s="138">
        <f>(D53*DATI!$C$13-C53*DATI!$C$10)/(D53-C53)</f>
        <v>-350.68627450980279</v>
      </c>
      <c r="G53" s="139">
        <v>0</v>
      </c>
      <c r="H53" s="139">
        <v>0</v>
      </c>
      <c r="I53" s="139">
        <v>0</v>
      </c>
      <c r="J53" s="139">
        <v>0</v>
      </c>
      <c r="K53" s="138">
        <f>IF(D53&gt;=(DATI!$D$26*10^-3),DATI!$D$30*DATI!$I$29,IF(D53&gt;=(-DATI!$D$26*10^-3),DATI!$D$32*D53*DATI!$I$29,-DATI!$D$30*DATI!$I$29))</f>
        <v>352404.7411418116</v>
      </c>
      <c r="L53" s="138">
        <v>0</v>
      </c>
      <c r="M53" s="138">
        <f>IF(C53&gt;=(DATI!$D$26*10^-3),DATI!$D$30*DATI!$I$28,IF(C53&gt;=(-DATI!$D$26*10^-3),DATI!$I$28*DATI!$D$32*C53,-DATI!$D$30*DATI!$I$28))</f>
        <v>352404.7411418116</v>
      </c>
      <c r="N53" s="138">
        <f t="shared" si="3"/>
        <v>704809.48228362319</v>
      </c>
      <c r="O53" s="138">
        <f>-K53*(DATI!$C$13/2)+M53*(DATI!$C$13/2)</f>
        <v>0</v>
      </c>
      <c r="P53" s="140">
        <f>-N53/(DATI!$C$6*DATI!$C$13*DATI!$I$11*DATI!$I$16)</f>
        <v>-0.36226084366340999</v>
      </c>
      <c r="Q53" s="140">
        <f>O53/(DATI!$C$6*DATI!$C$13^2*DATI!$I$11)</f>
        <v>0</v>
      </c>
      <c r="R53" s="141">
        <f t="shared" si="0"/>
        <v>0</v>
      </c>
      <c r="S53" s="136" t="str">
        <f>IF(R53&gt;=0, IF(R53&lt;=DATI!$C$8/6, "SI", "NO"),IF(R53&gt; -DATI!$C$8/6, "SI", "NO"))</f>
        <v>SI</v>
      </c>
      <c r="T53" s="138">
        <f t="shared" si="1"/>
        <v>704.8094822836232</v>
      </c>
      <c r="U53" s="136" t="str">
        <f t="shared" si="2"/>
        <v/>
      </c>
    </row>
    <row r="54" spans="1:21" ht="18.75" x14ac:dyDescent="0.25">
      <c r="A54" s="122"/>
      <c r="B54" s="136" t="s">
        <v>37</v>
      </c>
      <c r="C54" s="137">
        <f>DATI!$D$24*10^-3</f>
        <v>0.01</v>
      </c>
      <c r="D54" s="137">
        <f>D53-(C54-(DATI!$C$10/DATI!$C$13*C54))/100</f>
        <v>5.2986301369862942E-3</v>
      </c>
      <c r="E54" s="136" t="s">
        <v>37</v>
      </c>
      <c r="F54" s="138">
        <f>(D54*DATI!$C$13-C54*DATI!$C$10)/(D54-C54)</f>
        <v>-336.92307692307577</v>
      </c>
      <c r="G54" s="139">
        <v>0</v>
      </c>
      <c r="H54" s="139">
        <v>0</v>
      </c>
      <c r="I54" s="139">
        <v>0</v>
      </c>
      <c r="J54" s="139">
        <v>0</v>
      </c>
      <c r="K54" s="138">
        <f>IF(D54&gt;=(DATI!$D$26*10^-3),DATI!$D$30*DATI!$I$29,IF(D54&gt;=(-DATI!$D$26*10^-3),DATI!$D$32*D54*DATI!$I$29,-DATI!$D$30*DATI!$I$29))</f>
        <v>352404.7411418116</v>
      </c>
      <c r="L54" s="138">
        <v>0</v>
      </c>
      <c r="M54" s="138">
        <f>IF(C54&gt;=(DATI!$D$26*10^-3),DATI!$D$30*DATI!$I$28,IF(C54&gt;=(-DATI!$D$26*10^-3),DATI!$I$28*DATI!$D$32*C54,-DATI!$D$30*DATI!$I$28))</f>
        <v>352404.7411418116</v>
      </c>
      <c r="N54" s="138">
        <f t="shared" si="3"/>
        <v>704809.48228362319</v>
      </c>
      <c r="O54" s="138">
        <f>-K54*(DATI!$C$13/2)+M54*(DATI!$C$13/2)</f>
        <v>0</v>
      </c>
      <c r="P54" s="140">
        <f>-N54/(DATI!$C$6*DATI!$C$13*DATI!$I$11*DATI!$I$16)</f>
        <v>-0.36226084366340999</v>
      </c>
      <c r="Q54" s="140">
        <f>O54/(DATI!$C$6*DATI!$C$13^2*DATI!$I$11)</f>
        <v>0</v>
      </c>
      <c r="R54" s="141">
        <f t="shared" si="0"/>
        <v>0</v>
      </c>
      <c r="S54" s="136" t="str">
        <f>IF(R54&gt;=0, IF(R54&lt;=DATI!$C$8/6, "SI", "NO"),IF(R54&gt; -DATI!$C$8/6, "SI", "NO"))</f>
        <v>SI</v>
      </c>
      <c r="T54" s="138">
        <f t="shared" si="1"/>
        <v>704.8094822836232</v>
      </c>
      <c r="U54" s="136" t="str">
        <f t="shared" si="2"/>
        <v/>
      </c>
    </row>
    <row r="55" spans="1:21" ht="18.75" x14ac:dyDescent="0.25">
      <c r="A55" s="122"/>
      <c r="B55" s="136" t="s">
        <v>37</v>
      </c>
      <c r="C55" s="137">
        <f>DATI!$D$24*10^-3</f>
        <v>0.01</v>
      </c>
      <c r="D55" s="137">
        <f>D54-(C55-(DATI!$C$10/DATI!$C$13*C55))/100</f>
        <v>5.2082191780821845E-3</v>
      </c>
      <c r="E55" s="136" t="s">
        <v>37</v>
      </c>
      <c r="F55" s="138">
        <f>(D55*DATI!$C$13-C55*DATI!$C$10)/(D55-C55)</f>
        <v>-323.67924528301779</v>
      </c>
      <c r="G55" s="139">
        <v>0</v>
      </c>
      <c r="H55" s="139">
        <v>0</v>
      </c>
      <c r="I55" s="139">
        <v>0</v>
      </c>
      <c r="J55" s="139">
        <v>0</v>
      </c>
      <c r="K55" s="138">
        <f>IF(D55&gt;=(DATI!$D$26*10^-3),DATI!$D$30*DATI!$I$29,IF(D55&gt;=(-DATI!$D$26*10^-3),DATI!$D$32*D55*DATI!$I$29,-DATI!$D$30*DATI!$I$29))</f>
        <v>352404.7411418116</v>
      </c>
      <c r="L55" s="138">
        <v>0</v>
      </c>
      <c r="M55" s="138">
        <f>IF(C55&gt;=(DATI!$D$26*10^-3),DATI!$D$30*DATI!$I$28,IF(C55&gt;=(-DATI!$D$26*10^-3),DATI!$I$28*DATI!$D$32*C55,-DATI!$D$30*DATI!$I$28))</f>
        <v>352404.7411418116</v>
      </c>
      <c r="N55" s="138">
        <f t="shared" si="3"/>
        <v>704809.48228362319</v>
      </c>
      <c r="O55" s="138">
        <f>-K55*(DATI!$C$13/2)+M55*(DATI!$C$13/2)</f>
        <v>0</v>
      </c>
      <c r="P55" s="140">
        <f>-N55/(DATI!$C$6*DATI!$C$13*DATI!$I$11*DATI!$I$16)</f>
        <v>-0.36226084366340999</v>
      </c>
      <c r="Q55" s="140">
        <f>O55/(DATI!$C$6*DATI!$C$13^2*DATI!$I$11)</f>
        <v>0</v>
      </c>
      <c r="R55" s="141">
        <f t="shared" si="0"/>
        <v>0</v>
      </c>
      <c r="S55" s="136" t="str">
        <f>IF(R55&gt;=0, IF(R55&lt;=DATI!$C$8/6, "SI", "NO"),IF(R55&gt; -DATI!$C$8/6, "SI", "NO"))</f>
        <v>SI</v>
      </c>
      <c r="T55" s="138">
        <f t="shared" si="1"/>
        <v>704.8094822836232</v>
      </c>
      <c r="U55" s="136" t="str">
        <f t="shared" si="2"/>
        <v/>
      </c>
    </row>
    <row r="56" spans="1:21" ht="18.75" x14ac:dyDescent="0.25">
      <c r="A56" s="122"/>
      <c r="B56" s="136" t="s">
        <v>37</v>
      </c>
      <c r="C56" s="137">
        <f>DATI!$D$24*10^-3</f>
        <v>0.01</v>
      </c>
      <c r="D56" s="137">
        <f>D55-(C56-(DATI!$C$10/DATI!$C$13*C56))/100</f>
        <v>5.1178082191780747E-3</v>
      </c>
      <c r="E56" s="136" t="s">
        <v>37</v>
      </c>
      <c r="F56" s="138">
        <f>(D56*DATI!$C$13-C56*DATI!$C$10)/(D56-C56)</f>
        <v>-310.92592592592484</v>
      </c>
      <c r="G56" s="139">
        <v>0</v>
      </c>
      <c r="H56" s="139">
        <v>0</v>
      </c>
      <c r="I56" s="139">
        <v>0</v>
      </c>
      <c r="J56" s="139">
        <v>0</v>
      </c>
      <c r="K56" s="138">
        <f>IF(D56&gt;=(DATI!$D$26*10^-3),DATI!$D$30*DATI!$I$29,IF(D56&gt;=(-DATI!$D$26*10^-3),DATI!$D$32*D56*DATI!$I$29,-DATI!$D$30*DATI!$I$29))</f>
        <v>352404.7411418116</v>
      </c>
      <c r="L56" s="138">
        <v>0</v>
      </c>
      <c r="M56" s="138">
        <f>IF(C56&gt;=(DATI!$D$26*10^-3),DATI!$D$30*DATI!$I$28,IF(C56&gt;=(-DATI!$D$26*10^-3),DATI!$I$28*DATI!$D$32*C56,-DATI!$D$30*DATI!$I$28))</f>
        <v>352404.7411418116</v>
      </c>
      <c r="N56" s="138">
        <f t="shared" si="3"/>
        <v>704809.48228362319</v>
      </c>
      <c r="O56" s="138">
        <f>-K56*(DATI!$C$13/2)+M56*(DATI!$C$13/2)</f>
        <v>0</v>
      </c>
      <c r="P56" s="140">
        <f>-N56/(DATI!$C$6*DATI!$C$13*DATI!$I$11*DATI!$I$16)</f>
        <v>-0.36226084366340999</v>
      </c>
      <c r="Q56" s="140">
        <f>O56/(DATI!$C$6*DATI!$C$13^2*DATI!$I$11)</f>
        <v>0</v>
      </c>
      <c r="R56" s="141">
        <f t="shared" si="0"/>
        <v>0</v>
      </c>
      <c r="S56" s="136" t="str">
        <f>IF(R56&gt;=0, IF(R56&lt;=DATI!$C$8/6, "SI", "NO"),IF(R56&gt; -DATI!$C$8/6, "SI", "NO"))</f>
        <v>SI</v>
      </c>
      <c r="T56" s="138">
        <f t="shared" si="1"/>
        <v>704.8094822836232</v>
      </c>
      <c r="U56" s="136" t="str">
        <f t="shared" si="2"/>
        <v/>
      </c>
    </row>
    <row r="57" spans="1:21" ht="18.75" x14ac:dyDescent="0.25">
      <c r="A57" s="122"/>
      <c r="B57" s="136" t="s">
        <v>37</v>
      </c>
      <c r="C57" s="137">
        <f>DATI!$D$24*10^-3</f>
        <v>0.01</v>
      </c>
      <c r="D57" s="137">
        <f>D56-(C57-(DATI!$C$10/DATI!$C$13*C57))/100</f>
        <v>5.027397260273965E-3</v>
      </c>
      <c r="E57" s="136" t="s">
        <v>37</v>
      </c>
      <c r="F57" s="138">
        <f>(D57*DATI!$C$13-C57*DATI!$C$10)/(D57-C57)</f>
        <v>-298.6363636363626</v>
      </c>
      <c r="G57" s="139">
        <v>0</v>
      </c>
      <c r="H57" s="139">
        <v>0</v>
      </c>
      <c r="I57" s="139">
        <v>0</v>
      </c>
      <c r="J57" s="139">
        <v>0</v>
      </c>
      <c r="K57" s="138">
        <f>IF(D57&gt;=(DATI!$D$26*10^-3),DATI!$D$30*DATI!$I$29,IF(D57&gt;=(-DATI!$D$26*10^-3),DATI!$D$32*D57*DATI!$I$29,-DATI!$D$30*DATI!$I$29))</f>
        <v>352404.7411418116</v>
      </c>
      <c r="L57" s="138">
        <v>0</v>
      </c>
      <c r="M57" s="138">
        <f>IF(C57&gt;=(DATI!$D$26*10^-3),DATI!$D$30*DATI!$I$28,IF(C57&gt;=(-DATI!$D$26*10^-3),DATI!$I$28*DATI!$D$32*C57,-DATI!$D$30*DATI!$I$28))</f>
        <v>352404.7411418116</v>
      </c>
      <c r="N57" s="138">
        <f t="shared" si="3"/>
        <v>704809.48228362319</v>
      </c>
      <c r="O57" s="138">
        <f>-K57*(DATI!$C$13/2)+M57*(DATI!$C$13/2)</f>
        <v>0</v>
      </c>
      <c r="P57" s="140">
        <f>-N57/(DATI!$C$6*DATI!$C$13*DATI!$I$11*DATI!$I$16)</f>
        <v>-0.36226084366340999</v>
      </c>
      <c r="Q57" s="140">
        <f>O57/(DATI!$C$6*DATI!$C$13^2*DATI!$I$11)</f>
        <v>0</v>
      </c>
      <c r="R57" s="141">
        <f t="shared" si="0"/>
        <v>0</v>
      </c>
      <c r="S57" s="136" t="str">
        <f>IF(R57&gt;=0, IF(R57&lt;=DATI!$C$8/6, "SI", "NO"),IF(R57&gt; -DATI!$C$8/6, "SI", "NO"))</f>
        <v>SI</v>
      </c>
      <c r="T57" s="138">
        <f t="shared" si="1"/>
        <v>704.8094822836232</v>
      </c>
      <c r="U57" s="136" t="str">
        <f t="shared" si="2"/>
        <v/>
      </c>
    </row>
    <row r="58" spans="1:21" ht="18.75" x14ac:dyDescent="0.25">
      <c r="A58" s="122"/>
      <c r="B58" s="136" t="s">
        <v>37</v>
      </c>
      <c r="C58" s="137">
        <f>DATI!$D$24*10^-3</f>
        <v>0.01</v>
      </c>
      <c r="D58" s="137">
        <f>D57-(C58-(DATI!$C$10/DATI!$C$13*C58))/100</f>
        <v>4.9369863013698553E-3</v>
      </c>
      <c r="E58" s="136" t="s">
        <v>37</v>
      </c>
      <c r="F58" s="138">
        <f>(D58*DATI!$C$13-C58*DATI!$C$10)/(D58-C58)</f>
        <v>-286.78571428571325</v>
      </c>
      <c r="G58" s="139">
        <v>0</v>
      </c>
      <c r="H58" s="139">
        <v>0</v>
      </c>
      <c r="I58" s="139">
        <v>0</v>
      </c>
      <c r="J58" s="139">
        <v>0</v>
      </c>
      <c r="K58" s="138">
        <f>IF(D58&gt;=(DATI!$D$26*10^-3),DATI!$D$30*DATI!$I$29,IF(D58&gt;=(-DATI!$D$26*10^-3),DATI!$D$32*D58*DATI!$I$29,-DATI!$D$30*DATI!$I$29))</f>
        <v>352404.7411418116</v>
      </c>
      <c r="L58" s="138">
        <v>0</v>
      </c>
      <c r="M58" s="138">
        <f>IF(C58&gt;=(DATI!$D$26*10^-3),DATI!$D$30*DATI!$I$28,IF(C58&gt;=(-DATI!$D$26*10^-3),DATI!$I$28*DATI!$D$32*C58,-DATI!$D$30*DATI!$I$28))</f>
        <v>352404.7411418116</v>
      </c>
      <c r="N58" s="138">
        <f t="shared" si="3"/>
        <v>704809.48228362319</v>
      </c>
      <c r="O58" s="138">
        <f>-K58*(DATI!$C$13/2)+M58*(DATI!$C$13/2)</f>
        <v>0</v>
      </c>
      <c r="P58" s="140">
        <f>-N58/(DATI!$C$6*DATI!$C$13*DATI!$I$11*DATI!$I$16)</f>
        <v>-0.36226084366340999</v>
      </c>
      <c r="Q58" s="140">
        <f>O58/(DATI!$C$6*DATI!$C$13^2*DATI!$I$11)</f>
        <v>0</v>
      </c>
      <c r="R58" s="141">
        <f t="shared" si="0"/>
        <v>0</v>
      </c>
      <c r="S58" s="136" t="str">
        <f>IF(R58&gt;=0, IF(R58&lt;=DATI!$C$8/6, "SI", "NO"),IF(R58&gt; -DATI!$C$8/6, "SI", "NO"))</f>
        <v>SI</v>
      </c>
      <c r="T58" s="138">
        <f t="shared" si="1"/>
        <v>704.8094822836232</v>
      </c>
      <c r="U58" s="136" t="str">
        <f t="shared" si="2"/>
        <v/>
      </c>
    </row>
    <row r="59" spans="1:21" ht="18.75" x14ac:dyDescent="0.25">
      <c r="A59" s="122"/>
      <c r="B59" s="136" t="s">
        <v>37</v>
      </c>
      <c r="C59" s="137">
        <f>DATI!$D$24*10^-3</f>
        <v>0.01</v>
      </c>
      <c r="D59" s="137">
        <f>D58-(C59-(DATI!$C$10/DATI!$C$13*C59))/100</f>
        <v>4.8465753424657455E-3</v>
      </c>
      <c r="E59" s="136" t="s">
        <v>37</v>
      </c>
      <c r="F59" s="138">
        <f>(D59*DATI!$C$13-C59*DATI!$C$10)/(D59-C59)</f>
        <v>-275.35087719298144</v>
      </c>
      <c r="G59" s="139">
        <v>0</v>
      </c>
      <c r="H59" s="139">
        <v>0</v>
      </c>
      <c r="I59" s="139">
        <v>0</v>
      </c>
      <c r="J59" s="139">
        <v>0</v>
      </c>
      <c r="K59" s="138">
        <f>IF(D59&gt;=(DATI!$D$26*10^-3),DATI!$D$30*DATI!$I$29,IF(D59&gt;=(-DATI!$D$26*10^-3),DATI!$D$32*D59*DATI!$I$29,-DATI!$D$30*DATI!$I$29))</f>
        <v>352404.7411418116</v>
      </c>
      <c r="L59" s="138">
        <v>0</v>
      </c>
      <c r="M59" s="138">
        <f>IF(C59&gt;=(DATI!$D$26*10^-3),DATI!$D$30*DATI!$I$28,IF(C59&gt;=(-DATI!$D$26*10^-3),DATI!$I$28*DATI!$D$32*C59,-DATI!$D$30*DATI!$I$28))</f>
        <v>352404.7411418116</v>
      </c>
      <c r="N59" s="138">
        <f t="shared" si="3"/>
        <v>704809.48228362319</v>
      </c>
      <c r="O59" s="138">
        <f>-K59*(DATI!$C$13/2)+M59*(DATI!$C$13/2)</f>
        <v>0</v>
      </c>
      <c r="P59" s="140">
        <f>-N59/(DATI!$C$6*DATI!$C$13*DATI!$I$11*DATI!$I$16)</f>
        <v>-0.36226084366340999</v>
      </c>
      <c r="Q59" s="140">
        <f>O59/(DATI!$C$6*DATI!$C$13^2*DATI!$I$11)</f>
        <v>0</v>
      </c>
      <c r="R59" s="141">
        <f t="shared" si="0"/>
        <v>0</v>
      </c>
      <c r="S59" s="136" t="str">
        <f>IF(R59&gt;=0, IF(R59&lt;=DATI!$C$8/6, "SI", "NO"),IF(R59&gt; -DATI!$C$8/6, "SI", "NO"))</f>
        <v>SI</v>
      </c>
      <c r="T59" s="138">
        <f t="shared" si="1"/>
        <v>704.8094822836232</v>
      </c>
      <c r="U59" s="136" t="str">
        <f t="shared" si="2"/>
        <v/>
      </c>
    </row>
    <row r="60" spans="1:21" ht="18.75" x14ac:dyDescent="0.25">
      <c r="A60" s="122"/>
      <c r="B60" s="136" t="s">
        <v>37</v>
      </c>
      <c r="C60" s="137">
        <f>DATI!$D$24*10^-3</f>
        <v>0.01</v>
      </c>
      <c r="D60" s="137">
        <f>D59-(C60-(DATI!$C$10/DATI!$C$13*C60))/100</f>
        <v>4.7561643835616358E-3</v>
      </c>
      <c r="E60" s="136" t="s">
        <v>37</v>
      </c>
      <c r="F60" s="138">
        <f>(D60*DATI!$C$13-C60*DATI!$C$10)/(D60-C60)</f>
        <v>-264.3103448275852</v>
      </c>
      <c r="G60" s="139">
        <v>0</v>
      </c>
      <c r="H60" s="139">
        <v>0</v>
      </c>
      <c r="I60" s="139">
        <v>0</v>
      </c>
      <c r="J60" s="139">
        <v>0</v>
      </c>
      <c r="K60" s="138">
        <f>IF(D60&gt;=(DATI!$D$26*10^-3),DATI!$D$30*DATI!$I$29,IF(D60&gt;=(-DATI!$D$26*10^-3),DATI!$D$32*D60*DATI!$I$29,-DATI!$D$30*DATI!$I$29))</f>
        <v>352404.7411418116</v>
      </c>
      <c r="L60" s="138">
        <v>0</v>
      </c>
      <c r="M60" s="138">
        <f>IF(C60&gt;=(DATI!$D$26*10^-3),DATI!$D$30*DATI!$I$28,IF(C60&gt;=(-DATI!$D$26*10^-3),DATI!$I$28*DATI!$D$32*C60,-DATI!$D$30*DATI!$I$28))</f>
        <v>352404.7411418116</v>
      </c>
      <c r="N60" s="138">
        <f t="shared" si="3"/>
        <v>704809.48228362319</v>
      </c>
      <c r="O60" s="138">
        <f>-K60*(DATI!$C$13/2)+M60*(DATI!$C$13/2)</f>
        <v>0</v>
      </c>
      <c r="P60" s="140">
        <f>-N60/(DATI!$C$6*DATI!$C$13*DATI!$I$11*DATI!$I$16)</f>
        <v>-0.36226084366340999</v>
      </c>
      <c r="Q60" s="140">
        <f>O60/(DATI!$C$6*DATI!$C$13^2*DATI!$I$11)</f>
        <v>0</v>
      </c>
      <c r="R60" s="141">
        <f t="shared" si="0"/>
        <v>0</v>
      </c>
      <c r="S60" s="136" t="str">
        <f>IF(R60&gt;=0, IF(R60&lt;=DATI!$C$8/6, "SI", "NO"),IF(R60&gt; -DATI!$C$8/6, "SI", "NO"))</f>
        <v>SI</v>
      </c>
      <c r="T60" s="138">
        <f t="shared" si="1"/>
        <v>704.8094822836232</v>
      </c>
      <c r="U60" s="136" t="str">
        <f t="shared" si="2"/>
        <v/>
      </c>
    </row>
    <row r="61" spans="1:21" ht="18.75" x14ac:dyDescent="0.25">
      <c r="A61" s="122"/>
      <c r="B61" s="136" t="s">
        <v>37</v>
      </c>
      <c r="C61" s="137">
        <f>DATI!$D$24*10^-3</f>
        <v>0.01</v>
      </c>
      <c r="D61" s="137">
        <f>D60-(C61-(DATI!$C$10/DATI!$C$13*C61))/100</f>
        <v>4.6657534246575261E-3</v>
      </c>
      <c r="E61" s="136" t="s">
        <v>37</v>
      </c>
      <c r="F61" s="138">
        <f>(D61*DATI!$C$13-C61*DATI!$C$10)/(D61-C61)</f>
        <v>-253.64406779660919</v>
      </c>
      <c r="G61" s="139">
        <v>0</v>
      </c>
      <c r="H61" s="139">
        <v>0</v>
      </c>
      <c r="I61" s="139">
        <v>0</v>
      </c>
      <c r="J61" s="139">
        <v>0</v>
      </c>
      <c r="K61" s="138">
        <f>IF(D61&gt;=(DATI!$D$26*10^-3),DATI!$D$30*DATI!$I$29,IF(D61&gt;=(-DATI!$D$26*10^-3),DATI!$D$32*D61*DATI!$I$29,-DATI!$D$30*DATI!$I$29))</f>
        <v>352404.7411418116</v>
      </c>
      <c r="L61" s="138">
        <v>0</v>
      </c>
      <c r="M61" s="138">
        <f>IF(C61&gt;=(DATI!$D$26*10^-3),DATI!$D$30*DATI!$I$28,IF(C61&gt;=(-DATI!$D$26*10^-3),DATI!$I$28*DATI!$D$32*C61,-DATI!$D$30*DATI!$I$28))</f>
        <v>352404.7411418116</v>
      </c>
      <c r="N61" s="138">
        <f t="shared" si="3"/>
        <v>704809.48228362319</v>
      </c>
      <c r="O61" s="138">
        <f>-K61*(DATI!$C$13/2)+M61*(DATI!$C$13/2)</f>
        <v>0</v>
      </c>
      <c r="P61" s="140">
        <f>-N61/(DATI!$C$6*DATI!$C$13*DATI!$I$11*DATI!$I$16)</f>
        <v>-0.36226084366340999</v>
      </c>
      <c r="Q61" s="140">
        <f>O61/(DATI!$C$6*DATI!$C$13^2*DATI!$I$11)</f>
        <v>0</v>
      </c>
      <c r="R61" s="141">
        <f t="shared" si="0"/>
        <v>0</v>
      </c>
      <c r="S61" s="136" t="str">
        <f>IF(R61&gt;=0, IF(R61&lt;=DATI!$C$8/6, "SI", "NO"),IF(R61&gt; -DATI!$C$8/6, "SI", "NO"))</f>
        <v>SI</v>
      </c>
      <c r="T61" s="138">
        <f t="shared" si="1"/>
        <v>704.8094822836232</v>
      </c>
      <c r="U61" s="136" t="str">
        <f t="shared" si="2"/>
        <v/>
      </c>
    </row>
    <row r="62" spans="1:21" ht="18.75" x14ac:dyDescent="0.25">
      <c r="A62" s="122"/>
      <c r="B62" s="136" t="s">
        <v>37</v>
      </c>
      <c r="C62" s="137">
        <f>DATI!$D$24*10^-3</f>
        <v>0.01</v>
      </c>
      <c r="D62" s="137">
        <f>D61-(C62-(DATI!$C$10/DATI!$C$13*C62))/100</f>
        <v>4.5753424657534163E-3</v>
      </c>
      <c r="E62" s="136" t="s">
        <v>37</v>
      </c>
      <c r="F62" s="138">
        <f>(D62*DATI!$C$13-C62*DATI!$C$10)/(D62-C62)</f>
        <v>-243.33333333333238</v>
      </c>
      <c r="G62" s="139">
        <v>0</v>
      </c>
      <c r="H62" s="139">
        <v>0</v>
      </c>
      <c r="I62" s="139">
        <v>0</v>
      </c>
      <c r="J62" s="139">
        <v>0</v>
      </c>
      <c r="K62" s="138">
        <f>IF(D62&gt;=(DATI!$D$26*10^-3),DATI!$D$30*DATI!$I$29,IF(D62&gt;=(-DATI!$D$26*10^-3),DATI!$D$32*D62*DATI!$I$29,-DATI!$D$30*DATI!$I$29))</f>
        <v>352404.7411418116</v>
      </c>
      <c r="L62" s="138">
        <v>0</v>
      </c>
      <c r="M62" s="138">
        <f>IF(C62&gt;=(DATI!$D$26*10^-3),DATI!$D$30*DATI!$I$28,IF(C62&gt;=(-DATI!$D$26*10^-3),DATI!$I$28*DATI!$D$32*C62,-DATI!$D$30*DATI!$I$28))</f>
        <v>352404.7411418116</v>
      </c>
      <c r="N62" s="138">
        <f t="shared" si="3"/>
        <v>704809.48228362319</v>
      </c>
      <c r="O62" s="138">
        <f>-K62*(DATI!$C$13/2)+M62*(DATI!$C$13/2)</f>
        <v>0</v>
      </c>
      <c r="P62" s="140">
        <f>-N62/(DATI!$C$6*DATI!$C$13*DATI!$I$11*DATI!$I$16)</f>
        <v>-0.36226084366340999</v>
      </c>
      <c r="Q62" s="140">
        <f>O62/(DATI!$C$6*DATI!$C$13^2*DATI!$I$11)</f>
        <v>0</v>
      </c>
      <c r="R62" s="141">
        <f t="shared" si="0"/>
        <v>0</v>
      </c>
      <c r="S62" s="136" t="str">
        <f>IF(R62&gt;=0, IF(R62&lt;=DATI!$C$8/6, "SI", "NO"),IF(R62&gt; -DATI!$C$8/6, "SI", "NO"))</f>
        <v>SI</v>
      </c>
      <c r="T62" s="138">
        <f t="shared" si="1"/>
        <v>704.8094822836232</v>
      </c>
      <c r="U62" s="136" t="str">
        <f t="shared" si="2"/>
        <v/>
      </c>
    </row>
    <row r="63" spans="1:21" ht="18.75" x14ac:dyDescent="0.25">
      <c r="A63" s="122"/>
      <c r="B63" s="136" t="s">
        <v>37</v>
      </c>
      <c r="C63" s="137">
        <f>DATI!$D$24*10^-3</f>
        <v>0.01</v>
      </c>
      <c r="D63" s="137">
        <f>D62-(C63-(DATI!$C$10/DATI!$C$13*C63))/100</f>
        <v>4.4849315068493066E-3</v>
      </c>
      <c r="E63" s="136" t="s">
        <v>37</v>
      </c>
      <c r="F63" s="138">
        <f>(D63*DATI!$C$13-C63*DATI!$C$10)/(D63-C63)</f>
        <v>-233.36065573770398</v>
      </c>
      <c r="G63" s="139">
        <v>0</v>
      </c>
      <c r="H63" s="139">
        <v>0</v>
      </c>
      <c r="I63" s="139">
        <v>0</v>
      </c>
      <c r="J63" s="139">
        <v>0</v>
      </c>
      <c r="K63" s="138">
        <f>IF(D63&gt;=(DATI!$D$26*10^-3),DATI!$D$30*DATI!$I$29,IF(D63&gt;=(-DATI!$D$26*10^-3),DATI!$D$32*D63*DATI!$I$29,-DATI!$D$30*DATI!$I$29))</f>
        <v>352404.7411418116</v>
      </c>
      <c r="L63" s="138">
        <v>0</v>
      </c>
      <c r="M63" s="138">
        <f>IF(C63&gt;=(DATI!$D$26*10^-3),DATI!$D$30*DATI!$I$28,IF(C63&gt;=(-DATI!$D$26*10^-3),DATI!$I$28*DATI!$D$32*C63,-DATI!$D$30*DATI!$I$28))</f>
        <v>352404.7411418116</v>
      </c>
      <c r="N63" s="138">
        <f t="shared" si="3"/>
        <v>704809.48228362319</v>
      </c>
      <c r="O63" s="138">
        <f>-K63*(DATI!$C$13/2)+M63*(DATI!$C$13/2)</f>
        <v>0</v>
      </c>
      <c r="P63" s="140">
        <f>-N63/(DATI!$C$6*DATI!$C$13*DATI!$I$11*DATI!$I$16)</f>
        <v>-0.36226084366340999</v>
      </c>
      <c r="Q63" s="140">
        <f>O63/(DATI!$C$6*DATI!$C$13^2*DATI!$I$11)</f>
        <v>0</v>
      </c>
      <c r="R63" s="141">
        <f t="shared" si="0"/>
        <v>0</v>
      </c>
      <c r="S63" s="136" t="str">
        <f>IF(R63&gt;=0, IF(R63&lt;=DATI!$C$8/6, "SI", "NO"),IF(R63&gt; -DATI!$C$8/6, "SI", "NO"))</f>
        <v>SI</v>
      </c>
      <c r="T63" s="138">
        <f t="shared" si="1"/>
        <v>704.8094822836232</v>
      </c>
      <c r="U63" s="136" t="str">
        <f t="shared" si="2"/>
        <v/>
      </c>
    </row>
    <row r="64" spans="1:21" ht="18.75" x14ac:dyDescent="0.25">
      <c r="A64" s="122"/>
      <c r="B64" s="136" t="s">
        <v>37</v>
      </c>
      <c r="C64" s="137">
        <f>DATI!$D$24*10^-3</f>
        <v>0.01</v>
      </c>
      <c r="D64" s="137">
        <f>D63-(C64-(DATI!$C$10/DATI!$C$13*C64))/100</f>
        <v>4.3945205479451969E-3</v>
      </c>
      <c r="E64" s="136" t="s">
        <v>37</v>
      </c>
      <c r="F64" s="138">
        <f>(D64*DATI!$C$13-C64*DATI!$C$10)/(D64-C64)</f>
        <v>-223.70967741935388</v>
      </c>
      <c r="G64" s="139">
        <v>0</v>
      </c>
      <c r="H64" s="139">
        <v>0</v>
      </c>
      <c r="I64" s="139">
        <v>0</v>
      </c>
      <c r="J64" s="139">
        <v>0</v>
      </c>
      <c r="K64" s="138">
        <f>IF(D64&gt;=(DATI!$D$26*10^-3),DATI!$D$30*DATI!$I$29,IF(D64&gt;=(-DATI!$D$26*10^-3),DATI!$D$32*D64*DATI!$I$29,-DATI!$D$30*DATI!$I$29))</f>
        <v>352404.7411418116</v>
      </c>
      <c r="L64" s="138">
        <v>0</v>
      </c>
      <c r="M64" s="138">
        <f>IF(C64&gt;=(DATI!$D$26*10^-3),DATI!$D$30*DATI!$I$28,IF(C64&gt;=(-DATI!$D$26*10^-3),DATI!$I$28*DATI!$D$32*C64,-DATI!$D$30*DATI!$I$28))</f>
        <v>352404.7411418116</v>
      </c>
      <c r="N64" s="138">
        <f t="shared" si="3"/>
        <v>704809.48228362319</v>
      </c>
      <c r="O64" s="138">
        <f>-K64*(DATI!$C$13/2)+M64*(DATI!$C$13/2)</f>
        <v>0</v>
      </c>
      <c r="P64" s="140">
        <f>-N64/(DATI!$C$6*DATI!$C$13*DATI!$I$11*DATI!$I$16)</f>
        <v>-0.36226084366340999</v>
      </c>
      <c r="Q64" s="140">
        <f>O64/(DATI!$C$6*DATI!$C$13^2*DATI!$I$11)</f>
        <v>0</v>
      </c>
      <c r="R64" s="141">
        <f t="shared" si="0"/>
        <v>0</v>
      </c>
      <c r="S64" s="136" t="str">
        <f>IF(R64&gt;=0, IF(R64&lt;=DATI!$C$8/6, "SI", "NO"),IF(R64&gt; -DATI!$C$8/6, "SI", "NO"))</f>
        <v>SI</v>
      </c>
      <c r="T64" s="138">
        <f t="shared" si="1"/>
        <v>704.8094822836232</v>
      </c>
      <c r="U64" s="136" t="str">
        <f t="shared" si="2"/>
        <v/>
      </c>
    </row>
    <row r="65" spans="1:21" ht="18.75" x14ac:dyDescent="0.25">
      <c r="A65" s="122"/>
      <c r="B65" s="136" t="s">
        <v>37</v>
      </c>
      <c r="C65" s="137">
        <f>DATI!$D$24*10^-3</f>
        <v>0.01</v>
      </c>
      <c r="D65" s="137">
        <f>D64-(C65-(DATI!$C$10/DATI!$C$13*C65))/100</f>
        <v>4.3041095890410871E-3</v>
      </c>
      <c r="E65" s="136" t="s">
        <v>37</v>
      </c>
      <c r="F65" s="138">
        <f>(D65*DATI!$C$13-C65*DATI!$C$10)/(D65-C65)</f>
        <v>-214.36507936507846</v>
      </c>
      <c r="G65" s="139">
        <v>0</v>
      </c>
      <c r="H65" s="139">
        <v>0</v>
      </c>
      <c r="I65" s="139">
        <v>0</v>
      </c>
      <c r="J65" s="139">
        <v>0</v>
      </c>
      <c r="K65" s="138">
        <f>IF(D65&gt;=(DATI!$D$26*10^-3),DATI!$D$30*DATI!$I$29,IF(D65&gt;=(-DATI!$D$26*10^-3),DATI!$D$32*D65*DATI!$I$29,-DATI!$D$30*DATI!$I$29))</f>
        <v>352404.7411418116</v>
      </c>
      <c r="L65" s="138">
        <v>0</v>
      </c>
      <c r="M65" s="138">
        <f>IF(C65&gt;=(DATI!$D$26*10^-3),DATI!$D$30*DATI!$I$28,IF(C65&gt;=(-DATI!$D$26*10^-3),DATI!$I$28*DATI!$D$32*C65,-DATI!$D$30*DATI!$I$28))</f>
        <v>352404.7411418116</v>
      </c>
      <c r="N65" s="138">
        <f t="shared" si="3"/>
        <v>704809.48228362319</v>
      </c>
      <c r="O65" s="138">
        <f>-K65*(DATI!$C$13/2)+M65*(DATI!$C$13/2)</f>
        <v>0</v>
      </c>
      <c r="P65" s="140">
        <f>-N65/(DATI!$C$6*DATI!$C$13*DATI!$I$11*DATI!$I$16)</f>
        <v>-0.36226084366340999</v>
      </c>
      <c r="Q65" s="140">
        <f>O65/(DATI!$C$6*DATI!$C$13^2*DATI!$I$11)</f>
        <v>0</v>
      </c>
      <c r="R65" s="141">
        <f t="shared" si="0"/>
        <v>0</v>
      </c>
      <c r="S65" s="136" t="str">
        <f>IF(R65&gt;=0, IF(R65&lt;=DATI!$C$8/6, "SI", "NO"),IF(R65&gt; -DATI!$C$8/6, "SI", "NO"))</f>
        <v>SI</v>
      </c>
      <c r="T65" s="138">
        <f t="shared" si="1"/>
        <v>704.8094822836232</v>
      </c>
      <c r="U65" s="136" t="str">
        <f t="shared" si="2"/>
        <v/>
      </c>
    </row>
    <row r="66" spans="1:21" ht="18.75" x14ac:dyDescent="0.25">
      <c r="A66" s="122"/>
      <c r="B66" s="136" t="s">
        <v>37</v>
      </c>
      <c r="C66" s="137">
        <f>DATI!$D$24*10^-3</f>
        <v>0.01</v>
      </c>
      <c r="D66" s="137">
        <f>D65-(C66-(DATI!$C$10/DATI!$C$13*C66))/100</f>
        <v>4.2136986301369774E-3</v>
      </c>
      <c r="E66" s="136" t="s">
        <v>37</v>
      </c>
      <c r="F66" s="138">
        <f>(D66*DATI!$C$13-C66*DATI!$C$10)/(D66-C66)</f>
        <v>-205.31249999999909</v>
      </c>
      <c r="G66" s="139">
        <v>0</v>
      </c>
      <c r="H66" s="139">
        <v>0</v>
      </c>
      <c r="I66" s="139">
        <v>0</v>
      </c>
      <c r="J66" s="139">
        <v>0</v>
      </c>
      <c r="K66" s="138">
        <f>IF(D66&gt;=(DATI!$D$26*10^-3),DATI!$D$30*DATI!$I$29,IF(D66&gt;=(-DATI!$D$26*10^-3),DATI!$D$32*D66*DATI!$I$29,-DATI!$D$30*DATI!$I$29))</f>
        <v>352404.7411418116</v>
      </c>
      <c r="L66" s="138">
        <v>0</v>
      </c>
      <c r="M66" s="138">
        <f>IF(C66&gt;=(DATI!$D$26*10^-3),DATI!$D$30*DATI!$I$28,IF(C66&gt;=(-DATI!$D$26*10^-3),DATI!$I$28*DATI!$D$32*C66,-DATI!$D$30*DATI!$I$28))</f>
        <v>352404.7411418116</v>
      </c>
      <c r="N66" s="138">
        <f t="shared" ref="N66:N129" si="4">K66+L66+M66</f>
        <v>704809.48228362319</v>
      </c>
      <c r="O66" s="138">
        <f>-K66*(DATI!$C$13/2)+M66*(DATI!$C$13/2)</f>
        <v>0</v>
      </c>
      <c r="P66" s="140">
        <f>-N66/(DATI!$C$6*DATI!$C$13*DATI!$I$11*DATI!$I$16)</f>
        <v>-0.36226084366340999</v>
      </c>
      <c r="Q66" s="140">
        <f>O66/(DATI!$C$6*DATI!$C$13^2*DATI!$I$11)</f>
        <v>0</v>
      </c>
      <c r="R66" s="141">
        <f t="shared" ref="R66:R129" si="5">O66/N66</f>
        <v>0</v>
      </c>
      <c r="S66" s="136" t="str">
        <f>IF(R66&gt;=0, IF(R66&lt;=DATI!$C$8/6, "SI", "NO"),IF(R66&gt; -DATI!$C$8/6, "SI", "NO"))</f>
        <v>SI</v>
      </c>
      <c r="T66" s="138">
        <f t="shared" ref="T66:T129" si="6">(K66+M66)/10^3</f>
        <v>704.8094822836232</v>
      </c>
      <c r="U66" s="136" t="str">
        <f t="shared" ref="U66:U129" si="7">IF(T66&lt;1,IF(T66&gt;-1,"ROTTURA BILANCIATA",""),"")</f>
        <v/>
      </c>
    </row>
    <row r="67" spans="1:21" ht="18.75" x14ac:dyDescent="0.25">
      <c r="A67" s="122"/>
      <c r="B67" s="136" t="s">
        <v>37</v>
      </c>
      <c r="C67" s="137">
        <f>DATI!$D$24*10^-3</f>
        <v>0.01</v>
      </c>
      <c r="D67" s="137">
        <f>D66-(C67-(DATI!$C$10/DATI!$C$13*C67))/100</f>
        <v>4.1232876712328677E-3</v>
      </c>
      <c r="E67" s="136" t="s">
        <v>37</v>
      </c>
      <c r="F67" s="138">
        <f>(D67*DATI!$C$13-C67*DATI!$C$10)/(D67-C67)</f>
        <v>-196.53846153846067</v>
      </c>
      <c r="G67" s="139">
        <v>0</v>
      </c>
      <c r="H67" s="139">
        <v>0</v>
      </c>
      <c r="I67" s="139">
        <v>0</v>
      </c>
      <c r="J67" s="139">
        <v>0</v>
      </c>
      <c r="K67" s="138">
        <f>IF(D67&gt;=(DATI!$D$26*10^-3),DATI!$D$30*DATI!$I$29,IF(D67&gt;=(-DATI!$D$26*10^-3),DATI!$D$32*D67*DATI!$I$29,-DATI!$D$30*DATI!$I$29))</f>
        <v>352404.7411418116</v>
      </c>
      <c r="L67" s="138">
        <v>0</v>
      </c>
      <c r="M67" s="138">
        <f>IF(C67&gt;=(DATI!$D$26*10^-3),DATI!$D$30*DATI!$I$28,IF(C67&gt;=(-DATI!$D$26*10^-3),DATI!$I$28*DATI!$D$32*C67,-DATI!$D$30*DATI!$I$28))</f>
        <v>352404.7411418116</v>
      </c>
      <c r="N67" s="138">
        <f t="shared" si="4"/>
        <v>704809.48228362319</v>
      </c>
      <c r="O67" s="138">
        <f>-K67*(DATI!$C$13/2)+M67*(DATI!$C$13/2)</f>
        <v>0</v>
      </c>
      <c r="P67" s="140">
        <f>-N67/(DATI!$C$6*DATI!$C$13*DATI!$I$11*DATI!$I$16)</f>
        <v>-0.36226084366340999</v>
      </c>
      <c r="Q67" s="140">
        <f>O67/(DATI!$C$6*DATI!$C$13^2*DATI!$I$11)</f>
        <v>0</v>
      </c>
      <c r="R67" s="141">
        <f t="shared" si="5"/>
        <v>0</v>
      </c>
      <c r="S67" s="136" t="str">
        <f>IF(R67&gt;=0, IF(R67&lt;=DATI!$C$8/6, "SI", "NO"),IF(R67&gt; -DATI!$C$8/6, "SI", "NO"))</f>
        <v>SI</v>
      </c>
      <c r="T67" s="138">
        <f t="shared" si="6"/>
        <v>704.8094822836232</v>
      </c>
      <c r="U67" s="136" t="str">
        <f t="shared" si="7"/>
        <v/>
      </c>
    </row>
    <row r="68" spans="1:21" ht="18.75" x14ac:dyDescent="0.25">
      <c r="A68" s="122"/>
      <c r="B68" s="136" t="s">
        <v>37</v>
      </c>
      <c r="C68" s="137">
        <f>DATI!$D$24*10^-3</f>
        <v>0.01</v>
      </c>
      <c r="D68" s="137">
        <f>D67-(C68-(DATI!$C$10/DATI!$C$13*C68))/100</f>
        <v>4.032876712328758E-3</v>
      </c>
      <c r="E68" s="136" t="s">
        <v>37</v>
      </c>
      <c r="F68" s="138">
        <f>(D68*DATI!$C$13-C68*DATI!$C$10)/(D68-C68)</f>
        <v>-188.03030303030215</v>
      </c>
      <c r="G68" s="139">
        <v>0</v>
      </c>
      <c r="H68" s="139">
        <v>0</v>
      </c>
      <c r="I68" s="139">
        <v>0</v>
      </c>
      <c r="J68" s="139">
        <v>0</v>
      </c>
      <c r="K68" s="138">
        <f>IF(D68&gt;=(DATI!$D$26*10^-3),DATI!$D$30*DATI!$I$29,IF(D68&gt;=(-DATI!$D$26*10^-3),DATI!$D$32*D68*DATI!$I$29,-DATI!$D$30*DATI!$I$29))</f>
        <v>352404.7411418116</v>
      </c>
      <c r="L68" s="138">
        <v>0</v>
      </c>
      <c r="M68" s="138">
        <f>IF(C68&gt;=(DATI!$D$26*10^-3),DATI!$D$30*DATI!$I$28,IF(C68&gt;=(-DATI!$D$26*10^-3),DATI!$I$28*DATI!$D$32*C68,-DATI!$D$30*DATI!$I$28))</f>
        <v>352404.7411418116</v>
      </c>
      <c r="N68" s="138">
        <f t="shared" si="4"/>
        <v>704809.48228362319</v>
      </c>
      <c r="O68" s="138">
        <f>-K68*(DATI!$C$13/2)+M68*(DATI!$C$13/2)</f>
        <v>0</v>
      </c>
      <c r="P68" s="140">
        <f>-N68/(DATI!$C$6*DATI!$C$13*DATI!$I$11*DATI!$I$16)</f>
        <v>-0.36226084366340999</v>
      </c>
      <c r="Q68" s="140">
        <f>O68/(DATI!$C$6*DATI!$C$13^2*DATI!$I$11)</f>
        <v>0</v>
      </c>
      <c r="R68" s="141">
        <f t="shared" si="5"/>
        <v>0</v>
      </c>
      <c r="S68" s="136" t="str">
        <f>IF(R68&gt;=0, IF(R68&lt;=DATI!$C$8/6, "SI", "NO"),IF(R68&gt; -DATI!$C$8/6, "SI", "NO"))</f>
        <v>SI</v>
      </c>
      <c r="T68" s="138">
        <f t="shared" si="6"/>
        <v>704.8094822836232</v>
      </c>
      <c r="U68" s="136" t="str">
        <f t="shared" si="7"/>
        <v/>
      </c>
    </row>
    <row r="69" spans="1:21" ht="18.75" x14ac:dyDescent="0.25">
      <c r="A69" s="122"/>
      <c r="B69" s="136" t="s">
        <v>37</v>
      </c>
      <c r="C69" s="137">
        <f>DATI!$D$24*10^-3</f>
        <v>0.01</v>
      </c>
      <c r="D69" s="137">
        <f>D68-(C69-(DATI!$C$10/DATI!$C$13*C69))/100</f>
        <v>3.9424657534246482E-3</v>
      </c>
      <c r="E69" s="136" t="s">
        <v>37</v>
      </c>
      <c r="F69" s="138">
        <f>(D69*DATI!$C$13-C69*DATI!$C$10)/(D69-C69)</f>
        <v>-179.77611940298419</v>
      </c>
      <c r="G69" s="139">
        <v>0</v>
      </c>
      <c r="H69" s="139">
        <v>0</v>
      </c>
      <c r="I69" s="139">
        <v>0</v>
      </c>
      <c r="J69" s="139">
        <v>0</v>
      </c>
      <c r="K69" s="138">
        <f>IF(D69&gt;=(DATI!$D$26*10^-3),DATI!$D$30*DATI!$I$29,IF(D69&gt;=(-DATI!$D$26*10^-3),DATI!$D$32*D69*DATI!$I$29,-DATI!$D$30*DATI!$I$29))</f>
        <v>352404.7411418116</v>
      </c>
      <c r="L69" s="138">
        <v>0</v>
      </c>
      <c r="M69" s="138">
        <f>IF(C69&gt;=(DATI!$D$26*10^-3),DATI!$D$30*DATI!$I$28,IF(C69&gt;=(-DATI!$D$26*10^-3),DATI!$I$28*DATI!$D$32*C69,-DATI!$D$30*DATI!$I$28))</f>
        <v>352404.7411418116</v>
      </c>
      <c r="N69" s="138">
        <f t="shared" si="4"/>
        <v>704809.48228362319</v>
      </c>
      <c r="O69" s="138">
        <f>-K69*(DATI!$C$13/2)+M69*(DATI!$C$13/2)</f>
        <v>0</v>
      </c>
      <c r="P69" s="140">
        <f>-N69/(DATI!$C$6*DATI!$C$13*DATI!$I$11*DATI!$I$16)</f>
        <v>-0.36226084366340999</v>
      </c>
      <c r="Q69" s="140">
        <f>O69/(DATI!$C$6*DATI!$C$13^2*DATI!$I$11)</f>
        <v>0</v>
      </c>
      <c r="R69" s="141">
        <f t="shared" si="5"/>
        <v>0</v>
      </c>
      <c r="S69" s="136" t="str">
        <f>IF(R69&gt;=0, IF(R69&lt;=DATI!$C$8/6, "SI", "NO"),IF(R69&gt; -DATI!$C$8/6, "SI", "NO"))</f>
        <v>SI</v>
      </c>
      <c r="T69" s="138">
        <f t="shared" si="6"/>
        <v>704.8094822836232</v>
      </c>
      <c r="U69" s="136" t="str">
        <f t="shared" si="7"/>
        <v/>
      </c>
    </row>
    <row r="70" spans="1:21" ht="18.75" x14ac:dyDescent="0.25">
      <c r="A70" s="122"/>
      <c r="B70" s="136" t="s">
        <v>37</v>
      </c>
      <c r="C70" s="137">
        <f>DATI!$D$24*10^-3</f>
        <v>0.01</v>
      </c>
      <c r="D70" s="137">
        <f>D69-(C70-(DATI!$C$10/DATI!$C$13*C70))/100</f>
        <v>3.8520547945205385E-3</v>
      </c>
      <c r="E70" s="136" t="s">
        <v>37</v>
      </c>
      <c r="F70" s="138">
        <f>(D70*DATI!$C$13-C70*DATI!$C$10)/(D70-C70)</f>
        <v>-171.7647058823521</v>
      </c>
      <c r="G70" s="139">
        <v>0</v>
      </c>
      <c r="H70" s="139">
        <v>0</v>
      </c>
      <c r="I70" s="139">
        <v>0</v>
      </c>
      <c r="J70" s="139">
        <v>0</v>
      </c>
      <c r="K70" s="138">
        <f>IF(D70&gt;=(DATI!$D$26*10^-3),DATI!$D$30*DATI!$I$29,IF(D70&gt;=(-DATI!$D$26*10^-3),DATI!$D$32*D70*DATI!$I$29,-DATI!$D$30*DATI!$I$29))</f>
        <v>352404.7411418116</v>
      </c>
      <c r="L70" s="138">
        <v>0</v>
      </c>
      <c r="M70" s="138">
        <f>IF(C70&gt;=(DATI!$D$26*10^-3),DATI!$D$30*DATI!$I$28,IF(C70&gt;=(-DATI!$D$26*10^-3),DATI!$I$28*DATI!$D$32*C70,-DATI!$D$30*DATI!$I$28))</f>
        <v>352404.7411418116</v>
      </c>
      <c r="N70" s="138">
        <f t="shared" si="4"/>
        <v>704809.48228362319</v>
      </c>
      <c r="O70" s="138">
        <f>-K70*(DATI!$C$13/2)+M70*(DATI!$C$13/2)</f>
        <v>0</v>
      </c>
      <c r="P70" s="140">
        <f>-N70/(DATI!$C$6*DATI!$C$13*DATI!$I$11*DATI!$I$16)</f>
        <v>-0.36226084366340999</v>
      </c>
      <c r="Q70" s="140">
        <f>O70/(DATI!$C$6*DATI!$C$13^2*DATI!$I$11)</f>
        <v>0</v>
      </c>
      <c r="R70" s="141">
        <f t="shared" si="5"/>
        <v>0</v>
      </c>
      <c r="S70" s="136" t="str">
        <f>IF(R70&gt;=0, IF(R70&lt;=DATI!$C$8/6, "SI", "NO"),IF(R70&gt; -DATI!$C$8/6, "SI", "NO"))</f>
        <v>SI</v>
      </c>
      <c r="T70" s="138">
        <f t="shared" si="6"/>
        <v>704.8094822836232</v>
      </c>
      <c r="U70" s="136" t="str">
        <f t="shared" si="7"/>
        <v/>
      </c>
    </row>
    <row r="71" spans="1:21" ht="18.75" x14ac:dyDescent="0.25">
      <c r="A71" s="122"/>
      <c r="B71" s="136" t="s">
        <v>37</v>
      </c>
      <c r="C71" s="137">
        <f>DATI!$D$24*10^-3</f>
        <v>0.01</v>
      </c>
      <c r="D71" s="137">
        <f>D70-(C71-(DATI!$C$10/DATI!$C$13*C71))/100</f>
        <v>3.7616438356164288E-3</v>
      </c>
      <c r="E71" s="136" t="s">
        <v>37</v>
      </c>
      <c r="F71" s="138">
        <f>(D71*DATI!$C$13-C71*DATI!$C$10)/(D71-C71)</f>
        <v>-163.98550724637596</v>
      </c>
      <c r="G71" s="139">
        <v>0</v>
      </c>
      <c r="H71" s="139">
        <v>0</v>
      </c>
      <c r="I71" s="139">
        <v>0</v>
      </c>
      <c r="J71" s="139">
        <v>0</v>
      </c>
      <c r="K71" s="138">
        <f>IF(D71&gt;=(DATI!$D$26*10^-3),DATI!$D$30*DATI!$I$29,IF(D71&gt;=(-DATI!$D$26*10^-3),DATI!$D$32*D71*DATI!$I$29,-DATI!$D$30*DATI!$I$29))</f>
        <v>352404.7411418116</v>
      </c>
      <c r="L71" s="138">
        <v>0</v>
      </c>
      <c r="M71" s="138">
        <f>IF(C71&gt;=(DATI!$D$26*10^-3),DATI!$D$30*DATI!$I$28,IF(C71&gt;=(-DATI!$D$26*10^-3),DATI!$I$28*DATI!$D$32*C71,-DATI!$D$30*DATI!$I$28))</f>
        <v>352404.7411418116</v>
      </c>
      <c r="N71" s="138">
        <f t="shared" si="4"/>
        <v>704809.48228362319</v>
      </c>
      <c r="O71" s="138">
        <f>-K71*(DATI!$C$13/2)+M71*(DATI!$C$13/2)</f>
        <v>0</v>
      </c>
      <c r="P71" s="140">
        <f>-N71/(DATI!$C$6*DATI!$C$13*DATI!$I$11*DATI!$I$16)</f>
        <v>-0.36226084366340999</v>
      </c>
      <c r="Q71" s="140">
        <f>O71/(DATI!$C$6*DATI!$C$13^2*DATI!$I$11)</f>
        <v>0</v>
      </c>
      <c r="R71" s="141">
        <f t="shared" si="5"/>
        <v>0</v>
      </c>
      <c r="S71" s="136" t="str">
        <f>IF(R71&gt;=0, IF(R71&lt;=DATI!$C$8/6, "SI", "NO"),IF(R71&gt; -DATI!$C$8/6, "SI", "NO"))</f>
        <v>SI</v>
      </c>
      <c r="T71" s="138">
        <f t="shared" si="6"/>
        <v>704.8094822836232</v>
      </c>
      <c r="U71" s="136" t="str">
        <f t="shared" si="7"/>
        <v/>
      </c>
    </row>
    <row r="72" spans="1:21" ht="18.75" x14ac:dyDescent="0.25">
      <c r="A72" s="122"/>
      <c r="B72" s="136" t="s">
        <v>37</v>
      </c>
      <c r="C72" s="137">
        <f>DATI!$D$24*10^-3</f>
        <v>0.01</v>
      </c>
      <c r="D72" s="137">
        <f>D71-(C72-(DATI!$C$10/DATI!$C$13*C72))/100</f>
        <v>3.671232876712319E-3</v>
      </c>
      <c r="E72" s="136" t="s">
        <v>37</v>
      </c>
      <c r="F72" s="138">
        <f>(D72*DATI!$C$13-C72*DATI!$C$10)/(D72-C72)</f>
        <v>-156.42857142857062</v>
      </c>
      <c r="G72" s="139">
        <v>0</v>
      </c>
      <c r="H72" s="139">
        <v>0</v>
      </c>
      <c r="I72" s="139">
        <v>0</v>
      </c>
      <c r="J72" s="139">
        <v>0</v>
      </c>
      <c r="K72" s="138">
        <f>IF(D72&gt;=(DATI!$D$26*10^-3),DATI!$D$30*DATI!$I$29,IF(D72&gt;=(-DATI!$D$26*10^-3),DATI!$D$32*D72*DATI!$I$29,-DATI!$D$30*DATI!$I$29))</f>
        <v>352404.7411418116</v>
      </c>
      <c r="L72" s="138">
        <v>0</v>
      </c>
      <c r="M72" s="138">
        <f>IF(C72&gt;=(DATI!$D$26*10^-3),DATI!$D$30*DATI!$I$28,IF(C72&gt;=(-DATI!$D$26*10^-3),DATI!$I$28*DATI!$D$32*C72,-DATI!$D$30*DATI!$I$28))</f>
        <v>352404.7411418116</v>
      </c>
      <c r="N72" s="138">
        <f t="shared" si="4"/>
        <v>704809.48228362319</v>
      </c>
      <c r="O72" s="138">
        <f>-K72*(DATI!$C$13/2)+M72*(DATI!$C$13/2)</f>
        <v>0</v>
      </c>
      <c r="P72" s="140">
        <f>-N72/(DATI!$C$6*DATI!$C$13*DATI!$I$11*DATI!$I$16)</f>
        <v>-0.36226084366340999</v>
      </c>
      <c r="Q72" s="140">
        <f>O72/(DATI!$C$6*DATI!$C$13^2*DATI!$I$11)</f>
        <v>0</v>
      </c>
      <c r="R72" s="141">
        <f t="shared" si="5"/>
        <v>0</v>
      </c>
      <c r="S72" s="136" t="str">
        <f>IF(R72&gt;=0, IF(R72&lt;=DATI!$C$8/6, "SI", "NO"),IF(R72&gt; -DATI!$C$8/6, "SI", "NO"))</f>
        <v>SI</v>
      </c>
      <c r="T72" s="138">
        <f t="shared" si="6"/>
        <v>704.8094822836232</v>
      </c>
      <c r="U72" s="136" t="str">
        <f t="shared" si="7"/>
        <v/>
      </c>
    </row>
    <row r="73" spans="1:21" ht="18.75" x14ac:dyDescent="0.25">
      <c r="A73" s="122"/>
      <c r="B73" s="136" t="s">
        <v>37</v>
      </c>
      <c r="C73" s="137">
        <f>DATI!$D$24*10^-3</f>
        <v>0.01</v>
      </c>
      <c r="D73" s="137">
        <f>D72-(C73-(DATI!$C$10/DATI!$C$13*C73))/100</f>
        <v>3.5808219178082093E-3</v>
      </c>
      <c r="E73" s="136" t="s">
        <v>37</v>
      </c>
      <c r="F73" s="138">
        <f>(D73*DATI!$C$13-C73*DATI!$C$10)/(D73-C73)</f>
        <v>-149.08450704225271</v>
      </c>
      <c r="G73" s="139">
        <v>0</v>
      </c>
      <c r="H73" s="139">
        <v>0</v>
      </c>
      <c r="I73" s="139">
        <v>0</v>
      </c>
      <c r="J73" s="139">
        <v>0</v>
      </c>
      <c r="K73" s="138">
        <f>IF(D73&gt;=(DATI!$D$26*10^-3),DATI!$D$30*DATI!$I$29,IF(D73&gt;=(-DATI!$D$26*10^-3),DATI!$D$32*D73*DATI!$I$29,-DATI!$D$30*DATI!$I$29))</f>
        <v>352404.7411418116</v>
      </c>
      <c r="L73" s="138">
        <v>0</v>
      </c>
      <c r="M73" s="138">
        <f>IF(C73&gt;=(DATI!$D$26*10^-3),DATI!$D$30*DATI!$I$28,IF(C73&gt;=(-DATI!$D$26*10^-3),DATI!$I$28*DATI!$D$32*C73,-DATI!$D$30*DATI!$I$28))</f>
        <v>352404.7411418116</v>
      </c>
      <c r="N73" s="138">
        <f t="shared" si="4"/>
        <v>704809.48228362319</v>
      </c>
      <c r="O73" s="138">
        <f>-K73*(DATI!$C$13/2)+M73*(DATI!$C$13/2)</f>
        <v>0</v>
      </c>
      <c r="P73" s="140">
        <f>-N73/(DATI!$C$6*DATI!$C$13*DATI!$I$11*DATI!$I$16)</f>
        <v>-0.36226084366340999</v>
      </c>
      <c r="Q73" s="140">
        <f>O73/(DATI!$C$6*DATI!$C$13^2*DATI!$I$11)</f>
        <v>0</v>
      </c>
      <c r="R73" s="141">
        <f t="shared" si="5"/>
        <v>0</v>
      </c>
      <c r="S73" s="136" t="str">
        <f>IF(R73&gt;=0, IF(R73&lt;=DATI!$C$8/6, "SI", "NO"),IF(R73&gt; -DATI!$C$8/6, "SI", "NO"))</f>
        <v>SI</v>
      </c>
      <c r="T73" s="138">
        <f t="shared" si="6"/>
        <v>704.8094822836232</v>
      </c>
      <c r="U73" s="136" t="str">
        <f t="shared" si="7"/>
        <v/>
      </c>
    </row>
    <row r="74" spans="1:21" ht="18.75" x14ac:dyDescent="0.25">
      <c r="A74" s="122"/>
      <c r="B74" s="136" t="s">
        <v>37</v>
      </c>
      <c r="C74" s="137">
        <f>DATI!$D$24*10^-3</f>
        <v>0.01</v>
      </c>
      <c r="D74" s="137">
        <f>D73-(C74-(DATI!$C$10/DATI!$C$13*C74))/100</f>
        <v>3.4904109589040996E-3</v>
      </c>
      <c r="E74" s="136" t="s">
        <v>37</v>
      </c>
      <c r="F74" s="138">
        <f>(D74*DATI!$C$13-C74*DATI!$C$10)/(D74-C74)</f>
        <v>-141.94444444444363</v>
      </c>
      <c r="G74" s="139">
        <v>0</v>
      </c>
      <c r="H74" s="139">
        <v>0</v>
      </c>
      <c r="I74" s="139">
        <v>0</v>
      </c>
      <c r="J74" s="139">
        <v>0</v>
      </c>
      <c r="K74" s="138">
        <f>IF(D74&gt;=(DATI!$D$26*10^-3),DATI!$D$30*DATI!$I$29,IF(D74&gt;=(-DATI!$D$26*10^-3),DATI!$D$32*D74*DATI!$I$29,-DATI!$D$30*DATI!$I$29))</f>
        <v>352404.7411418116</v>
      </c>
      <c r="L74" s="138">
        <v>0</v>
      </c>
      <c r="M74" s="138">
        <f>IF(C74&gt;=(DATI!$D$26*10^-3),DATI!$D$30*DATI!$I$28,IF(C74&gt;=(-DATI!$D$26*10^-3),DATI!$I$28*DATI!$D$32*C74,-DATI!$D$30*DATI!$I$28))</f>
        <v>352404.7411418116</v>
      </c>
      <c r="N74" s="138">
        <f t="shared" si="4"/>
        <v>704809.48228362319</v>
      </c>
      <c r="O74" s="138">
        <f>-K74*(DATI!$C$13/2)+M74*(DATI!$C$13/2)</f>
        <v>0</v>
      </c>
      <c r="P74" s="140">
        <f>-N74/(DATI!$C$6*DATI!$C$13*DATI!$I$11*DATI!$I$16)</f>
        <v>-0.36226084366340999</v>
      </c>
      <c r="Q74" s="140">
        <f>O74/(DATI!$C$6*DATI!$C$13^2*DATI!$I$11)</f>
        <v>0</v>
      </c>
      <c r="R74" s="141">
        <f t="shared" si="5"/>
        <v>0</v>
      </c>
      <c r="S74" s="136" t="str">
        <f>IF(R74&gt;=0, IF(R74&lt;=DATI!$C$8/6, "SI", "NO"),IF(R74&gt; -DATI!$C$8/6, "SI", "NO"))</f>
        <v>SI</v>
      </c>
      <c r="T74" s="138">
        <f t="shared" si="6"/>
        <v>704.8094822836232</v>
      </c>
      <c r="U74" s="136" t="str">
        <f t="shared" si="7"/>
        <v/>
      </c>
    </row>
    <row r="75" spans="1:21" ht="18.75" x14ac:dyDescent="0.25">
      <c r="A75" s="122"/>
      <c r="B75" s="136" t="s">
        <v>37</v>
      </c>
      <c r="C75" s="137">
        <f>DATI!$D$24*10^-3</f>
        <v>0.01</v>
      </c>
      <c r="D75" s="137">
        <f>D74-(C75-(DATI!$C$10/DATI!$C$13*C75))/100</f>
        <v>3.3999999999999898E-3</v>
      </c>
      <c r="E75" s="136" t="s">
        <v>37</v>
      </c>
      <c r="F75" s="138">
        <f>(D75*DATI!$C$13-C75*DATI!$C$10)/(D75-C75)</f>
        <v>-134.9999999999992</v>
      </c>
      <c r="G75" s="139">
        <v>0</v>
      </c>
      <c r="H75" s="139">
        <v>0</v>
      </c>
      <c r="I75" s="139">
        <v>0</v>
      </c>
      <c r="J75" s="139">
        <v>0</v>
      </c>
      <c r="K75" s="138">
        <f>IF(D75&gt;=(DATI!$D$26*10^-3),DATI!$D$30*DATI!$I$29,IF(D75&gt;=(-DATI!$D$26*10^-3),DATI!$D$32*D75*DATI!$I$29,-DATI!$D$30*DATI!$I$29))</f>
        <v>352404.7411418116</v>
      </c>
      <c r="L75" s="138">
        <v>0</v>
      </c>
      <c r="M75" s="138">
        <f>IF(C75&gt;=(DATI!$D$26*10^-3),DATI!$D$30*DATI!$I$28,IF(C75&gt;=(-DATI!$D$26*10^-3),DATI!$I$28*DATI!$D$32*C75,-DATI!$D$30*DATI!$I$28))</f>
        <v>352404.7411418116</v>
      </c>
      <c r="N75" s="138">
        <f t="shared" si="4"/>
        <v>704809.48228362319</v>
      </c>
      <c r="O75" s="138">
        <f>-K75*(DATI!$C$13/2)+M75*(DATI!$C$13/2)</f>
        <v>0</v>
      </c>
      <c r="P75" s="140">
        <f>-N75/(DATI!$C$6*DATI!$C$13*DATI!$I$11*DATI!$I$16)</f>
        <v>-0.36226084366340999</v>
      </c>
      <c r="Q75" s="140">
        <f>O75/(DATI!$C$6*DATI!$C$13^2*DATI!$I$11)</f>
        <v>0</v>
      </c>
      <c r="R75" s="141">
        <f t="shared" si="5"/>
        <v>0</v>
      </c>
      <c r="S75" s="136" t="str">
        <f>IF(R75&gt;=0, IF(R75&lt;=DATI!$C$8/6, "SI", "NO"),IF(R75&gt; -DATI!$C$8/6, "SI", "NO"))</f>
        <v>SI</v>
      </c>
      <c r="T75" s="138">
        <f t="shared" si="6"/>
        <v>704.8094822836232</v>
      </c>
      <c r="U75" s="136" t="str">
        <f t="shared" si="7"/>
        <v/>
      </c>
    </row>
    <row r="76" spans="1:21" ht="18.75" x14ac:dyDescent="0.25">
      <c r="A76" s="122"/>
      <c r="B76" s="136" t="s">
        <v>37</v>
      </c>
      <c r="C76" s="137">
        <f>DATI!$D$24*10^-3</f>
        <v>0.01</v>
      </c>
      <c r="D76" s="137">
        <f>D75-(C76-(DATI!$C$10/DATI!$C$13*C76))/100</f>
        <v>3.3095890410958801E-3</v>
      </c>
      <c r="E76" s="136" t="s">
        <v>37</v>
      </c>
      <c r="F76" s="138">
        <f>(D76*DATI!$C$13-C76*DATI!$C$10)/(D76-C76)</f>
        <v>-128.24324324324246</v>
      </c>
      <c r="G76" s="139">
        <v>0</v>
      </c>
      <c r="H76" s="139">
        <v>0</v>
      </c>
      <c r="I76" s="139">
        <v>0</v>
      </c>
      <c r="J76" s="139">
        <v>0</v>
      </c>
      <c r="K76" s="138">
        <f>IF(D76&gt;=(DATI!$D$26*10^-3),DATI!$D$30*DATI!$I$29,IF(D76&gt;=(-DATI!$D$26*10^-3),DATI!$D$32*D76*DATI!$I$29,-DATI!$D$30*DATI!$I$29))</f>
        <v>352404.7411418116</v>
      </c>
      <c r="L76" s="138">
        <v>0</v>
      </c>
      <c r="M76" s="138">
        <f>IF(C76&gt;=(DATI!$D$26*10^-3),DATI!$D$30*DATI!$I$28,IF(C76&gt;=(-DATI!$D$26*10^-3),DATI!$I$28*DATI!$D$32*C76,-DATI!$D$30*DATI!$I$28))</f>
        <v>352404.7411418116</v>
      </c>
      <c r="N76" s="138">
        <f t="shared" si="4"/>
        <v>704809.48228362319</v>
      </c>
      <c r="O76" s="138">
        <f>-K76*(DATI!$C$13/2)+M76*(DATI!$C$13/2)</f>
        <v>0</v>
      </c>
      <c r="P76" s="140">
        <f>-N76/(DATI!$C$6*DATI!$C$13*DATI!$I$11*DATI!$I$16)</f>
        <v>-0.36226084366340999</v>
      </c>
      <c r="Q76" s="140">
        <f>O76/(DATI!$C$6*DATI!$C$13^2*DATI!$I$11)</f>
        <v>0</v>
      </c>
      <c r="R76" s="141">
        <f t="shared" si="5"/>
        <v>0</v>
      </c>
      <c r="S76" s="136" t="str">
        <f>IF(R76&gt;=0, IF(R76&lt;=DATI!$C$8/6, "SI", "NO"),IF(R76&gt; -DATI!$C$8/6, "SI", "NO"))</f>
        <v>SI</v>
      </c>
      <c r="T76" s="138">
        <f t="shared" si="6"/>
        <v>704.8094822836232</v>
      </c>
      <c r="U76" s="136" t="str">
        <f t="shared" si="7"/>
        <v/>
      </c>
    </row>
    <row r="77" spans="1:21" ht="18.75" x14ac:dyDescent="0.25">
      <c r="A77" s="122"/>
      <c r="B77" s="136" t="s">
        <v>37</v>
      </c>
      <c r="C77" s="137">
        <f>DATI!$D$24*10^-3</f>
        <v>0.01</v>
      </c>
      <c r="D77" s="137">
        <f>D76-(C77-(DATI!$C$10/DATI!$C$13*C77))/100</f>
        <v>3.2191780821917704E-3</v>
      </c>
      <c r="E77" s="136" t="s">
        <v>37</v>
      </c>
      <c r="F77" s="138">
        <f>(D77*DATI!$C$13-C77*DATI!$C$10)/(D77-C77)</f>
        <v>-121.66666666666592</v>
      </c>
      <c r="G77" s="139">
        <v>0</v>
      </c>
      <c r="H77" s="139">
        <v>0</v>
      </c>
      <c r="I77" s="139">
        <v>0</v>
      </c>
      <c r="J77" s="139">
        <v>0</v>
      </c>
      <c r="K77" s="138">
        <f>IF(D77&gt;=(DATI!$D$26*10^-3),DATI!$D$30*DATI!$I$29,IF(D77&gt;=(-DATI!$D$26*10^-3),DATI!$D$32*D77*DATI!$I$29,-DATI!$D$30*DATI!$I$29))</f>
        <v>352404.7411418116</v>
      </c>
      <c r="L77" s="138">
        <v>0</v>
      </c>
      <c r="M77" s="138">
        <f>IF(C77&gt;=(DATI!$D$26*10^-3),DATI!$D$30*DATI!$I$28,IF(C77&gt;=(-DATI!$D$26*10^-3),DATI!$I$28*DATI!$D$32*C77,-DATI!$D$30*DATI!$I$28))</f>
        <v>352404.7411418116</v>
      </c>
      <c r="N77" s="138">
        <f t="shared" si="4"/>
        <v>704809.48228362319</v>
      </c>
      <c r="O77" s="138">
        <f>-K77*(DATI!$C$13/2)+M77*(DATI!$C$13/2)</f>
        <v>0</v>
      </c>
      <c r="P77" s="140">
        <f>-N77/(DATI!$C$6*DATI!$C$13*DATI!$I$11*DATI!$I$16)</f>
        <v>-0.36226084366340999</v>
      </c>
      <c r="Q77" s="140">
        <f>O77/(DATI!$C$6*DATI!$C$13^2*DATI!$I$11)</f>
        <v>0</v>
      </c>
      <c r="R77" s="141">
        <f t="shared" si="5"/>
        <v>0</v>
      </c>
      <c r="S77" s="136" t="str">
        <f>IF(R77&gt;=0, IF(R77&lt;=DATI!$C$8/6, "SI", "NO"),IF(R77&gt; -DATI!$C$8/6, "SI", "NO"))</f>
        <v>SI</v>
      </c>
      <c r="T77" s="138">
        <f t="shared" si="6"/>
        <v>704.8094822836232</v>
      </c>
      <c r="U77" s="136" t="str">
        <f t="shared" si="7"/>
        <v/>
      </c>
    </row>
    <row r="78" spans="1:21" ht="18.75" x14ac:dyDescent="0.25">
      <c r="A78" s="122"/>
      <c r="B78" s="136" t="s">
        <v>37</v>
      </c>
      <c r="C78" s="137">
        <f>DATI!$D$24*10^-3</f>
        <v>0.01</v>
      </c>
      <c r="D78" s="137">
        <f>D77-(C78-(DATI!$C$10/DATI!$C$13*C78))/100</f>
        <v>3.1287671232876606E-3</v>
      </c>
      <c r="E78" s="136" t="s">
        <v>37</v>
      </c>
      <c r="F78" s="138">
        <f>(D78*DATI!$C$13-C78*DATI!$C$10)/(D78-C78)</f>
        <v>-115.26315789473608</v>
      </c>
      <c r="G78" s="139">
        <v>0</v>
      </c>
      <c r="H78" s="139">
        <v>0</v>
      </c>
      <c r="I78" s="139">
        <v>0</v>
      </c>
      <c r="J78" s="139">
        <v>0</v>
      </c>
      <c r="K78" s="138">
        <f>IF(D78&gt;=(DATI!$D$26*10^-3),DATI!$D$30*DATI!$I$29,IF(D78&gt;=(-DATI!$D$26*10^-3),DATI!$D$32*D78*DATI!$I$29,-DATI!$D$30*DATI!$I$29))</f>
        <v>352404.7411418116</v>
      </c>
      <c r="L78" s="138">
        <v>0</v>
      </c>
      <c r="M78" s="138">
        <f>IF(C78&gt;=(DATI!$D$26*10^-3),DATI!$D$30*DATI!$I$28,IF(C78&gt;=(-DATI!$D$26*10^-3),DATI!$I$28*DATI!$D$32*C78,-DATI!$D$30*DATI!$I$28))</f>
        <v>352404.7411418116</v>
      </c>
      <c r="N78" s="138">
        <f t="shared" si="4"/>
        <v>704809.48228362319</v>
      </c>
      <c r="O78" s="138">
        <f>-K78*(DATI!$C$13/2)+M78*(DATI!$C$13/2)</f>
        <v>0</v>
      </c>
      <c r="P78" s="140">
        <f>-N78/(DATI!$C$6*DATI!$C$13*DATI!$I$11*DATI!$I$16)</f>
        <v>-0.36226084366340999</v>
      </c>
      <c r="Q78" s="140">
        <f>O78/(DATI!$C$6*DATI!$C$13^2*DATI!$I$11)</f>
        <v>0</v>
      </c>
      <c r="R78" s="141">
        <f t="shared" si="5"/>
        <v>0</v>
      </c>
      <c r="S78" s="136" t="str">
        <f>IF(R78&gt;=0, IF(R78&lt;=DATI!$C$8/6, "SI", "NO"),IF(R78&gt; -DATI!$C$8/6, "SI", "NO"))</f>
        <v>SI</v>
      </c>
      <c r="T78" s="138">
        <f t="shared" si="6"/>
        <v>704.8094822836232</v>
      </c>
      <c r="U78" s="136" t="str">
        <f t="shared" si="7"/>
        <v/>
      </c>
    </row>
    <row r="79" spans="1:21" ht="18.75" x14ac:dyDescent="0.25">
      <c r="A79" s="122"/>
      <c r="B79" s="136" t="s">
        <v>37</v>
      </c>
      <c r="C79" s="137">
        <f>DATI!$D$24*10^-3</f>
        <v>0.01</v>
      </c>
      <c r="D79" s="137">
        <f>D78-(C79-(DATI!$C$10/DATI!$C$13*C79))/100</f>
        <v>3.0383561643835509E-3</v>
      </c>
      <c r="E79" s="136" t="s">
        <v>37</v>
      </c>
      <c r="F79" s="138">
        <f>(D79*DATI!$C$13-C79*DATI!$C$10)/(D79-C79)</f>
        <v>-109.02597402597327</v>
      </c>
      <c r="G79" s="139">
        <v>0</v>
      </c>
      <c r="H79" s="139">
        <v>0</v>
      </c>
      <c r="I79" s="139">
        <v>0</v>
      </c>
      <c r="J79" s="139">
        <v>0</v>
      </c>
      <c r="K79" s="138">
        <f>IF(D79&gt;=(DATI!$D$26*10^-3),DATI!$D$30*DATI!$I$29,IF(D79&gt;=(-DATI!$D$26*10^-3),DATI!$D$32*D79*DATI!$I$29,-DATI!$D$30*DATI!$I$29))</f>
        <v>352404.7411418116</v>
      </c>
      <c r="L79" s="138">
        <v>0</v>
      </c>
      <c r="M79" s="138">
        <f>IF(C79&gt;=(DATI!$D$26*10^-3),DATI!$D$30*DATI!$I$28,IF(C79&gt;=(-DATI!$D$26*10^-3),DATI!$I$28*DATI!$D$32*C79,-DATI!$D$30*DATI!$I$28))</f>
        <v>352404.7411418116</v>
      </c>
      <c r="N79" s="138">
        <f t="shared" si="4"/>
        <v>704809.48228362319</v>
      </c>
      <c r="O79" s="138">
        <f>-K79*(DATI!$C$13/2)+M79*(DATI!$C$13/2)</f>
        <v>0</v>
      </c>
      <c r="P79" s="140">
        <f>-N79/(DATI!$C$6*DATI!$C$13*DATI!$I$11*DATI!$I$16)</f>
        <v>-0.36226084366340999</v>
      </c>
      <c r="Q79" s="140">
        <f>O79/(DATI!$C$6*DATI!$C$13^2*DATI!$I$11)</f>
        <v>0</v>
      </c>
      <c r="R79" s="141">
        <f t="shared" si="5"/>
        <v>0</v>
      </c>
      <c r="S79" s="136" t="str">
        <f>IF(R79&gt;=0, IF(R79&lt;=DATI!$C$8/6, "SI", "NO"),IF(R79&gt; -DATI!$C$8/6, "SI", "NO"))</f>
        <v>SI</v>
      </c>
      <c r="T79" s="138">
        <f t="shared" si="6"/>
        <v>704.8094822836232</v>
      </c>
      <c r="U79" s="136" t="str">
        <f t="shared" si="7"/>
        <v/>
      </c>
    </row>
    <row r="80" spans="1:21" ht="18.75" x14ac:dyDescent="0.25">
      <c r="A80" s="122"/>
      <c r="B80" s="136" t="s">
        <v>37</v>
      </c>
      <c r="C80" s="137">
        <f>DATI!$D$24*10^-3</f>
        <v>0.01</v>
      </c>
      <c r="D80" s="137">
        <f>D79-(C80-(DATI!$C$10/DATI!$C$13*C80))/100</f>
        <v>2.9479452054794412E-3</v>
      </c>
      <c r="E80" s="136" t="s">
        <v>37</v>
      </c>
      <c r="F80" s="138">
        <f>(D80*DATI!$C$13-C80*DATI!$C$10)/(D80-C80)</f>
        <v>-102.94871794871722</v>
      </c>
      <c r="G80" s="139">
        <v>0</v>
      </c>
      <c r="H80" s="139">
        <v>0</v>
      </c>
      <c r="I80" s="139">
        <v>0</v>
      </c>
      <c r="J80" s="139">
        <v>0</v>
      </c>
      <c r="K80" s="138">
        <f>IF(D80&gt;=(DATI!$D$26*10^-3),DATI!$D$30*DATI!$I$29,IF(D80&gt;=(-DATI!$D$26*10^-3),DATI!$D$32*D80*DATI!$I$29,-DATI!$D$30*DATI!$I$29))</f>
        <v>352404.7411418116</v>
      </c>
      <c r="L80" s="138">
        <v>0</v>
      </c>
      <c r="M80" s="138">
        <f>IF(C80&gt;=(DATI!$D$26*10^-3),DATI!$D$30*DATI!$I$28,IF(C80&gt;=(-DATI!$D$26*10^-3),DATI!$I$28*DATI!$D$32*C80,-DATI!$D$30*DATI!$I$28))</f>
        <v>352404.7411418116</v>
      </c>
      <c r="N80" s="138">
        <f t="shared" si="4"/>
        <v>704809.48228362319</v>
      </c>
      <c r="O80" s="138">
        <f>-K80*(DATI!$C$13/2)+M80*(DATI!$C$13/2)</f>
        <v>0</v>
      </c>
      <c r="P80" s="140">
        <f>-N80/(DATI!$C$6*DATI!$C$13*DATI!$I$11*DATI!$I$16)</f>
        <v>-0.36226084366340999</v>
      </c>
      <c r="Q80" s="140">
        <f>O80/(DATI!$C$6*DATI!$C$13^2*DATI!$I$11)</f>
        <v>0</v>
      </c>
      <c r="R80" s="141">
        <f t="shared" si="5"/>
        <v>0</v>
      </c>
      <c r="S80" s="136" t="str">
        <f>IF(R80&gt;=0, IF(R80&lt;=DATI!$C$8/6, "SI", "NO"),IF(R80&gt; -DATI!$C$8/6, "SI", "NO"))</f>
        <v>SI</v>
      </c>
      <c r="T80" s="138">
        <f t="shared" si="6"/>
        <v>704.8094822836232</v>
      </c>
      <c r="U80" s="136" t="str">
        <f t="shared" si="7"/>
        <v/>
      </c>
    </row>
    <row r="81" spans="1:21" ht="18.75" x14ac:dyDescent="0.25">
      <c r="A81" s="122"/>
      <c r="B81" s="136" t="s">
        <v>37</v>
      </c>
      <c r="C81" s="137">
        <f>DATI!$D$24*10^-3</f>
        <v>0.01</v>
      </c>
      <c r="D81" s="137">
        <f>D80-(C81-(DATI!$C$10/DATI!$C$13*C81))/100</f>
        <v>2.8575342465753314E-3</v>
      </c>
      <c r="E81" s="136" t="s">
        <v>37</v>
      </c>
      <c r="F81" s="138">
        <f>(D81*DATI!$C$13-C81*DATI!$C$10)/(D81-C81)</f>
        <v>-97.025316455695474</v>
      </c>
      <c r="G81" s="139">
        <v>0</v>
      </c>
      <c r="H81" s="139">
        <v>0</v>
      </c>
      <c r="I81" s="139">
        <v>0</v>
      </c>
      <c r="J81" s="139">
        <v>0</v>
      </c>
      <c r="K81" s="138">
        <f>IF(D81&gt;=(DATI!$D$26*10^-3),DATI!$D$30*DATI!$I$29,IF(D81&gt;=(-DATI!$D$26*10^-3),DATI!$D$32*D81*DATI!$I$29,-DATI!$D$30*DATI!$I$29))</f>
        <v>352404.7411418116</v>
      </c>
      <c r="L81" s="138">
        <v>0</v>
      </c>
      <c r="M81" s="138">
        <f>IF(C81&gt;=(DATI!$D$26*10^-3),DATI!$D$30*DATI!$I$28,IF(C81&gt;=(-DATI!$D$26*10^-3),DATI!$I$28*DATI!$D$32*C81,-DATI!$D$30*DATI!$I$28))</f>
        <v>352404.7411418116</v>
      </c>
      <c r="N81" s="138">
        <f t="shared" si="4"/>
        <v>704809.48228362319</v>
      </c>
      <c r="O81" s="138">
        <f>-K81*(DATI!$C$13/2)+M81*(DATI!$C$13/2)</f>
        <v>0</v>
      </c>
      <c r="P81" s="140">
        <f>-N81/(DATI!$C$6*DATI!$C$13*DATI!$I$11*DATI!$I$16)</f>
        <v>-0.36226084366340999</v>
      </c>
      <c r="Q81" s="140">
        <f>O81/(DATI!$C$6*DATI!$C$13^2*DATI!$I$11)</f>
        <v>0</v>
      </c>
      <c r="R81" s="141">
        <f t="shared" si="5"/>
        <v>0</v>
      </c>
      <c r="S81" s="136" t="str">
        <f>IF(R81&gt;=0, IF(R81&lt;=DATI!$C$8/6, "SI", "NO"),IF(R81&gt; -DATI!$C$8/6, "SI", "NO"))</f>
        <v>SI</v>
      </c>
      <c r="T81" s="138">
        <f t="shared" si="6"/>
        <v>704.8094822836232</v>
      </c>
      <c r="U81" s="136" t="str">
        <f t="shared" si="7"/>
        <v/>
      </c>
    </row>
    <row r="82" spans="1:21" ht="18.75" x14ac:dyDescent="0.25">
      <c r="A82" s="122"/>
      <c r="B82" s="136" t="s">
        <v>37</v>
      </c>
      <c r="C82" s="137">
        <f>DATI!$D$24*10^-3</f>
        <v>0.01</v>
      </c>
      <c r="D82" s="137">
        <f>D81-(C82-(DATI!$C$10/DATI!$C$13*C82))/100</f>
        <v>2.7671232876712217E-3</v>
      </c>
      <c r="E82" s="136" t="s">
        <v>37</v>
      </c>
      <c r="F82" s="138">
        <f>(D82*DATI!$C$13-C82*DATI!$C$10)/(D82-C82)</f>
        <v>-91.249999999999289</v>
      </c>
      <c r="G82" s="139">
        <v>0</v>
      </c>
      <c r="H82" s="139">
        <v>0</v>
      </c>
      <c r="I82" s="139">
        <v>0</v>
      </c>
      <c r="J82" s="139">
        <v>0</v>
      </c>
      <c r="K82" s="138">
        <f>IF(D82&gt;=(DATI!$D$26*10^-3),DATI!$D$30*DATI!$I$29,IF(D82&gt;=(-DATI!$D$26*10^-3),DATI!$D$32*D82*DATI!$I$29,-DATI!$D$30*DATI!$I$29))</f>
        <v>352404.7411418116</v>
      </c>
      <c r="L82" s="138">
        <v>0</v>
      </c>
      <c r="M82" s="138">
        <f>IF(C82&gt;=(DATI!$D$26*10^-3),DATI!$D$30*DATI!$I$28,IF(C82&gt;=(-DATI!$D$26*10^-3),DATI!$I$28*DATI!$D$32*C82,-DATI!$D$30*DATI!$I$28))</f>
        <v>352404.7411418116</v>
      </c>
      <c r="N82" s="138">
        <f t="shared" si="4"/>
        <v>704809.48228362319</v>
      </c>
      <c r="O82" s="138">
        <f>-K82*(DATI!$C$13/2)+M82*(DATI!$C$13/2)</f>
        <v>0</v>
      </c>
      <c r="P82" s="140">
        <f>-N82/(DATI!$C$6*DATI!$C$13*DATI!$I$11*DATI!$I$16)</f>
        <v>-0.36226084366340999</v>
      </c>
      <c r="Q82" s="140">
        <f>O82/(DATI!$C$6*DATI!$C$13^2*DATI!$I$11)</f>
        <v>0</v>
      </c>
      <c r="R82" s="141">
        <f t="shared" si="5"/>
        <v>0</v>
      </c>
      <c r="S82" s="136" t="str">
        <f>IF(R82&gt;=0, IF(R82&lt;=DATI!$C$8/6, "SI", "NO"),IF(R82&gt; -DATI!$C$8/6, "SI", "NO"))</f>
        <v>SI</v>
      </c>
      <c r="T82" s="138">
        <f t="shared" si="6"/>
        <v>704.8094822836232</v>
      </c>
      <c r="U82" s="136" t="str">
        <f t="shared" si="7"/>
        <v/>
      </c>
    </row>
    <row r="83" spans="1:21" ht="18.75" x14ac:dyDescent="0.25">
      <c r="A83" s="122"/>
      <c r="B83" s="136" t="s">
        <v>37</v>
      </c>
      <c r="C83" s="137">
        <f>DATI!$D$24*10^-3</f>
        <v>0.01</v>
      </c>
      <c r="D83" s="137">
        <f>D82-(C83-(DATI!$C$10/DATI!$C$13*C83))/100</f>
        <v>2.676712328767112E-3</v>
      </c>
      <c r="E83" s="136" t="s">
        <v>37</v>
      </c>
      <c r="F83" s="138">
        <f>(D83*DATI!$C$13-C83*DATI!$C$10)/(D83-C83)</f>
        <v>-85.617283950616567</v>
      </c>
      <c r="G83" s="139">
        <v>0</v>
      </c>
      <c r="H83" s="139">
        <v>0</v>
      </c>
      <c r="I83" s="139">
        <v>0</v>
      </c>
      <c r="J83" s="139">
        <v>0</v>
      </c>
      <c r="K83" s="138">
        <f>IF(D83&gt;=(DATI!$D$26*10^-3),DATI!$D$30*DATI!$I$29,IF(D83&gt;=(-DATI!$D$26*10^-3),DATI!$D$32*D83*DATI!$I$29,-DATI!$D$30*DATI!$I$29))</f>
        <v>352404.7411418116</v>
      </c>
      <c r="L83" s="138">
        <v>0</v>
      </c>
      <c r="M83" s="138">
        <f>IF(C83&gt;=(DATI!$D$26*10^-3),DATI!$D$30*DATI!$I$28,IF(C83&gt;=(-DATI!$D$26*10^-3),DATI!$I$28*DATI!$D$32*C83,-DATI!$D$30*DATI!$I$28))</f>
        <v>352404.7411418116</v>
      </c>
      <c r="N83" s="138">
        <f t="shared" si="4"/>
        <v>704809.48228362319</v>
      </c>
      <c r="O83" s="138">
        <f>-K83*(DATI!$C$13/2)+M83*(DATI!$C$13/2)</f>
        <v>0</v>
      </c>
      <c r="P83" s="140">
        <f>-N83/(DATI!$C$6*DATI!$C$13*DATI!$I$11*DATI!$I$16)</f>
        <v>-0.36226084366340999</v>
      </c>
      <c r="Q83" s="140">
        <f>O83/(DATI!$C$6*DATI!$C$13^2*DATI!$I$11)</f>
        <v>0</v>
      </c>
      <c r="R83" s="141">
        <f t="shared" si="5"/>
        <v>0</v>
      </c>
      <c r="S83" s="136" t="str">
        <f>IF(R83&gt;=0, IF(R83&lt;=DATI!$C$8/6, "SI", "NO"),IF(R83&gt; -DATI!$C$8/6, "SI", "NO"))</f>
        <v>SI</v>
      </c>
      <c r="T83" s="138">
        <f t="shared" si="6"/>
        <v>704.8094822836232</v>
      </c>
      <c r="U83" s="136" t="str">
        <f t="shared" si="7"/>
        <v/>
      </c>
    </row>
    <row r="84" spans="1:21" ht="18.75" x14ac:dyDescent="0.25">
      <c r="A84" s="122"/>
      <c r="B84" s="136" t="s">
        <v>37</v>
      </c>
      <c r="C84" s="137">
        <f>DATI!$D$24*10^-3</f>
        <v>0.01</v>
      </c>
      <c r="D84" s="137">
        <f>D83-(C84-(DATI!$C$10/DATI!$C$13*C84))/100</f>
        <v>2.5863013698630023E-3</v>
      </c>
      <c r="E84" s="136" t="s">
        <v>37</v>
      </c>
      <c r="F84" s="138">
        <f>(D84*DATI!$C$13-C84*DATI!$C$10)/(D84-C84)</f>
        <v>-80.121951219511516</v>
      </c>
      <c r="G84" s="139">
        <v>0</v>
      </c>
      <c r="H84" s="139">
        <v>0</v>
      </c>
      <c r="I84" s="139">
        <v>0</v>
      </c>
      <c r="J84" s="139">
        <v>0</v>
      </c>
      <c r="K84" s="138">
        <f>IF(D84&gt;=(DATI!$D$26*10^-3),DATI!$D$30*DATI!$I$29,IF(D84&gt;=(-DATI!$D$26*10^-3),DATI!$D$32*D84*DATI!$I$29,-DATI!$D$30*DATI!$I$29))</f>
        <v>352404.7411418116</v>
      </c>
      <c r="L84" s="138">
        <v>0</v>
      </c>
      <c r="M84" s="138">
        <f>IF(C84&gt;=(DATI!$D$26*10^-3),DATI!$D$30*DATI!$I$28,IF(C84&gt;=(-DATI!$D$26*10^-3),DATI!$I$28*DATI!$D$32*C84,-DATI!$D$30*DATI!$I$28))</f>
        <v>352404.7411418116</v>
      </c>
      <c r="N84" s="138">
        <f t="shared" si="4"/>
        <v>704809.48228362319</v>
      </c>
      <c r="O84" s="138">
        <f>-K84*(DATI!$C$13/2)+M84*(DATI!$C$13/2)</f>
        <v>0</v>
      </c>
      <c r="P84" s="140">
        <f>-N84/(DATI!$C$6*DATI!$C$13*DATI!$I$11*DATI!$I$16)</f>
        <v>-0.36226084366340999</v>
      </c>
      <c r="Q84" s="140">
        <f>O84/(DATI!$C$6*DATI!$C$13^2*DATI!$I$11)</f>
        <v>0</v>
      </c>
      <c r="R84" s="141">
        <f t="shared" si="5"/>
        <v>0</v>
      </c>
      <c r="S84" s="136" t="str">
        <f>IF(R84&gt;=0, IF(R84&lt;=DATI!$C$8/6, "SI", "NO"),IF(R84&gt; -DATI!$C$8/6, "SI", "NO"))</f>
        <v>SI</v>
      </c>
      <c r="T84" s="138">
        <f t="shared" si="6"/>
        <v>704.8094822836232</v>
      </c>
      <c r="U84" s="136" t="str">
        <f t="shared" si="7"/>
        <v/>
      </c>
    </row>
    <row r="85" spans="1:21" ht="18.75" x14ac:dyDescent="0.25">
      <c r="A85" s="122"/>
      <c r="B85" s="136" t="s">
        <v>37</v>
      </c>
      <c r="C85" s="137">
        <f>DATI!$D$24*10^-3</f>
        <v>0.01</v>
      </c>
      <c r="D85" s="137">
        <f>D84-(C85-(DATI!$C$10/DATI!$C$13*C85))/100</f>
        <v>2.4958904109588925E-3</v>
      </c>
      <c r="E85" s="136" t="s">
        <v>37</v>
      </c>
      <c r="F85" s="138">
        <f>(D85*DATI!$C$13-C85*DATI!$C$10)/(D85-C85)</f>
        <v>-74.759036144577621</v>
      </c>
      <c r="G85" s="139">
        <v>0</v>
      </c>
      <c r="H85" s="139">
        <v>0</v>
      </c>
      <c r="I85" s="139">
        <v>0</v>
      </c>
      <c r="J85" s="139">
        <v>0</v>
      </c>
      <c r="K85" s="138">
        <f>IF(D85&gt;=(DATI!$D$26*10^-3),DATI!$D$30*DATI!$I$29,IF(D85&gt;=(-DATI!$D$26*10^-3),DATI!$D$32*D85*DATI!$I$29,-DATI!$D$30*DATI!$I$29))</f>
        <v>352404.7411418116</v>
      </c>
      <c r="L85" s="138">
        <v>0</v>
      </c>
      <c r="M85" s="138">
        <f>IF(C85&gt;=(DATI!$D$26*10^-3),DATI!$D$30*DATI!$I$28,IF(C85&gt;=(-DATI!$D$26*10^-3),DATI!$I$28*DATI!$D$32*C85,-DATI!$D$30*DATI!$I$28))</f>
        <v>352404.7411418116</v>
      </c>
      <c r="N85" s="138">
        <f t="shared" si="4"/>
        <v>704809.48228362319</v>
      </c>
      <c r="O85" s="138">
        <f>-K85*(DATI!$C$13/2)+M85*(DATI!$C$13/2)</f>
        <v>0</v>
      </c>
      <c r="P85" s="140">
        <f>-N85/(DATI!$C$6*DATI!$C$13*DATI!$I$11*DATI!$I$16)</f>
        <v>-0.36226084366340999</v>
      </c>
      <c r="Q85" s="140">
        <f>O85/(DATI!$C$6*DATI!$C$13^2*DATI!$I$11)</f>
        <v>0</v>
      </c>
      <c r="R85" s="141">
        <f t="shared" si="5"/>
        <v>0</v>
      </c>
      <c r="S85" s="136" t="str">
        <f>IF(R85&gt;=0, IF(R85&lt;=DATI!$C$8/6, "SI", "NO"),IF(R85&gt; -DATI!$C$8/6, "SI", "NO"))</f>
        <v>SI</v>
      </c>
      <c r="T85" s="138">
        <f t="shared" si="6"/>
        <v>704.8094822836232</v>
      </c>
      <c r="U85" s="136" t="str">
        <f t="shared" si="7"/>
        <v/>
      </c>
    </row>
    <row r="86" spans="1:21" ht="18.75" x14ac:dyDescent="0.25">
      <c r="A86" s="122"/>
      <c r="B86" s="136" t="s">
        <v>37</v>
      </c>
      <c r="C86" s="137">
        <f>DATI!$D$24*10^-3</f>
        <v>0.01</v>
      </c>
      <c r="D86" s="137">
        <f>D85-(C86-(DATI!$C$10/DATI!$C$13*C86))/100</f>
        <v>2.4054794520547828E-3</v>
      </c>
      <c r="E86" s="136" t="s">
        <v>37</v>
      </c>
      <c r="F86" s="138">
        <f>(D86*DATI!$C$13-C86*DATI!$C$10)/(D86-C86)</f>
        <v>-69.523809523808836</v>
      </c>
      <c r="G86" s="139">
        <v>0</v>
      </c>
      <c r="H86" s="139">
        <v>0</v>
      </c>
      <c r="I86" s="139">
        <v>0</v>
      </c>
      <c r="J86" s="139">
        <v>0</v>
      </c>
      <c r="K86" s="138">
        <f>IF(D86&gt;=(DATI!$D$26*10^-3),DATI!$D$30*DATI!$I$29,IF(D86&gt;=(-DATI!$D$26*10^-3),DATI!$D$32*D86*DATI!$I$29,-DATI!$D$30*DATI!$I$29))</f>
        <v>352404.7411418116</v>
      </c>
      <c r="L86" s="138">
        <v>0</v>
      </c>
      <c r="M86" s="138">
        <f>IF(C86&gt;=(DATI!$D$26*10^-3),DATI!$D$30*DATI!$I$28,IF(C86&gt;=(-DATI!$D$26*10^-3),DATI!$I$28*DATI!$D$32*C86,-DATI!$D$30*DATI!$I$28))</f>
        <v>352404.7411418116</v>
      </c>
      <c r="N86" s="138">
        <f t="shared" si="4"/>
        <v>704809.48228362319</v>
      </c>
      <c r="O86" s="138">
        <f>-K86*(DATI!$C$13/2)+M86*(DATI!$C$13/2)</f>
        <v>0</v>
      </c>
      <c r="P86" s="140">
        <f>-N86/(DATI!$C$6*DATI!$C$13*DATI!$I$11*DATI!$I$16)</f>
        <v>-0.36226084366340999</v>
      </c>
      <c r="Q86" s="140">
        <f>O86/(DATI!$C$6*DATI!$C$13^2*DATI!$I$11)</f>
        <v>0</v>
      </c>
      <c r="R86" s="141">
        <f t="shared" si="5"/>
        <v>0</v>
      </c>
      <c r="S86" s="136" t="str">
        <f>IF(R86&gt;=0, IF(R86&lt;=DATI!$C$8/6, "SI", "NO"),IF(R86&gt; -DATI!$C$8/6, "SI", "NO"))</f>
        <v>SI</v>
      </c>
      <c r="T86" s="138">
        <f t="shared" si="6"/>
        <v>704.8094822836232</v>
      </c>
      <c r="U86" s="136" t="str">
        <f t="shared" si="7"/>
        <v/>
      </c>
    </row>
    <row r="87" spans="1:21" ht="18.75" x14ac:dyDescent="0.25">
      <c r="A87" s="122"/>
      <c r="B87" s="136" t="s">
        <v>37</v>
      </c>
      <c r="C87" s="137">
        <f>DATI!$D$24*10^-3</f>
        <v>0.01</v>
      </c>
      <c r="D87" s="137">
        <f>D86-(C87-(DATI!$C$10/DATI!$C$13*C87))/100</f>
        <v>2.3150684931506731E-3</v>
      </c>
      <c r="E87" s="136" t="s">
        <v>37</v>
      </c>
      <c r="F87" s="138">
        <f>(D87*DATI!$C$13-C87*DATI!$C$10)/(D87-C87)</f>
        <v>-64.41176470588168</v>
      </c>
      <c r="G87" s="139">
        <v>0</v>
      </c>
      <c r="H87" s="139">
        <v>0</v>
      </c>
      <c r="I87" s="139">
        <v>0</v>
      </c>
      <c r="J87" s="139">
        <v>0</v>
      </c>
      <c r="K87" s="138">
        <f>IF(D87&gt;=(DATI!$D$26*10^-3),DATI!$D$30*DATI!$I$29,IF(D87&gt;=(-DATI!$D$26*10^-3),DATI!$D$32*D87*DATI!$I$29,-DATI!$D$30*DATI!$I$29))</f>
        <v>352404.7411418116</v>
      </c>
      <c r="L87" s="138">
        <v>0</v>
      </c>
      <c r="M87" s="138">
        <f>IF(C87&gt;=(DATI!$D$26*10^-3),DATI!$D$30*DATI!$I$28,IF(C87&gt;=(-DATI!$D$26*10^-3),DATI!$I$28*DATI!$D$32*C87,-DATI!$D$30*DATI!$I$28))</f>
        <v>352404.7411418116</v>
      </c>
      <c r="N87" s="138">
        <f t="shared" si="4"/>
        <v>704809.48228362319</v>
      </c>
      <c r="O87" s="138">
        <f>-K87*(DATI!$C$13/2)+M87*(DATI!$C$13/2)</f>
        <v>0</v>
      </c>
      <c r="P87" s="140">
        <f>-N87/(DATI!$C$6*DATI!$C$13*DATI!$I$11*DATI!$I$16)</f>
        <v>-0.36226084366340999</v>
      </c>
      <c r="Q87" s="140">
        <f>O87/(DATI!$C$6*DATI!$C$13^2*DATI!$I$11)</f>
        <v>0</v>
      </c>
      <c r="R87" s="141">
        <f t="shared" si="5"/>
        <v>0</v>
      </c>
      <c r="S87" s="136" t="str">
        <f>IF(R87&gt;=0, IF(R87&lt;=DATI!$C$8/6, "SI", "NO"),IF(R87&gt; -DATI!$C$8/6, "SI", "NO"))</f>
        <v>SI</v>
      </c>
      <c r="T87" s="138">
        <f t="shared" si="6"/>
        <v>704.8094822836232</v>
      </c>
      <c r="U87" s="136" t="str">
        <f t="shared" si="7"/>
        <v/>
      </c>
    </row>
    <row r="88" spans="1:21" ht="18.75" x14ac:dyDescent="0.25">
      <c r="A88" s="122"/>
      <c r="B88" s="136" t="s">
        <v>37</v>
      </c>
      <c r="C88" s="137">
        <f>DATI!$D$24*10^-3</f>
        <v>0.01</v>
      </c>
      <c r="D88" s="137">
        <f>D87-(C88-(DATI!$C$10/DATI!$C$13*C88))/100</f>
        <v>2.2246575342465633E-3</v>
      </c>
      <c r="E88" s="136" t="s">
        <v>37</v>
      </c>
      <c r="F88" s="138">
        <f>(D88*DATI!$C$13-C88*DATI!$C$10)/(D88-C88)</f>
        <v>-59.418604651162127</v>
      </c>
      <c r="G88" s="139">
        <v>0</v>
      </c>
      <c r="H88" s="139">
        <v>0</v>
      </c>
      <c r="I88" s="139">
        <v>0</v>
      </c>
      <c r="J88" s="139">
        <v>0</v>
      </c>
      <c r="K88" s="138">
        <f>IF(D88&gt;=(DATI!$D$26*10^-3),DATI!$D$30*DATI!$I$29,IF(D88&gt;=(-DATI!$D$26*10^-3),DATI!$D$32*D88*DATI!$I$29,-DATI!$D$30*DATI!$I$29))</f>
        <v>352404.7411418116</v>
      </c>
      <c r="L88" s="138">
        <v>0</v>
      </c>
      <c r="M88" s="138">
        <f>IF(C88&gt;=(DATI!$D$26*10^-3),DATI!$D$30*DATI!$I$28,IF(C88&gt;=(-DATI!$D$26*10^-3),DATI!$I$28*DATI!$D$32*C88,-DATI!$D$30*DATI!$I$28))</f>
        <v>352404.7411418116</v>
      </c>
      <c r="N88" s="138">
        <f t="shared" si="4"/>
        <v>704809.48228362319</v>
      </c>
      <c r="O88" s="138">
        <f>-K88*(DATI!$C$13/2)+M88*(DATI!$C$13/2)</f>
        <v>0</v>
      </c>
      <c r="P88" s="140">
        <f>-N88/(DATI!$C$6*DATI!$C$13*DATI!$I$11*DATI!$I$16)</f>
        <v>-0.36226084366340999</v>
      </c>
      <c r="Q88" s="140">
        <f>O88/(DATI!$C$6*DATI!$C$13^2*DATI!$I$11)</f>
        <v>0</v>
      </c>
      <c r="R88" s="141">
        <f t="shared" si="5"/>
        <v>0</v>
      </c>
      <c r="S88" s="136" t="str">
        <f>IF(R88&gt;=0, IF(R88&lt;=DATI!$C$8/6, "SI", "NO"),IF(R88&gt; -DATI!$C$8/6, "SI", "NO"))</f>
        <v>SI</v>
      </c>
      <c r="T88" s="138">
        <f t="shared" si="6"/>
        <v>704.8094822836232</v>
      </c>
      <c r="U88" s="136" t="str">
        <f t="shared" si="7"/>
        <v/>
      </c>
    </row>
    <row r="89" spans="1:21" ht="18.75" x14ac:dyDescent="0.25">
      <c r="A89" s="122"/>
      <c r="B89" s="136" t="s">
        <v>37</v>
      </c>
      <c r="C89" s="137">
        <f>DATI!$D$24*10^-3</f>
        <v>0.01</v>
      </c>
      <c r="D89" s="137">
        <f>D88-(C89-(DATI!$C$10/DATI!$C$13*C89))/100</f>
        <v>2.1342465753424536E-3</v>
      </c>
      <c r="E89" s="136" t="s">
        <v>37</v>
      </c>
      <c r="F89" s="138">
        <f>(D89*DATI!$C$13-C89*DATI!$C$10)/(D89-C89)</f>
        <v>-54.540229885056817</v>
      </c>
      <c r="G89" s="139">
        <v>0</v>
      </c>
      <c r="H89" s="139">
        <v>0</v>
      </c>
      <c r="I89" s="139">
        <v>0</v>
      </c>
      <c r="J89" s="139">
        <v>0</v>
      </c>
      <c r="K89" s="138">
        <f>IF(D89&gt;=(DATI!$D$26*10^-3),DATI!$D$30*DATI!$I$29,IF(D89&gt;=(-DATI!$D$26*10^-3),DATI!$D$32*D89*DATI!$I$29,-DATI!$D$30*DATI!$I$29))</f>
        <v>352404.7411418116</v>
      </c>
      <c r="L89" s="138">
        <v>0</v>
      </c>
      <c r="M89" s="138">
        <f>IF(C89&gt;=(DATI!$D$26*10^-3),DATI!$D$30*DATI!$I$28,IF(C89&gt;=(-DATI!$D$26*10^-3),DATI!$I$28*DATI!$D$32*C89,-DATI!$D$30*DATI!$I$28))</f>
        <v>352404.7411418116</v>
      </c>
      <c r="N89" s="138">
        <f t="shared" si="4"/>
        <v>704809.48228362319</v>
      </c>
      <c r="O89" s="138">
        <f>-K89*(DATI!$C$13/2)+M89*(DATI!$C$13/2)</f>
        <v>0</v>
      </c>
      <c r="P89" s="140">
        <f>-N89/(DATI!$C$6*DATI!$C$13*DATI!$I$11*DATI!$I$16)</f>
        <v>-0.36226084366340999</v>
      </c>
      <c r="Q89" s="140">
        <f>O89/(DATI!$C$6*DATI!$C$13^2*DATI!$I$11)</f>
        <v>0</v>
      </c>
      <c r="R89" s="141">
        <f t="shared" si="5"/>
        <v>0</v>
      </c>
      <c r="S89" s="136" t="str">
        <f>IF(R89&gt;=0, IF(R89&lt;=DATI!$C$8/6, "SI", "NO"),IF(R89&gt; -DATI!$C$8/6, "SI", "NO"))</f>
        <v>SI</v>
      </c>
      <c r="T89" s="138">
        <f t="shared" si="6"/>
        <v>704.8094822836232</v>
      </c>
      <c r="U89" s="136" t="str">
        <f t="shared" si="7"/>
        <v/>
      </c>
    </row>
    <row r="90" spans="1:21" ht="18.75" x14ac:dyDescent="0.25">
      <c r="A90" s="122"/>
      <c r="B90" s="136" t="s">
        <v>37</v>
      </c>
      <c r="C90" s="137">
        <f>DATI!$D$24*10^-3</f>
        <v>0.01</v>
      </c>
      <c r="D90" s="137">
        <f>D89-(C90-(DATI!$C$10/DATI!$C$13*C90))/100</f>
        <v>2.0438356164383439E-3</v>
      </c>
      <c r="E90" s="136" t="s">
        <v>37</v>
      </c>
      <c r="F90" s="138">
        <f>(D90*DATI!$C$13-C90*DATI!$C$10)/(D90-C90)</f>
        <v>-49.772727272726634</v>
      </c>
      <c r="G90" s="139">
        <v>0</v>
      </c>
      <c r="H90" s="139">
        <v>0</v>
      </c>
      <c r="I90" s="139">
        <v>0</v>
      </c>
      <c r="J90" s="139">
        <v>0</v>
      </c>
      <c r="K90" s="138">
        <f>IF(D90&gt;=(DATI!$D$26*10^-3),DATI!$D$30*DATI!$I$29,IF(D90&gt;=(-DATI!$D$26*10^-3),DATI!$D$32*D90*DATI!$I$29,-DATI!$D$30*DATI!$I$29))</f>
        <v>352404.7411418116</v>
      </c>
      <c r="L90" s="138">
        <v>0</v>
      </c>
      <c r="M90" s="138">
        <f>IF(C90&gt;=(DATI!$D$26*10^-3),DATI!$D$30*DATI!$I$28,IF(C90&gt;=(-DATI!$D$26*10^-3),DATI!$I$28*DATI!$D$32*C90,-DATI!$D$30*DATI!$I$28))</f>
        <v>352404.7411418116</v>
      </c>
      <c r="N90" s="138">
        <f t="shared" si="4"/>
        <v>704809.48228362319</v>
      </c>
      <c r="O90" s="138">
        <f>-K90*(DATI!$C$13/2)+M90*(DATI!$C$13/2)</f>
        <v>0</v>
      </c>
      <c r="P90" s="140">
        <f>-N90/(DATI!$C$6*DATI!$C$13*DATI!$I$11*DATI!$I$16)</f>
        <v>-0.36226084366340999</v>
      </c>
      <c r="Q90" s="140">
        <f>O90/(DATI!$C$6*DATI!$C$13^2*DATI!$I$11)</f>
        <v>0</v>
      </c>
      <c r="R90" s="141">
        <f t="shared" si="5"/>
        <v>0</v>
      </c>
      <c r="S90" s="136" t="str">
        <f>IF(R90&gt;=0, IF(R90&lt;=DATI!$C$8/6, "SI", "NO"),IF(R90&gt; -DATI!$C$8/6, "SI", "NO"))</f>
        <v>SI</v>
      </c>
      <c r="T90" s="138">
        <f t="shared" si="6"/>
        <v>704.8094822836232</v>
      </c>
      <c r="U90" s="136" t="str">
        <f t="shared" si="7"/>
        <v/>
      </c>
    </row>
    <row r="91" spans="1:21" ht="18.75" x14ac:dyDescent="0.25">
      <c r="A91" s="122"/>
      <c r="B91" s="136" t="s">
        <v>37</v>
      </c>
      <c r="C91" s="137">
        <f>DATI!$D$24*10^-3</f>
        <v>0.01</v>
      </c>
      <c r="D91" s="137">
        <f>D90-(C91-(DATI!$C$10/DATI!$C$13*C91))/100</f>
        <v>1.9534246575342341E-3</v>
      </c>
      <c r="E91" s="136" t="s">
        <v>37</v>
      </c>
      <c r="F91" s="138">
        <f>(D91*DATI!$C$13-C91*DATI!$C$10)/(D91-C91)</f>
        <v>-45.112359550561152</v>
      </c>
      <c r="G91" s="139">
        <v>0</v>
      </c>
      <c r="H91" s="139">
        <v>0</v>
      </c>
      <c r="I91" s="139">
        <v>0</v>
      </c>
      <c r="J91" s="139">
        <v>0</v>
      </c>
      <c r="K91" s="138">
        <f>IF(D91&gt;=(DATI!$D$26*10^-3),DATI!$D$30*DATI!$I$29,IF(D91&gt;=(-DATI!$D$26*10^-3),DATI!$D$32*D91*DATI!$I$29,-DATI!$D$30*DATI!$I$29))</f>
        <v>352404.7411418116</v>
      </c>
      <c r="L91" s="138">
        <v>0</v>
      </c>
      <c r="M91" s="138">
        <f>IF(C91&gt;=(DATI!$D$26*10^-3),DATI!$D$30*DATI!$I$28,IF(C91&gt;=(-DATI!$D$26*10^-3),DATI!$I$28*DATI!$D$32*C91,-DATI!$D$30*DATI!$I$28))</f>
        <v>352404.7411418116</v>
      </c>
      <c r="N91" s="138">
        <f t="shared" si="4"/>
        <v>704809.48228362319</v>
      </c>
      <c r="O91" s="138">
        <f>-K91*(DATI!$C$13/2)+M91*(DATI!$C$13/2)</f>
        <v>0</v>
      </c>
      <c r="P91" s="140">
        <f>-N91/(DATI!$C$6*DATI!$C$13*DATI!$I$11*DATI!$I$16)</f>
        <v>-0.36226084366340999</v>
      </c>
      <c r="Q91" s="140">
        <f>O91/(DATI!$C$6*DATI!$C$13^2*DATI!$I$11)</f>
        <v>0</v>
      </c>
      <c r="R91" s="141">
        <f t="shared" si="5"/>
        <v>0</v>
      </c>
      <c r="S91" s="136" t="str">
        <f>IF(R91&gt;=0, IF(R91&lt;=DATI!$C$8/6, "SI", "NO"),IF(R91&gt; -DATI!$C$8/6, "SI", "NO"))</f>
        <v>SI</v>
      </c>
      <c r="T91" s="138">
        <f t="shared" si="6"/>
        <v>704.8094822836232</v>
      </c>
      <c r="U91" s="136" t="str">
        <f t="shared" si="7"/>
        <v/>
      </c>
    </row>
    <row r="92" spans="1:21" ht="18.75" x14ac:dyDescent="0.25">
      <c r="A92" s="122"/>
      <c r="B92" s="136" t="s">
        <v>37</v>
      </c>
      <c r="C92" s="137">
        <f>DATI!$D$24*10^-3</f>
        <v>0.01</v>
      </c>
      <c r="D92" s="137">
        <f>D91-(C92-(DATI!$C$10/DATI!$C$13*C92))/100</f>
        <v>1.8630136986301246E-3</v>
      </c>
      <c r="E92" s="136" t="s">
        <v>37</v>
      </c>
      <c r="F92" s="138">
        <f>(D92*DATI!$C$13-C92*DATI!$C$10)/(D92-C92)</f>
        <v>-40.555555555554932</v>
      </c>
      <c r="G92" s="139">
        <v>0</v>
      </c>
      <c r="H92" s="139">
        <v>0</v>
      </c>
      <c r="I92" s="139">
        <v>0</v>
      </c>
      <c r="J92" s="139">
        <v>0</v>
      </c>
      <c r="K92" s="138">
        <f>IF(D92&gt;=(DATI!$D$26*10^-3),DATI!$D$30*DATI!$I$29,IF(D92&gt;=(-DATI!$D$26*10^-3),DATI!$D$32*D92*DATI!$I$29,-DATI!$D$30*DATI!$I$29))</f>
        <v>351088.16053978499</v>
      </c>
      <c r="L92" s="138">
        <v>0</v>
      </c>
      <c r="M92" s="138">
        <f>IF(C92&gt;=(DATI!$D$26*10^-3),DATI!$D$30*DATI!$I$28,IF(C92&gt;=(-DATI!$D$26*10^-3),DATI!$I$28*DATI!$D$32*C92,-DATI!$D$30*DATI!$I$28))</f>
        <v>352404.7411418116</v>
      </c>
      <c r="N92" s="138">
        <f t="shared" si="4"/>
        <v>703492.90168159665</v>
      </c>
      <c r="O92" s="138">
        <f>-K92*(DATI!$C$13/2)+M92*(DATI!$C$13/2)</f>
        <v>240275.95986985415</v>
      </c>
      <c r="P92" s="140">
        <f>-N92/(DATI!$C$6*DATI!$C$13*DATI!$I$11*DATI!$I$16)</f>
        <v>-0.36158414221198276</v>
      </c>
      <c r="Q92" s="140">
        <f>O92/(DATI!$C$6*DATI!$C$13^2*DATI!$I$11)</f>
        <v>2.8759811685659284E-4</v>
      </c>
      <c r="R92" s="141">
        <f t="shared" si="5"/>
        <v>0.34154709918964316</v>
      </c>
      <c r="S92" s="136" t="str">
        <f>IF(R92&gt;=0, IF(R92&lt;=DATI!$C$8/6, "SI", "NO"),IF(R92&gt; -DATI!$C$8/6, "SI", "NO"))</f>
        <v>SI</v>
      </c>
      <c r="T92" s="138">
        <f t="shared" si="6"/>
        <v>703.49290168159666</v>
      </c>
      <c r="U92" s="136" t="str">
        <f t="shared" si="7"/>
        <v/>
      </c>
    </row>
    <row r="93" spans="1:21" ht="18.75" x14ac:dyDescent="0.25">
      <c r="A93" s="122"/>
      <c r="B93" s="136" t="s">
        <v>37</v>
      </c>
      <c r="C93" s="137">
        <f>DATI!$D$24*10^-3</f>
        <v>0.01</v>
      </c>
      <c r="D93" s="137">
        <f>D92-(C93-(DATI!$C$10/DATI!$C$13*C93))/100</f>
        <v>1.7726027397260151E-3</v>
      </c>
      <c r="E93" s="136" t="s">
        <v>37</v>
      </c>
      <c r="F93" s="138">
        <f>(D93*DATI!$C$13-C93*DATI!$C$10)/(D93-C93)</f>
        <v>-36.098901098900484</v>
      </c>
      <c r="G93" s="139">
        <v>0</v>
      </c>
      <c r="H93" s="139">
        <v>0</v>
      </c>
      <c r="I93" s="139">
        <v>0</v>
      </c>
      <c r="J93" s="139">
        <v>0</v>
      </c>
      <c r="K93" s="138">
        <f>IF(D93&gt;=(DATI!$D$26*10^-3),DATI!$D$30*DATI!$I$29,IF(D93&gt;=(-DATI!$D$26*10^-3),DATI!$D$32*D93*DATI!$I$29,-DATI!$D$30*DATI!$I$29))</f>
        <v>334050.05863123655</v>
      </c>
      <c r="L93" s="138">
        <v>0</v>
      </c>
      <c r="M93" s="138">
        <f>IF(C93&gt;=(DATI!$D$26*10^-3),DATI!$D$30*DATI!$I$28,IF(C93&gt;=(-DATI!$D$26*10^-3),DATI!$I$28*DATI!$D$32*C93,-DATI!$D$30*DATI!$I$28))</f>
        <v>352404.7411418116</v>
      </c>
      <c r="N93" s="138">
        <f t="shared" si="4"/>
        <v>686454.79977304814</v>
      </c>
      <c r="O93" s="138">
        <f>-K93*(DATI!$C$13/2)+M93*(DATI!$C$13/2)</f>
        <v>3349729.5581799448</v>
      </c>
      <c r="P93" s="140">
        <f>-N93/(DATI!$C$6*DATI!$C$13*DATI!$I$11*DATI!$I$16)</f>
        <v>-0.35282682931117509</v>
      </c>
      <c r="Q93" s="140">
        <f>O93/(DATI!$C$6*DATI!$C$13^2*DATI!$I$11)</f>
        <v>4.0094560996998324E-3</v>
      </c>
      <c r="R93" s="141">
        <f t="shared" si="5"/>
        <v>4.8797525478551735</v>
      </c>
      <c r="S93" s="136" t="str">
        <f>IF(R93&gt;=0, IF(R93&lt;=DATI!$C$8/6, "SI", "NO"),IF(R93&gt; -DATI!$C$8/6, "SI", "NO"))</f>
        <v>SI</v>
      </c>
      <c r="T93" s="138">
        <f t="shared" si="6"/>
        <v>686.45479977304819</v>
      </c>
      <c r="U93" s="136" t="str">
        <f t="shared" si="7"/>
        <v/>
      </c>
    </row>
    <row r="94" spans="1:21" ht="18.75" x14ac:dyDescent="0.25">
      <c r="A94" s="122"/>
      <c r="B94" s="136" t="s">
        <v>37</v>
      </c>
      <c r="C94" s="137">
        <f>DATI!$D$24*10^-3</f>
        <v>0.01</v>
      </c>
      <c r="D94" s="137">
        <f>D93-(C94-(DATI!$C$10/DATI!$C$13*C94))/100</f>
        <v>1.6821917808219056E-3</v>
      </c>
      <c r="E94" s="136" t="s">
        <v>37</v>
      </c>
      <c r="F94" s="138">
        <f>(D94*DATI!$C$13-C94*DATI!$C$10)/(D94-C94)</f>
        <v>-31.73913043478202</v>
      </c>
      <c r="G94" s="139">
        <v>0</v>
      </c>
      <c r="H94" s="139">
        <v>0</v>
      </c>
      <c r="I94" s="139">
        <v>0</v>
      </c>
      <c r="J94" s="139">
        <v>0</v>
      </c>
      <c r="K94" s="138">
        <f>IF(D94&gt;=(DATI!$D$26*10^-3),DATI!$D$30*DATI!$I$29,IF(D94&gt;=(-DATI!$D$26*10^-3),DATI!$D$32*D94*DATI!$I$29,-DATI!$D$30*DATI!$I$29))</f>
        <v>317011.95672268805</v>
      </c>
      <c r="L94" s="138">
        <v>0</v>
      </c>
      <c r="M94" s="138">
        <f>IF(C94&gt;=(DATI!$D$26*10^-3),DATI!$D$30*DATI!$I$28,IF(C94&gt;=(-DATI!$D$26*10^-3),DATI!$I$28*DATI!$D$32*C94,-DATI!$D$30*DATI!$I$28))</f>
        <v>352404.7411418116</v>
      </c>
      <c r="N94" s="138">
        <f t="shared" si="4"/>
        <v>669416.69786449964</v>
      </c>
      <c r="O94" s="138">
        <f>-K94*(DATI!$C$13/2)+M94*(DATI!$C$13/2)</f>
        <v>6459183.1564900428</v>
      </c>
      <c r="P94" s="140">
        <f>-N94/(DATI!$C$6*DATI!$C$13*DATI!$I$11*DATI!$I$16)</f>
        <v>-0.34406951641036743</v>
      </c>
      <c r="Q94" s="140">
        <f>O94/(DATI!$C$6*DATI!$C$13^2*DATI!$I$11)</f>
        <v>7.7313140825430804E-3</v>
      </c>
      <c r="R94" s="141">
        <f t="shared" si="5"/>
        <v>9.648972272570175</v>
      </c>
      <c r="S94" s="136" t="str">
        <f>IF(R94&gt;=0, IF(R94&lt;=DATI!$C$8/6, "SI", "NO"),IF(R94&gt; -DATI!$C$8/6, "SI", "NO"))</f>
        <v>SI</v>
      </c>
      <c r="T94" s="138">
        <f t="shared" si="6"/>
        <v>669.41669786449961</v>
      </c>
      <c r="U94" s="136" t="str">
        <f t="shared" si="7"/>
        <v/>
      </c>
    </row>
    <row r="95" spans="1:21" ht="18.75" x14ac:dyDescent="0.25">
      <c r="A95" s="122"/>
      <c r="B95" s="136" t="s">
        <v>37</v>
      </c>
      <c r="C95" s="137">
        <f>DATI!$D$24*10^-3</f>
        <v>0.01</v>
      </c>
      <c r="D95" s="137">
        <f>D94-(C95-(DATI!$C$10/DATI!$C$13*C95))/100</f>
        <v>1.5917808219177961E-3</v>
      </c>
      <c r="E95" s="136" t="s">
        <v>37</v>
      </c>
      <c r="F95" s="138">
        <f>(D95*DATI!$C$13-C95*DATI!$C$10)/(D95-C95)</f>
        <v>-27.473118279569317</v>
      </c>
      <c r="G95" s="139">
        <v>0</v>
      </c>
      <c r="H95" s="139">
        <v>0</v>
      </c>
      <c r="I95" s="139">
        <v>0</v>
      </c>
      <c r="J95" s="139">
        <v>0</v>
      </c>
      <c r="K95" s="138">
        <f>IF(D95&gt;=(DATI!$D$26*10^-3),DATI!$D$30*DATI!$I$29,IF(D95&gt;=(-DATI!$D$26*10^-3),DATI!$D$32*D95*DATI!$I$29,-DATI!$D$30*DATI!$I$29))</f>
        <v>299973.85481413954</v>
      </c>
      <c r="L95" s="138">
        <v>0</v>
      </c>
      <c r="M95" s="138">
        <f>IF(C95&gt;=(DATI!$D$26*10^-3),DATI!$D$30*DATI!$I$28,IF(C95&gt;=(-DATI!$D$26*10^-3),DATI!$I$28*DATI!$D$32*C95,-DATI!$D$30*DATI!$I$28))</f>
        <v>352404.7411418116</v>
      </c>
      <c r="N95" s="138">
        <f t="shared" si="4"/>
        <v>652378.59595595114</v>
      </c>
      <c r="O95" s="138">
        <f>-K95*(DATI!$C$13/2)+M95*(DATI!$C$13/2)</f>
        <v>9568636.7548001483</v>
      </c>
      <c r="P95" s="140">
        <f>-N95/(DATI!$C$6*DATI!$C$13*DATI!$I$11*DATI!$I$16)</f>
        <v>-0.33531220350955976</v>
      </c>
      <c r="Q95" s="140">
        <f>O95/(DATI!$C$6*DATI!$C$13^2*DATI!$I$11)</f>
        <v>1.1453172065386338E-2</v>
      </c>
      <c r="R95" s="141">
        <f t="shared" si="5"/>
        <v>14.667306398639459</v>
      </c>
      <c r="S95" s="136" t="str">
        <f>IF(R95&gt;=0, IF(R95&lt;=DATI!$C$8/6, "SI", "NO"),IF(R95&gt; -DATI!$C$8/6, "SI", "NO"))</f>
        <v>SI</v>
      </c>
      <c r="T95" s="138">
        <f t="shared" si="6"/>
        <v>652.37859595595114</v>
      </c>
      <c r="U95" s="136" t="str">
        <f t="shared" si="7"/>
        <v/>
      </c>
    </row>
    <row r="96" spans="1:21" ht="18.75" x14ac:dyDescent="0.25">
      <c r="A96" s="122"/>
      <c r="B96" s="136" t="s">
        <v>37</v>
      </c>
      <c r="C96" s="137">
        <f>DATI!$D$24*10^-3</f>
        <v>0.01</v>
      </c>
      <c r="D96" s="137">
        <f>D95-(C96-(DATI!$C$10/DATI!$C$13*C96))/100</f>
        <v>1.5013698630136866E-3</v>
      </c>
      <c r="E96" s="136" t="s">
        <v>37</v>
      </c>
      <c r="F96" s="138">
        <f>(D96*DATI!$C$13-C96*DATI!$C$10)/(D96-C96)</f>
        <v>-23.297872340424977</v>
      </c>
      <c r="G96" s="139">
        <v>0</v>
      </c>
      <c r="H96" s="139">
        <v>0</v>
      </c>
      <c r="I96" s="139">
        <v>0</v>
      </c>
      <c r="J96" s="139">
        <v>0</v>
      </c>
      <c r="K96" s="138">
        <f>IF(D96&gt;=(DATI!$D$26*10^-3),DATI!$D$30*DATI!$I$29,IF(D96&gt;=(-DATI!$D$26*10^-3),DATI!$D$32*D96*DATI!$I$29,-DATI!$D$30*DATI!$I$29))</f>
        <v>282935.75290559104</v>
      </c>
      <c r="L96" s="138">
        <v>0</v>
      </c>
      <c r="M96" s="138">
        <f>IF(C96&gt;=(DATI!$D$26*10^-3),DATI!$D$30*DATI!$I$28,IF(C96&gt;=(-DATI!$D$26*10^-3),DATI!$I$28*DATI!$D$32*C96,-DATI!$D$30*DATI!$I$28))</f>
        <v>352404.7411418116</v>
      </c>
      <c r="N96" s="138">
        <f t="shared" si="4"/>
        <v>635340.49404740264</v>
      </c>
      <c r="O96" s="138">
        <f>-K96*(DATI!$C$13/2)+M96*(DATI!$C$13/2)</f>
        <v>12678090.353110246</v>
      </c>
      <c r="P96" s="140">
        <f>-N96/(DATI!$C$6*DATI!$C$13*DATI!$I$11*DATI!$I$16)</f>
        <v>-0.32655489060875215</v>
      </c>
      <c r="Q96" s="140">
        <f>O96/(DATI!$C$6*DATI!$C$13^2*DATI!$I$11)</f>
        <v>1.5175030048229586E-2</v>
      </c>
      <c r="R96" s="141">
        <f t="shared" si="5"/>
        <v>19.954796635651459</v>
      </c>
      <c r="S96" s="136" t="str">
        <f>IF(R96&gt;=0, IF(R96&lt;=DATI!$C$8/6, "SI", "NO"),IF(R96&gt; -DATI!$C$8/6, "SI", "NO"))</f>
        <v>SI</v>
      </c>
      <c r="T96" s="138">
        <f t="shared" si="6"/>
        <v>635.34049404740267</v>
      </c>
      <c r="U96" s="136" t="str">
        <f t="shared" si="7"/>
        <v/>
      </c>
    </row>
    <row r="97" spans="1:21" ht="18.75" x14ac:dyDescent="0.25">
      <c r="A97" s="122"/>
      <c r="B97" s="136" t="s">
        <v>37</v>
      </c>
      <c r="C97" s="137">
        <f>DATI!$D$24*10^-3</f>
        <v>0.01</v>
      </c>
      <c r="D97" s="137">
        <f>D96-(C97-(DATI!$C$10/DATI!$C$13*C97))/100</f>
        <v>1.4109589041095771E-3</v>
      </c>
      <c r="E97" s="136" t="s">
        <v>37</v>
      </c>
      <c r="F97" s="138">
        <f>(D97*DATI!$C$13-C97*DATI!$C$10)/(D97-C97)</f>
        <v>-19.210526315788929</v>
      </c>
      <c r="G97" s="139">
        <v>0</v>
      </c>
      <c r="H97" s="139">
        <v>0</v>
      </c>
      <c r="I97" s="139">
        <v>0</v>
      </c>
      <c r="J97" s="139">
        <v>0</v>
      </c>
      <c r="K97" s="138">
        <f>IF(D97&gt;=(DATI!$D$26*10^-3),DATI!$D$30*DATI!$I$29,IF(D97&gt;=(-DATI!$D$26*10^-3),DATI!$D$32*D97*DATI!$I$29,-DATI!$D$30*DATI!$I$29))</f>
        <v>265897.6509970426</v>
      </c>
      <c r="L97" s="138">
        <v>0</v>
      </c>
      <c r="M97" s="138">
        <f>IF(C97&gt;=(DATI!$D$26*10^-3),DATI!$D$30*DATI!$I$28,IF(C97&gt;=(-DATI!$D$26*10^-3),DATI!$I$28*DATI!$D$32*C97,-DATI!$D$30*DATI!$I$28))</f>
        <v>352404.7411418116</v>
      </c>
      <c r="N97" s="138">
        <f t="shared" si="4"/>
        <v>618302.39213885413</v>
      </c>
      <c r="O97" s="138">
        <f>-K97*(DATI!$C$13/2)+M97*(DATI!$C$13/2)</f>
        <v>15787543.951420337</v>
      </c>
      <c r="P97" s="140">
        <f>-N97/(DATI!$C$6*DATI!$C$13*DATI!$I$11*DATI!$I$16)</f>
        <v>-0.31779757770794448</v>
      </c>
      <c r="Q97" s="140">
        <f>O97/(DATI!$C$6*DATI!$C$13^2*DATI!$I$11)</f>
        <v>1.8896888031072825E-2</v>
      </c>
      <c r="R97" s="141">
        <f t="shared" si="5"/>
        <v>25.533693791491718</v>
      </c>
      <c r="S97" s="136" t="str">
        <f>IF(R97&gt;=0, IF(R97&lt;=DATI!$C$8/6, "SI", "NO"),IF(R97&gt; -DATI!$C$8/6, "SI", "NO"))</f>
        <v>SI</v>
      </c>
      <c r="T97" s="138">
        <f t="shared" si="6"/>
        <v>618.30239213885409</v>
      </c>
      <c r="U97" s="136" t="str">
        <f t="shared" si="7"/>
        <v/>
      </c>
    </row>
    <row r="98" spans="1:21" ht="18.75" x14ac:dyDescent="0.25">
      <c r="A98" s="122"/>
      <c r="B98" s="136" t="s">
        <v>37</v>
      </c>
      <c r="C98" s="137">
        <f>DATI!$D$24*10^-3</f>
        <v>0.01</v>
      </c>
      <c r="D98" s="137">
        <f>D97-(C98-(DATI!$C$10/DATI!$C$13*C98))/100</f>
        <v>1.3205479452054675E-3</v>
      </c>
      <c r="E98" s="136" t="s">
        <v>37</v>
      </c>
      <c r="F98" s="138">
        <f>(D98*DATI!$C$13-C98*DATI!$C$10)/(D98-C98)</f>
        <v>-15.208333333332808</v>
      </c>
      <c r="G98" s="139">
        <v>0</v>
      </c>
      <c r="H98" s="139">
        <v>0</v>
      </c>
      <c r="I98" s="139">
        <v>0</v>
      </c>
      <c r="J98" s="139">
        <v>0</v>
      </c>
      <c r="K98" s="138">
        <f>IF(D98&gt;=(DATI!$D$26*10^-3),DATI!$D$30*DATI!$I$29,IF(D98&gt;=(-DATI!$D$26*10^-3),DATI!$D$32*D98*DATI!$I$29,-DATI!$D$30*DATI!$I$29))</f>
        <v>248859.54908849407</v>
      </c>
      <c r="L98" s="138">
        <v>0</v>
      </c>
      <c r="M98" s="138">
        <f>IF(C98&gt;=(DATI!$D$26*10^-3),DATI!$D$30*DATI!$I$28,IF(C98&gt;=(-DATI!$D$26*10^-3),DATI!$I$28*DATI!$D$32*C98,-DATI!$D$30*DATI!$I$28))</f>
        <v>352404.7411418116</v>
      </c>
      <c r="N98" s="138">
        <f t="shared" si="4"/>
        <v>601264.29023030563</v>
      </c>
      <c r="O98" s="138">
        <f>-K98*(DATI!$C$13/2)+M98*(DATI!$C$13/2)</f>
        <v>18896997.54973045</v>
      </c>
      <c r="P98" s="140">
        <f>-N98/(DATI!$C$6*DATI!$C$13*DATI!$I$11*DATI!$I$16)</f>
        <v>-0.30904026480713681</v>
      </c>
      <c r="Q98" s="140">
        <f>O98/(DATI!$C$6*DATI!$C$13^2*DATI!$I$11)</f>
        <v>2.2618746013916093E-2</v>
      </c>
      <c r="R98" s="141">
        <f t="shared" si="5"/>
        <v>31.428770769826073</v>
      </c>
      <c r="S98" s="136" t="str">
        <f>IF(R98&gt;=0, IF(R98&lt;=DATI!$C$8/6, "SI", "NO"),IF(R98&gt; -DATI!$C$8/6, "SI", "NO"))</f>
        <v>SI</v>
      </c>
      <c r="T98" s="138">
        <f t="shared" si="6"/>
        <v>601.26429023030562</v>
      </c>
      <c r="U98" s="136" t="str">
        <f t="shared" si="7"/>
        <v/>
      </c>
    </row>
    <row r="99" spans="1:21" ht="18.75" x14ac:dyDescent="0.25">
      <c r="A99" s="122"/>
      <c r="B99" s="136" t="s">
        <v>37</v>
      </c>
      <c r="C99" s="137">
        <f>DATI!$D$24*10^-3</f>
        <v>0.01</v>
      </c>
      <c r="D99" s="137">
        <f>D98-(C99-(DATI!$C$10/DATI!$C$13*C99))/100</f>
        <v>1.230136986301358E-3</v>
      </c>
      <c r="E99" s="136" t="s">
        <v>37</v>
      </c>
      <c r="F99" s="138">
        <f>(D99*DATI!$C$13-C99*DATI!$C$10)/(D99-C99)</f>
        <v>-11.28865979381392</v>
      </c>
      <c r="G99" s="139">
        <v>0</v>
      </c>
      <c r="H99" s="139">
        <v>0</v>
      </c>
      <c r="I99" s="139">
        <v>0</v>
      </c>
      <c r="J99" s="139">
        <v>0</v>
      </c>
      <c r="K99" s="138">
        <f>IF(D99&gt;=(DATI!$D$26*10^-3),DATI!$D$30*DATI!$I$29,IF(D99&gt;=(-DATI!$D$26*10^-3),DATI!$D$32*D99*DATI!$I$29,-DATI!$D$30*DATI!$I$29))</f>
        <v>231821.44717994559</v>
      </c>
      <c r="L99" s="138">
        <v>0</v>
      </c>
      <c r="M99" s="138">
        <f>IF(C99&gt;=(DATI!$D$26*10^-3),DATI!$D$30*DATI!$I$28,IF(C99&gt;=(-DATI!$D$26*10^-3),DATI!$I$28*DATI!$D$32*C99,-DATI!$D$30*DATI!$I$28))</f>
        <v>352404.7411418116</v>
      </c>
      <c r="N99" s="138">
        <f t="shared" si="4"/>
        <v>584226.18832175713</v>
      </c>
      <c r="O99" s="138">
        <f>-K99*(DATI!$C$13/2)+M99*(DATI!$C$13/2)</f>
        <v>22006451.148040541</v>
      </c>
      <c r="P99" s="140">
        <f>-N99/(DATI!$C$6*DATI!$C$13*DATI!$I$11*DATI!$I$16)</f>
        <v>-0.3002829519063292</v>
      </c>
      <c r="Q99" s="140">
        <f>O99/(DATI!$C$6*DATI!$C$13^2*DATI!$I$11)</f>
        <v>2.6340603996759332E-2</v>
      </c>
      <c r="R99" s="141">
        <f t="shared" si="5"/>
        <v>37.66769033626526</v>
      </c>
      <c r="S99" s="136" t="str">
        <f>IF(R99&gt;=0, IF(R99&lt;=DATI!$C$8/6, "SI", "NO"),IF(R99&gt; -DATI!$C$8/6, "SI", "NO"))</f>
        <v>SI</v>
      </c>
      <c r="T99" s="138">
        <f t="shared" si="6"/>
        <v>584.22618832175715</v>
      </c>
      <c r="U99" s="136" t="str">
        <f t="shared" si="7"/>
        <v/>
      </c>
    </row>
    <row r="100" spans="1:21" ht="18.75" x14ac:dyDescent="0.25">
      <c r="A100" s="122"/>
      <c r="B100" s="136" t="s">
        <v>37</v>
      </c>
      <c r="C100" s="137">
        <f>DATI!$D$24*10^-3</f>
        <v>0.01</v>
      </c>
      <c r="D100" s="137">
        <f>D99-(C100-(DATI!$C$10/DATI!$C$13*C100))/100</f>
        <v>1.1397260273972485E-3</v>
      </c>
      <c r="E100" s="136" t="s">
        <v>37</v>
      </c>
      <c r="F100" s="138">
        <f>(D100*DATI!$C$13-C100*DATI!$C$10)/(D100-C100)</f>
        <v>-7.4489795918362365</v>
      </c>
      <c r="G100" s="139">
        <v>0</v>
      </c>
      <c r="H100" s="139">
        <v>0</v>
      </c>
      <c r="I100" s="139">
        <v>0</v>
      </c>
      <c r="J100" s="139">
        <v>0</v>
      </c>
      <c r="K100" s="138">
        <f>IF(D100&gt;=(DATI!$D$26*10^-3),DATI!$D$30*DATI!$I$29,IF(D100&gt;=(-DATI!$D$26*10^-3),DATI!$D$32*D100*DATI!$I$29,-DATI!$D$30*DATI!$I$29))</f>
        <v>214783.34527139709</v>
      </c>
      <c r="L100" s="138">
        <v>0</v>
      </c>
      <c r="M100" s="138">
        <f>IF(C100&gt;=(DATI!$D$26*10^-3),DATI!$D$30*DATI!$I$28,IF(C100&gt;=(-DATI!$D$26*10^-3),DATI!$I$28*DATI!$D$32*C100,-DATI!$D$30*DATI!$I$28))</f>
        <v>352404.7411418116</v>
      </c>
      <c r="N100" s="138">
        <f t="shared" si="4"/>
        <v>567188.08641320863</v>
      </c>
      <c r="O100" s="138">
        <f>-K100*(DATI!$C$13/2)+M100*(DATI!$C$13/2)</f>
        <v>25115904.746350646</v>
      </c>
      <c r="P100" s="140">
        <f>-N100/(DATI!$C$6*DATI!$C$13*DATI!$I$11*DATI!$I$16)</f>
        <v>-0.29152563900552153</v>
      </c>
      <c r="Q100" s="140">
        <f>O100/(DATI!$C$6*DATI!$C$13^2*DATI!$I$11)</f>
        <v>3.0062461979602589E-2</v>
      </c>
      <c r="R100" s="141">
        <f t="shared" si="5"/>
        <v>44.281439169815663</v>
      </c>
      <c r="S100" s="136" t="str">
        <f>IF(R100&gt;=0, IF(R100&lt;=DATI!$C$8/6, "SI", "NO"),IF(R100&gt; -DATI!$C$8/6, "SI", "NO"))</f>
        <v>SI</v>
      </c>
      <c r="T100" s="138">
        <f t="shared" si="6"/>
        <v>567.18808641320868</v>
      </c>
      <c r="U100" s="136" t="str">
        <f t="shared" si="7"/>
        <v/>
      </c>
    </row>
    <row r="101" spans="1:21" ht="18.75" x14ac:dyDescent="0.25">
      <c r="A101" s="122"/>
      <c r="B101" s="136" t="s">
        <v>37</v>
      </c>
      <c r="C101" s="137">
        <f>DATI!$D$24*10^-3</f>
        <v>0.01</v>
      </c>
      <c r="D101" s="137">
        <f>D100-(C101-(DATI!$C$10/DATI!$C$13*C101))/100</f>
        <v>1.049315068493139E-3</v>
      </c>
      <c r="E101" s="136" t="s">
        <v>37</v>
      </c>
      <c r="F101" s="138">
        <f>(D101*DATI!$C$13-C101*DATI!$C$10)/(D101-C101)</f>
        <v>-3.6868686868682015</v>
      </c>
      <c r="G101" s="139">
        <v>0</v>
      </c>
      <c r="H101" s="139">
        <v>0</v>
      </c>
      <c r="I101" s="139">
        <v>0</v>
      </c>
      <c r="J101" s="139">
        <v>0</v>
      </c>
      <c r="K101" s="138">
        <f>IF(D101&gt;=(DATI!$D$26*10^-3),DATI!$D$30*DATI!$I$29,IF(D101&gt;=(-DATI!$D$26*10^-3),DATI!$D$32*D101*DATI!$I$29,-DATI!$D$30*DATI!$I$29))</f>
        <v>197745.24336284862</v>
      </c>
      <c r="L101" s="138">
        <v>0</v>
      </c>
      <c r="M101" s="138">
        <f>IF(C101&gt;=(DATI!$D$26*10^-3),DATI!$D$30*DATI!$I$28,IF(C101&gt;=(-DATI!$D$26*10^-3),DATI!$I$28*DATI!$D$32*C101,-DATI!$D$30*DATI!$I$28))</f>
        <v>352404.7411418116</v>
      </c>
      <c r="N101" s="138">
        <f t="shared" si="4"/>
        <v>550149.98450466024</v>
      </c>
      <c r="O101" s="138">
        <f>-K101*(DATI!$C$13/2)+M101*(DATI!$C$13/2)</f>
        <v>28225358.344660744</v>
      </c>
      <c r="P101" s="140">
        <f>-N101/(DATI!$C$6*DATI!$C$13*DATI!$I$11*DATI!$I$16)</f>
        <v>-0.28276832610471392</v>
      </c>
      <c r="Q101" s="140">
        <f>O101/(DATI!$C$6*DATI!$C$13^2*DATI!$I$11)</f>
        <v>3.3784319962445838E-2</v>
      </c>
      <c r="R101" s="141">
        <f t="shared" si="5"/>
        <v>51.304842569565956</v>
      </c>
      <c r="S101" s="136" t="str">
        <f>IF(R101&gt;=0, IF(R101&lt;=DATI!$C$8/6, "SI", "NO"),IF(R101&gt; -DATI!$C$8/6, "SI", "NO"))</f>
        <v>SI</v>
      </c>
      <c r="T101" s="138">
        <f t="shared" si="6"/>
        <v>550.14998450466021</v>
      </c>
      <c r="U101" s="136" t="str">
        <f t="shared" si="7"/>
        <v/>
      </c>
    </row>
    <row r="102" spans="1:21" ht="19.5" thickBot="1" x14ac:dyDescent="0.3">
      <c r="A102" s="122"/>
      <c r="B102" s="142" t="s">
        <v>37</v>
      </c>
      <c r="C102" s="143">
        <f>DATI!$D$24*10^-3</f>
        <v>0.01</v>
      </c>
      <c r="D102" s="143">
        <f>D101-(C102-(DATI!$C$10/DATI!$C$13*C102))/100</f>
        <v>9.5890410958902937E-4</v>
      </c>
      <c r="E102" s="142" t="s">
        <v>37</v>
      </c>
      <c r="F102" s="144">
        <f>(D102*DATI!$C$13-C102*DATI!$C$10)/(D102-C102)</f>
        <v>4.7890984107694186E-13</v>
      </c>
      <c r="G102" s="145">
        <v>0</v>
      </c>
      <c r="H102" s="145">
        <v>0</v>
      </c>
      <c r="I102" s="145">
        <v>0</v>
      </c>
      <c r="J102" s="145">
        <v>0</v>
      </c>
      <c r="K102" s="144">
        <f>IF(D102&gt;=(DATI!$D$26*10^-3),DATI!$D$30*DATI!$I$29,IF(D102&gt;=(-DATI!$D$26*10^-3),DATI!$D$32*D102*DATI!$I$29,-DATI!$D$30*DATI!$I$29))</f>
        <v>180707.14145430012</v>
      </c>
      <c r="L102" s="144">
        <v>0</v>
      </c>
      <c r="M102" s="144">
        <f>IF(C102&gt;=(DATI!$D$26*10^-3),DATI!$D$30*DATI!$I$28,IF(C102&gt;=(-DATI!$D$26*10^-3),DATI!$I$28*DATI!$D$32*C102,-DATI!$D$30*DATI!$I$28))</f>
        <v>352404.7411418116</v>
      </c>
      <c r="N102" s="144">
        <f t="shared" si="4"/>
        <v>533111.88259611174</v>
      </c>
      <c r="O102" s="144">
        <f>-K102*(DATI!$C$13/2)+M102*(DATI!$C$13/2)</f>
        <v>31334811.942970842</v>
      </c>
      <c r="P102" s="146">
        <f>-N102/(DATI!$C$6*DATI!$C$13*DATI!$I$11*DATI!$I$16)</f>
        <v>-0.27401101320390625</v>
      </c>
      <c r="Q102" s="147">
        <f>O102/(DATI!$C$6*DATI!$C$13^2*DATI!$I$11)</f>
        <v>3.7506177945289085E-2</v>
      </c>
      <c r="R102" s="148">
        <f t="shared" si="5"/>
        <v>58.777177860637288</v>
      </c>
      <c r="S102" s="142" t="str">
        <f>IF(R102&gt;=0, IF(R102&lt;=DATI!$C$8/6, "SI", "NO"),IF(R102&gt; -DATI!$C$8/6, "SI", "NO"))</f>
        <v>SI</v>
      </c>
      <c r="T102" s="144">
        <f t="shared" si="6"/>
        <v>533.11188259611174</v>
      </c>
      <c r="U102" s="142" t="str">
        <f t="shared" si="7"/>
        <v/>
      </c>
    </row>
    <row r="103" spans="1:21" ht="26.25" customHeight="1" x14ac:dyDescent="0.25">
      <c r="A103" s="252" t="s">
        <v>36</v>
      </c>
      <c r="B103" s="149">
        <v>0</v>
      </c>
      <c r="C103" s="149">
        <f>DATI!$D$24*10^-3</f>
        <v>0.01</v>
      </c>
      <c r="D103" s="150">
        <f>(DATI!$C$10-F103)/(DATI!$C$13-F103)*C103</f>
        <v>9.5890410958904108E-4</v>
      </c>
      <c r="E103" s="151" t="s">
        <v>37</v>
      </c>
      <c r="F103" s="152">
        <f>(DATI!$C$13*B103)/(B103+C103)</f>
        <v>0</v>
      </c>
      <c r="G103" s="153">
        <f>(2*DATI!$I$10/(-DATI!$I$14)+DATI!$D$49)*(-B103*10^3)^2/2-(DATI!$I$10/(-DATI!$I$14)^2)*(-B103*10^3)^3/3</f>
        <v>0</v>
      </c>
      <c r="H103" s="153">
        <f>(2*DATI!$I$10/(-DATI!$I$14)+DATI!$D$49)*(-B103*10^3)^3/3-((DATI!$I$10/(-DATI!$I$14)^2)*(-B103*10^3)^4/4)</f>
        <v>0</v>
      </c>
      <c r="I103" s="153">
        <f>G103/(Foglio1!$P$3*(-DATI!$I$13))</f>
        <v>0</v>
      </c>
      <c r="J103" s="153">
        <v>0</v>
      </c>
      <c r="K103" s="152">
        <f>IF(D103&gt;=(DATI!$D$26*10^-3),DATI!$D$30*DATI!$I$29,IF(D103&gt;=(-DATI!$D$26*10^-3),DATI!$D$32*D103*DATI!$I$29,-DATI!$D$30*DATI!$I$29))</f>
        <v>180707.1414543023</v>
      </c>
      <c r="L103" s="152">
        <f>-DATI!$I$16*DATI!$C$6*DATI!$I$11*F103*I103</f>
        <v>0</v>
      </c>
      <c r="M103" s="152">
        <f>IF(C103&gt;=(DATI!$D$26*10^-3),DATI!$D$30*DATI!$I$28,IF(C103&gt;=(-DATI!$D$26*10^-3),DATI!$I$28*DATI!$D$32*C103,-DATI!$D$30*DATI!$I$28))</f>
        <v>352404.7411418116</v>
      </c>
      <c r="N103" s="152">
        <f t="shared" si="4"/>
        <v>533111.88259611395</v>
      </c>
      <c r="O103" s="152">
        <f>-L103*(DATI!$C$8/2+-J103*F103)-K103*(DATI!$C$13/2)+M103*(DATI!$C$13/2)</f>
        <v>31334811.942970444</v>
      </c>
      <c r="P103" s="154">
        <f>-N103/(DATI!$C$6*DATI!$C$13*DATI!$I$11*DATI!$I$16)</f>
        <v>-0.27401101320390742</v>
      </c>
      <c r="Q103" s="154">
        <f>O103/(DATI!$C$6*DATI!$C$13^2*DATI!$I$11)</f>
        <v>3.7506177945288606E-2</v>
      </c>
      <c r="R103" s="155">
        <f t="shared" si="5"/>
        <v>58.777177860636293</v>
      </c>
      <c r="S103" s="151" t="str">
        <f>IF(R103&gt;=0, IF(R103&lt;=DATI!$C$8/6, "SI", "NO"),IF(R103&gt; -DATI!$C$8/6, "SI", "NO"))</f>
        <v>SI</v>
      </c>
      <c r="T103" s="152">
        <f t="shared" si="6"/>
        <v>533.1118825961139</v>
      </c>
      <c r="U103" s="151" t="str">
        <f t="shared" si="7"/>
        <v/>
      </c>
    </row>
    <row r="104" spans="1:21" ht="18.75" customHeight="1" x14ac:dyDescent="0.25">
      <c r="A104" s="252"/>
      <c r="B104" s="137">
        <v>-1E-4</v>
      </c>
      <c r="C104" s="137">
        <f>DATI!$D$24*10^-3</f>
        <v>0.01</v>
      </c>
      <c r="D104" s="137">
        <f>(DATI!$C$10-F104)/(DATI!$C$13-F104)*C104</f>
        <v>8.6849315068493233E-4</v>
      </c>
      <c r="E104" s="136" t="s">
        <v>37</v>
      </c>
      <c r="F104" s="138">
        <f>(DATI!$C$13-DATI!$D$24*10^(-3)/(DATI!$D$24*10^(-3)-B104)*DATI!$C$13)</f>
        <v>3.6138613861385807</v>
      </c>
      <c r="G104" s="139">
        <f>(2*DATI!$I$10/(-DATI!$I$14)+DATI!$D$49)*(-B104*10^3)^2/2-(DATI!$I$10/(-DATI!$I$14)^2)*(-B104*10^3)^3/3</f>
        <v>6.0337694849195309E-2</v>
      </c>
      <c r="H104" s="139">
        <f>(2*DATI!$I$10/(-DATI!$I$14)+DATI!$D$49)*(-B104*10^3)^3/3-((DATI!$I$10/(-DATI!$I$14)^2)*(-B104*10^3)^4/4)</f>
        <v>4.0147969405636376E-3</v>
      </c>
      <c r="I104" s="139">
        <f>G104/(Foglio1!$P$3*(-DATI!$I$13))</f>
        <v>1.1261791821618116E-3</v>
      </c>
      <c r="J104" s="139">
        <f t="shared" ref="J104:J135" si="8">1-(H104/G104)/(-B104*10^3)</f>
        <v>0.33461214410030105</v>
      </c>
      <c r="K104" s="138">
        <f>IF(D104&gt;=(DATI!$D$26*10^-3),DATI!$D$30*DATI!$I$29,IF(D104&gt;=(-DATI!$D$26*10^-3),DATI!$D$32*D104*DATI!$I$29,-DATI!$D$30*DATI!$I$29))</f>
        <v>163669.03954575397</v>
      </c>
      <c r="L104" s="138">
        <f>-DATI!$I$16*DATI!$C$6*DATI!$I$11*F104*I104</f>
        <v>-21.693841625857928</v>
      </c>
      <c r="M104" s="138">
        <f>IF(C104&gt;=(DATI!$D$26*10^-3),DATI!$D$30*DATI!$I$28,IF(C104&gt;=(-DATI!$D$26*10^-3),DATI!$I$28*DATI!$D$32*C104,-DATI!$D$30*DATI!$I$28))</f>
        <v>352404.7411418116</v>
      </c>
      <c r="N104" s="138">
        <f t="shared" si="4"/>
        <v>516052.08684593975</v>
      </c>
      <c r="O104" s="138">
        <f>-L104*(DATI!$C$8/2+-J104*F104)-K104*(DATI!$C$13/2)+M104*(DATI!$C$13/2)</f>
        <v>34448578.076503277</v>
      </c>
      <c r="P104" s="140">
        <f>-N104/(DATI!$C$6*DATI!$C$13*DATI!$I$11*DATI!$I$16)</f>
        <v>-0.26524255001416752</v>
      </c>
      <c r="Q104" s="140">
        <f>O104/(DATI!$C$6*DATI!$C$13^2*DATI!$I$11)</f>
        <v>4.1233197813697137E-2</v>
      </c>
      <c r="R104" s="141">
        <f t="shared" si="5"/>
        <v>66.754071836138948</v>
      </c>
      <c r="S104" s="136" t="str">
        <f>IF(R104&gt;=0, IF(R104&lt;=DATI!$C$8/6, "SI", "NO"),IF(R104&gt; -DATI!$C$8/6, "SI", "NO"))</f>
        <v>NO</v>
      </c>
      <c r="T104" s="138">
        <f t="shared" si="6"/>
        <v>516.07378068756555</v>
      </c>
      <c r="U104" s="136" t="str">
        <f t="shared" si="7"/>
        <v/>
      </c>
    </row>
    <row r="105" spans="1:21" ht="18.75" x14ac:dyDescent="0.25">
      <c r="A105" s="252"/>
      <c r="B105" s="137">
        <f t="shared" ref="B105:B143" si="9">B104-0.0001</f>
        <v>-2.0000000000000001E-4</v>
      </c>
      <c r="C105" s="137">
        <f>DATI!$D$24*10^-3</f>
        <v>0.01</v>
      </c>
      <c r="D105" s="137">
        <f>(DATI!$C$10-F105)/(DATI!$C$13-F105)*C105</f>
        <v>7.7808219178082119E-4</v>
      </c>
      <c r="E105" s="136" t="s">
        <v>37</v>
      </c>
      <c r="F105" s="138">
        <f>(DATI!$C$13-DATI!$D$24*10^(-3)/(DATI!$D$24*10^(-3)-B105)*DATI!$C$13)</f>
        <v>7.1568627450980671</v>
      </c>
      <c r="G105" s="139">
        <f>(2*DATI!$I$10/(-DATI!$I$14)+DATI!$D$49)*(-B105*10^3)^2/2-(DATI!$I$10/(-DATI!$I$14)^2)*(-B105*10^3)^3/3</f>
        <v>0.23764707569307753</v>
      </c>
      <c r="H105" s="139">
        <f>(2*DATI!$I$10/(-DATI!$I$14)+DATI!$D$49)*(-B105*10^3)^3/3-((DATI!$I$10/(-DATI!$I$14)^2)*(-B105*10^3)^4/4)</f>
        <v>3.1562819968953548E-2</v>
      </c>
      <c r="I105" s="139">
        <f>G105/(Foglio1!$P$3*(-DATI!$I$13))</f>
        <v>4.435588565590445E-3</v>
      </c>
      <c r="J105" s="139">
        <f t="shared" si="8"/>
        <v>0.33593081511936851</v>
      </c>
      <c r="K105" s="138">
        <f>IF(D105&gt;=(DATI!$D$26*10^-3),DATI!$D$30*DATI!$I$29,IF(D105&gt;=(-DATI!$D$26*10^-3),DATI!$D$32*D105*DATI!$I$29,-DATI!$D$30*DATI!$I$29))</f>
        <v>146630.93763720518</v>
      </c>
      <c r="L105" s="138">
        <f>-DATI!$I$16*DATI!$C$6*DATI!$I$11*F105*I105</f>
        <v>-169.21210309765149</v>
      </c>
      <c r="M105" s="138">
        <f>IF(C105&gt;=(DATI!$D$26*10^-3),DATI!$D$30*DATI!$I$28,IF(C105&gt;=(-DATI!$D$26*10^-3),DATI!$I$28*DATI!$D$32*C105,-DATI!$D$30*DATI!$I$28))</f>
        <v>352404.7411418116</v>
      </c>
      <c r="N105" s="138">
        <f t="shared" si="4"/>
        <v>498866.46667591913</v>
      </c>
      <c r="O105" s="138">
        <f>-L105*(DATI!$C$8/2+-J105*F105)-K105*(DATI!$C$13/2)+M105*(DATI!$C$13/2)</f>
        <v>37587154.738655329</v>
      </c>
      <c r="P105" s="140">
        <f>-N105/(DATI!$C$6*DATI!$C$13*DATI!$I$11*DATI!$I$16)</f>
        <v>-0.2564094150774765</v>
      </c>
      <c r="Q105" s="140">
        <f>O105/(DATI!$C$6*DATI!$C$13^2*DATI!$I$11)</f>
        <v>4.4989914624375585E-2</v>
      </c>
      <c r="R105" s="141">
        <f t="shared" si="5"/>
        <v>75.345121890249729</v>
      </c>
      <c r="S105" s="136" t="str">
        <f>IF(R105&gt;=0, IF(R105&lt;=DATI!$C$8/6, "SI", "NO"),IF(R105&gt; -DATI!$C$8/6, "SI", "NO"))</f>
        <v>NO</v>
      </c>
      <c r="T105" s="138">
        <f t="shared" si="6"/>
        <v>499.03567877901679</v>
      </c>
      <c r="U105" s="136" t="str">
        <f t="shared" si="7"/>
        <v/>
      </c>
    </row>
    <row r="106" spans="1:21" ht="18.75" x14ac:dyDescent="0.25">
      <c r="A106" s="122"/>
      <c r="B106" s="137">
        <f t="shared" si="9"/>
        <v>-3.0000000000000003E-4</v>
      </c>
      <c r="C106" s="137">
        <f>DATI!$D$24*10^-3</f>
        <v>0.01</v>
      </c>
      <c r="D106" s="137">
        <f>(DATI!$C$10-F106)/(DATI!$C$13-F106)*C106</f>
        <v>6.8767123287671211E-4</v>
      </c>
      <c r="E106" s="136" t="s">
        <v>37</v>
      </c>
      <c r="F106" s="138">
        <f>(DATI!$C$13-DATI!$D$24*10^(-3)/(DATI!$D$24*10^(-3)-B106)*DATI!$C$13)</f>
        <v>10.631067961165058</v>
      </c>
      <c r="G106" s="139">
        <f>(2*DATI!$I$10/(-DATI!$I$14)+DATI!$D$49)*(-B106*10^3)^2/2-(DATI!$I$10/(-DATI!$I$14)^2)*(-B106*10^3)^3/3</f>
        <v>0.52637258697609113</v>
      </c>
      <c r="H106" s="139">
        <f>(2*DATI!$I$10/(-DATI!$I$14)+DATI!$D$49)*(-B106*10^3)^3/3-((DATI!$I$10/(-DATI!$I$14)^2)*(-B106*10^3)^4/4)</f>
        <v>0.10464951739521824</v>
      </c>
      <c r="I106" s="139">
        <f>G106/(Foglio1!$P$3*(-DATI!$I$13))</f>
        <v>9.8245359057006973E-3</v>
      </c>
      <c r="J106" s="139">
        <f t="shared" si="8"/>
        <v>0.33729123954820983</v>
      </c>
      <c r="K106" s="138">
        <f>IF(D106&gt;=(DATI!$D$26*10^-3),DATI!$D$30*DATI!$I$29,IF(D106&gt;=(-DATI!$D$26*10^-3),DATI!$D$32*D106*DATI!$I$29,-DATI!$D$30*DATI!$I$29))</f>
        <v>129592.83572865676</v>
      </c>
      <c r="L106" s="138">
        <f>-DATI!$I$16*DATI!$C$6*DATI!$I$11*F106*I106</f>
        <v>-556.7322996991993</v>
      </c>
      <c r="M106" s="138">
        <f>IF(C106&gt;=(DATI!$D$26*10^-3),DATI!$D$30*DATI!$I$28,IF(C106&gt;=(-DATI!$D$26*10^-3),DATI!$I$28*DATI!$D$32*C106,-DATI!$D$30*DATI!$I$28))</f>
        <v>352404.7411418116</v>
      </c>
      <c r="N106" s="138">
        <f t="shared" si="4"/>
        <v>481440.84457076917</v>
      </c>
      <c r="O106" s="138">
        <f>-L106*(DATI!$C$8/2+-J106*F106)-K106*(DATI!$C$13/2)+M106*(DATI!$C$13/2)</f>
        <v>40772522.886038937</v>
      </c>
      <c r="P106" s="140">
        <f>-N106/(DATI!$C$6*DATI!$C$13*DATI!$I$11*DATI!$I$16)</f>
        <v>-0.2474529229702504</v>
      </c>
      <c r="Q106" s="140">
        <f>O106/(DATI!$C$6*DATI!$C$13^2*DATI!$I$11)</f>
        <v>4.880263846565671E-2</v>
      </c>
      <c r="R106" s="141">
        <f t="shared" si="5"/>
        <v>84.688541377061327</v>
      </c>
      <c r="S106" s="136" t="str">
        <f>IF(R106&gt;=0, IF(R106&lt;=DATI!$C$8/6, "SI", "NO"),IF(R106&gt; -DATI!$C$8/6, "SI", "NO"))</f>
        <v>NO</v>
      </c>
      <c r="T106" s="138">
        <f t="shared" si="6"/>
        <v>481.99757687046832</v>
      </c>
      <c r="U106" s="136" t="str">
        <f t="shared" si="7"/>
        <v/>
      </c>
    </row>
    <row r="107" spans="1:21" ht="18.75" x14ac:dyDescent="0.25">
      <c r="A107" s="122"/>
      <c r="B107" s="137">
        <f t="shared" si="9"/>
        <v>-4.0000000000000002E-4</v>
      </c>
      <c r="C107" s="137">
        <f>DATI!$D$24*10^-3</f>
        <v>0.01</v>
      </c>
      <c r="D107" s="137">
        <f>(DATI!$C$10-F107)/(DATI!$C$13-F107)*C107</f>
        <v>5.9726027397260259E-4</v>
      </c>
      <c r="E107" s="136" t="s">
        <v>37</v>
      </c>
      <c r="F107" s="138">
        <f>(DATI!$C$13-DATI!$D$24*10^(-3)/(DATI!$D$24*10^(-3)-B107)*DATI!$C$13)</f>
        <v>14.038461538461547</v>
      </c>
      <c r="G107" s="139">
        <f>(2*DATI!$I$10/(-DATI!$I$14)+DATI!$D$49)*(-B107*10^3)^2/2-(DATI!$I$10/(-DATI!$I$14)^2)*(-B107*10^3)^3/3</f>
        <v>0.92095867314268054</v>
      </c>
      <c r="H107" s="139">
        <f>(2*DATI!$I$10/(-DATI!$I$14)+DATI!$D$49)*(-B107*10^3)^3/3-((DATI!$I$10/(-DATI!$I$14)^2)*(-B107*10^3)^4/4)</f>
        <v>0.2436136708627395</v>
      </c>
      <c r="I107" s="139">
        <f>G107/(Foglio1!$P$3*(-DATI!$I$13))</f>
        <v>1.7189328957907368E-2</v>
      </c>
      <c r="J107" s="139">
        <f t="shared" si="8"/>
        <v>0.33869543236008659</v>
      </c>
      <c r="K107" s="138">
        <f>IF(D107&gt;=(DATI!$D$26*10^-3),DATI!$D$30*DATI!$I$29,IF(D107&gt;=(-DATI!$D$26*10^-3),DATI!$D$32*D107*DATI!$I$29,-DATI!$D$30*DATI!$I$29))</f>
        <v>112554.73382010826</v>
      </c>
      <c r="L107" s="138">
        <f>-DATI!$I$16*DATI!$C$6*DATI!$I$11*F107*I107</f>
        <v>-1286.2811908072638</v>
      </c>
      <c r="M107" s="138">
        <f>IF(C107&gt;=(DATI!$D$26*10^-3),DATI!$D$30*DATI!$I$28,IF(C107&gt;=(-DATI!$D$26*10^-3),DATI!$I$28*DATI!$D$32*C107,-DATI!$D$30*DATI!$I$28))</f>
        <v>352404.7411418116</v>
      </c>
      <c r="N107" s="138">
        <f t="shared" si="4"/>
        <v>463673.19377111259</v>
      </c>
      <c r="O107" s="138">
        <f>-L107*(DATI!$C$8/2+-J107*F107)-K107*(DATI!$C$13/2)+M107*(DATI!$C$13/2)</f>
        <v>44023766.612415358</v>
      </c>
      <c r="P107" s="140">
        <f>-N107/(DATI!$C$6*DATI!$C$13*DATI!$I$11*DATI!$I$16)</f>
        <v>-0.23832063356383415</v>
      </c>
      <c r="Q107" s="140">
        <f>O107/(DATI!$C$6*DATI!$C$13^2*DATI!$I$11)</f>
        <v>5.2694212028214289E-2</v>
      </c>
      <c r="R107" s="141">
        <f t="shared" si="5"/>
        <v>94.945679853442698</v>
      </c>
      <c r="S107" s="136" t="str">
        <f>IF(R107&gt;=0, IF(R107&lt;=DATI!$C$8/6, "SI", "NO"),IF(R107&gt; -DATI!$C$8/6, "SI", "NO"))</f>
        <v>NO</v>
      </c>
      <c r="T107" s="138">
        <f t="shared" si="6"/>
        <v>464.95947496191985</v>
      </c>
      <c r="U107" s="136" t="str">
        <f t="shared" si="7"/>
        <v/>
      </c>
    </row>
    <row r="108" spans="1:21" ht="18.75" x14ac:dyDescent="0.25">
      <c r="A108" s="122"/>
      <c r="B108" s="137">
        <f t="shared" si="9"/>
        <v>-5.0000000000000001E-4</v>
      </c>
      <c r="C108" s="137">
        <f>DATI!$D$24*10^-3</f>
        <v>0.01</v>
      </c>
      <c r="D108" s="137">
        <f>(DATI!$C$10-F108)/(DATI!$C$13-F108)*C108</f>
        <v>5.0684931506849243E-4</v>
      </c>
      <c r="E108" s="136" t="s">
        <v>37</v>
      </c>
      <c r="F108" s="138">
        <f>(DATI!$C$13-DATI!$D$24*10^(-3)/(DATI!$D$24*10^(-3)-B108)*DATI!$C$13)</f>
        <v>17.380952380952408</v>
      </c>
      <c r="G108" s="139">
        <f>(2*DATI!$I$10/(-DATI!$I$14)+DATI!$D$49)*(-B108*10^3)^2/2-(DATI!$I$10/(-DATI!$I$14)^2)*(-B108*10^3)^3/3</f>
        <v>1.4158497786372899</v>
      </c>
      <c r="H108" s="139">
        <f>(2*DATI!$I$10/(-DATI!$I$14)+DATI!$D$49)*(-B108*10^3)^3/3-((DATI!$I$10/(-DATI!$I$14)^2)*(-B108*10^3)^4/4)</f>
        <v>0.46712739534823244</v>
      </c>
      <c r="I108" s="139">
        <f>G108/(Foglio1!$P$3*(-DATI!$I$13))</f>
        <v>2.6426275477625244E-2</v>
      </c>
      <c r="J108" s="139">
        <f t="shared" si="8"/>
        <v>0.34014554030184241</v>
      </c>
      <c r="K108" s="138">
        <f>IF(D108&gt;=(DATI!$D$26*10^-3),DATI!$D$30*DATI!$I$29,IF(D108&gt;=(-DATI!$D$26*10^-3),DATI!$D$32*D108*DATI!$I$29,-DATI!$D$30*DATI!$I$29))</f>
        <v>95516.631911559656</v>
      </c>
      <c r="L108" s="138">
        <f>-DATI!$I$16*DATI!$C$6*DATI!$I$11*F108*I108</f>
        <v>-2448.3133873156926</v>
      </c>
      <c r="M108" s="138">
        <f>IF(C108&gt;=(DATI!$D$26*10^-3),DATI!$D$30*DATI!$I$28,IF(C108&gt;=(-DATI!$D$26*10^-3),DATI!$I$28*DATI!$D$32*C108,-DATI!$D$30*DATI!$I$28))</f>
        <v>352404.7411418116</v>
      </c>
      <c r="N108" s="138">
        <f t="shared" si="4"/>
        <v>445473.05966605555</v>
      </c>
      <c r="O108" s="138">
        <f>-L108*(DATI!$C$8/2+-J108*F108)-K108*(DATI!$C$13/2)+M108*(DATI!$C$13/2)</f>
        <v>47357268.052403912</v>
      </c>
      <c r="P108" s="140">
        <f>-N108/(DATI!$C$6*DATI!$C$13*DATI!$I$11*DATI!$I$16)</f>
        <v>-0.22896605462950592</v>
      </c>
      <c r="Q108" s="140">
        <f>O108/(DATI!$C$6*DATI!$C$13^2*DATI!$I$11)</f>
        <v>5.6684243894900968E-2</v>
      </c>
      <c r="R108" s="141">
        <f t="shared" si="5"/>
        <v>106.30781598309181</v>
      </c>
      <c r="S108" s="136" t="str">
        <f>IF(R108&gt;=0, IF(R108&lt;=DATI!$C$8/6, "SI", "NO"),IF(R108&gt; -DATI!$C$8/6, "SI", "NO"))</f>
        <v>NO</v>
      </c>
      <c r="T108" s="138">
        <f t="shared" si="6"/>
        <v>447.92137305337127</v>
      </c>
      <c r="U108" s="136" t="str">
        <f t="shared" si="7"/>
        <v/>
      </c>
    </row>
    <row r="109" spans="1:21" ht="18.75" x14ac:dyDescent="0.25">
      <c r="A109" s="122"/>
      <c r="B109" s="137">
        <f t="shared" si="9"/>
        <v>-6.0000000000000006E-4</v>
      </c>
      <c r="C109" s="137">
        <f>DATI!$D$24*10^-3</f>
        <v>0.01</v>
      </c>
      <c r="D109" s="137">
        <f>(DATI!$C$10-F109)/(DATI!$C$13-F109)*C109</f>
        <v>4.1643835616438362E-4</v>
      </c>
      <c r="E109" s="136" t="s">
        <v>37</v>
      </c>
      <c r="F109" s="138">
        <f>(DATI!$C$13-DATI!$D$24*10^(-3)/(DATI!$D$24*10^(-3)-B109)*DATI!$C$13)</f>
        <v>20.660377358490564</v>
      </c>
      <c r="G109" s="139">
        <f>(2*DATI!$I$10/(-DATI!$I$14)+DATI!$D$49)*(-B109*10^3)^2/2-(DATI!$I$10/(-DATI!$I$14)^2)*(-B109*10^3)^3/3</f>
        <v>2.0054903479043644</v>
      </c>
      <c r="H109" s="139">
        <f>(2*DATI!$I$10/(-DATI!$I$14)+DATI!$D$49)*(-B109*10^3)^3/3-((DATI!$I$10/(-DATI!$I$14)^2)*(-B109*10^3)^4/4)</f>
        <v>0.79219613916174592</v>
      </c>
      <c r="I109" s="139">
        <f>G109/(Foglio1!$P$3*(-DATI!$I$13))</f>
        <v>3.7431683220269144E-2</v>
      </c>
      <c r="J109" s="139">
        <f t="shared" si="8"/>
        <v>0.34164385284497423</v>
      </c>
      <c r="K109" s="138">
        <f>IF(D109&gt;=(DATI!$D$26*10^-3),DATI!$D$30*DATI!$I$29,IF(D109&gt;=(-DATI!$D$26*10^-3),DATI!$D$32*D109*DATI!$I$29,-DATI!$D$30*DATI!$I$29))</f>
        <v>78478.530003011299</v>
      </c>
      <c r="L109" s="138">
        <f>-DATI!$I$16*DATI!$C$6*DATI!$I$11*F109*I109</f>
        <v>-4122.257207695925</v>
      </c>
      <c r="M109" s="138">
        <f>IF(C109&gt;=(DATI!$D$26*10^-3),DATI!$D$30*DATI!$I$28,IF(C109&gt;=(-DATI!$D$26*10^-3),DATI!$I$28*DATI!$D$32*C109,-DATI!$D$30*DATI!$I$28))</f>
        <v>352404.7411418116</v>
      </c>
      <c r="N109" s="138">
        <f t="shared" si="4"/>
        <v>426761.01393712696</v>
      </c>
      <c r="O109" s="138">
        <f>-L109*(DATI!$C$8/2+-J109*F109)-K109*(DATI!$C$13/2)+M109*(DATI!$C$13/2)</f>
        <v>50786888.059291624</v>
      </c>
      <c r="P109" s="140">
        <f>-N109/(DATI!$C$6*DATI!$C$13*DATI!$I$11*DATI!$I$16)</f>
        <v>-0.21934836127715943</v>
      </c>
      <c r="Q109" s="140">
        <f>O109/(DATI!$C$6*DATI!$C$13^2*DATI!$I$11)</f>
        <v>6.0789324802907163E-2</v>
      </c>
      <c r="R109" s="141">
        <f t="shared" si="5"/>
        <v>119.00545363961915</v>
      </c>
      <c r="S109" s="136" t="str">
        <f>IF(R109&gt;=0, IF(R109&lt;=DATI!$C$8/6, "SI", "NO"),IF(R109&gt; -DATI!$C$8/6, "SI", "NO"))</f>
        <v>NO</v>
      </c>
      <c r="T109" s="138">
        <f t="shared" si="6"/>
        <v>430.88327114482286</v>
      </c>
      <c r="U109" s="136" t="str">
        <f t="shared" si="7"/>
        <v/>
      </c>
    </row>
    <row r="110" spans="1:21" ht="18.75" x14ac:dyDescent="0.25">
      <c r="A110" s="122"/>
      <c r="B110" s="137">
        <f t="shared" si="9"/>
        <v>-7.000000000000001E-4</v>
      </c>
      <c r="C110" s="137">
        <f>DATI!$D$24*10^-3</f>
        <v>0.01</v>
      </c>
      <c r="D110" s="137">
        <f>(DATI!$C$10-F110)/(DATI!$C$13-F110)*C110</f>
        <v>3.2602739726027286E-4</v>
      </c>
      <c r="E110" s="136" t="s">
        <v>37</v>
      </c>
      <c r="F110" s="138">
        <f>(DATI!$C$13-DATI!$D$24*10^(-3)/(DATI!$D$24*10^(-3)-B110)*DATI!$C$13)</f>
        <v>23.878504672897236</v>
      </c>
      <c r="G110" s="139">
        <f>(2*DATI!$I$10/(-DATI!$I$14)+DATI!$D$49)*(-B110*10^3)^2/2-(DATI!$I$10/(-DATI!$I$14)^2)*(-B110*10^3)^3/3</f>
        <v>2.684324825388348</v>
      </c>
      <c r="H110" s="139">
        <f>(2*DATI!$I$10/(-DATI!$I$14)+DATI!$D$49)*(-B110*10^3)^3/3-((DATI!$I$10/(-DATI!$I$14)^2)*(-B110*10^3)^4/4)</f>
        <v>1.2341586839466612</v>
      </c>
      <c r="I110" s="139">
        <f>G110/(Foglio1!$P$3*(-DATI!$I$13))</f>
        <v>5.0101859941253851E-2</v>
      </c>
      <c r="J110" s="139">
        <f t="shared" si="8"/>
        <v>0.34319281424726755</v>
      </c>
      <c r="K110" s="138">
        <f>IF(D110&gt;=(DATI!$D$26*10^-3),DATI!$D$30*DATI!$I$29,IF(D110&gt;=(-DATI!$D$26*10^-3),DATI!$D$32*D110*DATI!$I$29,-DATI!$D$30*DATI!$I$29))</f>
        <v>61440.428094462572</v>
      </c>
      <c r="L110" s="138">
        <f>-DATI!$I$16*DATI!$C$6*DATI!$I$11*F110*I110</f>
        <v>-6377.0299253064877</v>
      </c>
      <c r="M110" s="138">
        <f>IF(C110&gt;=(DATI!$D$26*10^-3),DATI!$D$30*DATI!$I$28,IF(C110&gt;=(-DATI!$D$26*10^-3),DATI!$I$28*DATI!$D$32*C110,-DATI!$D$30*DATI!$I$28))</f>
        <v>352404.7411418116</v>
      </c>
      <c r="N110" s="138">
        <f t="shared" si="4"/>
        <v>407468.1393109677</v>
      </c>
      <c r="O110" s="138">
        <f>-L110*(DATI!$C$8/2+-J110*F110)-K110*(DATI!$C$13/2)+M110*(DATI!$C$13/2)</f>
        <v>54324133.79458496</v>
      </c>
      <c r="P110" s="140">
        <f>-N110/(DATI!$C$6*DATI!$C$13*DATI!$I$11*DATI!$I$16)</f>
        <v>-0.20943213112639597</v>
      </c>
      <c r="Q110" s="140">
        <f>O110/(DATI!$C$6*DATI!$C$13^2*DATI!$I$11)</f>
        <v>6.5023228239940153E-2</v>
      </c>
      <c r="R110" s="141">
        <f t="shared" si="5"/>
        <v>133.32118159335735</v>
      </c>
      <c r="S110" s="136" t="str">
        <f>IF(R110&gt;=0, IF(R110&lt;=DATI!$C$8/6, "SI", "NO"),IF(R110&gt; -DATI!$C$8/6, "SI", "NO"))</f>
        <v>NO</v>
      </c>
      <c r="T110" s="138">
        <f t="shared" si="6"/>
        <v>413.84516923627416</v>
      </c>
      <c r="U110" s="136" t="str">
        <f t="shared" si="7"/>
        <v/>
      </c>
    </row>
    <row r="111" spans="1:21" ht="18.75" x14ac:dyDescent="0.25">
      <c r="A111" s="122"/>
      <c r="B111" s="137">
        <f t="shared" si="9"/>
        <v>-8.0000000000000015E-4</v>
      </c>
      <c r="C111" s="137">
        <f>DATI!$D$24*10^-3</f>
        <v>0.01</v>
      </c>
      <c r="D111" s="156">
        <f>(DATI!$C$10-F111)/(DATI!$C$13-F111)*C111</f>
        <v>2.3561643835616518E-4</v>
      </c>
      <c r="E111" s="157" t="s">
        <v>37</v>
      </c>
      <c r="F111" s="158">
        <f>(DATI!$C$13-DATI!$D$24*10^(-3)/(DATI!$D$24*10^(-3)-B111)*DATI!$C$13)</f>
        <v>27.03703703703701</v>
      </c>
      <c r="G111" s="139">
        <f>(2*DATI!$I$10/(-DATI!$I$14)+DATI!$D$49)*(-B111*10^3)^2/2-(DATI!$I$10/(-DATI!$I$14)^2)*(-B111*10^3)^3/3</f>
        <v>3.4467976555336852</v>
      </c>
      <c r="H111" s="139">
        <f>(2*DATI!$I$10/(-DATI!$I$14)+DATI!$D$49)*(-B111*10^3)^3/3-((DATI!$I$10/(-DATI!$I$14)^2)*(-B111*10^3)^4/4)</f>
        <v>1.8066871446796939</v>
      </c>
      <c r="I111" s="139">
        <f>G111/(Foglio1!$P$3*(-DATI!$I$13))</f>
        <v>6.4333113395994165E-2</v>
      </c>
      <c r="J111" s="139">
        <f t="shared" si="8"/>
        <v>0.34479503685865653</v>
      </c>
      <c r="K111" s="138">
        <f>IF(D111&gt;=(DATI!$D$26*10^-3),DATI!$D$30*DATI!$I$29,IF(D111&gt;=(-DATI!$D$26*10^-3),DATI!$D$32*D111*DATI!$I$29,-DATI!$D$30*DATI!$I$29))</f>
        <v>44402.326185914433</v>
      </c>
      <c r="L111" s="138">
        <f>-DATI!$I$16*DATI!$C$6*DATI!$I$11*F111*I111</f>
        <v>-9271.5243908518314</v>
      </c>
      <c r="M111" s="138">
        <f>IF(C111&gt;=(DATI!$D$26*10^-3),DATI!$D$30*DATI!$I$28,IF(C111&gt;=(-DATI!$D$26*10^-3),DATI!$I$28*DATI!$D$32*C111,-DATI!$D$30*DATI!$I$28))</f>
        <v>352404.7411418116</v>
      </c>
      <c r="N111" s="138">
        <f t="shared" si="4"/>
        <v>387535.5429368742</v>
      </c>
      <c r="O111" s="138">
        <f>-L111*(DATI!$C$8/2+-J111*F111)-K111*(DATI!$C$13/2)+M111*(DATI!$C$13/2)</f>
        <v>57978314.267485365</v>
      </c>
      <c r="P111" s="140">
        <f>-N111/(DATI!$C$6*DATI!$C$13*DATI!$I$11*DATI!$I$16)</f>
        <v>-0.19918709419033556</v>
      </c>
      <c r="Q111" s="140">
        <f>O111/(DATI!$C$6*DATI!$C$13^2*DATI!$I$11)</f>
        <v>6.939709661707423E-2</v>
      </c>
      <c r="R111" s="141">
        <f t="shared" si="5"/>
        <v>149.60773359807536</v>
      </c>
      <c r="S111" s="136" t="str">
        <f>IF(R111&gt;=0, IF(R111&lt;=DATI!$C$8/6, "SI", "NO"),IF(R111&gt; -DATI!$C$8/6, "SI", "NO"))</f>
        <v>NO</v>
      </c>
      <c r="T111" s="138">
        <f t="shared" si="6"/>
        <v>396.80706732772603</v>
      </c>
      <c r="U111" s="136" t="str">
        <f t="shared" si="7"/>
        <v/>
      </c>
    </row>
    <row r="112" spans="1:21" ht="18.75" x14ac:dyDescent="0.25">
      <c r="A112" s="122"/>
      <c r="B112" s="137">
        <f t="shared" si="9"/>
        <v>-9.0000000000000019E-4</v>
      </c>
      <c r="C112" s="137">
        <f>DATI!$D$24*10^-3</f>
        <v>0.01</v>
      </c>
      <c r="D112" s="137">
        <f>(DATI!$C$10-F112)/(DATI!$C$13-F112)*C112</f>
        <v>1.4520547945205518E-4</v>
      </c>
      <c r="E112" s="136" t="s">
        <v>37</v>
      </c>
      <c r="F112" s="138">
        <f>(DATI!$C$13-DATI!$D$24*10^(-3)/(DATI!$D$24*10^(-3)-B112)*DATI!$C$13)</f>
        <v>30.13761467889907</v>
      </c>
      <c r="G112" s="139">
        <f>(2*DATI!$I$10/(-DATI!$I$14)+DATI!$D$49)*(-B112*10^3)^2/2-(DATI!$I$10/(-DATI!$I$14)^2)*(-B112*10^3)^3/3</f>
        <v>4.2873532827848209</v>
      </c>
      <c r="H112" s="139">
        <f>(2*DATI!$I$10/(-DATI!$I$14)+DATI!$D$49)*(-B112*10^3)^3/3-((DATI!$I$10/(-DATI!$I$14)^2)*(-B112*10^3)^4/4)</f>
        <v>2.521786969670893</v>
      </c>
      <c r="I112" s="139">
        <f>G112/(Foglio1!$P$3*(-DATI!$I$13))</f>
        <v>8.0021751339904898E-2</v>
      </c>
      <c r="J112" s="139">
        <f t="shared" si="8"/>
        <v>0.34645331582366445</v>
      </c>
      <c r="K112" s="138">
        <f>IF(D112&gt;=(DATI!$D$26*10^-3),DATI!$D$30*DATI!$I$29,IF(D112&gt;=(-DATI!$D$26*10^-3),DATI!$D$32*D112*DATI!$I$29,-DATI!$D$30*DATI!$I$29))</f>
        <v>27364.224277365851</v>
      </c>
      <c r="L112" s="138">
        <f>-DATI!$I$16*DATI!$C$6*DATI!$I$11*F112*I112</f>
        <v>-12855.068868284063</v>
      </c>
      <c r="M112" s="138">
        <f>IF(C112&gt;=(DATI!$D$26*10^-3),DATI!$D$30*DATI!$I$28,IF(C112&gt;=(-DATI!$D$26*10^-3),DATI!$I$28*DATI!$D$32*C112,-DATI!$D$30*DATI!$I$28))</f>
        <v>352404.7411418116</v>
      </c>
      <c r="N112" s="138">
        <f t="shared" si="4"/>
        <v>366913.89655089338</v>
      </c>
      <c r="O112" s="138">
        <f>-L112*(DATI!$C$8/2+-J112*F112)-K112*(DATI!$C$13/2)+M112*(DATI!$C$13/2)</f>
        <v>61756684.772468388</v>
      </c>
      <c r="P112" s="140">
        <f>-N112/(DATI!$C$6*DATI!$C$13*DATI!$I$11*DATI!$I$16)</f>
        <v>-0.18858789652728858</v>
      </c>
      <c r="Q112" s="140">
        <f>O112/(DATI!$C$6*DATI!$C$13^2*DATI!$I$11)</f>
        <v>7.3919614153194771E-2</v>
      </c>
      <c r="R112" s="141">
        <f t="shared" si="5"/>
        <v>168.31383426193651</v>
      </c>
      <c r="S112" s="136" t="str">
        <f>IF(R112&gt;=0, IF(R112&lt;=DATI!$C$8/6, "SI", "NO"),IF(R112&gt; -DATI!$C$8/6, "SI", "NO"))</f>
        <v>NO</v>
      </c>
      <c r="T112" s="138">
        <f t="shared" si="6"/>
        <v>379.76896541917745</v>
      </c>
      <c r="U112" s="136" t="str">
        <f t="shared" si="7"/>
        <v/>
      </c>
    </row>
    <row r="113" spans="1:21" ht="18.75" x14ac:dyDescent="0.25">
      <c r="A113" s="122"/>
      <c r="B113" s="137">
        <f t="shared" si="9"/>
        <v>-1.0000000000000002E-3</v>
      </c>
      <c r="C113" s="137">
        <f>DATI!$D$24*10^-3</f>
        <v>0.01</v>
      </c>
      <c r="D113" s="137">
        <f>(DATI!$C$10-F113)/(DATI!$C$13-F113)*C113</f>
        <v>5.4794520547945051E-5</v>
      </c>
      <c r="E113" s="136" t="s">
        <v>37</v>
      </c>
      <c r="F113" s="138">
        <f>(DATI!$C$13-DATI!$D$24*10^(-3)/(DATI!$D$24*10^(-3)-B113)*DATI!$C$13)</f>
        <v>33.181818181818187</v>
      </c>
      <c r="G113" s="139">
        <f>(2*DATI!$I$10/(-DATI!$I$14)+DATI!$D$49)*(-B113*10^3)^2/2-(DATI!$I$10/(-DATI!$I$14)^2)*(-B113*10^3)^3/3</f>
        <v>5.2004361515861985</v>
      </c>
      <c r="H113" s="139">
        <f>(2*DATI!$I$10/(-DATI!$I$14)+DATI!$D$49)*(-B113*10^3)^3/3-((DATI!$I$10/(-DATI!$I$14)^2)*(-B113*10^3)^4/4)</f>
        <v>3.3897969405636394</v>
      </c>
      <c r="I113" s="139">
        <f>G113/(Foglio1!$P$3*(-DATI!$I$13))</f>
        <v>9.706408152840082E-2</v>
      </c>
      <c r="J113" s="139">
        <f t="shared" si="8"/>
        <v>0.34817064535448472</v>
      </c>
      <c r="K113" s="138">
        <f>IF(D113&gt;=(DATI!$D$26*10^-3),DATI!$D$30*DATI!$I$29,IF(D113&gt;=(-DATI!$D$26*10^-3),DATI!$D$32*D113*DATI!$I$29,-DATI!$D$30*DATI!$I$29))</f>
        <v>10326.122368817245</v>
      </c>
      <c r="L113" s="138">
        <f>-DATI!$I$16*DATI!$C$6*DATI!$I$11*F113*I113</f>
        <v>-17167.861788746046</v>
      </c>
      <c r="M113" s="138">
        <f>IF(C113&gt;=(DATI!$D$26*10^-3),DATI!$D$30*DATI!$I$28,IF(C113&gt;=(-DATI!$D$26*10^-3),DATI!$I$28*DATI!$D$32*C113,-DATI!$D$30*DATI!$I$28))</f>
        <v>352404.7411418116</v>
      </c>
      <c r="N113" s="138">
        <f t="shared" si="4"/>
        <v>345563.00172188279</v>
      </c>
      <c r="O113" s="138">
        <f>-L113*(DATI!$C$8/2+-J113*F113)-K113*(DATI!$C$13/2)+M113*(DATI!$C$13/2)</f>
        <v>65664581.091621071</v>
      </c>
      <c r="P113" s="140">
        <f>-N113/(DATI!$C$6*DATI!$C$13*DATI!$I$11*DATI!$I$16)</f>
        <v>-0.17761387678415802</v>
      </c>
      <c r="Q113" s="140">
        <f>O113/(DATI!$C$6*DATI!$C$13^2*DATI!$I$11)</f>
        <v>7.8597167508378071E-2</v>
      </c>
      <c r="R113" s="141">
        <f t="shared" si="5"/>
        <v>190.02202424572485</v>
      </c>
      <c r="S113" s="136" t="str">
        <f>IF(R113&gt;=0, IF(R113&lt;=DATI!$C$8/6, "SI", "NO"),IF(R113&gt; -DATI!$C$8/6, "SI", "NO"))</f>
        <v>NO</v>
      </c>
      <c r="T113" s="138">
        <f t="shared" si="6"/>
        <v>362.73086351062881</v>
      </c>
      <c r="U113" s="136" t="str">
        <f t="shared" si="7"/>
        <v/>
      </c>
    </row>
    <row r="114" spans="1:21" ht="18.75" x14ac:dyDescent="0.25">
      <c r="A114" s="122"/>
      <c r="B114" s="137">
        <f t="shared" si="9"/>
        <v>-1.1000000000000003E-3</v>
      </c>
      <c r="C114" s="137">
        <f>DATI!$D$24*10^-3</f>
        <v>0.01</v>
      </c>
      <c r="D114" s="137">
        <f>(DATI!$C$10-F114)/(DATI!$C$13-F114)*C114</f>
        <v>-3.5616438356164694E-5</v>
      </c>
      <c r="E114" s="136" t="s">
        <v>37</v>
      </c>
      <c r="F114" s="138">
        <f>(DATI!$C$13-DATI!$D$24*10^(-3)/(DATI!$D$24*10^(-3)-B114)*DATI!$C$13)</f>
        <v>36.171171171171181</v>
      </c>
      <c r="G114" s="139">
        <f>(2*DATI!$I$10/(-DATI!$I$14)+DATI!$D$49)*(-B114*10^3)^2/2-(DATI!$I$10/(-DATI!$I$14)^2)*(-B114*10^3)^3/3</f>
        <v>6.1804907063822636</v>
      </c>
      <c r="H114" s="139">
        <f>(2*DATI!$I$10/(-DATI!$I$14)+DATI!$D$49)*(-B114*10^3)^3/3-((DATI!$I$10/(-DATI!$I$14)^2)*(-B114*10^3)^4/4)</f>
        <v>4.4193891723346486</v>
      </c>
      <c r="I114" s="139">
        <f>G114/(Foglio1!$P$3*(-DATI!$I$13))</f>
        <v>0.11535641171689676</v>
      </c>
      <c r="J114" s="139">
        <f t="shared" si="8"/>
        <v>0.3499502367740096</v>
      </c>
      <c r="K114" s="138">
        <f>IF(D114&gt;=(DATI!$D$26*10^-3),DATI!$D$30*DATI!$I$29,IF(D114&gt;=(-DATI!$D$26*10^-3),DATI!$D$32*D114*DATI!$I$29,-DATI!$D$30*DATI!$I$29))</f>
        <v>-6711.9795397312873</v>
      </c>
      <c r="L114" s="138">
        <f>-DATI!$I$16*DATI!$C$6*DATI!$I$11*F114*I114</f>
        <v>-22241.383004301657</v>
      </c>
      <c r="M114" s="138">
        <f>IF(C114&gt;=(DATI!$D$26*10^-3),DATI!$D$30*DATI!$I$28,IF(C114&gt;=(-DATI!$D$26*10^-3),DATI!$I$28*DATI!$D$32*C114,-DATI!$D$30*DATI!$I$28))</f>
        <v>352404.7411418116</v>
      </c>
      <c r="N114" s="138">
        <f t="shared" si="4"/>
        <v>323451.37859777868</v>
      </c>
      <c r="O114" s="138">
        <f>-L114*(DATI!$C$8/2+-J114*F114)-K114*(DATI!$C$13/2)+M114*(DATI!$C$13/2)</f>
        <v>69705544.254495278</v>
      </c>
      <c r="P114" s="140">
        <f>-N114/(DATI!$C$6*DATI!$C$13*DATI!$I$11*DATI!$I$16)</f>
        <v>-0.16624885481857396</v>
      </c>
      <c r="Q114" s="140">
        <f>O114/(DATI!$C$6*DATI!$C$13^2*DATI!$I$11)</f>
        <v>8.3433995115097345E-2</v>
      </c>
      <c r="R114" s="141">
        <f t="shared" si="5"/>
        <v>215.5054789275645</v>
      </c>
      <c r="S114" s="136" t="str">
        <f>IF(R114&gt;=0, IF(R114&lt;=DATI!$C$8/6, "SI", "NO"),IF(R114&gt; -DATI!$C$8/6, "SI", "NO"))</f>
        <v>NO</v>
      </c>
      <c r="T114" s="138">
        <f t="shared" si="6"/>
        <v>345.69276160208034</v>
      </c>
      <c r="U114" s="136" t="str">
        <f t="shared" si="7"/>
        <v/>
      </c>
    </row>
    <row r="115" spans="1:21" ht="18.75" x14ac:dyDescent="0.25">
      <c r="A115" s="122"/>
      <c r="B115" s="137">
        <f t="shared" si="9"/>
        <v>-1.2000000000000003E-3</v>
      </c>
      <c r="C115" s="137">
        <f>DATI!$D$24*10^-3</f>
        <v>0.01</v>
      </c>
      <c r="D115" s="137">
        <f>(DATI!$C$10-F115)/(DATI!$C$13-F115)*C115</f>
        <v>-1.2602739726027323E-4</v>
      </c>
      <c r="E115" s="136" t="s">
        <v>37</v>
      </c>
      <c r="F115" s="138">
        <f>(DATI!$C$13-DATI!$D$24*10^(-3)/(DATI!$D$24*10^(-3)-B115)*DATI!$C$13)</f>
        <v>39.107142857142833</v>
      </c>
      <c r="G115" s="139">
        <f>(2*DATI!$I$10/(-DATI!$I$14)+DATI!$D$49)*(-B115*10^3)^2/2-(DATI!$I$10/(-DATI!$I$14)^2)*(-B115*10^3)^3/3</f>
        <v>7.2219613916174605</v>
      </c>
      <c r="H115" s="139">
        <f>(2*DATI!$I$10/(-DATI!$I$14)+DATI!$D$49)*(-B115*10^3)^3/3-((DATI!$I$10/(-DATI!$I$14)^2)*(-B115*10^3)^4/4)</f>
        <v>5.6175691132939702</v>
      </c>
      <c r="I115" s="139">
        <f>G115/(Foglio1!$P$3*(-DATI!$I$13))</f>
        <v>0.13479504966080749</v>
      </c>
      <c r="J115" s="139">
        <f t="shared" si="8"/>
        <v>0.35179553855753931</v>
      </c>
      <c r="K115" s="138">
        <f>IF(D115&gt;=(DATI!$D$26*10^-3),DATI!$D$30*DATI!$I$29,IF(D115&gt;=(-DATI!$D$26*10^-3),DATI!$D$32*D115*DATI!$I$29,-DATI!$D$30*DATI!$I$29))</f>
        <v>-23750.08144827959</v>
      </c>
      <c r="L115" s="138">
        <f>-DATI!$I$16*DATI!$C$6*DATI!$I$11*F115*I115</f>
        <v>-28098.783010216051</v>
      </c>
      <c r="M115" s="138">
        <f>IF(C115&gt;=(DATI!$D$26*10^-3),DATI!$D$30*DATI!$I$28,IF(C115&gt;=(-DATI!$D$26*10^-3),DATI!$I$28*DATI!$D$32*C115,-DATI!$D$30*DATI!$I$28))</f>
        <v>352404.7411418116</v>
      </c>
      <c r="N115" s="138">
        <f t="shared" si="4"/>
        <v>300555.87668331596</v>
      </c>
      <c r="O115" s="138">
        <f>-L115*(DATI!$C$8/2+-J115*F115)-K115*(DATI!$C$13/2)+M115*(DATI!$C$13/2)</f>
        <v>73881436.581178784</v>
      </c>
      <c r="P115" s="140">
        <f>-N115/(DATI!$C$6*DATI!$C$13*DATI!$I$11*DATI!$I$16)</f>
        <v>-0.15448093164484339</v>
      </c>
      <c r="Q115" s="140">
        <f>O115/(DATI!$C$6*DATI!$C$13^2*DATI!$I$11)</f>
        <v>8.8432326075883361E-2</v>
      </c>
      <c r="R115" s="141">
        <f t="shared" si="5"/>
        <v>245.81597736990776</v>
      </c>
      <c r="S115" s="136" t="str">
        <f>IF(R115&gt;=0, IF(R115&lt;=DATI!$C$8/6, "SI", "NO"),IF(R115&gt; -DATI!$C$8/6, "SI", "NO"))</f>
        <v>NO</v>
      </c>
      <c r="T115" s="138">
        <f t="shared" si="6"/>
        <v>328.65465969353198</v>
      </c>
      <c r="U115" s="136" t="str">
        <f t="shared" si="7"/>
        <v/>
      </c>
    </row>
    <row r="116" spans="1:21" ht="18.75" x14ac:dyDescent="0.25">
      <c r="A116" s="122"/>
      <c r="B116" s="137">
        <f t="shared" si="9"/>
        <v>-1.3000000000000004E-3</v>
      </c>
      <c r="C116" s="137">
        <f>DATI!$D$24*10^-3</f>
        <v>0.01</v>
      </c>
      <c r="D116" s="137">
        <f>(DATI!$C$10-F116)/(DATI!$C$13-F116)*C116</f>
        <v>-2.164383561643835E-4</v>
      </c>
      <c r="E116" s="136" t="s">
        <v>37</v>
      </c>
      <c r="F116" s="138">
        <f>(DATI!$C$13-DATI!$D$24*10^(-3)/(DATI!$D$24*10^(-3)-B116)*DATI!$C$13)</f>
        <v>41.991150442477874</v>
      </c>
      <c r="G116" s="139">
        <f>(2*DATI!$I$10/(-DATI!$I$14)+DATI!$D$49)*(-B116*10^3)^2/2-(DATI!$I$10/(-DATI!$I$14)^2)*(-B116*10^3)^3/3</f>
        <v>8.3192926517362302</v>
      </c>
      <c r="H116" s="139">
        <f>(2*DATI!$I$10/(-DATI!$I$14)+DATI!$D$49)*(-B116*10^3)^3/3-((DATI!$I$10/(-DATI!$I$14)^2)*(-B116*10^3)^4/4)</f>
        <v>6.9896755450849808</v>
      </c>
      <c r="I116" s="139">
        <f>G116/(Foglio1!$P$3*(-DATI!$I$13))</f>
        <v>0.15527630311554777</v>
      </c>
      <c r="J116" s="139">
        <f t="shared" si="8"/>
        <v>0.35371025863633887</v>
      </c>
      <c r="K116" s="138">
        <f>IF(D116&gt;=(DATI!$D$26*10^-3),DATI!$D$30*DATI!$I$29,IF(D116&gt;=(-DATI!$D$26*10^-3),DATI!$D$32*D116*DATI!$I$29,-DATI!$D$30*DATI!$I$29))</f>
        <v>-40788.183356828224</v>
      </c>
      <c r="L116" s="138">
        <f>-DATI!$I$16*DATI!$C$6*DATI!$I$11*F116*I116</f>
        <v>-34755.251500566315</v>
      </c>
      <c r="M116" s="138">
        <f>IF(C116&gt;=(DATI!$D$26*10^-3),DATI!$D$30*DATI!$I$28,IF(C116&gt;=(-DATI!$D$26*10^-3),DATI!$I$28*DATI!$D$32*C116,-DATI!$D$30*DATI!$I$28))</f>
        <v>352404.7411418116</v>
      </c>
      <c r="N116" s="138">
        <f t="shared" si="4"/>
        <v>276861.30628441705</v>
      </c>
      <c r="O116" s="138">
        <f>-L116*(DATI!$C$8/2+-J116*F116)-K116*(DATI!$C$13/2)+M116*(DATI!$C$13/2)</f>
        <v>78192549.673399225</v>
      </c>
      <c r="P116" s="140">
        <f>-N116/(DATI!$C$6*DATI!$C$13*DATI!$I$11*DATI!$I$16)</f>
        <v>-0.14230230000223867</v>
      </c>
      <c r="Q116" s="140">
        <f>O116/(DATI!$C$6*DATI!$C$13^2*DATI!$I$11)</f>
        <v>9.3592509423189432E-2</v>
      </c>
      <c r="R116" s="141">
        <f t="shared" si="5"/>
        <v>282.42498282902972</v>
      </c>
      <c r="S116" s="136" t="str">
        <f>IF(R116&gt;=0, IF(R116&lt;=DATI!$C$8/6, "SI", "NO"),IF(R116&gt; -DATI!$C$8/6, "SI", "NO"))</f>
        <v>NO</v>
      </c>
      <c r="T116" s="138">
        <f t="shared" si="6"/>
        <v>311.61655778498334</v>
      </c>
      <c r="U116" s="136" t="str">
        <f t="shared" si="7"/>
        <v/>
      </c>
    </row>
    <row r="117" spans="1:21" ht="18.75" x14ac:dyDescent="0.25">
      <c r="A117" s="122"/>
      <c r="B117" s="137">
        <f t="shared" si="9"/>
        <v>-1.4000000000000004E-3</v>
      </c>
      <c r="C117" s="137">
        <f>DATI!$D$24*10^-3</f>
        <v>0.01</v>
      </c>
      <c r="D117" s="137">
        <f>(DATI!$C$10-F117)/(DATI!$C$13-F117)*C117</f>
        <v>-3.0684931506849304E-4</v>
      </c>
      <c r="E117" s="136" t="s">
        <v>37</v>
      </c>
      <c r="F117" s="138">
        <f>(DATI!$C$13-DATI!$D$24*10^(-3)/(DATI!$D$24*10^(-3)-B117)*DATI!$C$13)</f>
        <v>44.824561403508767</v>
      </c>
      <c r="G117" s="139">
        <f>(2*DATI!$I$10/(-DATI!$I$14)+DATI!$D$49)*(-B117*10^3)^2/2-(DATI!$I$10/(-DATI!$I$14)^2)*(-B117*10^3)^3/3</f>
        <v>9.4669289311830234</v>
      </c>
      <c r="H117" s="139">
        <f>(2*DATI!$I$10/(-DATI!$I$14)+DATI!$D$49)*(-B117*10^3)^3/3-((DATI!$I$10/(-DATI!$I$14)^2)*(-B117*10^3)^4/4)</f>
        <v>8.5393805826844016</v>
      </c>
      <c r="I117" s="139">
        <f>G117/(Foglio1!$P$3*(-DATI!$I$13))</f>
        <v>0.1766964798365325</v>
      </c>
      <c r="J117" s="139">
        <f t="shared" si="8"/>
        <v>0.35569838926655362</v>
      </c>
      <c r="K117" s="138">
        <f>IF(D117&gt;=(DATI!$D$26*10^-3),DATI!$D$30*DATI!$I$29,IF(D117&gt;=(-DATI!$D$26*10^-3),DATI!$D$32*D117*DATI!$I$29,-DATI!$D$30*DATI!$I$29))</f>
        <v>-57826.285265376719</v>
      </c>
      <c r="L117" s="138">
        <f>-DATI!$I$16*DATI!$C$6*DATI!$I$11*F117*I117</f>
        <v>-42218.366526188176</v>
      </c>
      <c r="M117" s="138">
        <f>IF(C117&gt;=(DATI!$D$26*10^-3),DATI!$D$30*DATI!$I$28,IF(C117&gt;=(-DATI!$D$26*10^-3),DATI!$I$28*DATI!$D$32*C117,-DATI!$D$30*DATI!$I$28))</f>
        <v>352404.7411418116</v>
      </c>
      <c r="N117" s="138">
        <f t="shared" si="4"/>
        <v>252360.08935024671</v>
      </c>
      <c r="O117" s="138">
        <f>-L117*(DATI!$C$8/2+-J117*F117)-K117*(DATI!$C$13/2)+M117*(DATI!$C$13/2)</f>
        <v>82637704.963137731</v>
      </c>
      <c r="P117" s="140">
        <f>-N117/(DATI!$C$6*DATI!$C$13*DATI!$I$11*DATI!$I$16)</f>
        <v>-0.12970906489337697</v>
      </c>
      <c r="Q117" s="140">
        <f>O117/(DATI!$C$6*DATI!$C$13^2*DATI!$I$11)</f>
        <v>9.8913134470973538E-2</v>
      </c>
      <c r="R117" s="141">
        <f t="shared" si="5"/>
        <v>327.45948527719105</v>
      </c>
      <c r="S117" s="136" t="str">
        <f>IF(R117&gt;=0, IF(R117&lt;=DATI!$C$8/6, "SI", "NO"),IF(R117&gt; -DATI!$C$8/6, "SI", "NO"))</f>
        <v>NO</v>
      </c>
      <c r="T117" s="138">
        <f t="shared" si="6"/>
        <v>294.57845587643487</v>
      </c>
      <c r="U117" s="136" t="str">
        <f t="shared" si="7"/>
        <v/>
      </c>
    </row>
    <row r="118" spans="1:21" ht="18.75" x14ac:dyDescent="0.25">
      <c r="A118" s="122"/>
      <c r="B118" s="137">
        <f t="shared" si="9"/>
        <v>-1.5000000000000005E-3</v>
      </c>
      <c r="C118" s="137">
        <f>DATI!$D$24*10^-3</f>
        <v>0.01</v>
      </c>
      <c r="D118" s="137">
        <f>(DATI!$C$10-F118)/(DATI!$C$13-F118)*C118</f>
        <v>-3.9726027397260158E-4</v>
      </c>
      <c r="E118" s="136" t="s">
        <v>37</v>
      </c>
      <c r="F118" s="138">
        <f>(DATI!$C$13-DATI!$D$24*10^(-3)/(DATI!$D$24*10^(-3)-B118)*DATI!$C$13)</f>
        <v>47.608695652173878</v>
      </c>
      <c r="G118" s="139">
        <f>(2*DATI!$I$10/(-DATI!$I$14)+DATI!$D$49)*(-B118*10^3)^2/2-(DATI!$I$10/(-DATI!$I$14)^2)*(-B118*10^3)^3/3</f>
        <v>10.65931467440228</v>
      </c>
      <c r="H118" s="139">
        <f>(2*DATI!$I$10/(-DATI!$I$14)+DATI!$D$49)*(-B118*10^3)^3/3-((DATI!$I$10/(-DATI!$I$14)^2)*(-B118*10^3)^4/4)</f>
        <v>10.268689674402285</v>
      </c>
      <c r="I118" s="139">
        <f>G118/(Foglio1!$P$3*(-DATI!$I$13))</f>
        <v>0.1989518875791764</v>
      </c>
      <c r="J118" s="139">
        <f t="shared" si="8"/>
        <v>0.3577642348144614</v>
      </c>
      <c r="K118" s="138">
        <f>IF(D118&gt;=(DATI!$D$26*10^-3),DATI!$D$30*DATI!$I$29,IF(D118&gt;=(-DATI!$D$26*10^-3),DATI!$D$32*D118*DATI!$I$29,-DATI!$D$30*DATI!$I$29))</f>
        <v>-74864.387173925017</v>
      </c>
      <c r="L118" s="138">
        <f>-DATI!$I$16*DATI!$C$6*DATI!$I$11*F118*I118</f>
        <v>-50488.425435686542</v>
      </c>
      <c r="M118" s="138">
        <f>IF(C118&gt;=(DATI!$D$26*10^-3),DATI!$D$30*DATI!$I$28,IF(C118&gt;=(-DATI!$D$26*10^-3),DATI!$I$28*DATI!$D$32*C118,-DATI!$D$30*DATI!$I$28))</f>
        <v>352404.7411418116</v>
      </c>
      <c r="N118" s="138">
        <f t="shared" si="4"/>
        <v>227051.92853220005</v>
      </c>
      <c r="O118" s="138">
        <f>-L118*(DATI!$C$8/2+-J118*F118)-K118*(DATI!$C$13/2)+M118*(DATI!$C$13/2)</f>
        <v>87214347.377897546</v>
      </c>
      <c r="P118" s="140">
        <f>-N118/(DATI!$C$6*DATI!$C$13*DATI!$I$11*DATI!$I$16)</f>
        <v>-0.1167010734858132</v>
      </c>
      <c r="Q118" s="140">
        <f>O118/(DATI!$C$6*DATI!$C$13^2*DATI!$I$11)</f>
        <v>0.10439114292726635</v>
      </c>
      <c r="R118" s="141">
        <f t="shared" si="5"/>
        <v>384.1163030047947</v>
      </c>
      <c r="S118" s="136" t="str">
        <f>IF(R118&gt;=0, IF(R118&lt;=DATI!$C$8/6, "SI", "NO"),IF(R118&gt; -DATI!$C$8/6, "SI", "NO"))</f>
        <v>NO</v>
      </c>
      <c r="T118" s="138">
        <f t="shared" si="6"/>
        <v>277.54035396788657</v>
      </c>
      <c r="U118" s="136" t="str">
        <f t="shared" si="7"/>
        <v/>
      </c>
    </row>
    <row r="119" spans="1:21" ht="18.75" x14ac:dyDescent="0.25">
      <c r="A119" s="122"/>
      <c r="B119" s="137">
        <f t="shared" si="9"/>
        <v>-1.6000000000000005E-3</v>
      </c>
      <c r="C119" s="137">
        <f>DATI!$D$24*10^-3</f>
        <v>0.01</v>
      </c>
      <c r="D119" s="137">
        <f>(DATI!$C$10-F119)/(DATI!$C$13-F119)*C119</f>
        <v>-4.8767123287671304E-4</v>
      </c>
      <c r="E119" s="136" t="s">
        <v>37</v>
      </c>
      <c r="F119" s="138">
        <f>(DATI!$C$13-DATI!$D$24*10^(-3)/(DATI!$D$24*10^(-3)-B119)*DATI!$C$13)</f>
        <v>50.344827586206918</v>
      </c>
      <c r="G119" s="139">
        <f>(2*DATI!$I$10/(-DATI!$I$14)+DATI!$D$49)*(-B119*10^3)^2/2-(DATI!$I$10/(-DATI!$I$14)^2)*(-B119*10^3)^3/3</f>
        <v>11.890894325838449</v>
      </c>
      <c r="H119" s="139">
        <f>(2*DATI!$I$10/(-DATI!$I$14)+DATI!$D$49)*(-B119*10^3)^3/3-((DATI!$I$10/(-DATI!$I$14)^2)*(-B119*10^3)^4/4)</f>
        <v>12.177941601882003</v>
      </c>
      <c r="I119" s="139">
        <f>G119/(Foglio1!$P$3*(-DATI!$I$13))</f>
        <v>0.22193883409889437</v>
      </c>
      <c r="J119" s="139">
        <f t="shared" si="8"/>
        <v>0.35991244286500979</v>
      </c>
      <c r="K119" s="138">
        <f>IF(D119&gt;=(DATI!$D$26*10^-3),DATI!$D$30*DATI!$I$29,IF(D119&gt;=(-DATI!$D$26*10^-3),DATI!$D$32*D119*DATI!$I$29,-DATI!$D$30*DATI!$I$29))</f>
        <v>-91902.489082473869</v>
      </c>
      <c r="L119" s="138">
        <f>-DATI!$I$16*DATI!$C$6*DATI!$I$11*F119*I119</f>
        <v>-59558.758698807731</v>
      </c>
      <c r="M119" s="138">
        <f>IF(C119&gt;=(DATI!$D$26*10^-3),DATI!$D$30*DATI!$I$28,IF(C119&gt;=(-DATI!$D$26*10^-3),DATI!$I$28*DATI!$D$32*C119,-DATI!$D$30*DATI!$I$28))</f>
        <v>352404.7411418116</v>
      </c>
      <c r="N119" s="138">
        <f t="shared" si="4"/>
        <v>200943.49336053</v>
      </c>
      <c r="O119" s="138">
        <f>-L119*(DATI!$C$8/2+-J119*F119)-K119*(DATI!$C$13/2)+M119*(DATI!$C$13/2)</f>
        <v>91918632.635953933</v>
      </c>
      <c r="P119" s="140">
        <f>-N119/(DATI!$C$6*DATI!$C$13*DATI!$I$11*DATI!$I$16)</f>
        <v>-0.10328175381182701</v>
      </c>
      <c r="Q119" s="140">
        <f>O119/(DATI!$C$6*DATI!$C$13^2*DATI!$I$11)</f>
        <v>0.11002193338215027</v>
      </c>
      <c r="R119" s="141">
        <f t="shared" si="5"/>
        <v>457.43522767883212</v>
      </c>
      <c r="S119" s="136" t="str">
        <f>IF(R119&gt;=0, IF(R119&lt;=DATI!$C$8/6, "SI", "NO"),IF(R119&gt; -DATI!$C$8/6, "SI", "NO"))</f>
        <v>NO</v>
      </c>
      <c r="T119" s="138">
        <f t="shared" si="6"/>
        <v>260.50225205933776</v>
      </c>
      <c r="U119" s="136" t="str">
        <f t="shared" si="7"/>
        <v/>
      </c>
    </row>
    <row r="120" spans="1:21" ht="18.75" x14ac:dyDescent="0.25">
      <c r="A120" s="159"/>
      <c r="B120" s="156">
        <f t="shared" si="9"/>
        <v>-1.7000000000000006E-3</v>
      </c>
      <c r="C120" s="156">
        <f>DATI!$D$24*10^-3</f>
        <v>0.01</v>
      </c>
      <c r="D120" s="156">
        <f>(DATI!$C$10-F120)/(DATI!$C$13-F120)*C120</f>
        <v>-5.780821917808224E-4</v>
      </c>
      <c r="E120" s="157" t="s">
        <v>37</v>
      </c>
      <c r="F120" s="158">
        <f>(DATI!$C$13-DATI!$D$24*10^(-3)/(DATI!$D$24*10^(-3)-B120)*DATI!$C$13)</f>
        <v>53.034188034188048</v>
      </c>
      <c r="G120" s="139">
        <f>(2*DATI!$I$10/(-DATI!$I$14)+DATI!$D$49)*(-B120*10^3)^2/2-(DATI!$I$10/(-DATI!$I$14)^2)*(-B120*10^3)^3/3</f>
        <v>13.156112329935969</v>
      </c>
      <c r="H120" s="139">
        <f>(2*DATI!$I$10/(-DATI!$I$14)+DATI!$D$49)*(-B120*10^3)^3/3-((DATI!$I$10/(-DATI!$I$14)^2)*(-B120*10^3)^4/4)</f>
        <v>14.265808480100274</v>
      </c>
      <c r="I120" s="139">
        <f>G120/(Foglio1!$P$3*(-DATI!$I$13))</f>
        <v>0.24555362715110104</v>
      </c>
      <c r="J120" s="140">
        <f t="shared" si="8"/>
        <v>0.36214803912679516</v>
      </c>
      <c r="K120" s="138">
        <f>IF(D120&gt;=(DATI!$D$26*10^-3),DATI!$D$30*DATI!$I$29,IF(D120&gt;=(-DATI!$D$26*10^-3),DATI!$D$32*D120*DATI!$I$29,-DATI!$D$30*DATI!$I$29))</f>
        <v>-108940.59099102234</v>
      </c>
      <c r="L120" s="158">
        <f>-DATI!$I$16*DATI!$C$6*DATI!$I$11*F120*I120</f>
        <v>-69416.027636304687</v>
      </c>
      <c r="M120" s="138">
        <f>IF(C120&gt;=(DATI!$D$26*10^-3),DATI!$D$30*DATI!$I$28,IF(C120&gt;=(-DATI!$D$26*10^-3),DATI!$I$28*DATI!$D$32*C120,-DATI!$D$30*DATI!$I$28))</f>
        <v>352404.7411418116</v>
      </c>
      <c r="N120" s="158">
        <f t="shared" si="4"/>
        <v>174048.12251448457</v>
      </c>
      <c r="O120" s="158">
        <f>-L120*(DATI!$C$8/2+-J120*F120)-K120*(DATI!$C$13/2)+M120*(DATI!$C$13/2)</f>
        <v>96745508.643172279</v>
      </c>
      <c r="P120" s="140">
        <f>-N120/(DATI!$C$6*DATI!$C$13*DATI!$I$11*DATI!$I$16)</f>
        <v>-8.9457961740017244E-2</v>
      </c>
      <c r="Q120" s="140">
        <f>O120/(DATI!$C$6*DATI!$C$13^2*DATI!$I$11)</f>
        <v>0.11579945873561547</v>
      </c>
      <c r="R120" s="141">
        <f t="shared" si="5"/>
        <v>555.85493968842411</v>
      </c>
      <c r="S120" s="136" t="str">
        <f>IF(R120&gt;=0, IF(R120&lt;=DATI!$C$8/6, "SI", "NO"),IF(R120&gt; -DATI!$C$8/6, "SI", "NO"))</f>
        <v>NO</v>
      </c>
      <c r="T120" s="138">
        <f t="shared" si="6"/>
        <v>243.46415015078924</v>
      </c>
      <c r="U120" s="136" t="str">
        <f t="shared" si="7"/>
        <v/>
      </c>
    </row>
    <row r="121" spans="1:21" ht="18.75" x14ac:dyDescent="0.25">
      <c r="A121" s="159"/>
      <c r="B121" s="156">
        <f t="shared" si="9"/>
        <v>-1.8000000000000006E-3</v>
      </c>
      <c r="C121" s="156">
        <f>DATI!$D$24*10^-3</f>
        <v>0.01</v>
      </c>
      <c r="D121" s="156">
        <f>(DATI!$C$10-F121)/(DATI!$C$13-F121)*C121</f>
        <v>-6.6849315068493278E-4</v>
      </c>
      <c r="E121" s="157" t="s">
        <v>37</v>
      </c>
      <c r="F121" s="158">
        <f>(DATI!$C$13-DATI!$D$24*10^(-3)/(DATI!$D$24*10^(-3)-B121)*DATI!$C$13)</f>
        <v>55.677966101694949</v>
      </c>
      <c r="G121" s="139">
        <f>(2*DATI!$I$10/(-DATI!$I$14)+DATI!$D$49)*(-B121*10^3)^2/2-(DATI!$I$10/(-DATI!$I$14)^2)*(-B121*10^3)^3/3</f>
        <v>14.449413131139284</v>
      </c>
      <c r="H121" s="139">
        <f>(2*DATI!$I$10/(-DATI!$I$14)+DATI!$D$49)*(-B121*10^3)^3/3-((DATI!$I$10/(-DATI!$I$14)^2)*(-B121*10^3)^4/4)</f>
        <v>16.529295757367152</v>
      </c>
      <c r="I121" s="139">
        <f>G121/(Foglio1!$P$3*(-DATI!$I$13))</f>
        <v>0.26969257449121126</v>
      </c>
      <c r="J121" s="140">
        <f t="shared" si="8"/>
        <v>0.36447646668524947</v>
      </c>
      <c r="K121" s="138">
        <f>IF(D121&gt;=(DATI!$D$26*10^-3),DATI!$D$30*DATI!$I$29,IF(D121&gt;=(-DATI!$D$26*10^-3),DATI!$D$32*D121*DATI!$I$29,-DATI!$D$30*DATI!$I$29))</f>
        <v>-125978.69289957099</v>
      </c>
      <c r="L121" s="158">
        <f>-DATI!$I$16*DATI!$C$6*DATI!$I$11*F121*I121</f>
        <v>-80040.507010996676</v>
      </c>
      <c r="M121" s="138">
        <f>IF(C121&gt;=(DATI!$D$26*10^-3),DATI!$D$30*DATI!$I$28,IF(C121&gt;=(-DATI!$D$26*10^-3),DATI!$I$28*DATI!$D$32*C121,-DATI!$D$30*DATI!$I$28))</f>
        <v>352404.7411418116</v>
      </c>
      <c r="N121" s="158">
        <f t="shared" si="4"/>
        <v>146385.54123124393</v>
      </c>
      <c r="O121" s="158">
        <f>-L121*(DATI!$C$8/2+-J121*F121)-K121*(DATI!$C$13/2)+M121*(DATI!$C$13/2)</f>
        <v>101688791.42492953</v>
      </c>
      <c r="P121" s="140">
        <f>-N121/(DATI!$C$6*DATI!$C$13*DATI!$I$11*DATI!$I$16)</f>
        <v>-7.5239835727998264E-2</v>
      </c>
      <c r="Q121" s="140">
        <f>O121/(DATI!$C$6*DATI!$C$13^2*DATI!$I$11)</f>
        <v>0.12171631708421204</v>
      </c>
      <c r="R121" s="141">
        <f t="shared" si="5"/>
        <v>694.66417632252808</v>
      </c>
      <c r="S121" s="136" t="str">
        <f>IF(R121&gt;=0, IF(R121&lt;=DATI!$C$8/6, "SI", "NO"),IF(R121&gt; -DATI!$C$8/6, "SI", "NO"))</f>
        <v>NO</v>
      </c>
      <c r="T121" s="138">
        <f t="shared" si="6"/>
        <v>226.42604824224063</v>
      </c>
      <c r="U121" s="136" t="str">
        <f t="shared" si="7"/>
        <v/>
      </c>
    </row>
    <row r="122" spans="1:21" ht="18.75" x14ac:dyDescent="0.25">
      <c r="A122" s="159"/>
      <c r="B122" s="156">
        <f t="shared" si="9"/>
        <v>-1.9000000000000006E-3</v>
      </c>
      <c r="C122" s="156">
        <f>DATI!$D$24*10^-3</f>
        <v>0.01</v>
      </c>
      <c r="D122" s="156">
        <f>(DATI!$C$10-F122)/(DATI!$C$13-F122)*C122</f>
        <v>-7.5890410958904197E-4</v>
      </c>
      <c r="E122" s="157" t="s">
        <v>37</v>
      </c>
      <c r="F122" s="158">
        <f>(DATI!$C$13-DATI!$D$24*10^(-3)/(DATI!$D$24*10^(-3)-B122)*DATI!$C$13)</f>
        <v>58.277310924369772</v>
      </c>
      <c r="G122" s="139">
        <f>(2*DATI!$I$10/(-DATI!$I$14)+DATI!$D$49)*(-B122*10^3)^2/2-(DATI!$I$10/(-DATI!$I$14)^2)*(-B122*10^3)^3/3</f>
        <v>15.765241173892843</v>
      </c>
      <c r="H122" s="139">
        <f>(2*DATI!$I$10/(-DATI!$I$14)+DATI!$D$49)*(-B122*10^3)^3/3-((DATI!$I$10/(-DATI!$I$14)^2)*(-B122*10^3)^4/4)</f>
        <v>18.963742215326</v>
      </c>
      <c r="I122" s="140">
        <f>G122/(Foglio1!$P$3*(-DATI!$I$13))</f>
        <v>0.29425198387463991</v>
      </c>
      <c r="J122" s="140">
        <f t="shared" si="8"/>
        <v>0.36690363024936901</v>
      </c>
      <c r="K122" s="158">
        <f>IF(D122&gt;=(DATI!$D$26*10^-3),DATI!$D$30*DATI!$I$29,IF(D122&gt;=(-DATI!$D$26*10^-3),DATI!$D$32*D122*DATI!$I$29,-DATI!$D$30*DATI!$I$29))</f>
        <v>-143016.79480811942</v>
      </c>
      <c r="L122" s="158">
        <f>-DATI!$I$16*DATI!$C$6*DATI!$I$11*F122*I122</f>
        <v>-91406.353370539146</v>
      </c>
      <c r="M122" s="158">
        <f>IF(C122&gt;=(DATI!$D$26*10^-3),DATI!$D$30*DATI!$I$28,IF(C122&gt;=(-DATI!$D$26*10^-3),DATI!$I$28*DATI!$D$32*C122,-DATI!$D$30*DATI!$I$28))</f>
        <v>352404.7411418116</v>
      </c>
      <c r="N122" s="158">
        <f t="shared" si="4"/>
        <v>117981.59296315303</v>
      </c>
      <c r="O122" s="158">
        <f>-L122*(DATI!$C$8/2+-J122*F122)-K122*(DATI!$C$13/2)+M122*(DATI!$C$13/2)</f>
        <v>106741235.9919502</v>
      </c>
      <c r="P122" s="140">
        <f>-N122/(DATI!$C$6*DATI!$C$13*DATI!$I$11*DATI!$I$16)</f>
        <v>-6.0640658898493301E-2</v>
      </c>
      <c r="Q122" s="140">
        <f>O122/(DATI!$C$6*DATI!$C$13^2*DATI!$I$11)</f>
        <v>0.12776383654385556</v>
      </c>
      <c r="R122" s="141">
        <f t="shared" si="5"/>
        <v>904.72787585845424</v>
      </c>
      <c r="S122" s="136" t="str">
        <f>IF(R122&gt;=0, IF(R122&lt;=DATI!$C$8/6, "SI", "NO"),IF(R122&gt; -DATI!$C$8/6, "SI", "NO"))</f>
        <v>NO</v>
      </c>
      <c r="T122" s="138">
        <f t="shared" si="6"/>
        <v>209.38794633369218</v>
      </c>
      <c r="U122" s="136" t="str">
        <f t="shared" si="7"/>
        <v/>
      </c>
    </row>
    <row r="123" spans="1:21" ht="18.75" x14ac:dyDescent="0.25">
      <c r="A123" s="159"/>
      <c r="B123" s="156">
        <f t="shared" si="9"/>
        <v>-2.0000000000000005E-3</v>
      </c>
      <c r="C123" s="156">
        <f>DATI!$D$24*10^-3</f>
        <v>0.01</v>
      </c>
      <c r="D123" s="156">
        <f>(DATI!$C$10-F123)/(DATI!$C$13-F123)*C123</f>
        <v>-8.4931506849314996E-4</v>
      </c>
      <c r="E123" s="157" t="s">
        <v>37</v>
      </c>
      <c r="F123" s="158">
        <f>(DATI!$C$13-DATI!$D$24*10^(-3)/(DATI!$D$24*10^(-3)-B123)*DATI!$C$13)</f>
        <v>60.833333333333314</v>
      </c>
      <c r="G123" s="139">
        <f>(2*DATI!$I$10/(-DATI!$I$14)+DATI!$D$49)*(-B123*10^3)^2/2-(DATI!$I$10/(-DATI!$I$14)^2)*(-B123*10^3)^3/3</f>
        <v>17.098040902641088</v>
      </c>
      <c r="H123" s="139">
        <f>(2*DATI!$I$10/(-DATI!$I$14)+DATI!$D$49)*(-B123*10^3)^3/3-((DATI!$I$10/(-DATI!$I$14)^2)*(-B123*10^3)^4/4)</f>
        <v>21.562819968953555</v>
      </c>
      <c r="I123" s="140">
        <f>G123/(Foglio1!$P$3*(-DATI!$I$13))</f>
        <v>0.31912816305680169</v>
      </c>
      <c r="J123" s="140">
        <f t="shared" si="8"/>
        <v>0.36943594614916375</v>
      </c>
      <c r="K123" s="158">
        <f>IF(D123&gt;=(DATI!$D$26*10^-3),DATI!$D$30*DATI!$I$29,IF(D123&gt;=(-DATI!$D$26*10^-3),DATI!$D$32*D123*DATI!$I$29,-DATI!$D$30*DATI!$I$29))</f>
        <v>-160054.89671666763</v>
      </c>
      <c r="L123" s="158">
        <f>-DATI!$I$16*DATI!$C$6*DATI!$I$11*F123*I123</f>
        <v>-103481.85997305565</v>
      </c>
      <c r="M123" s="158">
        <f>IF(C123&gt;=(DATI!$D$26*10^-3),DATI!$D$30*DATI!$I$28,IF(C123&gt;=(-DATI!$D$26*10^-3),DATI!$I$28*DATI!$D$32*C123,-DATI!$D$30*DATI!$I$28))</f>
        <v>352404.7411418116</v>
      </c>
      <c r="N123" s="158">
        <f t="shared" si="4"/>
        <v>88867.984452088305</v>
      </c>
      <c r="O123" s="158">
        <f>-L123*(DATI!$C$8/2+-J123*F123)-K123*(DATI!$C$13/2)+M123*(DATI!$C$13/2)</f>
        <v>111894602.5071713</v>
      </c>
      <c r="P123" s="140">
        <f>-N123/(DATI!$C$6*DATI!$C$13*DATI!$I$11*DATI!$I$16)</f>
        <v>-4.5676728011620781E-2</v>
      </c>
      <c r="Q123" s="140">
        <f>O123/(DATI!$C$6*DATI!$C$13^2*DATI!$I$11)</f>
        <v>0.13393215444820269</v>
      </c>
      <c r="R123" s="141">
        <f t="shared" si="5"/>
        <v>1259.1103893832251</v>
      </c>
      <c r="S123" s="136" t="str">
        <f>IF(R123&gt;=0, IF(R123&lt;=DATI!$C$8/6, "SI", "NO"),IF(R123&gt; -DATI!$C$8/6, "SI", "NO"))</f>
        <v>NO</v>
      </c>
      <c r="T123" s="138">
        <f t="shared" si="6"/>
        <v>192.34984442514397</v>
      </c>
      <c r="U123" s="136" t="str">
        <f t="shared" si="7"/>
        <v/>
      </c>
    </row>
    <row r="124" spans="1:21" ht="18.75" x14ac:dyDescent="0.25">
      <c r="A124" s="159"/>
      <c r="B124" s="156">
        <f t="shared" si="9"/>
        <v>-2.1000000000000003E-3</v>
      </c>
      <c r="C124" s="156">
        <f>DATI!$D$24*10^-3</f>
        <v>0.01</v>
      </c>
      <c r="D124" s="156">
        <f>(DATI!$C$10-F124)/(DATI!$C$13-F124)*C124</f>
        <v>-9.3972602739725948E-4</v>
      </c>
      <c r="E124" s="157" t="s">
        <v>37</v>
      </c>
      <c r="F124" s="158">
        <f>(DATI!$C$13-DATI!$D$24*10^(-3)/(DATI!$D$24*10^(-3)-B124)*DATI!$C$13)</f>
        <v>63.347107438016508</v>
      </c>
      <c r="G124" s="140">
        <f>$G$123+DATI!$I$10*((-B124*10^3)-(-DATI!$I$14))+DATI!$D$49/2*((-B124*10^3)^2-(-DATI!$I$14)^2)</f>
        <v>18.443182687754391</v>
      </c>
      <c r="H124" s="140">
        <f>$H$123+DATI!$I$10/2*((-B124*10^3)^2-(-DATI!$I$14)^2)+DATI!$D$49/4*((-B124*10^3)^3-(-DATI!$I$14)^3)</f>
        <v>24.20049125882495</v>
      </c>
      <c r="I124" s="140">
        <f>G124/(Foglio1!$P$3*(-DATI!$I$13))</f>
        <v>0.34423470183387567</v>
      </c>
      <c r="J124" s="140">
        <f t="shared" si="8"/>
        <v>0.37515971881388677</v>
      </c>
      <c r="K124" s="158">
        <f>IF(D124&gt;=(DATI!$D$26*10^-3),DATI!$D$30*DATI!$I$29,IF(D124&gt;=(-DATI!$D$26*10^-3),DATI!$D$32*D124*DATI!$I$29,-DATI!$D$30*DATI!$I$29))</f>
        <v>-177092.9986252161</v>
      </c>
      <c r="L124" s="158">
        <f>-DATI!$I$16*DATI!$C$6*DATI!$I$11*F124*I124</f>
        <v>-116235.53458822667</v>
      </c>
      <c r="M124" s="158">
        <f>IF(C124&gt;=(DATI!$D$26*10^-3),DATI!$D$30*DATI!$I$28,IF(C124&gt;=(-DATI!$D$26*10^-3),DATI!$I$28*DATI!$D$32*C124,-DATI!$D$30*DATI!$I$28))</f>
        <v>352404.7411418116</v>
      </c>
      <c r="N124" s="158">
        <f t="shared" si="4"/>
        <v>59076.207928368822</v>
      </c>
      <c r="O124" s="158">
        <f>-L124*(DATI!$C$8/2+-J124*F124)-K124*(DATI!$C$13/2)+M124*(DATI!$C$13/2)</f>
        <v>117118074.04934123</v>
      </c>
      <c r="P124" s="140">
        <f>-N124/(DATI!$C$6*DATI!$C$13*DATI!$I$11*DATI!$I$16)</f>
        <v>-3.0364229571976615E-2</v>
      </c>
      <c r="Q124" s="140">
        <f>O124/(DATI!$C$6*DATI!$C$13^2*DATI!$I$11)</f>
        <v>0.14018438450815449</v>
      </c>
      <c r="R124" s="141">
        <f t="shared" si="5"/>
        <v>1982.4913980827853</v>
      </c>
      <c r="S124" s="136" t="str">
        <f>IF(R124&gt;=0, IF(R124&lt;=DATI!$C$8/6, "SI", "NO"),IF(R124&gt; -DATI!$C$8/6, "SI", "NO"))</f>
        <v>NO</v>
      </c>
      <c r="T124" s="138">
        <f t="shared" si="6"/>
        <v>175.3117425165955</v>
      </c>
      <c r="U124" s="136" t="str">
        <f t="shared" si="7"/>
        <v/>
      </c>
    </row>
    <row r="125" spans="1:21" ht="18.75" x14ac:dyDescent="0.25">
      <c r="A125" s="159"/>
      <c r="B125" s="156">
        <f t="shared" si="9"/>
        <v>-2.2000000000000001E-3</v>
      </c>
      <c r="C125" s="156">
        <f>DATI!$D$24*10^-3</f>
        <v>0.01</v>
      </c>
      <c r="D125" s="156">
        <f>(DATI!$C$10-F125)/(DATI!$C$13-F125)*C125</f>
        <v>-1.0301369863013709E-3</v>
      </c>
      <c r="E125" s="157" t="s">
        <v>37</v>
      </c>
      <c r="F125" s="158">
        <f>(DATI!$C$13-DATI!$D$24*10^(-3)/(DATI!$D$24*10^(-3)-B125)*DATI!$C$13)</f>
        <v>65.81967213114757</v>
      </c>
      <c r="G125" s="140">
        <f>$G$123+DATI!$I$10*((-B125*10^3)-(-DATI!$I$14))+DATI!$D$49/2*((-B125*10^3)^2-(-DATI!$I$14)^2)</f>
        <v>19.79974060330683</v>
      </c>
      <c r="H125" s="140">
        <f>$H$123+DATI!$I$10/2*((-B125*10^3)^2-(-DATI!$I$14)^2)+DATI!$D$49/4*((-B125*10^3)^3-(-DATI!$I$14)^3)</f>
        <v>26.98523447069072</v>
      </c>
      <c r="I125" s="140">
        <f>G125/(Foglio1!$P$3*(-DATI!$I$13))</f>
        <v>0.36955431816509771</v>
      </c>
      <c r="J125" s="140">
        <f t="shared" si="8"/>
        <v>0.38049614314405789</v>
      </c>
      <c r="K125" s="158">
        <f>IF(D125&gt;=(DATI!$D$26*10^-3),DATI!$D$30*DATI!$I$29,IF(D125&gt;=(-DATI!$D$26*10^-3),DATI!$D$32*D125*DATI!$I$29,-DATI!$D$30*DATI!$I$29))</f>
        <v>-194131.10053376495</v>
      </c>
      <c r="L125" s="158">
        <f>-DATI!$I$16*DATI!$C$6*DATI!$I$11*F125*I125</f>
        <v>-129655.65859083104</v>
      </c>
      <c r="M125" s="158">
        <f>IF(C125&gt;=(DATI!$D$26*10^-3),DATI!$D$30*DATI!$I$28,IF(C125&gt;=(-DATI!$D$26*10^-3),DATI!$I$28*DATI!$D$32*C125,-DATI!$D$30*DATI!$I$28))</f>
        <v>352404.7411418116</v>
      </c>
      <c r="N125" s="158">
        <f t="shared" si="4"/>
        <v>28617.982017215574</v>
      </c>
      <c r="O125" s="158">
        <f>-L125*(DATI!$C$8/2+-J125*F125)-K125*(DATI!$C$13/2)+M125*(DATI!$C$13/2)</f>
        <v>122426809.47489473</v>
      </c>
      <c r="P125" s="140">
        <f>-N125/(DATI!$C$6*DATI!$C$13*DATI!$I$11*DATI!$I$16)</f>
        <v>-1.4709186766203215E-2</v>
      </c>
      <c r="Q125" s="140">
        <f>O125/(DATI!$C$6*DATI!$C$13^2*DATI!$I$11)</f>
        <v>0.14653867110472477</v>
      </c>
      <c r="R125" s="141">
        <f t="shared" si="5"/>
        <v>4277.9679364270705</v>
      </c>
      <c r="S125" s="136" t="str">
        <f>IF(R125&gt;=0, IF(R125&lt;=DATI!$C$8/6, "SI", "NO"),IF(R125&gt; -DATI!$C$8/6, "SI", "NO"))</f>
        <v>NO</v>
      </c>
      <c r="T125" s="138">
        <f t="shared" si="6"/>
        <v>158.27364060804663</v>
      </c>
      <c r="U125" s="136" t="str">
        <f t="shared" si="7"/>
        <v/>
      </c>
    </row>
    <row r="126" spans="1:21" ht="18.75" x14ac:dyDescent="0.25">
      <c r="A126" s="122"/>
      <c r="B126" s="137">
        <f t="shared" si="9"/>
        <v>-2.3E-3</v>
      </c>
      <c r="C126" s="137">
        <f>DATI!$D$24*10^-3</f>
        <v>0.01</v>
      </c>
      <c r="D126" s="137">
        <f>(DATI!$C$10-F126)/(DATI!$C$13-F126)*C126</f>
        <v>-1.1205479452054794E-3</v>
      </c>
      <c r="E126" s="136" t="s">
        <v>37</v>
      </c>
      <c r="F126" s="138">
        <f>(DATI!$C$13-DATI!$D$24*10^(-3)/(DATI!$D$24*10^(-3)-B126)*DATI!$C$13)</f>
        <v>68.252032520325201</v>
      </c>
      <c r="G126" s="140">
        <f>$G$123+DATI!$I$10*((-B126*10^3)-(-DATI!$I$14))+DATI!$D$49/2*((-B126*10^3)^2-(-DATI!$I$14)^2)</f>
        <v>21.167714649298393</v>
      </c>
      <c r="H126" s="140">
        <f>$H$123+DATI!$I$10/2*((-B126*10^3)^2-(-DATI!$I$14)^2)+DATI!$D$49/4*((-B126*10^3)^3-(-DATI!$I$14)^3)</f>
        <v>29.918762024116724</v>
      </c>
      <c r="I126" s="139">
        <f>G126/(Foglio1!$P$3*(-DATI!$I$13))</f>
        <v>0.39508701205046759</v>
      </c>
      <c r="J126" s="139">
        <f t="shared" si="8"/>
        <v>0.38547180849204066</v>
      </c>
      <c r="K126" s="138">
        <f>IF(D126&gt;=(DATI!$D$26*10^-3),DATI!$D$30*DATI!$I$29,IF(D126&gt;=(-DATI!$D$26*10^-3),DATI!$D$32*D126*DATI!$I$29,-DATI!$D$30*DATI!$I$29))</f>
        <v>-211169.20244231325</v>
      </c>
      <c r="L126" s="138">
        <f>-DATI!$I$16*DATI!$C$6*DATI!$I$11*F126*I126</f>
        <v>-143736.08835243981</v>
      </c>
      <c r="M126" s="138">
        <f>IF(C126&gt;=(DATI!$D$26*10^-3),DATI!$D$30*DATI!$I$28,IF(C126&gt;=(-DATI!$D$26*10^-3),DATI!$I$28*DATI!$D$32*C126,-DATI!$D$30*DATI!$I$28))</f>
        <v>352404.7411418116</v>
      </c>
      <c r="N126" s="138">
        <f t="shared" si="4"/>
        <v>-2500.5496529414668</v>
      </c>
      <c r="O126" s="138">
        <f>-L126*(DATI!$C$8/2+-J126*F126)-K126*(DATI!$C$13/2)+M126*(DATI!$C$13/2)</f>
        <v>127817875.93311274</v>
      </c>
      <c r="P126" s="140">
        <f>-N126/(DATI!$C$6*DATI!$C$13*DATI!$I$11*DATI!$I$16)</f>
        <v>1.2852426785772133E-3</v>
      </c>
      <c r="Q126" s="140">
        <f>O126/(DATI!$C$6*DATI!$C$13^2*DATI!$I$11)</f>
        <v>0.15299150376460488</v>
      </c>
      <c r="R126" s="141">
        <f t="shared" si="5"/>
        <v>-51115.911968697357</v>
      </c>
      <c r="S126" s="136" t="str">
        <f>IF(R126&gt;=0, IF(R126&lt;=DATI!$C$8/6, "SI", "NO"),IF(R126&gt; -DATI!$C$8/6, "SI", "NO"))</f>
        <v>NO</v>
      </c>
      <c r="T126" s="138">
        <f t="shared" si="6"/>
        <v>141.23553869949833</v>
      </c>
      <c r="U126" s="136" t="str">
        <f t="shared" si="7"/>
        <v/>
      </c>
    </row>
    <row r="127" spans="1:21" ht="18.75" x14ac:dyDescent="0.25">
      <c r="A127" s="122"/>
      <c r="B127" s="137">
        <f t="shared" si="9"/>
        <v>-2.3999999999999998E-3</v>
      </c>
      <c r="C127" s="137">
        <f>DATI!$D$24*10^-3</f>
        <v>0.01</v>
      </c>
      <c r="D127" s="137">
        <f>(DATI!$C$10-F127)/(DATI!$C$13-F127)*C127</f>
        <v>-1.2109589041095885E-3</v>
      </c>
      <c r="E127" s="136" t="s">
        <v>37</v>
      </c>
      <c r="F127" s="138">
        <f>(DATI!$C$13-DATI!$D$24*10^(-3)/(DATI!$D$24*10^(-3)-B127)*DATI!$C$13)</f>
        <v>70.645161290322562</v>
      </c>
      <c r="G127" s="140">
        <f>$G$123+DATI!$I$10*((-B127*10^3)-(-DATI!$I$14))+DATI!$D$49/2*((-B127*10^3)^2-(-DATI!$I$14)^2)</f>
        <v>22.54710482572909</v>
      </c>
      <c r="H127" s="140">
        <f>$H$123+DATI!$I$10/2*((-B127*10^3)^2-(-DATI!$I$14)^2)+DATI!$D$49/4*((-B127*10^3)^3-(-DATI!$I$14)^3)</f>
        <v>33.002786338668855</v>
      </c>
      <c r="I127" s="139">
        <f>G127/(Foglio1!$P$3*(-DATI!$I$13))</f>
        <v>0.42083278348998548</v>
      </c>
      <c r="J127" s="139">
        <f t="shared" si="8"/>
        <v>0.39011411528306073</v>
      </c>
      <c r="K127" s="138">
        <f>IF(D127&gt;=(DATI!$D$26*10^-3),DATI!$D$30*DATI!$I$29,IF(D127&gt;=(-DATI!$D$26*10^-3),DATI!$D$32*D127*DATI!$I$29,-DATI!$D$30*DATI!$I$29))</f>
        <v>-228207.30435086167</v>
      </c>
      <c r="L127" s="138">
        <f>-DATI!$I$16*DATI!$C$6*DATI!$I$11*F127*I127</f>
        <v>-158470.87842618686</v>
      </c>
      <c r="M127" s="138">
        <f>IF(C127&gt;=(DATI!$D$26*10^-3),DATI!$D$30*DATI!$I$28,IF(C127&gt;=(-DATI!$D$26*10^-3),DATI!$I$28*DATI!$D$32*C127,-DATI!$D$30*DATI!$I$28))</f>
        <v>352404.7411418116</v>
      </c>
      <c r="N127" s="138">
        <f t="shared" si="4"/>
        <v>-34273.441635236959</v>
      </c>
      <c r="O127" s="138">
        <f>-L127*(DATI!$C$8/2+-J127*F127)-K127*(DATI!$C$13/2)+M127*(DATI!$C$13/2)</f>
        <v>133288468.14531341</v>
      </c>
      <c r="P127" s="140">
        <f>-N127/(DATI!$C$6*DATI!$C$13*DATI!$I$11*DATI!$I$16)</f>
        <v>1.7616002897408913E-2</v>
      </c>
      <c r="Q127" s="140">
        <f>O127/(DATI!$C$6*DATI!$C$13^2*DATI!$I$11)</f>
        <v>0.15953952471173355</v>
      </c>
      <c r="R127" s="141">
        <f t="shared" si="5"/>
        <v>-3888.9723875374643</v>
      </c>
      <c r="S127" s="136" t="str">
        <f>IF(R127&gt;=0, IF(R127&lt;=DATI!$C$8/6, "SI", "NO"),IF(R127&gt; -DATI!$C$8/6, "SI", "NO"))</f>
        <v>NO</v>
      </c>
      <c r="T127" s="138">
        <f t="shared" si="6"/>
        <v>124.19743679094992</v>
      </c>
      <c r="U127" s="136" t="str">
        <f t="shared" si="7"/>
        <v/>
      </c>
    </row>
    <row r="128" spans="1:21" ht="18.75" x14ac:dyDescent="0.25">
      <c r="A128" s="122"/>
      <c r="B128" s="137">
        <f t="shared" si="9"/>
        <v>-2.4999999999999996E-3</v>
      </c>
      <c r="C128" s="137">
        <f>DATI!$D$24*10^-3</f>
        <v>0.01</v>
      </c>
      <c r="D128" s="137">
        <f>(DATI!$C$10-F128)/(DATI!$C$13-F128)*C128</f>
        <v>-1.3013698630136986E-3</v>
      </c>
      <c r="E128" s="136" t="s">
        <v>37</v>
      </c>
      <c r="F128" s="138">
        <f>(DATI!$C$13-DATI!$D$24*10^(-3)/(DATI!$D$24*10^(-3)-B128)*DATI!$C$13)</f>
        <v>73</v>
      </c>
      <c r="G128" s="140">
        <f>$G$123+DATI!$I$10*((-B128*10^3)-(-DATI!$I$14))+DATI!$D$49/2*((-B128*10^3)^2-(-DATI!$I$14)^2)</f>
        <v>23.937911132598913</v>
      </c>
      <c r="H128" s="140">
        <f>$H$123+DATI!$I$10/2*((-B128*10^3)^2-(-DATI!$I$14)^2)+DATI!$D$49/4*((-B128*10^3)^3-(-DATI!$I$14)^3)</f>
        <v>36.239019833912955</v>
      </c>
      <c r="I128" s="139">
        <f>G128/(Foglio1!$P$3*(-DATI!$I$13))</f>
        <v>0.44679163248365128</v>
      </c>
      <c r="J128" s="139">
        <f t="shared" si="8"/>
        <v>0.39444975573391183</v>
      </c>
      <c r="K128" s="138">
        <f>IF(D128&gt;=(DATI!$D$26*10^-3),DATI!$D$30*DATI!$I$29,IF(D128&gt;=(-DATI!$D$26*10^-3),DATI!$D$32*D128*DATI!$I$29,-DATI!$D$30*DATI!$I$29))</f>
        <v>-245245.40625941026</v>
      </c>
      <c r="L128" s="138">
        <f>-DATI!$I$16*DATI!$C$6*DATI!$I$11*F128*I128</f>
        <v>-173854.27361950558</v>
      </c>
      <c r="M128" s="138">
        <f>IF(C128&gt;=(DATI!$D$26*10^-3),DATI!$D$30*DATI!$I$28,IF(C128&gt;=(-DATI!$D$26*10^-3),DATI!$I$28*DATI!$D$32*C128,-DATI!$D$30*DATI!$I$28))</f>
        <v>352404.7411418116</v>
      </c>
      <c r="N128" s="138">
        <f t="shared" si="4"/>
        <v>-66694.938737104239</v>
      </c>
      <c r="O128" s="138">
        <f>-L128*(DATI!$C$8/2+-J128*F128)-K128*(DATI!$C$13/2)+M128*(DATI!$C$13/2)</f>
        <v>138835901.99396083</v>
      </c>
      <c r="P128" s="140">
        <f>-N128/(DATI!$C$6*DATI!$C$13*DATI!$I$11*DATI!$I$16)</f>
        <v>3.4280135813014194E-2</v>
      </c>
      <c r="Q128" s="140">
        <f>O128/(DATI!$C$6*DATI!$C$13^2*DATI!$I$11)</f>
        <v>0.16617952119378565</v>
      </c>
      <c r="R128" s="141">
        <f t="shared" si="5"/>
        <v>-2081.6557391441547</v>
      </c>
      <c r="S128" s="136" t="str">
        <f>IF(R128&gt;=0, IF(R128&lt;=DATI!$C$8/6, "SI", "NO"),IF(R128&gt; -DATI!$C$8/6, "SI", "NO"))</f>
        <v>NO</v>
      </c>
      <c r="T128" s="138">
        <f t="shared" si="6"/>
        <v>107.15933488240134</v>
      </c>
      <c r="U128" s="136" t="str">
        <f t="shared" si="7"/>
        <v/>
      </c>
    </row>
    <row r="129" spans="1:21" ht="18.75" x14ac:dyDescent="0.25">
      <c r="A129" s="122"/>
      <c r="B129" s="137">
        <f t="shared" si="9"/>
        <v>-2.5999999999999994E-3</v>
      </c>
      <c r="C129" s="137">
        <f>DATI!$D$24*10^-3</f>
        <v>0.01</v>
      </c>
      <c r="D129" s="137">
        <f>(DATI!$C$10-F129)/(DATI!$C$13-F129)*C129</f>
        <v>-1.3917808219178099E-3</v>
      </c>
      <c r="E129" s="136" t="s">
        <v>37</v>
      </c>
      <c r="F129" s="138">
        <f>(DATI!$C$13-DATI!$D$24*10^(-3)/(DATI!$D$24*10^(-3)-B129)*DATI!$C$13)</f>
        <v>75.317460317460359</v>
      </c>
      <c r="G129" s="140">
        <f>$G$123+DATI!$I$10*((-B129*10^3)-(-DATI!$I$14))+DATI!$D$49/2*((-B129*10^3)^2-(-DATI!$I$14)^2)</f>
        <v>25.340133569907877</v>
      </c>
      <c r="H129" s="140">
        <f>$H$123+DATI!$I$10/2*((-B129*10^3)^2-(-DATI!$I$14)^2)+DATI!$D$49/4*((-B129*10^3)^3-(-DATI!$I$14)^3)</f>
        <v>39.629174929414916</v>
      </c>
      <c r="I129" s="139">
        <f>G129/(Foglio1!$P$3*(-DATI!$I$13))</f>
        <v>0.4729635590314652</v>
      </c>
      <c r="J129" s="139">
        <f t="shared" si="8"/>
        <v>0.39850394571054781</v>
      </c>
      <c r="K129" s="138">
        <f>IF(D129&gt;=(DATI!$D$26*10^-3),DATI!$D$30*DATI!$I$29,IF(D129&gt;=(-DATI!$D$26*10^-3),DATI!$D$32*D129*DATI!$I$29,-DATI!$D$30*DATI!$I$29))</f>
        <v>-262283.50816795905</v>
      </c>
      <c r="L129" s="138">
        <f>-DATI!$I$16*DATI!$C$6*DATI!$I$11*F129*I129</f>
        <v>-189880.70144435533</v>
      </c>
      <c r="M129" s="138">
        <f>IF(C129&gt;=(DATI!$D$26*10^-3),DATI!$D$30*DATI!$I$28,IF(C129&gt;=(-DATI!$D$26*10^-3),DATI!$I$28*DATI!$D$32*C129,-DATI!$D$30*DATI!$I$28))</f>
        <v>352404.7411418116</v>
      </c>
      <c r="N129" s="138">
        <f t="shared" si="4"/>
        <v>-99759.468470502761</v>
      </c>
      <c r="O129" s="138">
        <f>-L129*(DATI!$C$8/2+-J129*F129)-K129*(DATI!$C$13/2)+M129*(DATI!$C$13/2)</f>
        <v>144457608.47884634</v>
      </c>
      <c r="P129" s="140">
        <f>-N129/(DATI!$C$6*DATI!$C$13*DATI!$I$11*DATI!$I$16)</f>
        <v>5.1274777255330632E-2</v>
      </c>
      <c r="Q129" s="140">
        <f>O129/(DATI!$C$6*DATI!$C$13^2*DATI!$I$11)</f>
        <v>0.17290841824802822</v>
      </c>
      <c r="R129" s="141">
        <f t="shared" si="5"/>
        <v>-1448.0591235463537</v>
      </c>
      <c r="S129" s="136" t="str">
        <f>IF(R129&gt;=0, IF(R129&lt;=DATI!$C$8/6, "SI", "NO"),IF(R129&gt; -DATI!$C$8/6, "SI", "NO"))</f>
        <v>NO</v>
      </c>
      <c r="T129" s="138">
        <f t="shared" si="6"/>
        <v>90.121232973852543</v>
      </c>
      <c r="U129" s="136" t="str">
        <f t="shared" si="7"/>
        <v/>
      </c>
    </row>
    <row r="130" spans="1:21" ht="18.75" x14ac:dyDescent="0.25">
      <c r="A130" s="122"/>
      <c r="B130" s="137">
        <f t="shared" si="9"/>
        <v>-2.6999999999999993E-3</v>
      </c>
      <c r="C130" s="137">
        <f>DATI!$D$24*10^-3</f>
        <v>0.01</v>
      </c>
      <c r="D130" s="137">
        <f>(DATI!$C$10-F130)/(DATI!$C$13-F130)*C130</f>
        <v>-1.482191780821917E-3</v>
      </c>
      <c r="E130" s="136" t="s">
        <v>37</v>
      </c>
      <c r="F130" s="138">
        <f>(DATI!$C$13-DATI!$D$24*10^(-3)/(DATI!$D$24*10^(-3)-B130)*DATI!$C$13)</f>
        <v>77.598425196850371</v>
      </c>
      <c r="G130" s="140">
        <f>$G$123+DATI!$I$10*((-B130*10^3)-(-DATI!$I$14))+DATI!$D$49/2*((-B130*10^3)^2-(-DATI!$I$14)^2)</f>
        <v>26.753772137655965</v>
      </c>
      <c r="H130" s="140">
        <f>$H$123+DATI!$I$10/2*((-B130*10^3)^2-(-DATI!$I$14)^2)+DATI!$D$49/4*((-B130*10^3)^3-(-DATI!$I$14)^3)</f>
        <v>43.174964044740591</v>
      </c>
      <c r="I130" s="139">
        <f>G130/(Foglio1!$P$3*(-DATI!$I$13))</f>
        <v>0.49934856313342696</v>
      </c>
      <c r="J130" s="139">
        <f t="shared" si="8"/>
        <v>0.40230008158471853</v>
      </c>
      <c r="K130" s="138">
        <f>IF(D130&gt;=(DATI!$D$26*10^-3),DATI!$D$30*DATI!$I$29,IF(D130&gt;=(-DATI!$D$26*10^-3),DATI!$D$32*D130*DATI!$I$29,-DATI!$D$30*DATI!$I$29))</f>
        <v>-279321.61007650709</v>
      </c>
      <c r="L130" s="138">
        <f>-DATI!$I$16*DATI!$C$6*DATI!$I$11*F130*I130</f>
        <v>-206544.76492412933</v>
      </c>
      <c r="M130" s="138">
        <f>IF(C130&gt;=(DATI!$D$26*10^-3),DATI!$D$30*DATI!$I$28,IF(C130&gt;=(-DATI!$D$26*10^-3),DATI!$I$28*DATI!$D$32*C130,-DATI!$D$30*DATI!$I$28))</f>
        <v>352404.7411418116</v>
      </c>
      <c r="N130" s="138">
        <f t="shared" ref="N130:N193" si="10">K130+L130+M130</f>
        <v>-133461.63385882485</v>
      </c>
      <c r="O130" s="138">
        <f>-L130*(DATI!$C$8/2+-J130*F130)-K130*(DATI!$C$13/2)+M130*(DATI!$C$13/2)</f>
        <v>150151128.01673079</v>
      </c>
      <c r="P130" s="140">
        <f>-N130/(DATI!$C$6*DATI!$C$13*DATI!$I$11*DATI!$I$16)</f>
        <v>6.8597153264375738E-2</v>
      </c>
      <c r="Q130" s="140">
        <f>O130/(DATI!$C$6*DATI!$C$13^2*DATI!$I$11)</f>
        <v>0.17972327187828199</v>
      </c>
      <c r="R130" s="141">
        <f t="shared" ref="R130:R193" si="11">O130/N130</f>
        <v>-1125.0508754865089</v>
      </c>
      <c r="S130" s="136" t="str">
        <f>IF(R130&gt;=0, IF(R130&lt;=DATI!$C$8/6, "SI", "NO"),IF(R130&gt; -DATI!$C$8/6, "SI", "NO"))</f>
        <v>NO</v>
      </c>
      <c r="T130" s="138">
        <f t="shared" ref="T130:T193" si="12">(K130+M130)/10^3</f>
        <v>73.083131065304514</v>
      </c>
      <c r="U130" s="136" t="str">
        <f t="shared" ref="U130:U193" si="13">IF(T130&lt;1,IF(T130&gt;-1,"ROTTURA BILANCIATA",""),"")</f>
        <v/>
      </c>
    </row>
    <row r="131" spans="1:21" ht="18.75" x14ac:dyDescent="0.25">
      <c r="A131" s="122"/>
      <c r="B131" s="137">
        <f t="shared" si="9"/>
        <v>-2.7999999999999991E-3</v>
      </c>
      <c r="C131" s="137">
        <f>DATI!$D$24*10^-3</f>
        <v>0.01</v>
      </c>
      <c r="D131" s="137">
        <f>(DATI!$C$10-F131)/(DATI!$C$13-F131)*C131</f>
        <v>-1.572602739726025E-3</v>
      </c>
      <c r="E131" s="136" t="s">
        <v>37</v>
      </c>
      <c r="F131" s="138">
        <f>(DATI!$C$13-DATI!$D$24*10^(-3)/(DATI!$D$24*10^(-3)-B131)*DATI!$C$13)</f>
        <v>79.843749999999943</v>
      </c>
      <c r="G131" s="140">
        <f>$G$123+DATI!$I$10*((-B131*10^3)-(-DATI!$I$14))+DATI!$D$49/2*((-B131*10^3)^2-(-DATI!$I$14)^2)</f>
        <v>28.178826835843182</v>
      </c>
      <c r="H131" s="140">
        <f>$H$123+DATI!$I$10/2*((-B131*10^3)^2-(-DATI!$I$14)^2)+DATI!$D$49/4*((-B131*10^3)^3-(-DATI!$I$14)^3)</f>
        <v>46.878099599455851</v>
      </c>
      <c r="I131" s="139">
        <f>G131/(Foglio1!$P$3*(-DATI!$I$13))</f>
        <v>0.52594664478953668</v>
      </c>
      <c r="J131" s="139">
        <f t="shared" si="8"/>
        <v>0.40585963617615139</v>
      </c>
      <c r="K131" s="138">
        <f>IF(D131&gt;=(DATI!$D$26*10^-3),DATI!$D$30*DATI!$I$29,IF(D131&gt;=(-DATI!$D$26*10^-3),DATI!$D$32*D131*DATI!$I$29,-DATI!$D$30*DATI!$I$29))</f>
        <v>-296359.71198505536</v>
      </c>
      <c r="L131" s="138">
        <f>-DATI!$I$16*DATI!$C$6*DATI!$I$11*F131*I131</f>
        <v>-223841.23573774053</v>
      </c>
      <c r="M131" s="138">
        <f>IF(C131&gt;=(DATI!$D$26*10^-3),DATI!$D$30*DATI!$I$28,IF(C131&gt;=(-DATI!$D$26*10^-3),DATI!$I$28*DATI!$D$32*C131,-DATI!$D$30*DATI!$I$28))</f>
        <v>352404.7411418116</v>
      </c>
      <c r="N131" s="138">
        <f t="shared" si="10"/>
        <v>-167796.20658098429</v>
      </c>
      <c r="O131" s="138">
        <f>-L131*(DATI!$C$8/2+-J131*F131)-K131*(DATI!$C$13/2)+M131*(DATI!$C$13/2)</f>
        <v>155914105.06252244</v>
      </c>
      <c r="P131" s="140">
        <f>-N131/(DATI!$C$6*DATI!$C$13*DATI!$I$11*DATI!$I$16)</f>
        <v>8.6244576566417749E-2</v>
      </c>
      <c r="Q131" s="140">
        <f>O131/(DATI!$C$6*DATI!$C$13^2*DATI!$I$11)</f>
        <v>0.18662126261674453</v>
      </c>
      <c r="R131" s="141">
        <f t="shared" si="11"/>
        <v>-929.18730547864243</v>
      </c>
      <c r="S131" s="136" t="str">
        <f>IF(R131&gt;=0, IF(R131&lt;=DATI!$C$8/6, "SI", "NO"),IF(R131&gt; -DATI!$C$8/6, "SI", "NO"))</f>
        <v>NO</v>
      </c>
      <c r="T131" s="138">
        <f t="shared" si="12"/>
        <v>56.045029156756236</v>
      </c>
      <c r="U131" s="136" t="str">
        <f t="shared" si="13"/>
        <v/>
      </c>
    </row>
    <row r="132" spans="1:21" ht="18.75" x14ac:dyDescent="0.25">
      <c r="A132" s="122"/>
      <c r="B132" s="137">
        <f t="shared" si="9"/>
        <v>-2.8999999999999989E-3</v>
      </c>
      <c r="C132" s="137">
        <f>DATI!$D$24*10^-3</f>
        <v>0.01</v>
      </c>
      <c r="D132" s="137">
        <f>(DATI!$C$10-F132)/(DATI!$C$13-F132)*C132</f>
        <v>-1.6630136986301343E-3</v>
      </c>
      <c r="E132" s="136" t="s">
        <v>37</v>
      </c>
      <c r="F132" s="138">
        <f>(DATI!$C$13-DATI!$D$24*10^(-3)/(DATI!$D$24*10^(-3)-B132)*DATI!$C$13)</f>
        <v>82.054263565891404</v>
      </c>
      <c r="G132" s="140">
        <f>$G$123+DATI!$I$10*((-B132*10^3)-(-DATI!$I$14))+DATI!$D$49/2*((-B132*10^3)^2-(-DATI!$I$14)^2)</f>
        <v>29.615297664469534</v>
      </c>
      <c r="H132" s="140">
        <f>$H$123+DATI!$I$10/2*((-B132*10^3)^2-(-DATI!$I$14)^2)+DATI!$D$49/4*((-B132*10^3)^3-(-DATI!$I$14)^3)</f>
        <v>50.740294013126608</v>
      </c>
      <c r="I132" s="139">
        <f>G132/(Foglio1!$P$3*(-DATI!$I$13))</f>
        <v>0.55275780399979446</v>
      </c>
      <c r="J132" s="139">
        <f t="shared" si="8"/>
        <v>0.40920218644413564</v>
      </c>
      <c r="K132" s="138">
        <f>IF(D132&gt;=(DATI!$D$26*10^-3),DATI!$D$30*DATI!$I$29,IF(D132&gt;=(-DATI!$D$26*10^-3),DATI!$D$32*D132*DATI!$I$29,-DATI!$D$30*DATI!$I$29))</f>
        <v>-313397.8138936038</v>
      </c>
      <c r="L132" s="138">
        <f>-DATI!$I$16*DATI!$C$6*DATI!$I$11*F132*I132</f>
        <v>-241765.0476825849</v>
      </c>
      <c r="M132" s="138">
        <f>IF(C132&gt;=(DATI!$D$26*10^-3),DATI!$D$30*DATI!$I$28,IF(C132&gt;=(-DATI!$D$26*10^-3),DATI!$I$28*DATI!$D$32*C132,-DATI!$D$30*DATI!$I$28))</f>
        <v>352404.7411418116</v>
      </c>
      <c r="N132" s="138">
        <f t="shared" si="10"/>
        <v>-202758.12043437711</v>
      </c>
      <c r="O132" s="138">
        <f>-L132*(DATI!$C$8/2+-J132*F132)-K132*(DATI!$C$13/2)+M132*(DATI!$C$13/2)</f>
        <v>161744283.03161538</v>
      </c>
      <c r="P132" s="140">
        <f>-N132/(DATI!$C$6*DATI!$C$13*DATI!$I$11*DATI!$I$16)</f>
        <v>0.10421444321404165</v>
      </c>
      <c r="Q132" s="140">
        <f>O132/(DATI!$C$6*DATI!$C$13^2*DATI!$I$11)</f>
        <v>0.19359968944628725</v>
      </c>
      <c r="R132" s="141">
        <f t="shared" si="11"/>
        <v>-797.72037087887725</v>
      </c>
      <c r="S132" s="136" t="str">
        <f>IF(R132&gt;=0, IF(R132&lt;=DATI!$C$8/6, "SI", "NO"),IF(R132&gt; -DATI!$C$8/6, "SI", "NO"))</f>
        <v>NO</v>
      </c>
      <c r="T132" s="138">
        <f t="shared" si="12"/>
        <v>39.006927248207795</v>
      </c>
      <c r="U132" s="136" t="str">
        <f t="shared" si="13"/>
        <v/>
      </c>
    </row>
    <row r="133" spans="1:21" ht="18.75" x14ac:dyDescent="0.25">
      <c r="A133" s="122"/>
      <c r="B133" s="137">
        <f t="shared" si="9"/>
        <v>-2.9999999999999988E-3</v>
      </c>
      <c r="C133" s="137">
        <f>DATI!$D$24*10^-3</f>
        <v>0.01</v>
      </c>
      <c r="D133" s="137">
        <f>(DATI!$C$10-F133)/(DATI!$C$13-F133)*C133</f>
        <v>-1.7534246575342464E-3</v>
      </c>
      <c r="E133" s="136" t="s">
        <v>37</v>
      </c>
      <c r="F133" s="138">
        <f>(DATI!$C$13-DATI!$D$24*10^(-3)/(DATI!$D$24*10^(-3)-B133)*DATI!$C$13)</f>
        <v>84.230769230769226</v>
      </c>
      <c r="G133" s="140">
        <f>$G$123+DATI!$I$10*((-B133*10^3)-(-DATI!$I$14))+DATI!$D$49/2*((-B133*10^3)^2-(-DATI!$I$14)^2)</f>
        <v>31.063184623535015</v>
      </c>
      <c r="H133" s="140">
        <f>$H$123+DATI!$I$10/2*((-B133*10^3)^2-(-DATI!$I$14)^2)+DATI!$D$49/4*((-B133*10^3)^3-(-DATI!$I$14)^3)</f>
        <v>54.763259705318667</v>
      </c>
      <c r="I133" s="139">
        <f>G133/(Foglio1!$P$3*(-DATI!$I$13))</f>
        <v>0.57978204076420015</v>
      </c>
      <c r="J133" s="139">
        <f t="shared" si="8"/>
        <v>0.41234551051335411</v>
      </c>
      <c r="K133" s="138">
        <f>IF(D133&gt;=(DATI!$D$26*10^-3),DATI!$D$30*DATI!$I$29,IF(D133&gt;=(-DATI!$D$26*10^-3),DATI!$D$32*D133*DATI!$I$29,-DATI!$D$30*DATI!$I$29))</f>
        <v>-330435.91580215277</v>
      </c>
      <c r="L133" s="138">
        <f>-DATI!$I$16*DATI!$C$6*DATI!$I$11*F133*I133</f>
        <v>-260311.29043921549</v>
      </c>
      <c r="M133" s="138">
        <f>IF(C133&gt;=(DATI!$D$26*10^-3),DATI!$D$30*DATI!$I$28,IF(C133&gt;=(-DATI!$D$26*10^-3),DATI!$I$28*DATI!$D$32*C133,-DATI!$D$30*DATI!$I$28))</f>
        <v>352404.7411418116</v>
      </c>
      <c r="N133" s="138">
        <f t="shared" si="10"/>
        <v>-238342.46509955672</v>
      </c>
      <c r="O133" s="138">
        <f>-L133*(DATI!$C$8/2+-J133*F133)-K133*(DATI!$C$13/2)+M133*(DATI!$C$13/2)</f>
        <v>167639499.50445041</v>
      </c>
      <c r="P133" s="140">
        <f>-N133/(DATI!$C$6*DATI!$C$13*DATI!$I$11*DATI!$I$16)</f>
        <v>0.12250422938129148</v>
      </c>
      <c r="Q133" s="140">
        <f>O133/(DATI!$C$6*DATI!$C$13^2*DATI!$I$11)</f>
        <v>0.20065596406055855</v>
      </c>
      <c r="R133" s="141">
        <f t="shared" si="11"/>
        <v>-703.35556626229675</v>
      </c>
      <c r="S133" s="136" t="str">
        <f>IF(R133&gt;=0, IF(R133&lt;=DATI!$C$8/6, "SI", "NO"),IF(R133&gt; -DATI!$C$8/6, "SI", "NO"))</f>
        <v>NO</v>
      </c>
      <c r="T133" s="138">
        <f t="shared" si="12"/>
        <v>21.968825339658824</v>
      </c>
      <c r="U133" s="136" t="str">
        <f t="shared" si="13"/>
        <v/>
      </c>
    </row>
    <row r="134" spans="1:21" ht="18.75" x14ac:dyDescent="0.25">
      <c r="A134" s="122"/>
      <c r="B134" s="137">
        <f t="shared" si="9"/>
        <v>-3.0999999999999986E-3</v>
      </c>
      <c r="C134" s="137">
        <f>DATI!$D$24*10^-3</f>
        <v>0.01</v>
      </c>
      <c r="D134" s="137">
        <f>(DATI!$C$10-F134)/(DATI!$C$13-F134)*C134</f>
        <v>-1.8438356164383544E-3</v>
      </c>
      <c r="E134" s="136" t="s">
        <v>37</v>
      </c>
      <c r="F134" s="138">
        <f>(DATI!$C$13-DATI!$D$24*10^(-3)/(DATI!$D$24*10^(-3)-B134)*DATI!$C$13)</f>
        <v>86.374045801526677</v>
      </c>
      <c r="G134" s="140">
        <f>$G$123+DATI!$I$10*((-B134*10^3)-(-DATI!$I$14))+DATI!$D$49/2*((-B134*10^3)^2-(-DATI!$I$14)^2)</f>
        <v>32.522487713039631</v>
      </c>
      <c r="H134" s="140">
        <f>$H$123+DATI!$I$10/2*((-B134*10^3)^2-(-DATI!$I$14)^2)+DATI!$D$49/4*((-B134*10^3)^3-(-DATI!$I$14)^3)</f>
        <v>58.948709095597941</v>
      </c>
      <c r="I134" s="139">
        <f>G134/(Foglio1!$P$3*(-DATI!$I$13))</f>
        <v>0.60701935508275384</v>
      </c>
      <c r="J134" s="139">
        <f t="shared" si="8"/>
        <v>0.41530571771546809</v>
      </c>
      <c r="K134" s="138">
        <f>IF(D134&gt;=(DATI!$D$26*10^-3),DATI!$D$30*DATI!$I$29,IF(D134&gt;=(-DATI!$D$26*10^-3),DATI!$D$32*D134*DATI!$I$29,-DATI!$D$30*DATI!$I$29))</f>
        <v>-347474.01771070098</v>
      </c>
      <c r="L134" s="138">
        <f>-DATI!$I$16*DATI!$C$6*DATI!$I$11*F134*I134</f>
        <v>-279475.20362160302</v>
      </c>
      <c r="M134" s="138">
        <f>IF(C134&gt;=(DATI!$D$26*10^-3),DATI!$D$30*DATI!$I$28,IF(C134&gt;=(-DATI!$D$26*10^-3),DATI!$I$28*DATI!$D$32*C134,-DATI!$D$30*DATI!$I$28))</f>
        <v>352404.7411418116</v>
      </c>
      <c r="N134" s="138">
        <f t="shared" si="10"/>
        <v>-274544.48019049235</v>
      </c>
      <c r="O134" s="138">
        <f>-L134*(DATI!$C$8/2+-J134*F134)-K134*(DATI!$C$13/2)+M134*(DATI!$C$13/2)</f>
        <v>173597681.69567752</v>
      </c>
      <c r="P134" s="140">
        <f>-N134/(DATI!$C$6*DATI!$C$13*DATI!$I$11*DATI!$I$16)</f>
        <v>0.14111148830559805</v>
      </c>
      <c r="Q134" s="140">
        <f>O134/(DATI!$C$6*DATI!$C$13^2*DATI!$I$11)</f>
        <v>0.20778760544080133</v>
      </c>
      <c r="R134" s="141">
        <f t="shared" si="11"/>
        <v>-632.31168069824957</v>
      </c>
      <c r="S134" s="136" t="str">
        <f>IF(R134&gt;=0, IF(R134&lt;=DATI!$C$8/6, "SI", "NO"),IF(R134&gt; -DATI!$C$8/6, "SI", "NO"))</f>
        <v>NO</v>
      </c>
      <c r="T134" s="138">
        <f t="shared" si="12"/>
        <v>4.9307234311106152</v>
      </c>
      <c r="U134" s="136" t="str">
        <f t="shared" si="13"/>
        <v/>
      </c>
    </row>
    <row r="135" spans="1:21" ht="18.75" x14ac:dyDescent="0.25">
      <c r="A135" s="122"/>
      <c r="B135" s="137">
        <f t="shared" si="9"/>
        <v>-3.1999999999999984E-3</v>
      </c>
      <c r="C135" s="137">
        <f>DATI!$D$24*10^-3</f>
        <v>0.01</v>
      </c>
      <c r="D135" s="137">
        <f>(DATI!$C$10-F135)/(DATI!$C$13-F135)*C135</f>
        <v>-1.9342465753424639E-3</v>
      </c>
      <c r="E135" s="136" t="s">
        <v>37</v>
      </c>
      <c r="F135" s="138">
        <f>(DATI!$C$13-DATI!$D$24*10^(-3)/(DATI!$D$24*10^(-3)-B135)*DATI!$C$13)</f>
        <v>88.484848484848442</v>
      </c>
      <c r="G135" s="140">
        <f>$G$123+DATI!$I$10*((-B135*10^3)-(-DATI!$I$14))+DATI!$D$49/2*((-B135*10^3)^2-(-DATI!$I$14)^2)</f>
        <v>33.993206932983377</v>
      </c>
      <c r="H135" s="140">
        <f>$H$123+DATI!$I$10/2*((-B135*10^3)^2-(-DATI!$I$14)^2)+DATI!$D$49/4*((-B135*10^3)^3-(-DATI!$I$14)^3)</f>
        <v>63.298354603530271</v>
      </c>
      <c r="I135" s="139">
        <f>G135/(Foglio1!$P$3*(-DATI!$I$13))</f>
        <v>0.63446974695545555</v>
      </c>
      <c r="J135" s="139">
        <f t="shared" si="8"/>
        <v>0.41809739067572038</v>
      </c>
      <c r="K135" s="138">
        <f>IF(D135&gt;=(DATI!$D$26*10^-3),DATI!$D$30*DATI!$I$29,IF(D135&gt;=(-DATI!$D$26*10^-3),DATI!$D$32*D135*DATI!$I$29,-DATI!$D$30*DATI!$I$29))</f>
        <v>-352404.7411418116</v>
      </c>
      <c r="L135" s="138">
        <f>-DATI!$I$16*DATI!$C$6*DATI!$I$11*F135*I135</f>
        <v>-299252.17109784129</v>
      </c>
      <c r="M135" s="138">
        <f>IF(C135&gt;=(DATI!$D$26*10^-3),DATI!$D$30*DATI!$I$28,IF(C135&gt;=(-DATI!$D$26*10^-3),DATI!$I$28*DATI!$D$32*C135,-DATI!$D$30*DATI!$I$28))</f>
        <v>352404.7411418116</v>
      </c>
      <c r="N135" s="138">
        <f t="shared" si="10"/>
        <v>-299252.17109784123</v>
      </c>
      <c r="O135" s="138">
        <f>-L135*(DATI!$C$8/2+-J135*F135)-K135*(DATI!$C$13/2)+M135*(DATI!$C$13/2)</f>
        <v>177407245.59939158</v>
      </c>
      <c r="P135" s="140">
        <f>-N135/(DATI!$C$6*DATI!$C$13*DATI!$I$11*DATI!$I$16)</f>
        <v>0.153810847746777</v>
      </c>
      <c r="Q135" s="140">
        <f>O135/(DATI!$C$6*DATI!$C$13^2*DATI!$I$11)</f>
        <v>0.21234745989043691</v>
      </c>
      <c r="R135" s="141">
        <f t="shared" si="11"/>
        <v>-592.83528319461334</v>
      </c>
      <c r="S135" s="136" t="str">
        <f>IF(R135&gt;=0, IF(R135&lt;=DATI!$C$8/6, "SI", "NO"),IF(R135&gt; -DATI!$C$8/6, "SI", "NO"))</f>
        <v>NO</v>
      </c>
      <c r="T135" s="138">
        <f t="shared" si="12"/>
        <v>0</v>
      </c>
      <c r="U135" s="136" t="str">
        <f t="shared" si="13"/>
        <v>ROTTURA BILANCIATA</v>
      </c>
    </row>
    <row r="136" spans="1:21" ht="18.75" x14ac:dyDescent="0.25">
      <c r="A136" s="122"/>
      <c r="B136" s="137">
        <f t="shared" si="9"/>
        <v>-3.2999999999999982E-3</v>
      </c>
      <c r="C136" s="137">
        <f>DATI!$D$24*10^-3</f>
        <v>0.01</v>
      </c>
      <c r="D136" s="137">
        <f>(DATI!$C$10-F136)/(DATI!$C$13-F136)*C136</f>
        <v>-2.0246575342465745E-3</v>
      </c>
      <c r="E136" s="136" t="s">
        <v>37</v>
      </c>
      <c r="F136" s="138">
        <f>(DATI!$C$13-DATI!$D$24*10^(-3)/(DATI!$D$24*10^(-3)-B136)*DATI!$C$13)</f>
        <v>90.56390977443607</v>
      </c>
      <c r="G136" s="140">
        <f>$G$123+DATI!$I$10*((-B136*10^3)-(-DATI!$I$14))+DATI!$D$49/2*((-B136*10^3)^2-(-DATI!$I$14)^2)</f>
        <v>35.475342283366246</v>
      </c>
      <c r="H136" s="140">
        <f>$H$123+DATI!$I$10/2*((-B136*10^3)^2-(-DATI!$I$14)^2)+DATI!$D$49/4*((-B136*10^3)^3-(-DATI!$I$14)^3)</f>
        <v>67.813908648681547</v>
      </c>
      <c r="I136" s="139">
        <f>G136/(Foglio1!$P$3*(-DATI!$I$13))</f>
        <v>0.66213321638230505</v>
      </c>
      <c r="J136" s="139">
        <f t="shared" ref="J136:J167" si="14">1-(H136/G136)/(-B136*10^3)</f>
        <v>0.42073372757520533</v>
      </c>
      <c r="K136" s="138">
        <f>IF(D136&gt;=(DATI!$D$26*10^-3),DATI!$D$30*DATI!$I$29,IF(D136&gt;=(-DATI!$D$26*10^-3),DATI!$D$32*D136*DATI!$I$29,-DATI!$D$30*DATI!$I$29))</f>
        <v>-352404.7411418116</v>
      </c>
      <c r="L136" s="138">
        <f>-DATI!$I$16*DATI!$C$6*DATI!$I$11*F136*I136</f>
        <v>-319637.71556705813</v>
      </c>
      <c r="M136" s="138">
        <f>IF(C136&gt;=(DATI!$D$26*10^-3),DATI!$D$30*DATI!$I$28,IF(C136&gt;=(-DATI!$D$26*10^-3),DATI!$I$28*DATI!$D$32*C136,-DATI!$D$30*DATI!$I$28))</f>
        <v>352404.7411418116</v>
      </c>
      <c r="N136" s="138">
        <f t="shared" si="10"/>
        <v>-319637.71556705807</v>
      </c>
      <c r="O136" s="138">
        <f>-L136*(DATI!$C$8/2+-J136*F136)-K136*(DATI!$C$13/2)+M136*(DATI!$C$13/2)</f>
        <v>180376024.62965176</v>
      </c>
      <c r="P136" s="140">
        <f>-N136/(DATI!$C$6*DATI!$C$13*DATI!$I$11*DATI!$I$16)</f>
        <v>0.16428869278658689</v>
      </c>
      <c r="Q136" s="140">
        <f>O136/(DATI!$C$6*DATI!$C$13^2*DATI!$I$11)</f>
        <v>0.21590093756222994</v>
      </c>
      <c r="R136" s="141">
        <f t="shared" si="11"/>
        <v>-564.31395872559335</v>
      </c>
      <c r="S136" s="136" t="str">
        <f>IF(R136&gt;=0, IF(R136&lt;=DATI!$C$8/6, "SI", "NO"),IF(R136&gt; -DATI!$C$8/6, "SI", "NO"))</f>
        <v>NO</v>
      </c>
      <c r="T136" s="138">
        <f t="shared" si="12"/>
        <v>0</v>
      </c>
      <c r="U136" s="136" t="str">
        <f t="shared" si="13"/>
        <v>ROTTURA BILANCIATA</v>
      </c>
    </row>
    <row r="137" spans="1:21" ht="18.75" x14ac:dyDescent="0.25">
      <c r="A137" s="122"/>
      <c r="B137" s="137">
        <f t="shared" si="9"/>
        <v>-3.3999999999999981E-3</v>
      </c>
      <c r="C137" s="137">
        <f>DATI!$D$24*10^-3</f>
        <v>0.01</v>
      </c>
      <c r="D137" s="137">
        <f>(DATI!$C$10-F137)/(DATI!$C$13-F137)*C137</f>
        <v>-2.1150684931506829E-3</v>
      </c>
      <c r="E137" s="136" t="s">
        <v>37</v>
      </c>
      <c r="F137" s="138">
        <f>(DATI!$C$13-DATI!$D$24*10^(-3)/(DATI!$D$24*10^(-3)-B137)*DATI!$C$13)</f>
        <v>92.61194029850742</v>
      </c>
      <c r="G137" s="140">
        <f>$G$123+DATI!$I$10*((-B137*10^3)-(-DATI!$I$14))+DATI!$D$49/2*((-B137*10^3)^2-(-DATI!$I$14)^2)</f>
        <v>36.968893764188266</v>
      </c>
      <c r="H137" s="140">
        <f>$H$123+DATI!$I$10/2*((-B137*10^3)^2-(-DATI!$I$14)^2)+DATI!$D$49/4*((-B137*10^3)^3-(-DATI!$I$14)^3)</f>
        <v>72.497083650617654</v>
      </c>
      <c r="I137" s="139">
        <f>G137/(Foglio1!$P$3*(-DATI!$I$13))</f>
        <v>0.69000976336330289</v>
      </c>
      <c r="J137" s="139">
        <f t="shared" si="14"/>
        <v>0.42322667813767167</v>
      </c>
      <c r="K137" s="138">
        <f>IF(D137&gt;=(DATI!$D$26*10^-3),DATI!$D$30*DATI!$I$29,IF(D137&gt;=(-DATI!$D$26*10^-3),DATI!$D$32*D137*DATI!$I$29,-DATI!$D$30*DATI!$I$29))</f>
        <v>-352404.7411418116</v>
      </c>
      <c r="L137" s="138">
        <f>-DATI!$I$16*DATI!$C$6*DATI!$I$11*F137*I137</f>
        <v>-340627.49337915389</v>
      </c>
      <c r="M137" s="138">
        <f>IF(C137&gt;=(DATI!$D$26*10^-3),DATI!$D$30*DATI!$I$28,IF(C137&gt;=(-DATI!$D$26*10^-3),DATI!$I$28*DATI!$D$32*C137,-DATI!$D$30*DATI!$I$28))</f>
        <v>352404.7411418116</v>
      </c>
      <c r="N137" s="138">
        <f t="shared" si="10"/>
        <v>-340627.49337915389</v>
      </c>
      <c r="O137" s="138">
        <f>-L137*(DATI!$C$8/2+-J137*F137)-K137*(DATI!$C$13/2)+M137*(DATI!$C$13/2)</f>
        <v>183402047.1516234</v>
      </c>
      <c r="P137" s="140">
        <f>-N137/(DATI!$C$6*DATI!$C$13*DATI!$I$11*DATI!$I$16)</f>
        <v>0.17507710413695735</v>
      </c>
      <c r="Q137" s="140">
        <f>O137/(DATI!$C$6*DATI!$C$13^2*DATI!$I$11)</f>
        <v>0.21952293278537283</v>
      </c>
      <c r="R137" s="141">
        <f t="shared" si="11"/>
        <v>-538.42408706415779</v>
      </c>
      <c r="S137" s="136" t="str">
        <f>IF(R137&gt;=0, IF(R137&lt;=DATI!$C$8/6, "SI", "NO"),IF(R137&gt; -DATI!$C$8/6, "SI", "NO"))</f>
        <v>NO</v>
      </c>
      <c r="T137" s="138">
        <f t="shared" si="12"/>
        <v>0</v>
      </c>
      <c r="U137" s="136" t="str">
        <f t="shared" si="13"/>
        <v>ROTTURA BILANCIATA</v>
      </c>
    </row>
    <row r="138" spans="1:21" ht="18.75" x14ac:dyDescent="0.25">
      <c r="A138" s="122"/>
      <c r="B138" s="137">
        <f t="shared" si="9"/>
        <v>-3.4999999999999979E-3</v>
      </c>
      <c r="C138" s="137">
        <f>DATI!$D$24*10^-3</f>
        <v>0.01</v>
      </c>
      <c r="D138" s="137">
        <f>(DATI!$C$10-F138)/(DATI!$C$13-F138)*C138</f>
        <v>-2.205479452054794E-3</v>
      </c>
      <c r="E138" s="136" t="s">
        <v>37</v>
      </c>
      <c r="F138" s="138">
        <f>(DATI!$C$13-DATI!$D$24*10^(-3)/(DATI!$D$24*10^(-3)-B138)*DATI!$C$13)</f>
        <v>94.629629629629619</v>
      </c>
      <c r="G138" s="140">
        <f>$G$123+DATI!$I$10*((-B138*10^3)-(-DATI!$I$14))+DATI!$D$49/2*((-B138*10^3)^2-(-DATI!$I$14)^2)</f>
        <v>38.473861375449403</v>
      </c>
      <c r="H138" s="140">
        <f>$H$123+DATI!$I$10/2*((-B138*10^3)^2-(-DATI!$I$14)^2)+DATI!$D$49/4*((-B138*10^3)^3-(-DATI!$I$14)^3)</f>
        <v>77.349592028904397</v>
      </c>
      <c r="I138" s="139">
        <f>G138/(Foglio1!$P$3*(-DATI!$I$13))</f>
        <v>0.71809938789844852</v>
      </c>
      <c r="J138" s="139">
        <f t="shared" si="14"/>
        <v>0.42558707011061747</v>
      </c>
      <c r="K138" s="138">
        <f>IF(D138&gt;=(DATI!$D$26*10^-3),DATI!$D$30*DATI!$I$29,IF(D138&gt;=(-DATI!$D$26*10^-3),DATI!$D$32*D138*DATI!$I$29,-DATI!$D$30*DATI!$I$29))</f>
        <v>-352404.7411418116</v>
      </c>
      <c r="L138" s="138">
        <f>-DATI!$I$16*DATI!$C$6*DATI!$I$11*F138*I138</f>
        <v>-362217.28958477284</v>
      </c>
      <c r="M138" s="138">
        <f>IF(C138&gt;=(DATI!$D$26*10^-3),DATI!$D$30*DATI!$I$28,IF(C138&gt;=(-DATI!$D$26*10^-3),DATI!$I$28*DATI!$D$32*C138,-DATI!$D$30*DATI!$I$28))</f>
        <v>352404.7411418116</v>
      </c>
      <c r="N138" s="138">
        <f t="shared" si="10"/>
        <v>-362217.28958477278</v>
      </c>
      <c r="O138" s="138">
        <f>-L138*(DATI!$C$8/2+-J138*F138)-K138*(DATI!$C$13/2)+M138*(DATI!$C$13/2)</f>
        <v>186483558.34962469</v>
      </c>
      <c r="P138" s="140">
        <f>-N138/(DATI!$C$6*DATI!$C$13*DATI!$I$11*DATI!$I$16)</f>
        <v>0.18617391538107916</v>
      </c>
      <c r="Q138" s="140">
        <f>O138/(DATI!$C$6*DATI!$C$13^2*DATI!$I$11)</f>
        <v>0.22321134513464702</v>
      </c>
      <c r="R138" s="141">
        <f t="shared" si="11"/>
        <v>-514.83892048168059</v>
      </c>
      <c r="S138" s="136" t="str">
        <f>IF(R138&gt;=0, IF(R138&lt;=DATI!$C$8/6, "SI", "NO"),IF(R138&gt; -DATI!$C$8/6, "SI", "NO"))</f>
        <v>NO</v>
      </c>
      <c r="T138" s="138">
        <f t="shared" si="12"/>
        <v>0</v>
      </c>
      <c r="U138" s="136" t="str">
        <f t="shared" si="13"/>
        <v>ROTTURA BILANCIATA</v>
      </c>
    </row>
    <row r="139" spans="1:21" ht="18.75" x14ac:dyDescent="0.25">
      <c r="A139" s="122"/>
      <c r="B139" s="137">
        <f t="shared" si="9"/>
        <v>-3.5999999999999977E-3</v>
      </c>
      <c r="C139" s="137">
        <f>DATI!$D$24*10^-3</f>
        <v>0.01</v>
      </c>
      <c r="D139" s="137">
        <f>(DATI!$C$10-F139)/(DATI!$C$13-F139)*C139</f>
        <v>-2.295890410958902E-3</v>
      </c>
      <c r="E139" s="136" t="s">
        <v>37</v>
      </c>
      <c r="F139" s="138">
        <f>(DATI!$C$13-DATI!$D$24*10^(-3)/(DATI!$D$24*10^(-3)-B139)*DATI!$C$13)</f>
        <v>96.617647058823479</v>
      </c>
      <c r="G139" s="140">
        <f>$G$123+DATI!$I$10*((-B139*10^3)-(-DATI!$I$14))+DATI!$D$49/2*((-B139*10^3)^2-(-DATI!$I$14)^2)</f>
        <v>39.990245117149676</v>
      </c>
      <c r="H139" s="140">
        <f>$H$123+DATI!$I$10/2*((-B139*10^3)^2-(-DATI!$I$14)^2)+DATI!$D$49/4*((-B139*10^3)^3-(-DATI!$I$14)^3)</f>
        <v>82.373146203107751</v>
      </c>
      <c r="I139" s="139">
        <f>G139/(Foglio1!$P$3*(-DATI!$I$13))</f>
        <v>0.74640208998774216</v>
      </c>
      <c r="J139" s="139">
        <f t="shared" si="14"/>
        <v>0.42782472490895895</v>
      </c>
      <c r="K139" s="138">
        <f>IF(D139&gt;=(DATI!$D$26*10^-3),DATI!$D$30*DATI!$I$29,IF(D139&gt;=(-DATI!$D$26*10^-3),DATI!$D$32*D139*DATI!$I$29,-DATI!$D$30*DATI!$I$29))</f>
        <v>-352404.7411418116</v>
      </c>
      <c r="L139" s="138">
        <f>-DATI!$I$16*DATI!$C$6*DATI!$I$11*F139*I139</f>
        <v>-384403.01320365735</v>
      </c>
      <c r="M139" s="138">
        <f>IF(C139&gt;=(DATI!$D$26*10^-3),DATI!$D$30*DATI!$I$28,IF(C139&gt;=(-DATI!$D$26*10^-3),DATI!$I$28*DATI!$D$32*C139,-DATI!$D$30*DATI!$I$28))</f>
        <v>352404.7411418116</v>
      </c>
      <c r="N139" s="138">
        <f t="shared" si="10"/>
        <v>-384403.01320365735</v>
      </c>
      <c r="O139" s="138">
        <f>-L139*(DATI!$C$8/2+-J139*F139)-K139*(DATI!$C$13/2)+M139*(DATI!$C$13/2)</f>
        <v>189618873.82082132</v>
      </c>
      <c r="P139" s="140">
        <f>-N139/(DATI!$C$6*DATI!$C$13*DATI!$I$11*DATI!$I$16)</f>
        <v>0.19757702382028455</v>
      </c>
      <c r="Q139" s="140">
        <f>O139/(DATI!$C$6*DATI!$C$13^2*DATI!$I$11)</f>
        <v>0.22696415846543508</v>
      </c>
      <c r="R139" s="141">
        <f t="shared" si="11"/>
        <v>-493.2814450139623</v>
      </c>
      <c r="S139" s="136" t="str">
        <f>IF(R139&gt;=0, IF(R139&lt;=DATI!$C$8/6, "SI", "NO"),IF(R139&gt; -DATI!$C$8/6, "SI", "NO"))</f>
        <v>NO</v>
      </c>
      <c r="T139" s="138">
        <f t="shared" si="12"/>
        <v>0</v>
      </c>
      <c r="U139" s="136" t="str">
        <f t="shared" si="13"/>
        <v>ROTTURA BILANCIATA</v>
      </c>
    </row>
    <row r="140" spans="1:21" ht="18.75" x14ac:dyDescent="0.25">
      <c r="A140" s="122"/>
      <c r="B140" s="137">
        <f t="shared" si="9"/>
        <v>-3.6999999999999976E-3</v>
      </c>
      <c r="C140" s="137">
        <f>DATI!$D$24*10^-3</f>
        <v>0.01</v>
      </c>
      <c r="D140" s="137">
        <f>(DATI!$C$10-F140)/(DATI!$C$13-F140)*C140</f>
        <v>-2.38630136986301E-3</v>
      </c>
      <c r="E140" s="136" t="s">
        <v>37</v>
      </c>
      <c r="F140" s="138">
        <f>(DATI!$C$13-DATI!$D$24*10^(-3)/(DATI!$D$24*10^(-3)-B140)*DATI!$C$13)</f>
        <v>98.576642335766337</v>
      </c>
      <c r="G140" s="140">
        <f>$G$123+DATI!$I$10*((-B140*10^3)-(-DATI!$I$14))+DATI!$D$49/2*((-B140*10^3)^2-(-DATI!$I$14)^2)</f>
        <v>41.518044989289066</v>
      </c>
      <c r="H140" s="140">
        <f>$H$123+DATI!$I$10/2*((-B140*10^3)^2-(-DATI!$I$14)^2)+DATI!$D$49/4*((-B140*10^3)^3-(-DATI!$I$14)^3)</f>
        <v>87.569458592793495</v>
      </c>
      <c r="I140" s="139">
        <f>G140/(Foglio1!$P$3*(-DATI!$I$13))</f>
        <v>0.77491786963118348</v>
      </c>
      <c r="J140" s="139">
        <f t="shared" si="14"/>
        <v>0.42994856218780675</v>
      </c>
      <c r="K140" s="138">
        <f>IF(D140&gt;=(DATI!$D$26*10^-3),DATI!$D$30*DATI!$I$29,IF(D140&gt;=(-DATI!$D$26*10^-3),DATI!$D$32*D140*DATI!$I$29,-DATI!$D$30*DATI!$I$29))</f>
        <v>-352404.7411418116</v>
      </c>
      <c r="L140" s="138">
        <f>-DATI!$I$16*DATI!$C$6*DATI!$I$11*F140*I140</f>
        <v>-407180.69270022929</v>
      </c>
      <c r="M140" s="138">
        <f>IF(C140&gt;=(DATI!$D$26*10^-3),DATI!$D$30*DATI!$I$28,IF(C140&gt;=(-DATI!$D$26*10^-3),DATI!$I$28*DATI!$D$32*C140,-DATI!$D$30*DATI!$I$28))</f>
        <v>352404.7411418116</v>
      </c>
      <c r="N140" s="138">
        <f t="shared" si="10"/>
        <v>-407180.69270022924</v>
      </c>
      <c r="O140" s="138">
        <f>-L140*(DATI!$C$8/2+-J140*F140)-K140*(DATI!$C$13/2)+M140*(DATI!$C$13/2)</f>
        <v>192806376.32426903</v>
      </c>
      <c r="P140" s="140">
        <f>-N140/(DATI!$C$6*DATI!$C$13*DATI!$I$11*DATI!$I$16)</f>
        <v>0.20928438814856754</v>
      </c>
      <c r="Q140" s="140">
        <f>O140/(DATI!$C$6*DATI!$C$13^2*DATI!$I$11)</f>
        <v>0.23077943702248999</v>
      </c>
      <c r="R140" s="141">
        <f t="shared" si="11"/>
        <v>-473.51551726499747</v>
      </c>
      <c r="S140" s="136" t="str">
        <f>IF(R140&gt;=0, IF(R140&lt;=DATI!$C$8/6, "SI", "NO"),IF(R140&gt; -DATI!$C$8/6, "SI", "NO"))</f>
        <v>NO</v>
      </c>
      <c r="T140" s="138">
        <f t="shared" si="12"/>
        <v>0</v>
      </c>
      <c r="U140" s="136" t="str">
        <f t="shared" si="13"/>
        <v>ROTTURA BILANCIATA</v>
      </c>
    </row>
    <row r="141" spans="1:21" ht="18.75" x14ac:dyDescent="0.25">
      <c r="A141" s="122"/>
      <c r="B141" s="137">
        <f t="shared" si="9"/>
        <v>-3.7999999999999974E-3</v>
      </c>
      <c r="C141" s="137">
        <f>DATI!$D$24*10^-3</f>
        <v>0.01</v>
      </c>
      <c r="D141" s="137">
        <f>(DATI!$C$10-F141)/(DATI!$C$13-F141)*C141</f>
        <v>-2.4767123287671219E-3</v>
      </c>
      <c r="E141" s="136" t="s">
        <v>37</v>
      </c>
      <c r="F141" s="138">
        <f>(DATI!$C$13-DATI!$D$24*10^(-3)/(DATI!$D$24*10^(-3)-B141)*DATI!$C$13)</f>
        <v>100.50724637681157</v>
      </c>
      <c r="G141" s="140">
        <f>$G$123+DATI!$I$10*((-B141*10^3)-(-DATI!$I$14))+DATI!$D$49/2*((-B141*10^3)^2-(-DATI!$I$14)^2)</f>
        <v>43.057260991867608</v>
      </c>
      <c r="H141" s="140">
        <f>$H$123+DATI!$I$10/2*((-B141*10^3)^2-(-DATI!$I$14)^2)+DATI!$D$49/4*((-B141*10^3)^3-(-DATI!$I$14)^3)</f>
        <v>92.940241617527519</v>
      </c>
      <c r="I141" s="139">
        <f>G141/(Foglio1!$P$3*(-DATI!$I$13))</f>
        <v>0.80364672682877314</v>
      </c>
      <c r="J141" s="139">
        <f t="shared" si="14"/>
        <v>0.43196669372393504</v>
      </c>
      <c r="K141" s="138">
        <f>IF(D141&gt;=(DATI!$D$26*10^-3),DATI!$D$30*DATI!$I$29,IF(D141&gt;=(-DATI!$D$26*10^-3),DATI!$D$32*D141*DATI!$I$29,-DATI!$D$30*DATI!$I$29))</f>
        <v>-352404.7411418116</v>
      </c>
      <c r="L141" s="138">
        <f>-DATI!$I$16*DATI!$C$6*DATI!$I$11*F141*I141</f>
        <v>-430546.47165588464</v>
      </c>
      <c r="M141" s="138">
        <f>IF(C141&gt;=(DATI!$D$26*10^-3),DATI!$D$30*DATI!$I$28,IF(C141&gt;=(-DATI!$D$26*10^-3),DATI!$I$28*DATI!$D$32*C141,-DATI!$D$30*DATI!$I$28))</f>
        <v>352404.7411418116</v>
      </c>
      <c r="N141" s="138">
        <f t="shared" si="10"/>
        <v>-430546.47165588464</v>
      </c>
      <c r="O141" s="138">
        <f>-L141*(DATI!$C$8/2+-J141*F141)-K141*(DATI!$C$13/2)+M141*(DATI!$C$13/2)</f>
        <v>196044512.7007024</v>
      </c>
      <c r="P141" s="140">
        <f>-N141/(DATI!$C$6*DATI!$C$13*DATI!$I$11*DATI!$I$16)</f>
        <v>0.22129402622821281</v>
      </c>
      <c r="Q141" s="140">
        <f>O141/(DATI!$C$6*DATI!$C$13^2*DATI!$I$11)</f>
        <v>0.23465532175307852</v>
      </c>
      <c r="R141" s="141">
        <f t="shared" si="11"/>
        <v>-455.33879756745858</v>
      </c>
      <c r="S141" s="136" t="str">
        <f>IF(R141&gt;=0, IF(R141&lt;=DATI!$C$8/6, "SI", "NO"),IF(R141&gt; -DATI!$C$8/6, "SI", "NO"))</f>
        <v>NO</v>
      </c>
      <c r="T141" s="138">
        <f t="shared" si="12"/>
        <v>0</v>
      </c>
      <c r="U141" s="136" t="str">
        <f t="shared" si="13"/>
        <v>ROTTURA BILANCIATA</v>
      </c>
    </row>
    <row r="142" spans="1:21" ht="18.75" x14ac:dyDescent="0.25">
      <c r="A142" s="122"/>
      <c r="B142" s="137">
        <f t="shared" si="9"/>
        <v>-3.8999999999999972E-3</v>
      </c>
      <c r="C142" s="137">
        <f>DATI!$D$24*10^-3</f>
        <v>0.01</v>
      </c>
      <c r="D142" s="137">
        <f>(DATI!$C$10-F142)/(DATI!$C$13-F142)*C142</f>
        <v>-2.5671232876712307E-3</v>
      </c>
      <c r="E142" s="136" t="s">
        <v>37</v>
      </c>
      <c r="F142" s="138">
        <f>(DATI!$C$13-DATI!$D$24*10^(-3)/(DATI!$D$24*10^(-3)-B142)*DATI!$C$13)</f>
        <v>102.410071942446</v>
      </c>
      <c r="G142" s="140">
        <f>$G$123+DATI!$I$10*((-B142*10^3)-(-DATI!$I$14))+DATI!$D$49/2*((-B142*10^3)^2-(-DATI!$I$14)^2)</f>
        <v>44.607893124885273</v>
      </c>
      <c r="H142" s="140">
        <f>$H$123+DATI!$I$10/2*((-B142*10^3)^2-(-DATI!$I$14)^2)+DATI!$D$49/4*((-B142*10^3)^3-(-DATI!$I$14)^3)</f>
        <v>98.4872076968757</v>
      </c>
      <c r="I142" s="139">
        <f>G142/(Foglio1!$P$3*(-DATI!$I$13))</f>
        <v>0.8325886615805107</v>
      </c>
      <c r="J142" s="139">
        <f t="shared" si="14"/>
        <v>0.43388650730517897</v>
      </c>
      <c r="K142" s="138">
        <f>IF(D142&gt;=(DATI!$D$26*10^-3),DATI!$D$30*DATI!$I$29,IF(D142&gt;=(-DATI!$D$26*10^-3),DATI!$D$32*D142*DATI!$I$29,-DATI!$D$30*DATI!$I$29))</f>
        <v>-352404.7411418116</v>
      </c>
      <c r="L142" s="138">
        <f>-DATI!$I$16*DATI!$C$6*DATI!$I$11*F142*I142</f>
        <v>-454496.60462809232</v>
      </c>
      <c r="M142" s="138">
        <f>IF(C142&gt;=(DATI!$D$26*10^-3),DATI!$D$30*DATI!$I$28,IF(C142&gt;=(-DATI!$D$26*10^-3),DATI!$I$28*DATI!$D$32*C142,-DATI!$D$30*DATI!$I$28))</f>
        <v>352404.7411418116</v>
      </c>
      <c r="N142" s="138">
        <f t="shared" si="10"/>
        <v>-454496.60462809226</v>
      </c>
      <c r="O142" s="138">
        <f>-L142*(DATI!$C$8/2+-J142*F142)-K142*(DATI!$C$13/2)+M142*(DATI!$C$13/2)</f>
        <v>199331790.95300117</v>
      </c>
      <c r="P142" s="140">
        <f>-N142/(DATI!$C$6*DATI!$C$13*DATI!$I$11*DATI!$I$16)</f>
        <v>0.2336040129614381</v>
      </c>
      <c r="Q142" s="140">
        <f>O142/(DATI!$C$6*DATI!$C$13^2*DATI!$I$11)</f>
        <v>0.23859002681244793</v>
      </c>
      <c r="R142" s="141">
        <f t="shared" si="11"/>
        <v>-438.57707389499944</v>
      </c>
      <c r="S142" s="136" t="str">
        <f>IF(R142&gt;=0, IF(R142&lt;=DATI!$C$8/6, "SI", "NO"),IF(R142&gt; -DATI!$C$8/6, "SI", "NO"))</f>
        <v>NO</v>
      </c>
      <c r="T142" s="138">
        <f t="shared" si="12"/>
        <v>0</v>
      </c>
      <c r="U142" s="136" t="str">
        <f t="shared" si="13"/>
        <v>ROTTURA BILANCIATA</v>
      </c>
    </row>
    <row r="143" spans="1:21" ht="19.5" thickBot="1" x14ac:dyDescent="0.3">
      <c r="A143" s="122"/>
      <c r="B143" s="160">
        <f t="shared" si="9"/>
        <v>-3.9999999999999975E-3</v>
      </c>
      <c r="C143" s="160">
        <f>DATI!$D$24*10^-3</f>
        <v>0.01</v>
      </c>
      <c r="D143" s="160">
        <f>(DATI!$C$10-F143)/(DATI!$C$13-F143)*C143</f>
        <v>-2.6575342465753392E-3</v>
      </c>
      <c r="E143" s="161" t="s">
        <v>37</v>
      </c>
      <c r="F143" s="162">
        <f>(DATI!$C$13-DATI!$D$24*10^(-3)/(DATI!$D$24*10^(-3)-B143)*DATI!$C$13)</f>
        <v>104.28571428571422</v>
      </c>
      <c r="G143" s="163">
        <f>$G$123+DATI!$I$10*((-B143*10^3)-(-DATI!$I$14))+DATI!$D$49/2*((-B143*10^3)^2-(-DATI!$I$14)^2)</f>
        <v>46.169941388342075</v>
      </c>
      <c r="H143" s="163">
        <f>$H$123+DATI!$I$10/2*((-B143*10^3)^2-(-DATI!$I$14)^2)+DATI!$D$49/4*((-B143*10^3)^3-(-DATI!$I$14)^3)</f>
        <v>104.21206925040394</v>
      </c>
      <c r="I143" s="164">
        <f>G143/(Foglio1!$P$3*(-DATI!$I$13))</f>
        <v>0.86174367388639628</v>
      </c>
      <c r="J143" s="164">
        <f t="shared" si="14"/>
        <v>0.4357147414707484</v>
      </c>
      <c r="K143" s="162">
        <f>IF(D143&gt;=(DATI!$D$26*10^-3),DATI!$D$30*DATI!$I$29,IF(D143&gt;=(-DATI!$D$26*10^-3),DATI!$D$32*D143*DATI!$I$29,-DATI!$D$30*DATI!$I$29))</f>
        <v>-352404.7411418116</v>
      </c>
      <c r="L143" s="162">
        <f>-DATI!$I$16*DATI!$C$6*DATI!$I$11*F143*I143</f>
        <v>-479027.45318696648</v>
      </c>
      <c r="M143" s="162">
        <f>IF(C143&gt;=(DATI!$D$26*10^-3),DATI!$D$30*DATI!$I$28,IF(C143&gt;=(-DATI!$D$26*10^-3),DATI!$I$28*DATI!$D$32*C143,-DATI!$D$30*DATI!$I$28))</f>
        <v>352404.7411418116</v>
      </c>
      <c r="N143" s="162">
        <f t="shared" si="10"/>
        <v>-479027.45318696648</v>
      </c>
      <c r="O143" s="162">
        <f>-L143*(DATI!$C$8/2+-J143*F143)-K143*(DATI!$C$13/2)+M143*(DATI!$C$13/2)</f>
        <v>202666777.47792488</v>
      </c>
      <c r="P143" s="163">
        <f>-N143/(DATI!$C$6*DATI!$C$13*DATI!$I$11*DATI!$I$16)</f>
        <v>0.24621247825325587</v>
      </c>
      <c r="Q143" s="163">
        <f>O143/(DATI!$C$6*DATI!$C$13^2*DATI!$I$11)</f>
        <v>0.24258183625035296</v>
      </c>
      <c r="R143" s="165">
        <f t="shared" si="11"/>
        <v>-423.07967138330832</v>
      </c>
      <c r="S143" s="161" t="str">
        <f>IF(R143&gt;=0, IF(R143&lt;=DATI!$C$8/6, "SI", "NO"),IF(R143&gt; -DATI!$C$8/6, "SI", "NO"))</f>
        <v>NO</v>
      </c>
      <c r="T143" s="162">
        <f t="shared" si="12"/>
        <v>0</v>
      </c>
      <c r="U143" s="161" t="str">
        <f t="shared" si="13"/>
        <v>ROTTURA BILANCIATA</v>
      </c>
    </row>
    <row r="144" spans="1:21" ht="19.5" customHeight="1" x14ac:dyDescent="0.25">
      <c r="A144" s="250" t="s">
        <v>105</v>
      </c>
      <c r="B144" s="166">
        <f>DATI!$I$13*10^-3</f>
        <v>-4.0000000000000001E-3</v>
      </c>
      <c r="C144" s="166">
        <f>DATI!$D$24*10^-3</f>
        <v>0.01</v>
      </c>
      <c r="D144" s="166">
        <f>(DATI!$I$13*(F144-DATI!$C$10))/(F144*10^3)</f>
        <v>-2.6575342465753426E-3</v>
      </c>
      <c r="E144" s="167" t="s">
        <v>37</v>
      </c>
      <c r="F144" s="168">
        <f>(-DATI!$I$13*10^-3/(-DATI!$I$13*10^-3+C144))*DATI!$C$13</f>
        <v>104.28571428571428</v>
      </c>
      <c r="G144" s="169">
        <f t="shared" ref="G144:G175" si="15">$G$143</f>
        <v>46.169941388342075</v>
      </c>
      <c r="H144" s="169">
        <f t="shared" ref="H144:H175" si="16">$H$143</f>
        <v>104.21206925040394</v>
      </c>
      <c r="I144" s="169">
        <f>G144/(Foglio1!$P$3*(-DATI!$I$13))</f>
        <v>0.86174367388639628</v>
      </c>
      <c r="J144" s="169">
        <f t="shared" si="14"/>
        <v>0.43571474147074873</v>
      </c>
      <c r="K144" s="168">
        <f>IF(D144&gt;=(DATI!$D$26*10^-3),DATI!$D$30*DATI!$I$29,IF(D144&gt;=(-DATI!$D$26*10^-3),DATI!$D$32*D144*DATI!$I$29,-DATI!$D$30*DATI!$I$29))</f>
        <v>-352404.7411418116</v>
      </c>
      <c r="L144" s="168">
        <f>-DATI!$I$16*DATI!$C$6*I144*DATI!$I$11*F144</f>
        <v>-479027.45318696677</v>
      </c>
      <c r="M144" s="168">
        <f>IF(C144&gt;=(DATI!$D$26*10^-3),DATI!$D$30*DATI!$I$28,IF(C144&gt;=(-DATI!$D$26*10^-3),DATI!$I$28*DATI!$D$32*C144,-DATI!$D$30*DATI!$I$28))</f>
        <v>352404.7411418116</v>
      </c>
      <c r="N144" s="168">
        <f t="shared" si="10"/>
        <v>-479027.45318696683</v>
      </c>
      <c r="O144" s="168">
        <f>-L144*(DATI!$C$8/2-(J144*F144))-K144*(DATI!$C$13/2)+M144*(DATI!$C$13/2)</f>
        <v>202666777.47792491</v>
      </c>
      <c r="P144" s="170">
        <f>-N144/(DATI!$C$6*DATI!$C$13*DATI!$I$11*DATI!$I$16)</f>
        <v>0.24621247825325607</v>
      </c>
      <c r="Q144" s="170">
        <f>O144/(DATI!$C$6*DATI!$C$13^2*DATI!$I$11)</f>
        <v>0.24258183625035298</v>
      </c>
      <c r="R144" s="171">
        <f t="shared" si="11"/>
        <v>-423.07967138330804</v>
      </c>
      <c r="S144" s="167" t="str">
        <f>IF(R144&gt;=0, IF(R144&lt;=DATI!$C$8/6, "SI", "NO"),IF(R144&gt; -DATI!$C$8/6, "SI", "NO"))</f>
        <v>NO</v>
      </c>
      <c r="T144" s="168">
        <f t="shared" si="12"/>
        <v>0</v>
      </c>
      <c r="U144" s="167" t="str">
        <f t="shared" si="13"/>
        <v>ROTTURA BILANCIATA</v>
      </c>
    </row>
    <row r="145" spans="1:21" ht="18.75" customHeight="1" x14ac:dyDescent="0.25">
      <c r="A145" s="250"/>
      <c r="B145" s="172">
        <f>DATI!$I$13*10^-3</f>
        <v>-4.0000000000000001E-3</v>
      </c>
      <c r="C145" s="172">
        <f>C144-(DATI!$D$24*10^-3/100)</f>
        <v>9.9000000000000008E-3</v>
      </c>
      <c r="D145" s="172">
        <f>(DATI!$I$13*(F145-DATI!$C$10))/(F145*1000)</f>
        <v>-2.6671232876712327E-3</v>
      </c>
      <c r="E145" s="173" t="s">
        <v>37</v>
      </c>
      <c r="F145" s="174">
        <f>(-DATI!$I$13*10^-3/(-DATI!$I$13*10^-3+C145))*DATI!$C$13</f>
        <v>105.03597122302158</v>
      </c>
      <c r="G145" s="175">
        <f t="shared" si="15"/>
        <v>46.169941388342075</v>
      </c>
      <c r="H145" s="175">
        <f t="shared" si="16"/>
        <v>104.21206925040394</v>
      </c>
      <c r="I145" s="175">
        <f>G145/(Foglio1!$P$3*(-DATI!$I$13))</f>
        <v>0.86174367388639628</v>
      </c>
      <c r="J145" s="175">
        <f t="shared" si="14"/>
        <v>0.43571474147074873</v>
      </c>
      <c r="K145" s="174">
        <f>IF(D145&gt;=(DATI!$D$26*10^-3),DATI!$D$30*DATI!$I$29,IF(D145&gt;=(-DATI!$D$26*10^-3),DATI!$D$32*D145*DATI!$I$29,-DATI!$D$30*DATI!$I$29))</f>
        <v>-352404.7411418116</v>
      </c>
      <c r="L145" s="174">
        <f>-DATI!$I$16*DATI!$C$6*I145*DATI!$I$11*F145</f>
        <v>-482473.69385737658</v>
      </c>
      <c r="M145" s="174">
        <f>IF(C145&gt;=(DATI!$D$26*10^-3),DATI!$D$30*DATI!$I$28,IF(C145&gt;=(-DATI!$D$26*10^-3),DATI!$I$28*DATI!$D$32*C145,-DATI!$D$30*DATI!$I$28))</f>
        <v>352404.7411418116</v>
      </c>
      <c r="N145" s="174">
        <f t="shared" si="10"/>
        <v>-482473.69385737658</v>
      </c>
      <c r="O145" s="174">
        <f>-L145*(DATI!$C$8/2-(J145*F145))-K145*(DATI!$C$13/2)+M145*(DATI!$C$13/2)</f>
        <v>203041712.80285269</v>
      </c>
      <c r="P145" s="176">
        <f>-N145/(DATI!$C$6*DATI!$C$13*DATI!$I$11*DATI!$I$16)</f>
        <v>0.24798379104644491</v>
      </c>
      <c r="Q145" s="176">
        <f>O145/(DATI!$C$6*DATI!$C$13^2*DATI!$I$11)</f>
        <v>0.24303061478587792</v>
      </c>
      <c r="R145" s="177">
        <f t="shared" si="11"/>
        <v>-420.83478412995834</v>
      </c>
      <c r="S145" s="173" t="str">
        <f>IF(R145&gt;=0, IF(R145&lt;=DATI!$C$8/6, "SI", "NO"),IF(R145&gt; -DATI!$C$8/6, "SI", "NO"))</f>
        <v>NO</v>
      </c>
      <c r="T145" s="174">
        <f t="shared" si="12"/>
        <v>0</v>
      </c>
      <c r="U145" s="173" t="str">
        <f t="shared" si="13"/>
        <v>ROTTURA BILANCIATA</v>
      </c>
    </row>
    <row r="146" spans="1:21" ht="18.75" x14ac:dyDescent="0.25">
      <c r="A146" s="250"/>
      <c r="B146" s="172">
        <f>DATI!$I$13*10^-3</f>
        <v>-4.0000000000000001E-3</v>
      </c>
      <c r="C146" s="172">
        <f>C145-(DATI!$D$24*10^-3/100)</f>
        <v>9.8000000000000014E-3</v>
      </c>
      <c r="D146" s="172">
        <f>(DATI!$I$13*(F146-DATI!$C$10))/(F146*1000)</f>
        <v>-2.6767123287671233E-3</v>
      </c>
      <c r="E146" s="173" t="s">
        <v>37</v>
      </c>
      <c r="F146" s="174">
        <f>(-DATI!$I$13*10^-3/(-DATI!$I$13*10^-3+C146))*DATI!$C$13</f>
        <v>105.79710144927535</v>
      </c>
      <c r="G146" s="175">
        <f t="shared" si="15"/>
        <v>46.169941388342075</v>
      </c>
      <c r="H146" s="175">
        <f t="shared" si="16"/>
        <v>104.21206925040394</v>
      </c>
      <c r="I146" s="175">
        <f>G146/(Foglio1!$P$3*(-DATI!$I$13))</f>
        <v>0.86174367388639628</v>
      </c>
      <c r="J146" s="175">
        <f t="shared" si="14"/>
        <v>0.43571474147074873</v>
      </c>
      <c r="K146" s="174">
        <f>IF(D146&gt;=(DATI!$D$26*10^-3),DATI!$D$30*DATI!$I$29,IF(D146&gt;=(-DATI!$D$26*10^-3),DATI!$D$32*D146*DATI!$I$29,-DATI!$D$30*DATI!$I$29))</f>
        <v>-352404.7411418116</v>
      </c>
      <c r="L146" s="174">
        <f>-DATI!$I$16*DATI!$C$6*I146*DATI!$I$11*F146</f>
        <v>-485969.88004474883</v>
      </c>
      <c r="M146" s="174">
        <f>IF(C146&gt;=(DATI!$D$26*10^-3),DATI!$D$30*DATI!$I$28,IF(C146&gt;=(-DATI!$D$26*10^-3),DATI!$I$28*DATI!$D$32*C146,-DATI!$D$30*DATI!$I$28))</f>
        <v>352404.7411418116</v>
      </c>
      <c r="N146" s="174">
        <f t="shared" si="10"/>
        <v>-485969.88004474889</v>
      </c>
      <c r="O146" s="174">
        <f>-L146*(DATI!$C$8/2-(J146*F146))-K146*(DATI!$C$13/2)+M146*(DATI!$C$13/2)</f>
        <v>203419779.61675796</v>
      </c>
      <c r="P146" s="176">
        <f>-N146/(DATI!$C$6*DATI!$C$13*DATI!$I$11*DATI!$I$16)</f>
        <v>0.24978077503953511</v>
      </c>
      <c r="Q146" s="176">
        <f>O146/(DATI!$C$6*DATI!$C$13^2*DATI!$I$11)</f>
        <v>0.24348314155461509</v>
      </c>
      <c r="R146" s="177">
        <f t="shared" si="11"/>
        <v>-418.58515922432628</v>
      </c>
      <c r="S146" s="173" t="str">
        <f>IF(R146&gt;=0, IF(R146&lt;=DATI!$C$8/6, "SI", "NO"),IF(R146&gt; -DATI!$C$8/6, "SI", "NO"))</f>
        <v>NO</v>
      </c>
      <c r="T146" s="174">
        <f t="shared" si="12"/>
        <v>0</v>
      </c>
      <c r="U146" s="173" t="str">
        <f t="shared" si="13"/>
        <v>ROTTURA BILANCIATA</v>
      </c>
    </row>
    <row r="147" spans="1:21" ht="18.75" x14ac:dyDescent="0.25">
      <c r="A147" s="122"/>
      <c r="B147" s="172">
        <f>DATI!$I$13*10^-3</f>
        <v>-4.0000000000000001E-3</v>
      </c>
      <c r="C147" s="172">
        <f>C146-(DATI!$D$24*10^-3/100)</f>
        <v>9.700000000000002E-3</v>
      </c>
      <c r="D147" s="172">
        <f>(DATI!$I$13*(F147-DATI!$C$10))/(F147*1000)</f>
        <v>-2.6863013698630134E-3</v>
      </c>
      <c r="E147" s="173" t="s">
        <v>37</v>
      </c>
      <c r="F147" s="174">
        <f>(-DATI!$I$13*10^-3/(-DATI!$I$13*10^-3+C147))*DATI!$C$13</f>
        <v>106.56934306569342</v>
      </c>
      <c r="G147" s="175">
        <f t="shared" si="15"/>
        <v>46.169941388342075</v>
      </c>
      <c r="H147" s="175">
        <f t="shared" si="16"/>
        <v>104.21206925040394</v>
      </c>
      <c r="I147" s="175">
        <f>G147/(Foglio1!$P$3*(-DATI!$I$13))</f>
        <v>0.86174367388639628</v>
      </c>
      <c r="J147" s="175">
        <f t="shared" si="14"/>
        <v>0.43571474147074873</v>
      </c>
      <c r="K147" s="174">
        <f>IF(D147&gt;=(DATI!$D$26*10^-3),DATI!$D$30*DATI!$I$29,IF(D147&gt;=(-DATI!$D$26*10^-3),DATI!$D$32*D147*DATI!$I$29,-DATI!$D$30*DATI!$I$29))</f>
        <v>-352404.7411418116</v>
      </c>
      <c r="L147" s="174">
        <f>-DATI!$I$16*DATI!$C$6*I147*DATI!$I$11*F147</f>
        <v>-489517.10544653534</v>
      </c>
      <c r="M147" s="174">
        <f>IF(C147&gt;=(DATI!$D$26*10^-3),DATI!$D$30*DATI!$I$28,IF(C147&gt;=(-DATI!$D$26*10^-3),DATI!$I$28*DATI!$D$32*C147,-DATI!$D$30*DATI!$I$28))</f>
        <v>352404.7411418116</v>
      </c>
      <c r="N147" s="174">
        <f t="shared" si="10"/>
        <v>-489517.10544653528</v>
      </c>
      <c r="O147" s="174">
        <f>-L147*(DATI!$C$8/2-(J147*F147))-K147*(DATI!$C$13/2)+M147*(DATI!$C$13/2)</f>
        <v>203800995.70782644</v>
      </c>
      <c r="P147" s="176">
        <f>-N147/(DATI!$C$6*DATI!$C$13*DATI!$I$11*DATI!$I$16)</f>
        <v>0.25160399237559006</v>
      </c>
      <c r="Q147" s="176">
        <f>O147/(DATI!$C$6*DATI!$C$13^2*DATI!$I$11)</f>
        <v>0.24393943784811908</v>
      </c>
      <c r="R147" s="177">
        <f t="shared" si="11"/>
        <v>-416.33069292220154</v>
      </c>
      <c r="S147" s="173" t="str">
        <f>IF(R147&gt;=0, IF(R147&lt;=DATI!$C$8/6, "SI", "NO"),IF(R147&gt; -DATI!$C$8/6, "SI", "NO"))</f>
        <v>NO</v>
      </c>
      <c r="T147" s="174">
        <f t="shared" si="12"/>
        <v>0</v>
      </c>
      <c r="U147" s="173" t="str">
        <f t="shared" si="13"/>
        <v>ROTTURA BILANCIATA</v>
      </c>
    </row>
    <row r="148" spans="1:21" ht="18.75" x14ac:dyDescent="0.25">
      <c r="A148" s="122"/>
      <c r="B148" s="172">
        <f>DATI!$I$13*10^-3</f>
        <v>-4.0000000000000001E-3</v>
      </c>
      <c r="C148" s="172">
        <f>C147-(DATI!$D$24*10^-3/100)</f>
        <v>9.6000000000000026E-3</v>
      </c>
      <c r="D148" s="172">
        <f>(DATI!$I$13*(F148-DATI!$C$10))/(F148*1000)</f>
        <v>-2.6958904109589035E-3</v>
      </c>
      <c r="E148" s="173" t="s">
        <v>37</v>
      </c>
      <c r="F148" s="174">
        <f>(-DATI!$I$13*10^-3/(-DATI!$I$13*10^-3+C148))*DATI!$C$13</f>
        <v>107.35294117647057</v>
      </c>
      <c r="G148" s="175">
        <f t="shared" si="15"/>
        <v>46.169941388342075</v>
      </c>
      <c r="H148" s="175">
        <f t="shared" si="16"/>
        <v>104.21206925040394</v>
      </c>
      <c r="I148" s="175">
        <f>G148/(Foglio1!$P$3*(-DATI!$I$13))</f>
        <v>0.86174367388639628</v>
      </c>
      <c r="J148" s="175">
        <f t="shared" si="14"/>
        <v>0.43571474147074873</v>
      </c>
      <c r="K148" s="174">
        <f>IF(D148&gt;=(DATI!$D$26*10^-3),DATI!$D$30*DATI!$I$29,IF(D148&gt;=(-DATI!$D$26*10^-3),DATI!$D$32*D148*DATI!$I$29,-DATI!$D$30*DATI!$I$29))</f>
        <v>-352404.7411418116</v>
      </c>
      <c r="L148" s="174">
        <f>-DATI!$I$16*DATI!$C$6*I148*DATI!$I$11*F148</f>
        <v>-493116.49592775985</v>
      </c>
      <c r="M148" s="174">
        <f>IF(C148&gt;=(DATI!$D$26*10^-3),DATI!$D$30*DATI!$I$28,IF(C148&gt;=(-DATI!$D$26*10^-3),DATI!$I$28*DATI!$D$32*C148,-DATI!$D$30*DATI!$I$28))</f>
        <v>352404.7411418116</v>
      </c>
      <c r="N148" s="174">
        <f t="shared" si="10"/>
        <v>-493116.4959277598</v>
      </c>
      <c r="O148" s="174">
        <f>-L148*(DATI!$C$8/2-(J148*F148))-K148*(DATI!$C$13/2)+M148*(DATI!$C$13/2)</f>
        <v>204185377.88277915</v>
      </c>
      <c r="P148" s="176">
        <f>-N148/(DATI!$C$6*DATI!$C$13*DATI!$I$11*DATI!$I$16)</f>
        <v>0.25345402173129289</v>
      </c>
      <c r="Q148" s="176">
        <f>O148/(DATI!$C$6*DATI!$C$13^2*DATI!$I$11)</f>
        <v>0.24439952378318108</v>
      </c>
      <c r="R148" s="177">
        <f t="shared" si="11"/>
        <v>-414.07127842807301</v>
      </c>
      <c r="S148" s="173" t="str">
        <f>IF(R148&gt;=0, IF(R148&lt;=DATI!$C$8/6, "SI", "NO"),IF(R148&gt; -DATI!$C$8/6, "SI", "NO"))</f>
        <v>NO</v>
      </c>
      <c r="T148" s="174">
        <f t="shared" si="12"/>
        <v>0</v>
      </c>
      <c r="U148" s="173" t="str">
        <f t="shared" si="13"/>
        <v>ROTTURA BILANCIATA</v>
      </c>
    </row>
    <row r="149" spans="1:21" ht="18.75" x14ac:dyDescent="0.25">
      <c r="A149" s="122"/>
      <c r="B149" s="172">
        <f>DATI!$I$13*10^-3</f>
        <v>-4.0000000000000001E-3</v>
      </c>
      <c r="C149" s="172">
        <f>C148-(DATI!$D$24*10^-3/100)</f>
        <v>9.5000000000000032E-3</v>
      </c>
      <c r="D149" s="172">
        <f>(DATI!$I$13*(F149-DATI!$C$10))/(F149*1000)</f>
        <v>-2.7054794520547944E-3</v>
      </c>
      <c r="E149" s="173" t="s">
        <v>37</v>
      </c>
      <c r="F149" s="174">
        <f>(-DATI!$I$13*10^-3/(-DATI!$I$13*10^-3+C149))*DATI!$C$13</f>
        <v>108.14814814814812</v>
      </c>
      <c r="G149" s="175">
        <f t="shared" si="15"/>
        <v>46.169941388342075</v>
      </c>
      <c r="H149" s="175">
        <f t="shared" si="16"/>
        <v>104.21206925040394</v>
      </c>
      <c r="I149" s="175">
        <f>G149/(Foglio1!$P$3*(-DATI!$I$13))</f>
        <v>0.86174367388639628</v>
      </c>
      <c r="J149" s="175">
        <f t="shared" si="14"/>
        <v>0.43571474147074873</v>
      </c>
      <c r="K149" s="174">
        <f>IF(D149&gt;=(DATI!$D$26*10^-3),DATI!$D$30*DATI!$I$29,IF(D149&gt;=(-DATI!$D$26*10^-3),DATI!$D$32*D149*DATI!$I$29,-DATI!$D$30*DATI!$I$29))</f>
        <v>-352404.7411418116</v>
      </c>
      <c r="L149" s="174">
        <f>-DATI!$I$16*DATI!$C$6*I149*DATI!$I$11*F149</f>
        <v>-496769.21071240993</v>
      </c>
      <c r="M149" s="174">
        <f>IF(C149&gt;=(DATI!$D$26*10^-3),DATI!$D$30*DATI!$I$28,IF(C149&gt;=(-DATI!$D$26*10^-3),DATI!$I$28*DATI!$D$32*C149,-DATI!$D$30*DATI!$I$28))</f>
        <v>352404.7411418116</v>
      </c>
      <c r="N149" s="174">
        <f t="shared" si="10"/>
        <v>-496769.21071240993</v>
      </c>
      <c r="O149" s="174">
        <f>-L149*(DATI!$C$8/2-(J149*F149))-K149*(DATI!$C$13/2)+M149*(DATI!$C$13/2)</f>
        <v>204572941.87438166</v>
      </c>
      <c r="P149" s="176">
        <f>-N149/(DATI!$C$6*DATI!$C$13*DATI!$I$11*DATI!$I$16)</f>
        <v>0.25533145892930253</v>
      </c>
      <c r="Q149" s="176">
        <f>O149/(DATI!$C$6*DATI!$C$13^2*DATI!$I$11)</f>
        <v>0.2448634181911222</v>
      </c>
      <c r="R149" s="177">
        <f t="shared" si="11"/>
        <v>-411.80680578211843</v>
      </c>
      <c r="S149" s="173" t="str">
        <f>IF(R149&gt;=0, IF(R149&lt;=DATI!$C$8/6, "SI", "NO"),IF(R149&gt; -DATI!$C$8/6, "SI", "NO"))</f>
        <v>NO</v>
      </c>
      <c r="T149" s="174">
        <f t="shared" si="12"/>
        <v>0</v>
      </c>
      <c r="U149" s="173" t="str">
        <f t="shared" si="13"/>
        <v>ROTTURA BILANCIATA</v>
      </c>
    </row>
    <row r="150" spans="1:21" ht="18.75" x14ac:dyDescent="0.25">
      <c r="A150" s="122"/>
      <c r="B150" s="172">
        <f>DATI!$I$13*10^-3</f>
        <v>-4.0000000000000001E-3</v>
      </c>
      <c r="C150" s="172">
        <f>C149-(DATI!$D$24*10^-3/100)</f>
        <v>9.4000000000000038E-3</v>
      </c>
      <c r="D150" s="172">
        <f>(DATI!$I$13*(F150-DATI!$C$10))/(F150*1000)</f>
        <v>-2.715068493150685E-3</v>
      </c>
      <c r="E150" s="173" t="s">
        <v>37</v>
      </c>
      <c r="F150" s="174">
        <f>(-DATI!$I$13*10^-3/(-DATI!$I$13*10^-3+C150))*DATI!$C$13</f>
        <v>108.95522388059699</v>
      </c>
      <c r="G150" s="175">
        <f t="shared" si="15"/>
        <v>46.169941388342075</v>
      </c>
      <c r="H150" s="175">
        <f t="shared" si="16"/>
        <v>104.21206925040394</v>
      </c>
      <c r="I150" s="175">
        <f>G150/(Foglio1!$P$3*(-DATI!$I$13))</f>
        <v>0.86174367388639628</v>
      </c>
      <c r="J150" s="175">
        <f t="shared" si="14"/>
        <v>0.43571474147074873</v>
      </c>
      <c r="K150" s="174">
        <f>IF(D150&gt;=(DATI!$D$26*10^-3),DATI!$D$30*DATI!$I$29,IF(D150&gt;=(-DATI!$D$26*10^-3),DATI!$D$32*D150*DATI!$I$29,-DATI!$D$30*DATI!$I$29))</f>
        <v>-352404.7411418116</v>
      </c>
      <c r="L150" s="174">
        <f>-DATI!$I$16*DATI!$C$6*I150*DATI!$I$11*F150</f>
        <v>-500476.44362817414</v>
      </c>
      <c r="M150" s="174">
        <f>IF(C150&gt;=(DATI!$D$26*10^-3),DATI!$D$30*DATI!$I$28,IF(C150&gt;=(-DATI!$D$26*10^-3),DATI!$I$28*DATI!$D$32*C150,-DATI!$D$30*DATI!$I$28))</f>
        <v>352404.7411418116</v>
      </c>
      <c r="N150" s="174">
        <f t="shared" si="10"/>
        <v>-500476.44362817414</v>
      </c>
      <c r="O150" s="174">
        <f>-L150*(DATI!$C$8/2-(J150*F150))-K150*(DATI!$C$13/2)+M150*(DATI!$C$13/2)</f>
        <v>204963702.24227902</v>
      </c>
      <c r="P150" s="176">
        <f>-N150/(DATI!$C$6*DATI!$C$13*DATI!$I$11*DATI!$I$16)</f>
        <v>0.25723691757802863</v>
      </c>
      <c r="Q150" s="176">
        <f>O150/(DATI!$C$6*DATI!$C$13^2*DATI!$I$11)</f>
        <v>0.24533113849909782</v>
      </c>
      <c r="R150" s="177">
        <f t="shared" si="11"/>
        <v>-409.53716174213292</v>
      </c>
      <c r="S150" s="173" t="str">
        <f>IF(R150&gt;=0, IF(R150&lt;=DATI!$C$8/6, "SI", "NO"),IF(R150&gt; -DATI!$C$8/6, "SI", "NO"))</f>
        <v>NO</v>
      </c>
      <c r="T150" s="174">
        <f t="shared" si="12"/>
        <v>0</v>
      </c>
      <c r="U150" s="173" t="str">
        <f t="shared" si="13"/>
        <v>ROTTURA BILANCIATA</v>
      </c>
    </row>
    <row r="151" spans="1:21" ht="18.75" x14ac:dyDescent="0.25">
      <c r="A151" s="122"/>
      <c r="B151" s="172">
        <f>DATI!$I$13*10^-3</f>
        <v>-4.0000000000000001E-3</v>
      </c>
      <c r="C151" s="172">
        <f>C150-(DATI!$D$24*10^-3/100)</f>
        <v>9.3000000000000044E-3</v>
      </c>
      <c r="D151" s="172">
        <f>(DATI!$I$13*(F151-DATI!$C$10))/(F151*1000)</f>
        <v>-2.7246575342465751E-3</v>
      </c>
      <c r="E151" s="173" t="s">
        <v>37</v>
      </c>
      <c r="F151" s="174">
        <f>(-DATI!$I$13*10^-3/(-DATI!$I$13*10^-3+C151))*DATI!$C$13</f>
        <v>109.77443609022554</v>
      </c>
      <c r="G151" s="175">
        <f t="shared" si="15"/>
        <v>46.169941388342075</v>
      </c>
      <c r="H151" s="175">
        <f t="shared" si="16"/>
        <v>104.21206925040394</v>
      </c>
      <c r="I151" s="175">
        <f>G151/(Foglio1!$P$3*(-DATI!$I$13))</f>
        <v>0.86174367388639628</v>
      </c>
      <c r="J151" s="175">
        <f t="shared" si="14"/>
        <v>0.43571474147074873</v>
      </c>
      <c r="K151" s="174">
        <f>IF(D151&gt;=(DATI!$D$26*10^-3),DATI!$D$30*DATI!$I$29,IF(D151&gt;=(-DATI!$D$26*10^-3),DATI!$D$32*D151*DATI!$I$29,-DATI!$D$30*DATI!$I$29))</f>
        <v>-352404.7411418116</v>
      </c>
      <c r="L151" s="174">
        <f>-DATI!$I$16*DATI!$C$6*I151*DATI!$I$11*F151</f>
        <v>-504239.42440733337</v>
      </c>
      <c r="M151" s="174">
        <f>IF(C151&gt;=(DATI!$D$26*10^-3),DATI!$D$30*DATI!$I$28,IF(C151&gt;=(-DATI!$D$26*10^-3),DATI!$I$28*DATI!$D$32*C151,-DATI!$D$30*DATI!$I$28))</f>
        <v>352404.7411418116</v>
      </c>
      <c r="N151" s="174">
        <f t="shared" si="10"/>
        <v>-504239.42440733337</v>
      </c>
      <c r="O151" s="174">
        <f>-L151*(DATI!$C$8/2-(J151*F151))-K151*(DATI!$C$13/2)+M151*(DATI!$C$13/2)</f>
        <v>205357672.26667148</v>
      </c>
      <c r="P151" s="176">
        <f>-N151/(DATI!$C$6*DATI!$C$13*DATI!$I$11*DATI!$I$16)</f>
        <v>0.25917102974026945</v>
      </c>
      <c r="Q151" s="176">
        <f>O151/(DATI!$C$6*DATI!$C$13^2*DATI!$I$11)</f>
        <v>0.24580270060283299</v>
      </c>
      <c r="R151" s="177">
        <f t="shared" si="11"/>
        <v>-407.26222966013063</v>
      </c>
      <c r="S151" s="173" t="str">
        <f>IF(R151&gt;=0, IF(R151&lt;=DATI!$C$8/6, "SI", "NO"),IF(R151&gt; -DATI!$C$8/6, "SI", "NO"))</f>
        <v>NO</v>
      </c>
      <c r="T151" s="174">
        <f t="shared" si="12"/>
        <v>0</v>
      </c>
      <c r="U151" s="173" t="str">
        <f t="shared" si="13"/>
        <v>ROTTURA BILANCIATA</v>
      </c>
    </row>
    <row r="152" spans="1:21" ht="18.75" x14ac:dyDescent="0.25">
      <c r="A152" s="122"/>
      <c r="B152" s="172">
        <f>DATI!$I$13*10^-3</f>
        <v>-4.0000000000000001E-3</v>
      </c>
      <c r="C152" s="172">
        <f>C151-(DATI!$D$24*10^-3/100)</f>
        <v>9.200000000000005E-3</v>
      </c>
      <c r="D152" s="172">
        <f>(DATI!$I$13*(F152-DATI!$C$10))/(F152*1000)</f>
        <v>-2.7342465753424651E-3</v>
      </c>
      <c r="E152" s="173" t="s">
        <v>37</v>
      </c>
      <c r="F152" s="174">
        <f>(-DATI!$I$13*10^-3/(-DATI!$I$13*10^-3+C152))*DATI!$C$13</f>
        <v>110.60606060606057</v>
      </c>
      <c r="G152" s="175">
        <f t="shared" si="15"/>
        <v>46.169941388342075</v>
      </c>
      <c r="H152" s="175">
        <f t="shared" si="16"/>
        <v>104.21206925040394</v>
      </c>
      <c r="I152" s="175">
        <f>G152/(Foglio1!$P$3*(-DATI!$I$13))</f>
        <v>0.86174367388639628</v>
      </c>
      <c r="J152" s="175">
        <f t="shared" si="14"/>
        <v>0.43571474147074873</v>
      </c>
      <c r="K152" s="174">
        <f>IF(D152&gt;=(DATI!$D$26*10^-3),DATI!$D$30*DATI!$I$29,IF(D152&gt;=(-DATI!$D$26*10^-3),DATI!$D$32*D152*DATI!$I$29,-DATI!$D$30*DATI!$I$29))</f>
        <v>-352404.7411418116</v>
      </c>
      <c r="L152" s="174">
        <f>-DATI!$I$16*DATI!$C$6*I152*DATI!$I$11*F152</f>
        <v>-508059.42004678282</v>
      </c>
      <c r="M152" s="174">
        <f>IF(C152&gt;=(DATI!$D$26*10^-3),DATI!$D$30*DATI!$I$28,IF(C152&gt;=(-DATI!$D$26*10^-3),DATI!$I$28*DATI!$D$32*C152,-DATI!$D$30*DATI!$I$28))</f>
        <v>352404.7411418116</v>
      </c>
      <c r="N152" s="174">
        <f t="shared" si="10"/>
        <v>-508059.42004678282</v>
      </c>
      <c r="O152" s="174">
        <f>-L152*(DATI!$C$8/2-(J152*F152))-K152*(DATI!$C$13/2)+M152*(DATI!$C$13/2)</f>
        <v>205754863.83430755</v>
      </c>
      <c r="P152" s="176">
        <f>-N152/(DATI!$C$6*DATI!$C$13*DATI!$I$11*DATI!$I$16)</f>
        <v>0.26113444663224117</v>
      </c>
      <c r="Q152" s="176">
        <f>O152/(DATI!$C$6*DATI!$C$13^2*DATI!$I$11)</f>
        <v>0.24627811873016178</v>
      </c>
      <c r="R152" s="177">
        <f t="shared" si="11"/>
        <v>-404.98188935333854</v>
      </c>
      <c r="S152" s="173" t="str">
        <f>IF(R152&gt;=0, IF(R152&lt;=DATI!$C$8/6, "SI", "NO"),IF(R152&gt; -DATI!$C$8/6, "SI", "NO"))</f>
        <v>NO</v>
      </c>
      <c r="T152" s="174">
        <f t="shared" si="12"/>
        <v>0</v>
      </c>
      <c r="U152" s="173" t="str">
        <f t="shared" si="13"/>
        <v>ROTTURA BILANCIATA</v>
      </c>
    </row>
    <row r="153" spans="1:21" ht="18.75" x14ac:dyDescent="0.25">
      <c r="A153" s="122"/>
      <c r="B153" s="172">
        <f>DATI!$I$13*10^-3</f>
        <v>-4.0000000000000001E-3</v>
      </c>
      <c r="C153" s="172">
        <f>C152-(DATI!$D$24*10^-3/100)</f>
        <v>9.1000000000000057E-3</v>
      </c>
      <c r="D153" s="172">
        <f>(DATI!$I$13*(F153-DATI!$C$10))/(F153*1000)</f>
        <v>-2.7438356164383561E-3</v>
      </c>
      <c r="E153" s="173" t="s">
        <v>37</v>
      </c>
      <c r="F153" s="174">
        <f>(-DATI!$I$13*10^-3/(-DATI!$I$13*10^-3+C153))*DATI!$C$13</f>
        <v>111.45038167938928</v>
      </c>
      <c r="G153" s="175">
        <f t="shared" si="15"/>
        <v>46.169941388342075</v>
      </c>
      <c r="H153" s="175">
        <f t="shared" si="16"/>
        <v>104.21206925040394</v>
      </c>
      <c r="I153" s="175">
        <f>G153/(Foglio1!$P$3*(-DATI!$I$13))</f>
        <v>0.86174367388639628</v>
      </c>
      <c r="J153" s="175">
        <f t="shared" si="14"/>
        <v>0.43571474147074873</v>
      </c>
      <c r="K153" s="174">
        <f>IF(D153&gt;=(DATI!$D$26*10^-3),DATI!$D$30*DATI!$I$29,IF(D153&gt;=(-DATI!$D$26*10^-3),DATI!$D$32*D153*DATI!$I$29,-DATI!$D$30*DATI!$I$29))</f>
        <v>-352404.7411418116</v>
      </c>
      <c r="L153" s="174">
        <f>-DATI!$I$16*DATI!$C$6*I153*DATI!$I$11*F153</f>
        <v>-511937.73623034608</v>
      </c>
      <c r="M153" s="174">
        <f>IF(C153&gt;=(DATI!$D$26*10^-3),DATI!$D$30*DATI!$I$28,IF(C153&gt;=(-DATI!$D$26*10^-3),DATI!$I$28*DATI!$D$32*C153,-DATI!$D$30*DATI!$I$28))</f>
        <v>352404.7411418116</v>
      </c>
      <c r="N153" s="174">
        <f t="shared" si="10"/>
        <v>-511937.73623034602</v>
      </c>
      <c r="O153" s="174">
        <f>-L153*(DATI!$C$8/2-(J153*F153))-K153*(DATI!$C$13/2)+M153*(DATI!$C$13/2)</f>
        <v>206155287.31623051</v>
      </c>
      <c r="P153" s="176">
        <f>-N153/(DATI!$C$6*DATI!$C$13*DATI!$I$11*DATI!$I$16)</f>
        <v>0.26312783935462469</v>
      </c>
      <c r="Q153" s="176">
        <f>O153/(DATI!$C$6*DATI!$C$13^2*DATI!$I$11)</f>
        <v>0.24675740529469609</v>
      </c>
      <c r="R153" s="177">
        <f t="shared" si="11"/>
        <v>-402.69601696928055</v>
      </c>
      <c r="S153" s="173" t="str">
        <f>IF(R153&gt;=0, IF(R153&lt;=DATI!$C$8/6, "SI", "NO"),IF(R153&gt; -DATI!$C$8/6, "SI", "NO"))</f>
        <v>NO</v>
      </c>
      <c r="T153" s="174">
        <f t="shared" si="12"/>
        <v>0</v>
      </c>
      <c r="U153" s="173" t="str">
        <f t="shared" si="13"/>
        <v>ROTTURA BILANCIATA</v>
      </c>
    </row>
    <row r="154" spans="1:21" ht="18.75" x14ac:dyDescent="0.25">
      <c r="A154" s="122"/>
      <c r="B154" s="172">
        <f>DATI!$I$13*10^-3</f>
        <v>-4.0000000000000001E-3</v>
      </c>
      <c r="C154" s="172">
        <f>C153-(DATI!$D$24*10^-3/100)</f>
        <v>9.0000000000000063E-3</v>
      </c>
      <c r="D154" s="172">
        <f>(DATI!$I$13*(F154-DATI!$C$10))/(F154*1000)</f>
        <v>-2.7534246575342458E-3</v>
      </c>
      <c r="E154" s="173" t="s">
        <v>37</v>
      </c>
      <c r="F154" s="174">
        <f>(-DATI!$I$13*10^-3/(-DATI!$I$13*10^-3+C154))*DATI!$C$13</f>
        <v>112.30769230769225</v>
      </c>
      <c r="G154" s="175">
        <f t="shared" si="15"/>
        <v>46.169941388342075</v>
      </c>
      <c r="H154" s="175">
        <f t="shared" si="16"/>
        <v>104.21206925040394</v>
      </c>
      <c r="I154" s="175">
        <f>G154/(Foglio1!$P$3*(-DATI!$I$13))</f>
        <v>0.86174367388639628</v>
      </c>
      <c r="J154" s="175">
        <f t="shared" si="14"/>
        <v>0.43571474147074873</v>
      </c>
      <c r="K154" s="174">
        <f>IF(D154&gt;=(DATI!$D$26*10^-3),DATI!$D$30*DATI!$I$29,IF(D154&gt;=(-DATI!$D$26*10^-3),DATI!$D$32*D154*DATI!$I$29,-DATI!$D$30*DATI!$I$29))</f>
        <v>-352404.7411418116</v>
      </c>
      <c r="L154" s="174">
        <f>-DATI!$I$16*DATI!$C$6*I154*DATI!$I$11*F154</f>
        <v>-515875.71881673322</v>
      </c>
      <c r="M154" s="174">
        <f>IF(C154&gt;=(DATI!$D$26*10^-3),DATI!$D$30*DATI!$I$28,IF(C154&gt;=(-DATI!$D$26*10^-3),DATI!$I$28*DATI!$D$32*C154,-DATI!$D$30*DATI!$I$28))</f>
        <v>352404.7411418116</v>
      </c>
      <c r="N154" s="174">
        <f t="shared" si="10"/>
        <v>-515875.71881673322</v>
      </c>
      <c r="O154" s="174">
        <f>-L154*(DATI!$C$8/2-(J154*F154))-K154*(DATI!$C$13/2)+M154*(DATI!$C$13/2)</f>
        <v>206558951.43666992</v>
      </c>
      <c r="P154" s="176">
        <f>-N154/(DATI!$C$6*DATI!$C$13*DATI!$I$11*DATI!$I$16)</f>
        <v>0.26515189965735253</v>
      </c>
      <c r="Q154" s="176">
        <f>O154/(DATI!$C$6*DATI!$C$13^2*DATI!$I$11)</f>
        <v>0.24724057073889544</v>
      </c>
      <c r="R154" s="177">
        <f t="shared" si="11"/>
        <v>-400.40448484463514</v>
      </c>
      <c r="S154" s="173" t="str">
        <f>IF(R154&gt;=0, IF(R154&lt;=DATI!$C$8/6, "SI", "NO"),IF(R154&gt; -DATI!$C$8/6, "SI", "NO"))</f>
        <v>NO</v>
      </c>
      <c r="T154" s="174">
        <f t="shared" si="12"/>
        <v>0</v>
      </c>
      <c r="U154" s="173" t="str">
        <f t="shared" si="13"/>
        <v>ROTTURA BILANCIATA</v>
      </c>
    </row>
    <row r="155" spans="1:21" ht="18.75" x14ac:dyDescent="0.25">
      <c r="A155" s="122"/>
      <c r="B155" s="172">
        <f>DATI!$I$13*10^-3</f>
        <v>-4.0000000000000001E-3</v>
      </c>
      <c r="C155" s="172">
        <f>C154-(DATI!$D$24*10^-3/100)</f>
        <v>8.9000000000000069E-3</v>
      </c>
      <c r="D155" s="172">
        <f>(DATI!$I$13*(F155-DATI!$C$10))/(F155*1000)</f>
        <v>-2.7630136986301363E-3</v>
      </c>
      <c r="E155" s="173" t="s">
        <v>37</v>
      </c>
      <c r="F155" s="174">
        <f>(-DATI!$I$13*10^-3/(-DATI!$I$13*10^-3+C155))*DATI!$C$13</f>
        <v>113.17829457364334</v>
      </c>
      <c r="G155" s="175">
        <f t="shared" si="15"/>
        <v>46.169941388342075</v>
      </c>
      <c r="H155" s="175">
        <f t="shared" si="16"/>
        <v>104.21206925040394</v>
      </c>
      <c r="I155" s="175">
        <f>G155/(Foglio1!$P$3*(-DATI!$I$13))</f>
        <v>0.86174367388639628</v>
      </c>
      <c r="J155" s="175">
        <f t="shared" si="14"/>
        <v>0.43571474147074873</v>
      </c>
      <c r="K155" s="174">
        <f>IF(D155&gt;=(DATI!$D$26*10^-3),DATI!$D$30*DATI!$I$29,IF(D155&gt;=(-DATI!$D$26*10^-3),DATI!$D$32*D155*DATI!$I$29,-DATI!$D$30*DATI!$I$29))</f>
        <v>-352404.7411418116</v>
      </c>
      <c r="L155" s="174">
        <f>-DATI!$I$16*DATI!$C$6*I155*DATI!$I$11*F155</f>
        <v>-519874.75539670786</v>
      </c>
      <c r="M155" s="174">
        <f>IF(C155&gt;=(DATI!$D$26*10^-3),DATI!$D$30*DATI!$I$28,IF(C155&gt;=(-DATI!$D$26*10^-3),DATI!$I$28*DATI!$D$32*C155,-DATI!$D$30*DATI!$I$28))</f>
        <v>352404.7411418116</v>
      </c>
      <c r="N155" s="174">
        <f t="shared" si="10"/>
        <v>-519874.7553967078</v>
      </c>
      <c r="O155" s="174">
        <f>-L155*(DATI!$C$8/2-(J155*F155))-K155*(DATI!$C$13/2)+M155*(DATI!$C$13/2)</f>
        <v>206965863.13242266</v>
      </c>
      <c r="P155" s="176">
        <f>-N155/(DATI!$C$6*DATI!$C$13*DATI!$I$11*DATI!$I$16)</f>
        <v>0.2672073407399676</v>
      </c>
      <c r="Q155" s="176">
        <f>O155/(DATI!$C$6*DATI!$C$13^2*DATI!$I$11)</f>
        <v>0.24772762336575332</v>
      </c>
      <c r="R155" s="177">
        <f t="shared" si="11"/>
        <v>-398.10716135752818</v>
      </c>
      <c r="S155" s="173" t="str">
        <f>IF(R155&gt;=0, IF(R155&lt;=DATI!$C$8/6, "SI", "NO"),IF(R155&gt; -DATI!$C$8/6, "SI", "NO"))</f>
        <v>NO</v>
      </c>
      <c r="T155" s="174">
        <f t="shared" si="12"/>
        <v>0</v>
      </c>
      <c r="U155" s="173" t="str">
        <f t="shared" si="13"/>
        <v>ROTTURA BILANCIATA</v>
      </c>
    </row>
    <row r="156" spans="1:21" ht="18.75" x14ac:dyDescent="0.25">
      <c r="A156" s="122"/>
      <c r="B156" s="172">
        <f>DATI!$I$13*10^-3</f>
        <v>-4.0000000000000001E-3</v>
      </c>
      <c r="C156" s="172">
        <f>C155-(DATI!$D$24*10^-3/100)</f>
        <v>8.8000000000000075E-3</v>
      </c>
      <c r="D156" s="172">
        <f>(DATI!$I$13*(F156-DATI!$C$10))/(F156*1000)</f>
        <v>-2.7726027397260268E-3</v>
      </c>
      <c r="E156" s="173" t="s">
        <v>37</v>
      </c>
      <c r="F156" s="174">
        <f>(-DATI!$I$13*10^-3/(-DATI!$I$13*10^-3+C156))*DATI!$C$13</f>
        <v>114.06249999999994</v>
      </c>
      <c r="G156" s="175">
        <f t="shared" si="15"/>
        <v>46.169941388342075</v>
      </c>
      <c r="H156" s="175">
        <f t="shared" si="16"/>
        <v>104.21206925040394</v>
      </c>
      <c r="I156" s="175">
        <f>G156/(Foglio1!$P$3*(-DATI!$I$13))</f>
        <v>0.86174367388639628</v>
      </c>
      <c r="J156" s="175">
        <f t="shared" si="14"/>
        <v>0.43571474147074873</v>
      </c>
      <c r="K156" s="174">
        <f>IF(D156&gt;=(DATI!$D$26*10^-3),DATI!$D$30*DATI!$I$29,IF(D156&gt;=(-DATI!$D$26*10^-3),DATI!$D$32*D156*DATI!$I$29,-DATI!$D$30*DATI!$I$29))</f>
        <v>-352404.7411418116</v>
      </c>
      <c r="L156" s="174">
        <f>-DATI!$I$16*DATI!$C$6*I156*DATI!$I$11*F156</f>
        <v>-523936.2769232447</v>
      </c>
      <c r="M156" s="174">
        <f>IF(C156&gt;=(DATI!$D$26*10^-3),DATI!$D$30*DATI!$I$28,IF(C156&gt;=(-DATI!$D$26*10^-3),DATI!$I$28*DATI!$D$32*C156,-DATI!$D$30*DATI!$I$28))</f>
        <v>352404.7411418116</v>
      </c>
      <c r="N156" s="174">
        <f t="shared" si="10"/>
        <v>-523936.2769232447</v>
      </c>
      <c r="O156" s="174">
        <f>-L156*(DATI!$C$8/2-(J156*F156))-K156*(DATI!$C$13/2)+M156*(DATI!$C$13/2)</f>
        <v>207376027.40201434</v>
      </c>
      <c r="P156" s="176">
        <f>-N156/(DATI!$C$6*DATI!$C$13*DATI!$I$11*DATI!$I$16)</f>
        <v>0.26929489808949869</v>
      </c>
      <c r="Q156" s="176">
        <f>O156/(DATI!$C$6*DATI!$C$13^2*DATI!$I$11)</f>
        <v>0.24821856915825094</v>
      </c>
      <c r="R156" s="177">
        <f t="shared" si="11"/>
        <v>-395.80391077290187</v>
      </c>
      <c r="S156" s="173" t="str">
        <f>IF(R156&gt;=0, IF(R156&lt;=DATI!$C$8/6, "SI", "NO"),IF(R156&gt; -DATI!$C$8/6, "SI", "NO"))</f>
        <v>NO</v>
      </c>
      <c r="T156" s="174">
        <f t="shared" si="12"/>
        <v>0</v>
      </c>
      <c r="U156" s="173" t="str">
        <f t="shared" si="13"/>
        <v>ROTTURA BILANCIATA</v>
      </c>
    </row>
    <row r="157" spans="1:21" ht="18.75" x14ac:dyDescent="0.25">
      <c r="A157" s="122"/>
      <c r="B157" s="172">
        <f>DATI!$I$13*10^-3</f>
        <v>-4.0000000000000001E-3</v>
      </c>
      <c r="C157" s="172">
        <f>C156-(DATI!$D$24*10^-3/100)</f>
        <v>8.7000000000000081E-3</v>
      </c>
      <c r="D157" s="172">
        <f>(DATI!$I$13*(F157-DATI!$C$10))/(F157*1000)</f>
        <v>-2.7821917808219169E-3</v>
      </c>
      <c r="E157" s="173" t="s">
        <v>37</v>
      </c>
      <c r="F157" s="174">
        <f>(-DATI!$I$13*10^-3/(-DATI!$I$13*10^-3+C157))*DATI!$C$13</f>
        <v>114.96062992125978</v>
      </c>
      <c r="G157" s="175">
        <f t="shared" si="15"/>
        <v>46.169941388342075</v>
      </c>
      <c r="H157" s="175">
        <f t="shared" si="16"/>
        <v>104.21206925040394</v>
      </c>
      <c r="I157" s="175">
        <f>G157/(Foglio1!$P$3*(-DATI!$I$13))</f>
        <v>0.86174367388639628</v>
      </c>
      <c r="J157" s="175">
        <f t="shared" si="14"/>
        <v>0.43571474147074873</v>
      </c>
      <c r="K157" s="174">
        <f>IF(D157&gt;=(DATI!$D$26*10^-3),DATI!$D$30*DATI!$I$29,IF(D157&gt;=(-DATI!$D$26*10^-3),DATI!$D$32*D157*DATI!$I$29,-DATI!$D$30*DATI!$I$29))</f>
        <v>-352404.7411418116</v>
      </c>
      <c r="L157" s="174">
        <f>-DATI!$I$16*DATI!$C$6*I157*DATI!$I$11*F157</f>
        <v>-528061.75941870327</v>
      </c>
      <c r="M157" s="174">
        <f>IF(C157&gt;=(DATI!$D$26*10^-3),DATI!$D$30*DATI!$I$28,IF(C157&gt;=(-DATI!$D$26*10^-3),DATI!$I$28*DATI!$D$32*C157,-DATI!$D$30*DATI!$I$28))</f>
        <v>352404.7411418116</v>
      </c>
      <c r="N157" s="174">
        <f t="shared" si="10"/>
        <v>-528061.75941870327</v>
      </c>
      <c r="O157" s="174">
        <f>-L157*(DATI!$C$8/2-(J157*F157))-K157*(DATI!$C$13/2)+M157*(DATI!$C$13/2)</f>
        <v>207789447.14387709</v>
      </c>
      <c r="P157" s="176">
        <f>-N157/(DATI!$C$6*DATI!$C$13*DATI!$I$11*DATI!$I$16)</f>
        <v>0.27141533035791993</v>
      </c>
      <c r="Q157" s="176">
        <f>O157/(DATI!$C$6*DATI!$C$13^2*DATI!$I$11)</f>
        <v>0.24871341158566426</v>
      </c>
      <c r="R157" s="177">
        <f t="shared" si="11"/>
        <v>-393.49459308057868</v>
      </c>
      <c r="S157" s="173" t="str">
        <f>IF(R157&gt;=0, IF(R157&lt;=DATI!$C$8/6, "SI", "NO"),IF(R157&gt; -DATI!$C$8/6, "SI", "NO"))</f>
        <v>NO</v>
      </c>
      <c r="T157" s="174">
        <f t="shared" si="12"/>
        <v>0</v>
      </c>
      <c r="U157" s="173" t="str">
        <f t="shared" si="13"/>
        <v>ROTTURA BILANCIATA</v>
      </c>
    </row>
    <row r="158" spans="1:21" ht="18.75" x14ac:dyDescent="0.25">
      <c r="A158" s="122"/>
      <c r="B158" s="172">
        <f>DATI!$I$13*10^-3</f>
        <v>-4.0000000000000001E-3</v>
      </c>
      <c r="C158" s="172">
        <f>C157-(DATI!$D$24*10^-3/100)</f>
        <v>8.6000000000000087E-3</v>
      </c>
      <c r="D158" s="172">
        <f>(DATI!$I$13*(F158-DATI!$C$10))/(F158*1000)</f>
        <v>-2.7917808219178075E-3</v>
      </c>
      <c r="E158" s="173" t="s">
        <v>37</v>
      </c>
      <c r="F158" s="174">
        <f>(-DATI!$I$13*10^-3/(-DATI!$I$13*10^-3+C158))*DATI!$C$13</f>
        <v>115.87301587301579</v>
      </c>
      <c r="G158" s="175">
        <f t="shared" si="15"/>
        <v>46.169941388342075</v>
      </c>
      <c r="H158" s="175">
        <f t="shared" si="16"/>
        <v>104.21206925040394</v>
      </c>
      <c r="I158" s="175">
        <f>G158/(Foglio1!$P$3*(-DATI!$I$13))</f>
        <v>0.86174367388639628</v>
      </c>
      <c r="J158" s="175">
        <f t="shared" si="14"/>
        <v>0.43571474147074873</v>
      </c>
      <c r="K158" s="174">
        <f>IF(D158&gt;=(DATI!$D$26*10^-3),DATI!$D$30*DATI!$I$29,IF(D158&gt;=(-DATI!$D$26*10^-3),DATI!$D$32*D158*DATI!$I$29,-DATI!$D$30*DATI!$I$29))</f>
        <v>-352404.7411418116</v>
      </c>
      <c r="L158" s="174">
        <f>-DATI!$I$16*DATI!$C$6*I158*DATI!$I$11*F158</f>
        <v>-532252.72576329601</v>
      </c>
      <c r="M158" s="174">
        <f>IF(C158&gt;=(DATI!$D$26*10^-3),DATI!$D$30*DATI!$I$28,IF(C158&gt;=(-DATI!$D$26*10^-3),DATI!$I$28*DATI!$D$32*C158,-DATI!$D$30*DATI!$I$28))</f>
        <v>352404.7411418116</v>
      </c>
      <c r="N158" s="174">
        <f t="shared" si="10"/>
        <v>-532252.72576329601</v>
      </c>
      <c r="O158" s="174">
        <f>-L158*(DATI!$C$8/2-(J158*F158))-K158*(DATI!$C$13/2)+M158*(DATI!$C$13/2)</f>
        <v>208206122.98271716</v>
      </c>
      <c r="P158" s="176">
        <f>-N158/(DATI!$C$6*DATI!$C$13*DATI!$I$11*DATI!$I$16)</f>
        <v>0.27356942028139536</v>
      </c>
      <c r="Q158" s="176">
        <f>O158/(DATI!$C$6*DATI!$C$13^2*DATI!$I$11)</f>
        <v>0.24921215139573494</v>
      </c>
      <c r="R158" s="177">
        <f t="shared" si="11"/>
        <v>-391.17906382561353</v>
      </c>
      <c r="S158" s="173" t="str">
        <f>IF(R158&gt;=0, IF(R158&lt;=DATI!$C$8/6, "SI", "NO"),IF(R158&gt; -DATI!$C$8/6, "SI", "NO"))</f>
        <v>NO</v>
      </c>
      <c r="T158" s="174">
        <f t="shared" si="12"/>
        <v>0</v>
      </c>
      <c r="U158" s="173" t="str">
        <f t="shared" si="13"/>
        <v>ROTTURA BILANCIATA</v>
      </c>
    </row>
    <row r="159" spans="1:21" ht="18.75" x14ac:dyDescent="0.25">
      <c r="A159" s="122"/>
      <c r="B159" s="172">
        <f>DATI!$I$13*10^-3</f>
        <v>-4.0000000000000001E-3</v>
      </c>
      <c r="C159" s="172">
        <f>C158-(DATI!$D$24*10^-3/100)</f>
        <v>8.5000000000000093E-3</v>
      </c>
      <c r="D159" s="172">
        <f>(DATI!$I$13*(F159-DATI!$C$10))/(F159*1000)</f>
        <v>-2.801369863013698E-3</v>
      </c>
      <c r="E159" s="173" t="s">
        <v>37</v>
      </c>
      <c r="F159" s="174">
        <f>(-DATI!$I$13*10^-3/(-DATI!$I$13*10^-3+C159))*DATI!$C$13</f>
        <v>116.79999999999993</v>
      </c>
      <c r="G159" s="175">
        <f t="shared" si="15"/>
        <v>46.169941388342075</v>
      </c>
      <c r="H159" s="175">
        <f t="shared" si="16"/>
        <v>104.21206925040394</v>
      </c>
      <c r="I159" s="175">
        <f>G159/(Foglio1!$P$3*(-DATI!$I$13))</f>
        <v>0.86174367388639628</v>
      </c>
      <c r="J159" s="175">
        <f t="shared" si="14"/>
        <v>0.43571474147074873</v>
      </c>
      <c r="K159" s="174">
        <f>IF(D159&gt;=(DATI!$D$26*10^-3),DATI!$D$30*DATI!$I$29,IF(D159&gt;=(-DATI!$D$26*10^-3),DATI!$D$32*D159*DATI!$I$29,-DATI!$D$30*DATI!$I$29))</f>
        <v>-352404.7411418116</v>
      </c>
      <c r="L159" s="174">
        <f>-DATI!$I$16*DATI!$C$6*I159*DATI!$I$11*F159</f>
        <v>-536510.74756940245</v>
      </c>
      <c r="M159" s="174">
        <f>IF(C159&gt;=(DATI!$D$26*10^-3),DATI!$D$30*DATI!$I$28,IF(C159&gt;=(-DATI!$D$26*10^-3),DATI!$I$28*DATI!$D$32*C159,-DATI!$D$30*DATI!$I$28))</f>
        <v>352404.7411418116</v>
      </c>
      <c r="N159" s="174">
        <f t="shared" si="10"/>
        <v>-536510.74756940245</v>
      </c>
      <c r="O159" s="174">
        <f>-L159*(DATI!$C$8/2-(J159*F159))-K159*(DATI!$C$13/2)+M159*(DATI!$C$13/2)</f>
        <v>208626053.08317924</v>
      </c>
      <c r="P159" s="176">
        <f>-N159/(DATI!$C$6*DATI!$C$13*DATI!$I$11*DATI!$I$16)</f>
        <v>0.27575797564364657</v>
      </c>
      <c r="Q159" s="176">
        <f>O159/(DATI!$C$6*DATI!$C$13^2*DATI!$I$11)</f>
        <v>0.24971478639163594</v>
      </c>
      <c r="R159" s="177">
        <f t="shared" si="11"/>
        <v>-388.85717393050282</v>
      </c>
      <c r="S159" s="173" t="str">
        <f>IF(R159&gt;=0, IF(R159&lt;=DATI!$C$8/6, "SI", "NO"),IF(R159&gt; -DATI!$C$8/6, "SI", "NO"))</f>
        <v>NO</v>
      </c>
      <c r="T159" s="174">
        <f t="shared" si="12"/>
        <v>0</v>
      </c>
      <c r="U159" s="173" t="str">
        <f t="shared" si="13"/>
        <v>ROTTURA BILANCIATA</v>
      </c>
    </row>
    <row r="160" spans="1:21" ht="18.75" x14ac:dyDescent="0.25">
      <c r="A160" s="122"/>
      <c r="B160" s="172">
        <f>DATI!$I$13*10^-3</f>
        <v>-4.0000000000000001E-3</v>
      </c>
      <c r="C160" s="172">
        <f>C159-(DATI!$D$24*10^-3/100)</f>
        <v>8.4000000000000099E-3</v>
      </c>
      <c r="D160" s="172">
        <f>(DATI!$I$13*(F160-DATI!$C$10))/(F160*1000)</f>
        <v>-2.8109589041095881E-3</v>
      </c>
      <c r="E160" s="173" t="s">
        <v>37</v>
      </c>
      <c r="F160" s="174">
        <f>(-DATI!$I$13*10^-3/(-DATI!$I$13*10^-3+C160))*DATI!$C$13</f>
        <v>117.74193548387089</v>
      </c>
      <c r="G160" s="175">
        <f t="shared" si="15"/>
        <v>46.169941388342075</v>
      </c>
      <c r="H160" s="175">
        <f t="shared" si="16"/>
        <v>104.21206925040394</v>
      </c>
      <c r="I160" s="175">
        <f>G160/(Foglio1!$P$3*(-DATI!$I$13))</f>
        <v>0.86174367388639628</v>
      </c>
      <c r="J160" s="175">
        <f t="shared" si="14"/>
        <v>0.43571474147074873</v>
      </c>
      <c r="K160" s="174">
        <f>IF(D160&gt;=(DATI!$D$26*10^-3),DATI!$D$30*DATI!$I$29,IF(D160&gt;=(-DATI!$D$26*10^-3),DATI!$D$32*D160*DATI!$I$29,-DATI!$D$30*DATI!$I$29))</f>
        <v>-352404.7411418116</v>
      </c>
      <c r="L160" s="174">
        <f>-DATI!$I$16*DATI!$C$6*I160*DATI!$I$11*F160</f>
        <v>-540837.44714657508</v>
      </c>
      <c r="M160" s="174">
        <f>IF(C160&gt;=(DATI!$D$26*10^-3),DATI!$D$30*DATI!$I$28,IF(C160&gt;=(-DATI!$D$26*10^-3),DATI!$I$28*DATI!$D$32*C160,-DATI!$D$30*DATI!$I$28))</f>
        <v>352404.7411418116</v>
      </c>
      <c r="N160" s="174">
        <f t="shared" si="10"/>
        <v>-540837.44714657508</v>
      </c>
      <c r="O160" s="174">
        <f>-L160*(DATI!$C$8/2-(J160*F160))-K160*(DATI!$C$13/2)+M160*(DATI!$C$13/2)</f>
        <v>209049232.94984177</v>
      </c>
      <c r="P160" s="176">
        <f>-N160/(DATI!$C$6*DATI!$C$13*DATI!$I$11*DATI!$I$16)</f>
        <v>0.2779818302859341</v>
      </c>
      <c r="Q160" s="176">
        <f>O160/(DATI!$C$6*DATI!$C$13^2*DATI!$I$11)</f>
        <v>0.25022131119257607</v>
      </c>
      <c r="R160" s="177">
        <f t="shared" si="11"/>
        <v>-386.52876950879158</v>
      </c>
      <c r="S160" s="173" t="str">
        <f>IF(R160&gt;=0, IF(R160&lt;=DATI!$C$8/6, "SI", "NO"),IF(R160&gt; -DATI!$C$8/6, "SI", "NO"))</f>
        <v>NO</v>
      </c>
      <c r="T160" s="174">
        <f t="shared" si="12"/>
        <v>0</v>
      </c>
      <c r="U160" s="173" t="str">
        <f t="shared" si="13"/>
        <v>ROTTURA BILANCIATA</v>
      </c>
    </row>
    <row r="161" spans="1:21" ht="18.75" x14ac:dyDescent="0.25">
      <c r="A161" s="122"/>
      <c r="B161" s="172">
        <f>DATI!$I$13*10^-3</f>
        <v>-4.0000000000000001E-3</v>
      </c>
      <c r="C161" s="172">
        <f>C160-(DATI!$D$24*10^-3/100)</f>
        <v>8.3000000000000105E-3</v>
      </c>
      <c r="D161" s="172">
        <f>(DATI!$I$13*(F161-DATI!$C$10))/(F161*1000)</f>
        <v>-2.8205479452054782E-3</v>
      </c>
      <c r="E161" s="173" t="s">
        <v>37</v>
      </c>
      <c r="F161" s="174">
        <f>(-DATI!$I$13*10^-3/(-DATI!$I$13*10^-3+C161))*DATI!$C$13</f>
        <v>118.69918699186981</v>
      </c>
      <c r="G161" s="175">
        <f t="shared" si="15"/>
        <v>46.169941388342075</v>
      </c>
      <c r="H161" s="175">
        <f t="shared" si="16"/>
        <v>104.21206925040394</v>
      </c>
      <c r="I161" s="175">
        <f>G161/(Foglio1!$P$3*(-DATI!$I$13))</f>
        <v>0.86174367388639628</v>
      </c>
      <c r="J161" s="175">
        <f t="shared" si="14"/>
        <v>0.43571474147074873</v>
      </c>
      <c r="K161" s="174">
        <f>IF(D161&gt;=(DATI!$D$26*10^-3),DATI!$D$30*DATI!$I$29,IF(D161&gt;=(-DATI!$D$26*10^-3),DATI!$D$32*D161*DATI!$I$29,-DATI!$D$30*DATI!$I$29))</f>
        <v>-352404.7411418116</v>
      </c>
      <c r="L161" s="174">
        <f>-DATI!$I$16*DATI!$C$6*I161*DATI!$I$11*F161</f>
        <v>-545234.49956240074</v>
      </c>
      <c r="M161" s="174">
        <f>IF(C161&gt;=(DATI!$D$26*10^-3),DATI!$D$30*DATI!$I$28,IF(C161&gt;=(-DATI!$D$26*10^-3),DATI!$I$28*DATI!$D$32*C161,-DATI!$D$30*DATI!$I$28))</f>
        <v>352404.7411418116</v>
      </c>
      <c r="N161" s="174">
        <f t="shared" si="10"/>
        <v>-545234.49956240074</v>
      </c>
      <c r="O161" s="174">
        <f>-L161*(DATI!$C$8/2-(J161*F161))-K161*(DATI!$C$13/2)+M161*(DATI!$C$13/2)</f>
        <v>209475655.21249864</v>
      </c>
      <c r="P161" s="176">
        <f>-N161/(DATI!$C$6*DATI!$C$13*DATI!$I$11*DATI!$I$16)</f>
        <v>0.28024184516630746</v>
      </c>
      <c r="Q161" s="176">
        <f>O161/(DATI!$C$6*DATI!$C$13^2*DATI!$I$11)</f>
        <v>0.25073171697679297</v>
      </c>
      <c r="R161" s="177">
        <f t="shared" si="11"/>
        <v>-384.19369166958717</v>
      </c>
      <c r="S161" s="173" t="str">
        <f>IF(R161&gt;=0, IF(R161&lt;=DATI!$C$8/6, "SI", "NO"),IF(R161&gt; -DATI!$C$8/6, "SI", "NO"))</f>
        <v>NO</v>
      </c>
      <c r="T161" s="174">
        <f t="shared" si="12"/>
        <v>0</v>
      </c>
      <c r="U161" s="173" t="str">
        <f t="shared" si="13"/>
        <v>ROTTURA BILANCIATA</v>
      </c>
    </row>
    <row r="162" spans="1:21" ht="18.75" x14ac:dyDescent="0.25">
      <c r="A162" s="122"/>
      <c r="B162" s="172">
        <f>DATI!$I$13*10^-3</f>
        <v>-4.0000000000000001E-3</v>
      </c>
      <c r="C162" s="172">
        <f>C161-(DATI!$D$24*10^-3/100)</f>
        <v>8.2000000000000111E-3</v>
      </c>
      <c r="D162" s="172">
        <f>(DATI!$I$13*(F162-DATI!$C$10))/(F162*1000)</f>
        <v>-2.8301369863013687E-3</v>
      </c>
      <c r="E162" s="173" t="s">
        <v>37</v>
      </c>
      <c r="F162" s="174">
        <f>(-DATI!$I$13*10^-3/(-DATI!$I$13*10^-3+C162))*DATI!$C$13</f>
        <v>119.67213114754087</v>
      </c>
      <c r="G162" s="175">
        <f t="shared" si="15"/>
        <v>46.169941388342075</v>
      </c>
      <c r="H162" s="175">
        <f t="shared" si="16"/>
        <v>104.21206925040394</v>
      </c>
      <c r="I162" s="175">
        <f>G162/(Foglio1!$P$3*(-DATI!$I$13))</f>
        <v>0.86174367388639628</v>
      </c>
      <c r="J162" s="175">
        <f t="shared" si="14"/>
        <v>0.43571474147074873</v>
      </c>
      <c r="K162" s="174">
        <f>IF(D162&gt;=(DATI!$D$26*10^-3),DATI!$D$30*DATI!$I$29,IF(D162&gt;=(-DATI!$D$26*10^-3),DATI!$D$32*D162*DATI!$I$29,-DATI!$D$30*DATI!$I$29))</f>
        <v>-352404.7411418116</v>
      </c>
      <c r="L162" s="174">
        <f>-DATI!$I$16*DATI!$C$6*I162*DATI!$I$11*F162</f>
        <v>-549703.63480471552</v>
      </c>
      <c r="M162" s="174">
        <f>IF(C162&gt;=(DATI!$D$26*10^-3),DATI!$D$30*DATI!$I$28,IF(C162&gt;=(-DATI!$D$26*10^-3),DATI!$I$28*DATI!$D$32*C162,-DATI!$D$30*DATI!$I$28))</f>
        <v>352404.7411418116</v>
      </c>
      <c r="N162" s="174">
        <f t="shared" si="10"/>
        <v>-549703.63480471552</v>
      </c>
      <c r="O162" s="174">
        <f>-L162*(DATI!$C$8/2-(J162*F162))-K162*(DATI!$C$13/2)+M162*(DATI!$C$13/2)</f>
        <v>209905309.39559597</v>
      </c>
      <c r="P162" s="176">
        <f>-N162/(DATI!$C$6*DATI!$C$13*DATI!$I$11*DATI!$I$16)</f>
        <v>0.28253890947094934</v>
      </c>
      <c r="Q162" s="176">
        <f>O162/(DATI!$C$6*DATI!$C$13^2*DATI!$I$11)</f>
        <v>0.25124599120558089</v>
      </c>
      <c r="R162" s="177">
        <f t="shared" si="11"/>
        <v>-381.85177631245915</v>
      </c>
      <c r="S162" s="173" t="str">
        <f>IF(R162&gt;=0, IF(R162&lt;=DATI!$C$8/6, "SI", "NO"),IF(R162&gt; -DATI!$C$8/6, "SI", "NO"))</f>
        <v>NO</v>
      </c>
      <c r="T162" s="174">
        <f t="shared" si="12"/>
        <v>0</v>
      </c>
      <c r="U162" s="173" t="str">
        <f t="shared" si="13"/>
        <v>ROTTURA BILANCIATA</v>
      </c>
    </row>
    <row r="163" spans="1:21" ht="18.75" x14ac:dyDescent="0.25">
      <c r="A163" s="122"/>
      <c r="B163" s="172">
        <f>DATI!$I$13*10^-3</f>
        <v>-4.0000000000000001E-3</v>
      </c>
      <c r="C163" s="172">
        <f>C162-(DATI!$D$24*10^-3/100)</f>
        <v>8.1000000000000117E-3</v>
      </c>
      <c r="D163" s="172">
        <f>(DATI!$I$13*(F163-DATI!$C$10))/(F163*1000)</f>
        <v>-2.8397260273972593E-3</v>
      </c>
      <c r="E163" s="173" t="s">
        <v>37</v>
      </c>
      <c r="F163" s="174">
        <f>(-DATI!$I$13*10^-3/(-DATI!$I$13*10^-3+C163))*DATI!$C$13</f>
        <v>120.66115702479327</v>
      </c>
      <c r="G163" s="175">
        <f t="shared" si="15"/>
        <v>46.169941388342075</v>
      </c>
      <c r="H163" s="175">
        <f t="shared" si="16"/>
        <v>104.21206925040394</v>
      </c>
      <c r="I163" s="175">
        <f>G163/(Foglio1!$P$3*(-DATI!$I$13))</f>
        <v>0.86174367388639628</v>
      </c>
      <c r="J163" s="175">
        <f t="shared" si="14"/>
        <v>0.43571474147074873</v>
      </c>
      <c r="K163" s="174">
        <f>IF(D163&gt;=(DATI!$D$26*10^-3),DATI!$D$30*DATI!$I$29,IF(D163&gt;=(-DATI!$D$26*10^-3),DATI!$D$32*D163*DATI!$I$29,-DATI!$D$30*DATI!$I$29))</f>
        <v>-352404.7411418116</v>
      </c>
      <c r="L163" s="174">
        <f>-DATI!$I$16*DATI!$C$6*I163*DATI!$I$11*F163</f>
        <v>-554246.64005103544</v>
      </c>
      <c r="M163" s="174">
        <f>IF(C163&gt;=(DATI!$D$26*10^-3),DATI!$D$30*DATI!$I$28,IF(C163&gt;=(-DATI!$D$26*10^-3),DATI!$I$28*DATI!$D$32*C163,-DATI!$D$30*DATI!$I$28))</f>
        <v>352404.7411418116</v>
      </c>
      <c r="N163" s="174">
        <f t="shared" si="10"/>
        <v>-554246.64005103544</v>
      </c>
      <c r="O163" s="174">
        <f>-L163*(DATI!$C$8/2-(J163*F163))-K163*(DATI!$C$13/2)+M163*(DATI!$C$13/2)</f>
        <v>210338181.67059916</v>
      </c>
      <c r="P163" s="176">
        <f>-N163/(DATI!$C$6*DATI!$C$13*DATI!$I$11*DATI!$I$16)</f>
        <v>0.28487394178062658</v>
      </c>
      <c r="Q163" s="176">
        <f>O163/(DATI!$C$6*DATI!$C$13^2*DATI!$I$11)</f>
        <v>0.25176411732688647</v>
      </c>
      <c r="R163" s="177">
        <f t="shared" si="11"/>
        <v>-379.50285391217</v>
      </c>
      <c r="S163" s="173" t="str">
        <f>IF(R163&gt;=0, IF(R163&lt;=DATI!$C$8/6, "SI", "NO"),IF(R163&gt; -DATI!$C$8/6, "SI", "NO"))</f>
        <v>NO</v>
      </c>
      <c r="T163" s="174">
        <f t="shared" si="12"/>
        <v>0</v>
      </c>
      <c r="U163" s="173" t="str">
        <f t="shared" si="13"/>
        <v>ROTTURA BILANCIATA</v>
      </c>
    </row>
    <row r="164" spans="1:21" ht="18.75" x14ac:dyDescent="0.25">
      <c r="A164" s="122"/>
      <c r="B164" s="172">
        <f>DATI!$I$13*10^-3</f>
        <v>-4.0000000000000001E-3</v>
      </c>
      <c r="C164" s="172">
        <f>C163-(DATI!$D$24*10^-3/100)</f>
        <v>8.0000000000000123E-3</v>
      </c>
      <c r="D164" s="172">
        <f>(DATI!$I$13*(F164-DATI!$C$10))/(F164*1000)</f>
        <v>-2.8493150684931498E-3</v>
      </c>
      <c r="E164" s="173" t="s">
        <v>37</v>
      </c>
      <c r="F164" s="174">
        <f>(-DATI!$I$13*10^-3/(-DATI!$I$13*10^-3+C164))*DATI!$C$13</f>
        <v>121.66666666666654</v>
      </c>
      <c r="G164" s="175">
        <f t="shared" si="15"/>
        <v>46.169941388342075</v>
      </c>
      <c r="H164" s="175">
        <f t="shared" si="16"/>
        <v>104.21206925040394</v>
      </c>
      <c r="I164" s="175">
        <f>G164/(Foglio1!$P$3*(-DATI!$I$13))</f>
        <v>0.86174367388639628</v>
      </c>
      <c r="J164" s="175">
        <f t="shared" si="14"/>
        <v>0.43571474147074873</v>
      </c>
      <c r="K164" s="174">
        <f>IF(D164&gt;=(DATI!$D$26*10^-3),DATI!$D$30*DATI!$I$29,IF(D164&gt;=(-DATI!$D$26*10^-3),DATI!$D$32*D164*DATI!$I$29,-DATI!$D$30*DATI!$I$29))</f>
        <v>-352404.7411418116</v>
      </c>
      <c r="L164" s="174">
        <f>-DATI!$I$16*DATI!$C$6*I164*DATI!$I$11*F164</f>
        <v>-558865.36205146066</v>
      </c>
      <c r="M164" s="174">
        <f>IF(C164&gt;=(DATI!$D$26*10^-3),DATI!$D$30*DATI!$I$28,IF(C164&gt;=(-DATI!$D$26*10^-3),DATI!$I$28*DATI!$D$32*C164,-DATI!$D$30*DATI!$I$28))</f>
        <v>352404.7411418116</v>
      </c>
      <c r="N164" s="174">
        <f t="shared" si="10"/>
        <v>-558865.36205146066</v>
      </c>
      <c r="O164" s="174">
        <f>-L164*(DATI!$C$8/2-(J164*F164))-K164*(DATI!$C$13/2)+M164*(DATI!$C$13/2)</f>
        <v>210774254.58996302</v>
      </c>
      <c r="P164" s="176">
        <f>-N164/(DATI!$C$6*DATI!$C$13*DATI!$I$11*DATI!$I$16)</f>
        <v>0.28724789129546507</v>
      </c>
      <c r="Q164" s="176">
        <f>O164/(DATI!$C$6*DATI!$C$13^2*DATI!$I$11)</f>
        <v>0.25228607445688456</v>
      </c>
      <c r="R164" s="177">
        <f t="shared" si="11"/>
        <v>-377.14674929264055</v>
      </c>
      <c r="S164" s="173" t="str">
        <f>IF(R164&gt;=0, IF(R164&lt;=DATI!$C$8/6, "SI", "NO"),IF(R164&gt; -DATI!$C$8/6, "SI", "NO"))</f>
        <v>NO</v>
      </c>
      <c r="T164" s="174">
        <f t="shared" si="12"/>
        <v>0</v>
      </c>
      <c r="U164" s="173" t="str">
        <f t="shared" si="13"/>
        <v>ROTTURA BILANCIATA</v>
      </c>
    </row>
    <row r="165" spans="1:21" ht="18.75" x14ac:dyDescent="0.25">
      <c r="A165" s="122"/>
      <c r="B165" s="172">
        <f>DATI!$I$13*10^-3</f>
        <v>-4.0000000000000001E-3</v>
      </c>
      <c r="C165" s="172">
        <f>C164-(DATI!$D$24*10^-3/100)</f>
        <v>7.9000000000000129E-3</v>
      </c>
      <c r="D165" s="172">
        <f>(DATI!$I$13*(F165-DATI!$C$10))/(F165*1000)</f>
        <v>-2.8589041095890399E-3</v>
      </c>
      <c r="E165" s="173" t="s">
        <v>37</v>
      </c>
      <c r="F165" s="174">
        <f>(-DATI!$I$13*10^-3/(-DATI!$I$13*10^-3+C165))*DATI!$C$13</f>
        <v>122.68907563025196</v>
      </c>
      <c r="G165" s="175">
        <f t="shared" si="15"/>
        <v>46.169941388342075</v>
      </c>
      <c r="H165" s="175">
        <f t="shared" si="16"/>
        <v>104.21206925040394</v>
      </c>
      <c r="I165" s="175">
        <f>G165/(Foglio1!$P$3*(-DATI!$I$13))</f>
        <v>0.86174367388639628</v>
      </c>
      <c r="J165" s="175">
        <f t="shared" si="14"/>
        <v>0.43571474147074873</v>
      </c>
      <c r="K165" s="174">
        <f>IF(D165&gt;=(DATI!$D$26*10^-3),DATI!$D$30*DATI!$I$29,IF(D165&gt;=(-DATI!$D$26*10^-3),DATI!$D$32*D165*DATI!$I$29,-DATI!$D$30*DATI!$I$29))</f>
        <v>-352404.7411418116</v>
      </c>
      <c r="L165" s="174">
        <f>-DATI!$I$16*DATI!$C$6*I165*DATI!$I$11*F165</f>
        <v>-563561.70963172498</v>
      </c>
      <c r="M165" s="174">
        <f>IF(C165&gt;=(DATI!$D$26*10^-3),DATI!$D$30*DATI!$I$28,IF(C165&gt;=(-DATI!$D$26*10^-3),DATI!$I$28*DATI!$D$32*C165,-DATI!$D$30*DATI!$I$28))</f>
        <v>352404.7411418116</v>
      </c>
      <c r="N165" s="174">
        <f t="shared" si="10"/>
        <v>-563561.70963172498</v>
      </c>
      <c r="O165" s="174">
        <f>-L165*(DATI!$C$8/2-(J165*F165))-K165*(DATI!$C$13/2)+M165*(DATI!$C$13/2)</f>
        <v>211213506.8012659</v>
      </c>
      <c r="P165" s="176">
        <f>-N165/(DATI!$C$6*DATI!$C$13*DATI!$I$11*DATI!$I$16)</f>
        <v>0.28966173912147736</v>
      </c>
      <c r="Q165" s="176">
        <f>O165/(DATI!$C$6*DATI!$C$13^2*DATI!$I$11)</f>
        <v>0.25281183703781118</v>
      </c>
      <c r="R165" s="177">
        <f t="shared" si="11"/>
        <v>-374.78328138952025</v>
      </c>
      <c r="S165" s="173" t="str">
        <f>IF(R165&gt;=0, IF(R165&lt;=DATI!$C$8/6, "SI", "NO"),IF(R165&gt; -DATI!$C$8/6, "SI", "NO"))</f>
        <v>NO</v>
      </c>
      <c r="T165" s="174">
        <f t="shared" si="12"/>
        <v>0</v>
      </c>
      <c r="U165" s="173" t="str">
        <f t="shared" si="13"/>
        <v>ROTTURA BILANCIATA</v>
      </c>
    </row>
    <row r="166" spans="1:21" ht="18.75" x14ac:dyDescent="0.25">
      <c r="A166" s="122"/>
      <c r="B166" s="172">
        <f>DATI!$I$13*10^-3</f>
        <v>-4.0000000000000001E-3</v>
      </c>
      <c r="C166" s="172">
        <f>C165-(DATI!$D$24*10^-3/100)</f>
        <v>7.8000000000000127E-3</v>
      </c>
      <c r="D166" s="172">
        <f>(DATI!$I$13*(F166-DATI!$C$10))/(F166*1000)</f>
        <v>-2.8684931506849304E-3</v>
      </c>
      <c r="E166" s="173" t="s">
        <v>37</v>
      </c>
      <c r="F166" s="174">
        <f>(-DATI!$I$13*10^-3/(-DATI!$I$13*10^-3+C166))*DATI!$C$13</f>
        <v>123.72881355932191</v>
      </c>
      <c r="G166" s="175">
        <f t="shared" si="15"/>
        <v>46.169941388342075</v>
      </c>
      <c r="H166" s="175">
        <f t="shared" si="16"/>
        <v>104.21206925040394</v>
      </c>
      <c r="I166" s="175">
        <f>G166/(Foglio1!$P$3*(-DATI!$I$13))</f>
        <v>0.86174367388639628</v>
      </c>
      <c r="J166" s="175">
        <f t="shared" si="14"/>
        <v>0.43571474147074873</v>
      </c>
      <c r="K166" s="174">
        <f>IF(D166&gt;=(DATI!$D$26*10^-3),DATI!$D$30*DATI!$I$29,IF(D166&gt;=(-DATI!$D$26*10^-3),DATI!$D$32*D166*DATI!$I$29,-DATI!$D$30*DATI!$I$29))</f>
        <v>-352404.7411418116</v>
      </c>
      <c r="L166" s="174">
        <f>-DATI!$I$16*DATI!$C$6*I166*DATI!$I$11*F166</f>
        <v>-568337.6563235193</v>
      </c>
      <c r="M166" s="174">
        <f>IF(C166&gt;=(DATI!$D$26*10^-3),DATI!$D$30*DATI!$I$28,IF(C166&gt;=(-DATI!$D$26*10^-3),DATI!$I$28*DATI!$D$32*C166,-DATI!$D$30*DATI!$I$28))</f>
        <v>352404.7411418116</v>
      </c>
      <c r="N166" s="174">
        <f t="shared" si="10"/>
        <v>-568337.6563235193</v>
      </c>
      <c r="O166" s="174">
        <f>-L166*(DATI!$C$8/2-(J166*F166))-K166*(DATI!$C$13/2)+M166*(DATI!$C$13/2)</f>
        <v>211655912.73994678</v>
      </c>
      <c r="P166" s="176">
        <f>-N166/(DATI!$C$6*DATI!$C$13*DATI!$I$11*DATI!$I$16)</f>
        <v>0.29211649962250685</v>
      </c>
      <c r="Q166" s="176">
        <f>O166/(DATI!$C$6*DATI!$C$13^2*DATI!$I$11)</f>
        <v>0.25334137447018568</v>
      </c>
      <c r="R166" s="177">
        <f t="shared" si="11"/>
        <v>-372.41226300068394</v>
      </c>
      <c r="S166" s="173" t="str">
        <f>IF(R166&gt;=0, IF(R166&lt;=DATI!$C$8/6, "SI", "NO"),IF(R166&gt; -DATI!$C$8/6, "SI", "NO"))</f>
        <v>NO</v>
      </c>
      <c r="T166" s="174">
        <f t="shared" si="12"/>
        <v>0</v>
      </c>
      <c r="U166" s="173" t="str">
        <f t="shared" si="13"/>
        <v>ROTTURA BILANCIATA</v>
      </c>
    </row>
    <row r="167" spans="1:21" ht="18.75" x14ac:dyDescent="0.25">
      <c r="A167" s="122"/>
      <c r="B167" s="172">
        <f>DATI!$I$13*10^-3</f>
        <v>-4.0000000000000001E-3</v>
      </c>
      <c r="C167" s="172">
        <f>C166-(DATI!$D$24*10^-3/100)</f>
        <v>7.7000000000000124E-3</v>
      </c>
      <c r="D167" s="172">
        <f>(DATI!$I$13*(F167-DATI!$C$10))/(F167*1000)</f>
        <v>-2.8780821917808209E-3</v>
      </c>
      <c r="E167" s="173" t="s">
        <v>37</v>
      </c>
      <c r="F167" s="174">
        <f>(-DATI!$I$13*10^-3/(-DATI!$I$13*10^-3+C167))*DATI!$C$13</f>
        <v>124.78632478632464</v>
      </c>
      <c r="G167" s="175">
        <f t="shared" si="15"/>
        <v>46.169941388342075</v>
      </c>
      <c r="H167" s="175">
        <f t="shared" si="16"/>
        <v>104.21206925040394</v>
      </c>
      <c r="I167" s="175">
        <f>G167/(Foglio1!$P$3*(-DATI!$I$13))</f>
        <v>0.86174367388639628</v>
      </c>
      <c r="J167" s="175">
        <f t="shared" si="14"/>
        <v>0.43571474147074873</v>
      </c>
      <c r="K167" s="174">
        <f>IF(D167&gt;=(DATI!$D$26*10^-3),DATI!$D$30*DATI!$I$29,IF(D167&gt;=(-DATI!$D$26*10^-3),DATI!$D$32*D167*DATI!$I$29,-DATI!$D$30*DATI!$I$29))</f>
        <v>-352404.7411418116</v>
      </c>
      <c r="L167" s="174">
        <f>-DATI!$I$16*DATI!$C$6*I167*DATI!$I$11*F167</f>
        <v>-573195.24312970322</v>
      </c>
      <c r="M167" s="174">
        <f>IF(C167&gt;=(DATI!$D$26*10^-3),DATI!$D$30*DATI!$I$28,IF(C167&gt;=(-DATI!$D$26*10^-3),DATI!$I$28*DATI!$D$32*C167,-DATI!$D$30*DATI!$I$28))</f>
        <v>352404.7411418116</v>
      </c>
      <c r="N167" s="174">
        <f t="shared" si="10"/>
        <v>-573195.24312970322</v>
      </c>
      <c r="O167" s="174">
        <f>-L167*(DATI!$C$8/2-(J167*F167))-K167*(DATI!$C$13/2)+M167*(DATI!$C$13/2)</f>
        <v>212101442.29895136</v>
      </c>
      <c r="P167" s="176">
        <f>-N167/(DATI!$C$6*DATI!$C$13*DATI!$I$11*DATI!$I$16)</f>
        <v>0.29461322184150263</v>
      </c>
      <c r="Q167" s="176">
        <f>O167/(DATI!$C$6*DATI!$C$13^2*DATI!$I$11)</f>
        <v>0.25387465071739357</v>
      </c>
      <c r="R167" s="177">
        <f t="shared" si="11"/>
        <v>-370.03350052393375</v>
      </c>
      <c r="S167" s="173" t="str">
        <f>IF(R167&gt;=0, IF(R167&lt;=DATI!$C$8/6, "SI", "NO"),IF(R167&gt; -DATI!$C$8/6, "SI", "NO"))</f>
        <v>NO</v>
      </c>
      <c r="T167" s="174">
        <f t="shared" si="12"/>
        <v>0</v>
      </c>
      <c r="U167" s="173" t="str">
        <f t="shared" si="13"/>
        <v>ROTTURA BILANCIATA</v>
      </c>
    </row>
    <row r="168" spans="1:21" ht="18.75" x14ac:dyDescent="0.25">
      <c r="A168" s="122"/>
      <c r="B168" s="172">
        <f>DATI!$I$13*10^-3</f>
        <v>-4.0000000000000001E-3</v>
      </c>
      <c r="C168" s="172">
        <f>C167-(DATI!$D$24*10^-3/100)</f>
        <v>7.6000000000000121E-3</v>
      </c>
      <c r="D168" s="172">
        <f>(DATI!$I$13*(F168-DATI!$C$10))/(F168*1000)</f>
        <v>-2.887671232876711E-3</v>
      </c>
      <c r="E168" s="173" t="s">
        <v>37</v>
      </c>
      <c r="F168" s="174">
        <f>(-DATI!$I$13*10^-3/(-DATI!$I$13*10^-3+C168))*DATI!$C$13</f>
        <v>125.86206896551711</v>
      </c>
      <c r="G168" s="175">
        <f t="shared" si="15"/>
        <v>46.169941388342075</v>
      </c>
      <c r="H168" s="175">
        <f t="shared" si="16"/>
        <v>104.21206925040394</v>
      </c>
      <c r="I168" s="175">
        <f>G168/(Foglio1!$P$3*(-DATI!$I$13))</f>
        <v>0.86174367388639628</v>
      </c>
      <c r="J168" s="175">
        <f t="shared" ref="J168:J199" si="17">1-(H168/G168)/(-B168*10^3)</f>
        <v>0.43571474147074873</v>
      </c>
      <c r="K168" s="174">
        <f>IF(D168&gt;=(DATI!$D$26*10^-3),DATI!$D$30*DATI!$I$29,IF(D168&gt;=(-DATI!$D$26*10^-3),DATI!$D$32*D168*DATI!$I$29,-DATI!$D$30*DATI!$I$29))</f>
        <v>-352404.7411418116</v>
      </c>
      <c r="L168" s="174">
        <f>-DATI!$I$16*DATI!$C$6*I168*DATI!$I$11*F168</f>
        <v>-578136.58143254556</v>
      </c>
      <c r="M168" s="174">
        <f>IF(C168&gt;=(DATI!$D$26*10^-3),DATI!$D$30*DATI!$I$28,IF(C168&gt;=(-DATI!$D$26*10^-3),DATI!$I$28*DATI!$D$32*C168,-DATI!$D$30*DATI!$I$28))</f>
        <v>352404.7411418116</v>
      </c>
      <c r="N168" s="174">
        <f t="shared" si="10"/>
        <v>-578136.58143254556</v>
      </c>
      <c r="O168" s="174">
        <f>-L168*(DATI!$C$8/2-(J168*F168))-K168*(DATI!$C$13/2)+M168*(DATI!$C$13/2)</f>
        <v>212550060.47344714</v>
      </c>
      <c r="P168" s="176">
        <f>-N168/(DATI!$C$6*DATI!$C$13*DATI!$I$11*DATI!$I$16)</f>
        <v>0.29715299099530873</v>
      </c>
      <c r="Q168" s="176">
        <f>O168/(DATI!$C$6*DATI!$C$13^2*DATI!$I$11)</f>
        <v>0.25441162388042876</v>
      </c>
      <c r="R168" s="177">
        <f t="shared" si="11"/>
        <v>-367.64679368113389</v>
      </c>
      <c r="S168" s="173" t="str">
        <f>IF(R168&gt;=0, IF(R168&lt;=DATI!$C$8/6, "SI", "NO"),IF(R168&gt; -DATI!$C$8/6, "SI", "NO"))</f>
        <v>NO</v>
      </c>
      <c r="T168" s="174">
        <f t="shared" si="12"/>
        <v>0</v>
      </c>
      <c r="U168" s="173" t="str">
        <f t="shared" si="13"/>
        <v>ROTTURA BILANCIATA</v>
      </c>
    </row>
    <row r="169" spans="1:21" ht="18.75" x14ac:dyDescent="0.25">
      <c r="A169" s="122"/>
      <c r="B169" s="172">
        <f>DATI!$I$13*10^-3</f>
        <v>-4.0000000000000001E-3</v>
      </c>
      <c r="C169" s="172">
        <f>C168-(DATI!$D$24*10^-3/100)</f>
        <v>7.5000000000000119E-3</v>
      </c>
      <c r="D169" s="172">
        <f>(DATI!$I$13*(F169-DATI!$C$10))/(F169*1000)</f>
        <v>-2.8972602739726016E-3</v>
      </c>
      <c r="E169" s="173" t="s">
        <v>37</v>
      </c>
      <c r="F169" s="174">
        <f>(-DATI!$I$13*10^-3/(-DATI!$I$13*10^-3+C169))*DATI!$C$13</f>
        <v>126.95652173913031</v>
      </c>
      <c r="G169" s="175">
        <f t="shared" si="15"/>
        <v>46.169941388342075</v>
      </c>
      <c r="H169" s="175">
        <f t="shared" si="16"/>
        <v>104.21206925040394</v>
      </c>
      <c r="I169" s="175">
        <f>G169/(Foglio1!$P$3*(-DATI!$I$13))</f>
        <v>0.86174367388639628</v>
      </c>
      <c r="J169" s="175">
        <f t="shared" si="17"/>
        <v>0.43571474147074873</v>
      </c>
      <c r="K169" s="174">
        <f>IF(D169&gt;=(DATI!$D$26*10^-3),DATI!$D$30*DATI!$I$29,IF(D169&gt;=(-DATI!$D$26*10^-3),DATI!$D$32*D169*DATI!$I$29,-DATI!$D$30*DATI!$I$29))</f>
        <v>-352404.7411418116</v>
      </c>
      <c r="L169" s="174">
        <f>-DATI!$I$16*DATI!$C$6*I169*DATI!$I$11*F169</f>
        <v>-583163.85605369811</v>
      </c>
      <c r="M169" s="174">
        <f>IF(C169&gt;=(DATI!$D$26*10^-3),DATI!$D$30*DATI!$I$28,IF(C169&gt;=(-DATI!$D$26*10^-3),DATI!$I$28*DATI!$D$32*C169,-DATI!$D$30*DATI!$I$28))</f>
        <v>352404.7411418116</v>
      </c>
      <c r="N169" s="174">
        <f t="shared" si="10"/>
        <v>-583163.85605369811</v>
      </c>
      <c r="O169" s="174">
        <f>-L169*(DATI!$C$8/2-(J169*F169))-K169*(DATI!$C$13/2)+M169*(DATI!$C$13/2)</f>
        <v>213001726.97860852</v>
      </c>
      <c r="P169" s="176">
        <f>-N169/(DATI!$C$6*DATI!$C$13*DATI!$I$11*DATI!$I$16)</f>
        <v>0.29973693004744184</v>
      </c>
      <c r="Q169" s="176">
        <f>O169/(DATI!$C$6*DATI!$C$13^2*DATI!$I$11)</f>
        <v>0.25495224574040165</v>
      </c>
      <c r="R169" s="177">
        <f t="shared" si="11"/>
        <v>-365.2519352279528</v>
      </c>
      <c r="S169" s="173" t="str">
        <f>IF(R169&gt;=0, IF(R169&lt;=DATI!$C$8/6, "SI", "NO"),IF(R169&gt; -DATI!$C$8/6, "SI", "NO"))</f>
        <v>NO</v>
      </c>
      <c r="T169" s="174">
        <f t="shared" si="12"/>
        <v>0</v>
      </c>
      <c r="U169" s="173" t="str">
        <f t="shared" si="13"/>
        <v>ROTTURA BILANCIATA</v>
      </c>
    </row>
    <row r="170" spans="1:21" ht="18.75" x14ac:dyDescent="0.25">
      <c r="A170" s="122"/>
      <c r="B170" s="172">
        <f>DATI!$I$13*10^-3</f>
        <v>-4.0000000000000001E-3</v>
      </c>
      <c r="C170" s="172">
        <f>C169-(DATI!$D$24*10^-3/100)</f>
        <v>7.4000000000000116E-3</v>
      </c>
      <c r="D170" s="172">
        <f>(DATI!$I$13*(F170-DATI!$C$10))/(F170*1000)</f>
        <v>-2.9068493150684917E-3</v>
      </c>
      <c r="E170" s="173" t="s">
        <v>37</v>
      </c>
      <c r="F170" s="174">
        <f>(-DATI!$I$13*10^-3/(-DATI!$I$13*10^-3+C170))*DATI!$C$13</f>
        <v>128.07017543859635</v>
      </c>
      <c r="G170" s="175">
        <f t="shared" si="15"/>
        <v>46.169941388342075</v>
      </c>
      <c r="H170" s="175">
        <f t="shared" si="16"/>
        <v>104.21206925040394</v>
      </c>
      <c r="I170" s="175">
        <f>G170/(Foglio1!$P$3*(-DATI!$I$13))</f>
        <v>0.86174367388639628</v>
      </c>
      <c r="J170" s="175">
        <f t="shared" si="17"/>
        <v>0.43571474147074873</v>
      </c>
      <c r="K170" s="174">
        <f>IF(D170&gt;=(DATI!$D$26*10^-3),DATI!$D$30*DATI!$I$29,IF(D170&gt;=(-DATI!$D$26*10^-3),DATI!$D$32*D170*DATI!$I$29,-DATI!$D$30*DATI!$I$29))</f>
        <v>-352404.7411418116</v>
      </c>
      <c r="L170" s="174">
        <f>-DATI!$I$16*DATI!$C$6*I170*DATI!$I$11*F170</f>
        <v>-588279.32847522176</v>
      </c>
      <c r="M170" s="174">
        <f>IF(C170&gt;=(DATI!$D$26*10^-3),DATI!$D$30*DATI!$I$28,IF(C170&gt;=(-DATI!$D$26*10^-3),DATI!$I$28*DATI!$D$32*C170,-DATI!$D$30*DATI!$I$28))</f>
        <v>352404.7411418116</v>
      </c>
      <c r="N170" s="174">
        <f t="shared" si="10"/>
        <v>-588279.32847522176</v>
      </c>
      <c r="O170" s="174">
        <f>-L170*(DATI!$C$8/2-(J170*F170))-K170*(DATI!$C$13/2)+M170*(DATI!$C$13/2)</f>
        <v>213456395.83829829</v>
      </c>
      <c r="P170" s="176">
        <f>-N170/(DATI!$C$6*DATI!$C$13*DATI!$I$11*DATI!$I$16)</f>
        <v>0.30236620136364745</v>
      </c>
      <c r="Q170" s="176">
        <f>O170/(DATI!$C$6*DATI!$C$13^2*DATI!$I$11)</f>
        <v>0.25549646126621178</v>
      </c>
      <c r="R170" s="177">
        <f t="shared" si="11"/>
        <v>-362.84871064832777</v>
      </c>
      <c r="S170" s="173" t="str">
        <f>IF(R170&gt;=0, IF(R170&lt;=DATI!$C$8/6, "SI", "NO"),IF(R170&gt; -DATI!$C$8/6, "SI", "NO"))</f>
        <v>NO</v>
      </c>
      <c r="T170" s="174">
        <f t="shared" si="12"/>
        <v>0</v>
      </c>
      <c r="U170" s="173" t="str">
        <f t="shared" si="13"/>
        <v>ROTTURA BILANCIATA</v>
      </c>
    </row>
    <row r="171" spans="1:21" ht="18.75" x14ac:dyDescent="0.25">
      <c r="A171" s="122"/>
      <c r="B171" s="172">
        <f>DATI!$I$13*10^-3</f>
        <v>-4.0000000000000001E-3</v>
      </c>
      <c r="C171" s="172">
        <f>C170-(DATI!$D$24*10^-3/100)</f>
        <v>7.3000000000000113E-3</v>
      </c>
      <c r="D171" s="172">
        <f>(DATI!$I$13*(F171-DATI!$C$10))/(F171*1000)</f>
        <v>-2.9164383561643822E-3</v>
      </c>
      <c r="E171" s="173" t="s">
        <v>37</v>
      </c>
      <c r="F171" s="174">
        <f>(-DATI!$I$13*10^-3/(-DATI!$I$13*10^-3+C171))*DATI!$C$13</f>
        <v>129.20353982300873</v>
      </c>
      <c r="G171" s="175">
        <f t="shared" si="15"/>
        <v>46.169941388342075</v>
      </c>
      <c r="H171" s="175">
        <f t="shared" si="16"/>
        <v>104.21206925040394</v>
      </c>
      <c r="I171" s="175">
        <f>G171/(Foglio1!$P$3*(-DATI!$I$13))</f>
        <v>0.86174367388639628</v>
      </c>
      <c r="J171" s="175">
        <f t="shared" si="17"/>
        <v>0.43571474147074873</v>
      </c>
      <c r="K171" s="174">
        <f>IF(D171&gt;=(DATI!$D$26*10^-3),DATI!$D$30*DATI!$I$29,IF(D171&gt;=(-DATI!$D$26*10^-3),DATI!$D$32*D171*DATI!$I$29,-DATI!$D$30*DATI!$I$29))</f>
        <v>-352404.7411418116</v>
      </c>
      <c r="L171" s="174">
        <f>-DATI!$I$16*DATI!$C$6*I171*DATI!$I$11*F171</f>
        <v>-593485.34023163968</v>
      </c>
      <c r="M171" s="174">
        <f>IF(C171&gt;=(DATI!$D$26*10^-3),DATI!$D$30*DATI!$I$28,IF(C171&gt;=(-DATI!$D$26*10^-3),DATI!$I$28*DATI!$D$32*C171,-DATI!$D$30*DATI!$I$28))</f>
        <v>352404.7411418116</v>
      </c>
      <c r="N171" s="174">
        <f t="shared" si="10"/>
        <v>-593485.34023163968</v>
      </c>
      <c r="O171" s="174">
        <f>-L171*(DATI!$C$8/2-(J171*F171))-K171*(DATI!$C$13/2)+M171*(DATI!$C$13/2)</f>
        <v>213914014.94228089</v>
      </c>
      <c r="P171" s="176">
        <f>-N171/(DATI!$C$6*DATI!$C$13*DATI!$I$11*DATI!$I$16)</f>
        <v>0.30504200845536117</v>
      </c>
      <c r="Q171" s="176">
        <f>O171/(DATI!$C$6*DATI!$C$13^2*DATI!$I$11)</f>
        <v>0.25604420808455469</v>
      </c>
      <c r="R171" s="177">
        <f t="shared" si="11"/>
        <v>-360.43689783270702</v>
      </c>
      <c r="S171" s="173" t="str">
        <f>IF(R171&gt;=0, IF(R171&lt;=DATI!$C$8/6, "SI", "NO"),IF(R171&gt; -DATI!$C$8/6, "SI", "NO"))</f>
        <v>NO</v>
      </c>
      <c r="T171" s="174">
        <f t="shared" si="12"/>
        <v>0</v>
      </c>
      <c r="U171" s="173" t="str">
        <f t="shared" si="13"/>
        <v>ROTTURA BILANCIATA</v>
      </c>
    </row>
    <row r="172" spans="1:21" ht="18.75" x14ac:dyDescent="0.25">
      <c r="A172" s="122"/>
      <c r="B172" s="172">
        <f>DATI!$I$13*10^-3</f>
        <v>-4.0000000000000001E-3</v>
      </c>
      <c r="C172" s="172">
        <f>C171-(DATI!$D$24*10^-3/100)</f>
        <v>7.2000000000000111E-3</v>
      </c>
      <c r="D172" s="172">
        <f>(DATI!$I$13*(F172-DATI!$C$10))/(F172*1000)</f>
        <v>-2.9260273972602727E-3</v>
      </c>
      <c r="E172" s="173" t="s">
        <v>37</v>
      </c>
      <c r="F172" s="174">
        <f>(-DATI!$I$13*10^-3/(-DATI!$I$13*10^-3+C172))*DATI!$C$13</f>
        <v>130.35714285714272</v>
      </c>
      <c r="G172" s="175">
        <f t="shared" si="15"/>
        <v>46.169941388342075</v>
      </c>
      <c r="H172" s="175">
        <f t="shared" si="16"/>
        <v>104.21206925040394</v>
      </c>
      <c r="I172" s="175">
        <f>G172/(Foglio1!$P$3*(-DATI!$I$13))</f>
        <v>0.86174367388639628</v>
      </c>
      <c r="J172" s="175">
        <f t="shared" si="17"/>
        <v>0.43571474147074873</v>
      </c>
      <c r="K172" s="174">
        <f>IF(D172&gt;=(DATI!$D$26*10^-3),DATI!$D$30*DATI!$I$29,IF(D172&gt;=(-DATI!$D$26*10^-3),DATI!$D$32*D172*DATI!$I$29,-DATI!$D$30*DATI!$I$29))</f>
        <v>-352404.7411418116</v>
      </c>
      <c r="L172" s="174">
        <f>-DATI!$I$16*DATI!$C$6*I172*DATI!$I$11*F172</f>
        <v>-598784.31648370787</v>
      </c>
      <c r="M172" s="174">
        <f>IF(C172&gt;=(DATI!$D$26*10^-3),DATI!$D$30*DATI!$I$28,IF(C172&gt;=(-DATI!$D$26*10^-3),DATI!$I$28*DATI!$D$32*C172,-DATI!$D$30*DATI!$I$28))</f>
        <v>352404.7411418116</v>
      </c>
      <c r="N172" s="174">
        <f t="shared" si="10"/>
        <v>-598784.31648370787</v>
      </c>
      <c r="O172" s="174">
        <f>-L172*(DATI!$C$8/2-(J172*F172))-K172*(DATI!$C$13/2)+M172*(DATI!$C$13/2)</f>
        <v>214374525.56939399</v>
      </c>
      <c r="P172" s="176">
        <f>-N172/(DATI!$C$6*DATI!$C$13*DATI!$I$11*DATI!$I$16)</f>
        <v>0.30776559781656976</v>
      </c>
      <c r="Q172" s="176">
        <f>O172/(DATI!$C$6*DATI!$C$13^2*DATI!$I$11)</f>
        <v>0.25659541590918228</v>
      </c>
      <c r="R172" s="177">
        <f t="shared" si="11"/>
        <v>-358.0162667390552</v>
      </c>
      <c r="S172" s="173" t="str">
        <f>IF(R172&gt;=0, IF(R172&lt;=DATI!$C$8/6, "SI", "NO"),IF(R172&gt; -DATI!$C$8/6, "SI", "NO"))</f>
        <v>NO</v>
      </c>
      <c r="T172" s="174">
        <f t="shared" si="12"/>
        <v>0</v>
      </c>
      <c r="U172" s="173" t="str">
        <f t="shared" si="13"/>
        <v>ROTTURA BILANCIATA</v>
      </c>
    </row>
    <row r="173" spans="1:21" ht="18.75" x14ac:dyDescent="0.25">
      <c r="A173" s="122"/>
      <c r="B173" s="172">
        <f>DATI!$I$13*10^-3</f>
        <v>-4.0000000000000001E-3</v>
      </c>
      <c r="C173" s="172">
        <f>C172-(DATI!$D$24*10^-3/100)</f>
        <v>7.1000000000000108E-3</v>
      </c>
      <c r="D173" s="172">
        <f>(DATI!$I$13*(F173-DATI!$C$10))/(F173*1000)</f>
        <v>-2.9356164383561633E-3</v>
      </c>
      <c r="E173" s="173" t="s">
        <v>37</v>
      </c>
      <c r="F173" s="174">
        <f>(-DATI!$I$13*10^-3/(-DATI!$I$13*10^-3+C173))*DATI!$C$13</f>
        <v>131.53153153153141</v>
      </c>
      <c r="G173" s="175">
        <f t="shared" si="15"/>
        <v>46.169941388342075</v>
      </c>
      <c r="H173" s="175">
        <f t="shared" si="16"/>
        <v>104.21206925040394</v>
      </c>
      <c r="I173" s="175">
        <f>G173/(Foglio1!$P$3*(-DATI!$I$13))</f>
        <v>0.86174367388639628</v>
      </c>
      <c r="J173" s="175">
        <f t="shared" si="17"/>
        <v>0.43571474147074873</v>
      </c>
      <c r="K173" s="174">
        <f>IF(D173&gt;=(DATI!$D$26*10^-3),DATI!$D$30*DATI!$I$29,IF(D173&gt;=(-DATI!$D$26*10^-3),DATI!$D$32*D173*DATI!$I$29,-DATI!$D$30*DATI!$I$29))</f>
        <v>-352404.7411418116</v>
      </c>
      <c r="L173" s="174">
        <f>-DATI!$I$16*DATI!$C$6*I173*DATI!$I$11*F173</f>
        <v>-604178.76978536299</v>
      </c>
      <c r="M173" s="174">
        <f>IF(C173&gt;=(DATI!$D$26*10^-3),DATI!$D$30*DATI!$I$28,IF(C173&gt;=(-DATI!$D$26*10^-3),DATI!$I$28*DATI!$D$32*C173,-DATI!$D$30*DATI!$I$28))</f>
        <v>352404.7411418116</v>
      </c>
      <c r="N173" s="174">
        <f t="shared" si="10"/>
        <v>-604178.76978536299</v>
      </c>
      <c r="O173" s="174">
        <f>-L173*(DATI!$C$8/2-(J173*F173))-K173*(DATI!$C$13/2)+M173*(DATI!$C$13/2)</f>
        <v>214837861.87387431</v>
      </c>
      <c r="P173" s="176">
        <f>-N173/(DATI!$C$6*DATI!$C$13*DATI!$I$11*DATI!$I$16)</f>
        <v>0.31053826085996233</v>
      </c>
      <c r="Q173" s="176">
        <f>O173/(DATI!$C$6*DATI!$C$13^2*DATI!$I$11)</f>
        <v>0.25715000592606124</v>
      </c>
      <c r="R173" s="177">
        <f t="shared" si="11"/>
        <v>-355.58657903553336</v>
      </c>
      <c r="S173" s="173" t="str">
        <f>IF(R173&gt;=0, IF(R173&lt;=DATI!$C$8/6, "SI", "NO"),IF(R173&gt; -DATI!$C$8/6, "SI", "NO"))</f>
        <v>NO</v>
      </c>
      <c r="T173" s="174">
        <f t="shared" si="12"/>
        <v>0</v>
      </c>
      <c r="U173" s="173" t="str">
        <f t="shared" si="13"/>
        <v>ROTTURA BILANCIATA</v>
      </c>
    </row>
    <row r="174" spans="1:21" ht="18.75" x14ac:dyDescent="0.25">
      <c r="A174" s="122"/>
      <c r="B174" s="172">
        <f>DATI!$I$13*10^-3</f>
        <v>-4.0000000000000001E-3</v>
      </c>
      <c r="C174" s="172">
        <f>C173-(DATI!$D$24*10^-3/100)</f>
        <v>7.0000000000000106E-3</v>
      </c>
      <c r="D174" s="172">
        <f>(DATI!$I$13*(F174-DATI!$C$10))/(F174*1000)</f>
        <v>-2.9452054794520534E-3</v>
      </c>
      <c r="E174" s="173" t="s">
        <v>37</v>
      </c>
      <c r="F174" s="174">
        <f>(-DATI!$I$13*10^-3/(-DATI!$I$13*10^-3+C174))*DATI!$C$13</f>
        <v>132.72727272727261</v>
      </c>
      <c r="G174" s="175">
        <f t="shared" si="15"/>
        <v>46.169941388342075</v>
      </c>
      <c r="H174" s="175">
        <f t="shared" si="16"/>
        <v>104.21206925040394</v>
      </c>
      <c r="I174" s="175">
        <f>G174/(Foglio1!$P$3*(-DATI!$I$13))</f>
        <v>0.86174367388639628</v>
      </c>
      <c r="J174" s="175">
        <f t="shared" si="17"/>
        <v>0.43571474147074873</v>
      </c>
      <c r="K174" s="174">
        <f>IF(D174&gt;=(DATI!$D$26*10^-3),DATI!$D$30*DATI!$I$29,IF(D174&gt;=(-DATI!$D$26*10^-3),DATI!$D$32*D174*DATI!$I$29,-DATI!$D$30*DATI!$I$29))</f>
        <v>-352404.7411418116</v>
      </c>
      <c r="L174" s="174">
        <f>-DATI!$I$16*DATI!$C$6*I174*DATI!$I$11*F174</f>
        <v>-609671.30405613896</v>
      </c>
      <c r="M174" s="174">
        <f>IF(C174&gt;=(DATI!$D$26*10^-3),DATI!$D$30*DATI!$I$28,IF(C174&gt;=(-DATI!$D$26*10^-3),DATI!$I$28*DATI!$D$32*C174,-DATI!$D$30*DATI!$I$28))</f>
        <v>352404.7411418116</v>
      </c>
      <c r="N174" s="174">
        <f t="shared" si="10"/>
        <v>-609671.30405613896</v>
      </c>
      <c r="O174" s="174">
        <f>-L174*(DATI!$C$8/2-(J174*F174))-K174*(DATI!$C$13/2)+M174*(DATI!$C$13/2)</f>
        <v>215303950.33178234</v>
      </c>
      <c r="P174" s="176">
        <f>-N174/(DATI!$C$6*DATI!$C$13*DATI!$I$11*DATI!$I$16)</f>
        <v>0.3133613359586892</v>
      </c>
      <c r="Q174" s="176">
        <f>O174/(DATI!$C$6*DATI!$C$13^2*DATI!$I$11)</f>
        <v>0.25770789013077133</v>
      </c>
      <c r="R174" s="177">
        <f t="shared" si="11"/>
        <v>-353.14758772369089</v>
      </c>
      <c r="S174" s="173" t="str">
        <f>IF(R174&gt;=0, IF(R174&lt;=DATI!$C$8/6, "SI", "NO"),IF(R174&gt; -DATI!$C$8/6, "SI", "NO"))</f>
        <v>NO</v>
      </c>
      <c r="T174" s="174">
        <f t="shared" si="12"/>
        <v>0</v>
      </c>
      <c r="U174" s="173" t="str">
        <f t="shared" si="13"/>
        <v>ROTTURA BILANCIATA</v>
      </c>
    </row>
    <row r="175" spans="1:21" ht="18.75" x14ac:dyDescent="0.25">
      <c r="A175" s="122"/>
      <c r="B175" s="172">
        <f>DATI!$I$13*10^-3</f>
        <v>-4.0000000000000001E-3</v>
      </c>
      <c r="C175" s="172">
        <f>C174-(DATI!$D$24*10^-3/100)</f>
        <v>6.9000000000000103E-3</v>
      </c>
      <c r="D175" s="172">
        <f>(DATI!$I$13*(F175-DATI!$C$10))/(F175*1000)</f>
        <v>-2.9547945205479439E-3</v>
      </c>
      <c r="E175" s="173" t="s">
        <v>37</v>
      </c>
      <c r="F175" s="174">
        <f>(-DATI!$I$13*10^-3/(-DATI!$I$13*10^-3+C175))*DATI!$C$13</f>
        <v>133.94495412844023</v>
      </c>
      <c r="G175" s="175">
        <f t="shared" si="15"/>
        <v>46.169941388342075</v>
      </c>
      <c r="H175" s="175">
        <f t="shared" si="16"/>
        <v>104.21206925040394</v>
      </c>
      <c r="I175" s="175">
        <f>G175/(Foglio1!$P$3*(-DATI!$I$13))</f>
        <v>0.86174367388639628</v>
      </c>
      <c r="J175" s="175">
        <f t="shared" si="17"/>
        <v>0.43571474147074873</v>
      </c>
      <c r="K175" s="174">
        <f>IF(D175&gt;=(DATI!$D$26*10^-3),DATI!$D$30*DATI!$I$29,IF(D175&gt;=(-DATI!$D$26*10^-3),DATI!$D$32*D175*DATI!$I$29,-DATI!$D$30*DATI!$I$29))</f>
        <v>-352404.7411418116</v>
      </c>
      <c r="L175" s="174">
        <f>-DATI!$I$16*DATI!$C$6*I175*DATI!$I$11*F175</f>
        <v>-615264.61877225037</v>
      </c>
      <c r="M175" s="174">
        <f>IF(C175&gt;=(DATI!$D$26*10^-3),DATI!$D$30*DATI!$I$28,IF(C175&gt;=(-DATI!$D$26*10^-3),DATI!$I$28*DATI!$D$32*C175,-DATI!$D$30*DATI!$I$28))</f>
        <v>352404.7411418116</v>
      </c>
      <c r="N175" s="174">
        <f t="shared" si="10"/>
        <v>-615264.61877225037</v>
      </c>
      <c r="O175" s="174">
        <f>-L175*(DATI!$C$8/2-(J175*F175))-K175*(DATI!$C$13/2)+M175*(DATI!$C$13/2)</f>
        <v>215772709.14419329</v>
      </c>
      <c r="P175" s="176">
        <f>-N175/(DATI!$C$6*DATI!$C$13*DATI!$I$11*DATI!$I$16)</f>
        <v>0.31623621060051205</v>
      </c>
      <c r="Q175" s="176">
        <f>O175/(DATI!$C$6*DATI!$C$13^2*DATI!$I$11)</f>
        <v>0.25826897061415527</v>
      </c>
      <c r="R175" s="177">
        <f t="shared" si="11"/>
        <v>-350.69903674091307</v>
      </c>
      <c r="S175" s="173" t="str">
        <f>IF(R175&gt;=0, IF(R175&lt;=DATI!$C$8/6, "SI", "NO"),IF(R175&gt; -DATI!$C$8/6, "SI", "NO"))</f>
        <v>NO</v>
      </c>
      <c r="T175" s="174">
        <f t="shared" si="12"/>
        <v>0</v>
      </c>
      <c r="U175" s="173" t="str">
        <f t="shared" si="13"/>
        <v>ROTTURA BILANCIATA</v>
      </c>
    </row>
    <row r="176" spans="1:21" ht="18.75" x14ac:dyDescent="0.25">
      <c r="A176" s="122"/>
      <c r="B176" s="172">
        <f>DATI!$I$13*10^-3</f>
        <v>-4.0000000000000001E-3</v>
      </c>
      <c r="C176" s="172">
        <f>C175-(DATI!$D$24*10^-3/100)</f>
        <v>6.80000000000001E-3</v>
      </c>
      <c r="D176" s="172">
        <f>(DATI!$I$13*(F176-DATI!$C$10))/(F176*1000)</f>
        <v>-2.9643835616438344E-3</v>
      </c>
      <c r="E176" s="173" t="s">
        <v>37</v>
      </c>
      <c r="F176" s="174">
        <f>(-DATI!$I$13*10^-3/(-DATI!$I$13*10^-3+C176))*DATI!$C$13</f>
        <v>135.18518518518505</v>
      </c>
      <c r="G176" s="175">
        <f t="shared" ref="G176:G207" si="18">$G$143</f>
        <v>46.169941388342075</v>
      </c>
      <c r="H176" s="175">
        <f t="shared" ref="H176:H207" si="19">$H$143</f>
        <v>104.21206925040394</v>
      </c>
      <c r="I176" s="175">
        <f>G176/(Foglio1!$P$3*(-DATI!$I$13))</f>
        <v>0.86174367388639628</v>
      </c>
      <c r="J176" s="175">
        <f t="shared" si="17"/>
        <v>0.43571474147074873</v>
      </c>
      <c r="K176" s="174">
        <f>IF(D176&gt;=(DATI!$D$26*10^-3),DATI!$D$30*DATI!$I$29,IF(D176&gt;=(-DATI!$D$26*10^-3),DATI!$D$32*D176*DATI!$I$29,-DATI!$D$30*DATI!$I$29))</f>
        <v>-352404.7411418116</v>
      </c>
      <c r="L176" s="174">
        <f>-DATI!$I$16*DATI!$C$6*I176*DATI!$I$11*F176</f>
        <v>-620961.51339051186</v>
      </c>
      <c r="M176" s="174">
        <f>IF(C176&gt;=(DATI!$D$26*10^-3),DATI!$D$30*DATI!$I$28,IF(C176&gt;=(-DATI!$D$26*10^-3),DATI!$I$28*DATI!$D$32*C176,-DATI!$D$30*DATI!$I$28))</f>
        <v>352404.7411418116</v>
      </c>
      <c r="N176" s="174">
        <f t="shared" si="10"/>
        <v>-620961.51339051186</v>
      </c>
      <c r="O176" s="174">
        <f>-L176*(DATI!$C$8/2-(J176*F176))-K176*(DATI!$C$13/2)+M176*(DATI!$C$13/2)</f>
        <v>216244047.59351748</v>
      </c>
      <c r="P176" s="176">
        <f>-N176/(DATI!$C$6*DATI!$C$13*DATI!$I$11*DATI!$I$16)</f>
        <v>0.31916432366162789</v>
      </c>
      <c r="Q176" s="176">
        <f>O176/(DATI!$C$6*DATI!$C$13^2*DATI!$I$11)</f>
        <v>0.25883313879186715</v>
      </c>
      <c r="R176" s="177">
        <f t="shared" si="11"/>
        <v>-348.2406605407852</v>
      </c>
      <c r="S176" s="173" t="str">
        <f>IF(R176&gt;=0, IF(R176&lt;=DATI!$C$8/6, "SI", "NO"),IF(R176&gt; -DATI!$C$8/6, "SI", "NO"))</f>
        <v>NO</v>
      </c>
      <c r="T176" s="174">
        <f t="shared" si="12"/>
        <v>0</v>
      </c>
      <c r="U176" s="173" t="str">
        <f t="shared" si="13"/>
        <v>ROTTURA BILANCIATA</v>
      </c>
    </row>
    <row r="177" spans="1:21" ht="18.75" x14ac:dyDescent="0.25">
      <c r="A177" s="122"/>
      <c r="B177" s="172">
        <f>DATI!$I$13*10^-3</f>
        <v>-4.0000000000000001E-3</v>
      </c>
      <c r="C177" s="172">
        <f>C176-(DATI!$D$24*10^-3/100)</f>
        <v>6.7000000000000098E-3</v>
      </c>
      <c r="D177" s="172">
        <f>(DATI!$I$13*(F177-DATI!$C$10))/(F177*1000)</f>
        <v>-2.9739726027397254E-3</v>
      </c>
      <c r="E177" s="173" t="s">
        <v>37</v>
      </c>
      <c r="F177" s="174">
        <f>(-DATI!$I$13*10^-3/(-DATI!$I$13*10^-3+C177))*DATI!$C$13</f>
        <v>136.44859813084099</v>
      </c>
      <c r="G177" s="175">
        <f t="shared" si="18"/>
        <v>46.169941388342075</v>
      </c>
      <c r="H177" s="175">
        <f t="shared" si="19"/>
        <v>104.21206925040394</v>
      </c>
      <c r="I177" s="175">
        <f>G177/(Foglio1!$P$3*(-DATI!$I$13))</f>
        <v>0.86174367388639628</v>
      </c>
      <c r="J177" s="175">
        <f t="shared" si="17"/>
        <v>0.43571474147074873</v>
      </c>
      <c r="K177" s="174">
        <f>IF(D177&gt;=(DATI!$D$26*10^-3),DATI!$D$30*DATI!$I$29,IF(D177&gt;=(-DATI!$D$26*10^-3),DATI!$D$32*D177*DATI!$I$29,-DATI!$D$30*DATI!$I$29))</f>
        <v>-352404.7411418116</v>
      </c>
      <c r="L177" s="174">
        <f>-DATI!$I$16*DATI!$C$6*I177*DATI!$I$11*F177</f>
        <v>-626764.89202032983</v>
      </c>
      <c r="M177" s="174">
        <f>IF(C177&gt;=(DATI!$D$26*10^-3),DATI!$D$30*DATI!$I$28,IF(C177&gt;=(-DATI!$D$26*10^-3),DATI!$I$28*DATI!$D$32*C177,-DATI!$D$30*DATI!$I$28))</f>
        <v>352404.7411418116</v>
      </c>
      <c r="N177" s="174">
        <f t="shared" si="10"/>
        <v>-626764.89202032983</v>
      </c>
      <c r="O177" s="174">
        <f>-L177*(DATI!$C$8/2-(J177*F177))-K177*(DATI!$C$13/2)+M177*(DATI!$C$13/2)</f>
        <v>216717865.34897804</v>
      </c>
      <c r="P177" s="176">
        <f>-N177/(DATI!$C$6*DATI!$C$13*DATI!$I$11*DATI!$I$16)</f>
        <v>0.32214716780799829</v>
      </c>
      <c r="Q177" s="176">
        <f>O177/(DATI!$C$6*DATI!$C$13^2*DATI!$I$11)</f>
        <v>0.25940027457306425</v>
      </c>
      <c r="R177" s="177">
        <f t="shared" si="11"/>
        <v>-345.77218364992365</v>
      </c>
      <c r="S177" s="173" t="str">
        <f>IF(R177&gt;=0, IF(R177&lt;=DATI!$C$8/6, "SI", "NO"),IF(R177&gt; -DATI!$C$8/6, "SI", "NO"))</f>
        <v>NO</v>
      </c>
      <c r="T177" s="174">
        <f t="shared" si="12"/>
        <v>0</v>
      </c>
      <c r="U177" s="173" t="str">
        <f t="shared" si="13"/>
        <v>ROTTURA BILANCIATA</v>
      </c>
    </row>
    <row r="178" spans="1:21" ht="18.75" x14ac:dyDescent="0.25">
      <c r="A178" s="122"/>
      <c r="B178" s="172">
        <f>DATI!$I$13*10^-3</f>
        <v>-4.0000000000000001E-3</v>
      </c>
      <c r="C178" s="172">
        <f>C177-(DATI!$D$24*10^-3/100)</f>
        <v>6.6000000000000095E-3</v>
      </c>
      <c r="D178" s="172">
        <f>(DATI!$I$13*(F178-DATI!$C$10))/(F178*1000)</f>
        <v>-2.9835616438356155E-3</v>
      </c>
      <c r="E178" s="173" t="s">
        <v>37</v>
      </c>
      <c r="F178" s="174">
        <f>(-DATI!$I$13*10^-3/(-DATI!$I$13*10^-3+C178))*DATI!$C$13</f>
        <v>137.73584905660366</v>
      </c>
      <c r="G178" s="175">
        <f t="shared" si="18"/>
        <v>46.169941388342075</v>
      </c>
      <c r="H178" s="175">
        <f t="shared" si="19"/>
        <v>104.21206925040394</v>
      </c>
      <c r="I178" s="175">
        <f>G178/(Foglio1!$P$3*(-DATI!$I$13))</f>
        <v>0.86174367388639628</v>
      </c>
      <c r="J178" s="175">
        <f t="shared" si="17"/>
        <v>0.43571474147074873</v>
      </c>
      <c r="K178" s="174">
        <f>IF(D178&gt;=(DATI!$D$26*10^-3),DATI!$D$30*DATI!$I$29,IF(D178&gt;=(-DATI!$D$26*10^-3),DATI!$D$32*D178*DATI!$I$29,-DATI!$D$30*DATI!$I$29))</f>
        <v>-352404.7411418116</v>
      </c>
      <c r="L178" s="174">
        <f>-DATI!$I$16*DATI!$C$6*I178*DATI!$I$11*F178</f>
        <v>-632677.76836014434</v>
      </c>
      <c r="M178" s="174">
        <f>IF(C178&gt;=(DATI!$D$26*10^-3),DATI!$D$30*DATI!$I$28,IF(C178&gt;=(-DATI!$D$26*10^-3),DATI!$I$28*DATI!$D$32*C178,-DATI!$D$30*DATI!$I$28))</f>
        <v>352404.7411418116</v>
      </c>
      <c r="N178" s="174">
        <f t="shared" si="10"/>
        <v>-632677.76836014434</v>
      </c>
      <c r="O178" s="174">
        <f>-L178*(DATI!$C$8/2-(J178*F178))-K178*(DATI!$C$13/2)+M178*(DATI!$C$13/2)</f>
        <v>217194051.71690497</v>
      </c>
      <c r="P178" s="176">
        <f>-N178/(DATI!$C$6*DATI!$C$13*DATI!$I$11*DATI!$I$16)</f>
        <v>0.32518629203260208</v>
      </c>
      <c r="Q178" s="176">
        <f>O178/(DATI!$C$6*DATI!$C$13^2*DATI!$I$11)</f>
        <v>0.25997024546304737</v>
      </c>
      <c r="R178" s="177">
        <f t="shared" si="11"/>
        <v>-343.29332019972264</v>
      </c>
      <c r="S178" s="173" t="str">
        <f>IF(R178&gt;=0, IF(R178&lt;=DATI!$C$8/6, "SI", "NO"),IF(R178&gt; -DATI!$C$8/6, "SI", "NO"))</f>
        <v>NO</v>
      </c>
      <c r="T178" s="174">
        <f t="shared" si="12"/>
        <v>0</v>
      </c>
      <c r="U178" s="173" t="str">
        <f t="shared" si="13"/>
        <v>ROTTURA BILANCIATA</v>
      </c>
    </row>
    <row r="179" spans="1:21" ht="18.75" x14ac:dyDescent="0.25">
      <c r="A179" s="122"/>
      <c r="B179" s="172">
        <f>DATI!$I$13*10^-3</f>
        <v>-4.0000000000000001E-3</v>
      </c>
      <c r="C179" s="172">
        <f>C178-(DATI!$D$24*10^-3/100)</f>
        <v>6.5000000000000092E-3</v>
      </c>
      <c r="D179" s="172">
        <f>(DATI!$I$13*(F179-DATI!$C$10))/(F179*1000)</f>
        <v>-2.9931506849315056E-3</v>
      </c>
      <c r="E179" s="173" t="s">
        <v>37</v>
      </c>
      <c r="F179" s="174">
        <f>(-DATI!$I$13*10^-3/(-DATI!$I$13*10^-3+C179))*DATI!$C$13</f>
        <v>139.04761904761892</v>
      </c>
      <c r="G179" s="175">
        <f t="shared" si="18"/>
        <v>46.169941388342075</v>
      </c>
      <c r="H179" s="175">
        <f t="shared" si="19"/>
        <v>104.21206925040394</v>
      </c>
      <c r="I179" s="175">
        <f>G179/(Foglio1!$P$3*(-DATI!$I$13))</f>
        <v>0.86174367388639628</v>
      </c>
      <c r="J179" s="175">
        <f t="shared" si="17"/>
        <v>0.43571474147074873</v>
      </c>
      <c r="K179" s="174">
        <f>IF(D179&gt;=(DATI!$D$26*10^-3),DATI!$D$30*DATI!$I$29,IF(D179&gt;=(-DATI!$D$26*10^-3),DATI!$D$32*D179*DATI!$I$29,-DATI!$D$30*DATI!$I$29))</f>
        <v>-352404.7411418116</v>
      </c>
      <c r="L179" s="174">
        <f>-DATI!$I$16*DATI!$C$6*I179*DATI!$I$11*F179</f>
        <v>-638703.27091595519</v>
      </c>
      <c r="M179" s="174">
        <f>IF(C179&gt;=(DATI!$D$26*10^-3),DATI!$D$30*DATI!$I$28,IF(C179&gt;=(-DATI!$D$26*10^-3),DATI!$I$28*DATI!$D$32*C179,-DATI!$D$30*DATI!$I$28))</f>
        <v>352404.7411418116</v>
      </c>
      <c r="N179" s="174">
        <f t="shared" si="10"/>
        <v>-638703.27091595519</v>
      </c>
      <c r="O179" s="174">
        <f>-L179*(DATI!$C$8/2-(J179*F179))-K179*(DATI!$C$13/2)+M179*(DATI!$C$13/2)</f>
        <v>217672484.83109957</v>
      </c>
      <c r="P179" s="176">
        <f>-N179/(DATI!$C$6*DATI!$C$13*DATI!$I$11*DATI!$I$16)</f>
        <v>0.32828330433767444</v>
      </c>
      <c r="Q179" s="176">
        <f>O179/(DATI!$C$6*DATI!$C$13^2*DATI!$I$11)</f>
        <v>0.26054290559416798</v>
      </c>
      <c r="R179" s="177">
        <f t="shared" si="11"/>
        <v>-340.8037734313441</v>
      </c>
      <c r="S179" s="173" t="str">
        <f>IF(R179&gt;=0, IF(R179&lt;=DATI!$C$8/6, "SI", "NO"),IF(R179&gt; -DATI!$C$8/6, "SI", "NO"))</f>
        <v>NO</v>
      </c>
      <c r="T179" s="174">
        <f t="shared" si="12"/>
        <v>0</v>
      </c>
      <c r="U179" s="173" t="str">
        <f t="shared" si="13"/>
        <v>ROTTURA BILANCIATA</v>
      </c>
    </row>
    <row r="180" spans="1:21" ht="18.75" x14ac:dyDescent="0.25">
      <c r="A180" s="122"/>
      <c r="B180" s="172">
        <f>DATI!$I$13*10^-3</f>
        <v>-4.0000000000000001E-3</v>
      </c>
      <c r="C180" s="172">
        <f>C179-(DATI!$D$24*10^-3/100)</f>
        <v>6.400000000000009E-3</v>
      </c>
      <c r="D180" s="172">
        <f>(DATI!$I$13*(F180-DATI!$C$10))/(F180*1000)</f>
        <v>-3.0027397260273961E-3</v>
      </c>
      <c r="E180" s="173" t="s">
        <v>37</v>
      </c>
      <c r="F180" s="174">
        <f>(-DATI!$I$13*10^-3/(-DATI!$I$13*10^-3+C180))*DATI!$C$13</f>
        <v>140.38461538461524</v>
      </c>
      <c r="G180" s="175">
        <f t="shared" si="18"/>
        <v>46.169941388342075</v>
      </c>
      <c r="H180" s="175">
        <f t="shared" si="19"/>
        <v>104.21206925040394</v>
      </c>
      <c r="I180" s="175">
        <f>G180/(Foglio1!$P$3*(-DATI!$I$13))</f>
        <v>0.86174367388639628</v>
      </c>
      <c r="J180" s="175">
        <f t="shared" si="17"/>
        <v>0.43571474147074873</v>
      </c>
      <c r="K180" s="174">
        <f>IF(D180&gt;=(DATI!$D$26*10^-3),DATI!$D$30*DATI!$I$29,IF(D180&gt;=(-DATI!$D$26*10^-3),DATI!$D$32*D180*DATI!$I$29,-DATI!$D$30*DATI!$I$29))</f>
        <v>-352404.7411418116</v>
      </c>
      <c r="L180" s="174">
        <f>-DATI!$I$16*DATI!$C$6*I180*DATI!$I$11*F180</f>
        <v>-644844.64852091623</v>
      </c>
      <c r="M180" s="174">
        <f>IF(C180&gt;=(DATI!$D$26*10^-3),DATI!$D$30*DATI!$I$28,IF(C180&gt;=(-DATI!$D$26*10^-3),DATI!$I$28*DATI!$D$32*C180,-DATI!$D$30*DATI!$I$28))</f>
        <v>352404.7411418116</v>
      </c>
      <c r="N180" s="174">
        <f t="shared" si="10"/>
        <v>-644844.64852091623</v>
      </c>
      <c r="O180" s="174">
        <f>-L180*(DATI!$C$8/2-(J180*F180))-K180*(DATI!$C$13/2)+M180*(DATI!$C$13/2)</f>
        <v>218153030.77807271</v>
      </c>
      <c r="P180" s="176">
        <f>-N180/(DATI!$C$6*DATI!$C$13*DATI!$I$11*DATI!$I$16)</f>
        <v>0.3314398745716905</v>
      </c>
      <c r="Q180" s="176">
        <f>O180/(DATI!$C$6*DATI!$C$13^2*DATI!$I$11)</f>
        <v>0.26111809467878305</v>
      </c>
      <c r="R180" s="177">
        <f t="shared" si="11"/>
        <v>-338.30323517214811</v>
      </c>
      <c r="S180" s="173" t="str">
        <f>IF(R180&gt;=0, IF(R180&lt;=DATI!$C$8/6, "SI", "NO"),IF(R180&gt; -DATI!$C$8/6, "SI", "NO"))</f>
        <v>NO</v>
      </c>
      <c r="T180" s="174">
        <f t="shared" si="12"/>
        <v>0</v>
      </c>
      <c r="U180" s="173" t="str">
        <f t="shared" si="13"/>
        <v>ROTTURA BILANCIATA</v>
      </c>
    </row>
    <row r="181" spans="1:21" ht="18.75" x14ac:dyDescent="0.25">
      <c r="A181" s="122"/>
      <c r="B181" s="172">
        <f>DATI!$I$13*10^-3</f>
        <v>-4.0000000000000001E-3</v>
      </c>
      <c r="C181" s="172">
        <f>C180-(DATI!$D$24*10^-3/100)</f>
        <v>6.3000000000000087E-3</v>
      </c>
      <c r="D181" s="172">
        <f>(DATI!$I$13*(F181-DATI!$C$10))/(F181*1000)</f>
        <v>-3.0123287671232871E-3</v>
      </c>
      <c r="E181" s="173" t="s">
        <v>37</v>
      </c>
      <c r="F181" s="174">
        <f>(-DATI!$I$13*10^-3/(-DATI!$I$13*10^-3+C181))*DATI!$C$13</f>
        <v>141.74757281553386</v>
      </c>
      <c r="G181" s="175">
        <f t="shared" si="18"/>
        <v>46.169941388342075</v>
      </c>
      <c r="H181" s="175">
        <f t="shared" si="19"/>
        <v>104.21206925040394</v>
      </c>
      <c r="I181" s="175">
        <f>G181/(Foglio1!$P$3*(-DATI!$I$13))</f>
        <v>0.86174367388639628</v>
      </c>
      <c r="J181" s="175">
        <f t="shared" si="17"/>
        <v>0.43571474147074873</v>
      </c>
      <c r="K181" s="174">
        <f>IF(D181&gt;=(DATI!$D$26*10^-3),DATI!$D$30*DATI!$I$29,IF(D181&gt;=(-DATI!$D$26*10^-3),DATI!$D$32*D181*DATI!$I$29,-DATI!$D$30*DATI!$I$29))</f>
        <v>-352404.7411418116</v>
      </c>
      <c r="L181" s="174">
        <f>-DATI!$I$16*DATI!$C$6*I181*DATI!$I$11*F181</f>
        <v>-651105.27617645916</v>
      </c>
      <c r="M181" s="174">
        <f>IF(C181&gt;=(DATI!$D$26*10^-3),DATI!$D$30*DATI!$I$28,IF(C181&gt;=(-DATI!$D$26*10^-3),DATI!$I$28*DATI!$D$32*C181,-DATI!$D$30*DATI!$I$28))</f>
        <v>352404.7411418116</v>
      </c>
      <c r="N181" s="174">
        <f t="shared" si="10"/>
        <v>-651105.27617645916</v>
      </c>
      <c r="O181" s="174">
        <f>-L181*(DATI!$C$8/2-(J181*F181))-K181*(DATI!$C$13/2)+M181*(DATI!$C$13/2)</f>
        <v>218635542.65146855</v>
      </c>
      <c r="P181" s="176">
        <f>-N181/(DATI!$C$6*DATI!$C$13*DATI!$I$11*DATI!$I$16)</f>
        <v>0.33465773743160987</v>
      </c>
      <c r="Q181" s="176">
        <f>O181/(DATI!$C$6*DATI!$C$13^2*DATI!$I$11)</f>
        <v>0.26169563687744807</v>
      </c>
      <c r="R181" s="177">
        <f t="shared" si="11"/>
        <v>-335.79138528162548</v>
      </c>
      <c r="S181" s="173" t="str">
        <f>IF(R181&gt;=0, IF(R181&lt;=DATI!$C$8/6, "SI", "NO"),IF(R181&gt; -DATI!$C$8/6, "SI", "NO"))</f>
        <v>NO</v>
      </c>
      <c r="T181" s="174">
        <f t="shared" si="12"/>
        <v>0</v>
      </c>
      <c r="U181" s="173" t="str">
        <f t="shared" si="13"/>
        <v>ROTTURA BILANCIATA</v>
      </c>
    </row>
    <row r="182" spans="1:21" ht="18.75" x14ac:dyDescent="0.25">
      <c r="A182" s="122"/>
      <c r="B182" s="172">
        <f>DATI!$I$13*10^-3</f>
        <v>-4.0000000000000001E-3</v>
      </c>
      <c r="C182" s="172">
        <f>C181-(DATI!$D$24*10^-3/100)</f>
        <v>6.2000000000000085E-3</v>
      </c>
      <c r="D182" s="172">
        <f>(DATI!$I$13*(F182-DATI!$C$10))/(F182*1000)</f>
        <v>-3.0219178082191772E-3</v>
      </c>
      <c r="E182" s="173" t="s">
        <v>37</v>
      </c>
      <c r="F182" s="174">
        <f>(-DATI!$I$13*10^-3/(-DATI!$I$13*10^-3+C182))*DATI!$C$13</f>
        <v>143.13725490196069</v>
      </c>
      <c r="G182" s="175">
        <f t="shared" si="18"/>
        <v>46.169941388342075</v>
      </c>
      <c r="H182" s="175">
        <f t="shared" si="19"/>
        <v>104.21206925040394</v>
      </c>
      <c r="I182" s="175">
        <f>G182/(Foglio1!$P$3*(-DATI!$I$13))</f>
        <v>0.86174367388639628</v>
      </c>
      <c r="J182" s="175">
        <f t="shared" si="17"/>
        <v>0.43571474147074873</v>
      </c>
      <c r="K182" s="174">
        <f>IF(D182&gt;=(DATI!$D$26*10^-3),DATI!$D$30*DATI!$I$29,IF(D182&gt;=(-DATI!$D$26*10^-3),DATI!$D$32*D182*DATI!$I$29,-DATI!$D$30*DATI!$I$29))</f>
        <v>-352404.7411418116</v>
      </c>
      <c r="L182" s="174">
        <f>-DATI!$I$16*DATI!$C$6*I182*DATI!$I$11*F182</f>
        <v>-657488.66123701283</v>
      </c>
      <c r="M182" s="174">
        <f>IF(C182&gt;=(DATI!$D$26*10^-3),DATI!$D$30*DATI!$I$28,IF(C182&gt;=(-DATI!$D$26*10^-3),DATI!$I$28*DATI!$D$32*C182,-DATI!$D$30*DATI!$I$28))</f>
        <v>352404.7411418116</v>
      </c>
      <c r="N182" s="174">
        <f t="shared" si="10"/>
        <v>-657488.66123701283</v>
      </c>
      <c r="O182" s="174">
        <f>-L182*(DATI!$C$8/2-(J182*F182))-K182*(DATI!$C$13/2)+M182*(DATI!$C$13/2)</f>
        <v>219119859.52943665</v>
      </c>
      <c r="P182" s="176">
        <f>-N182/(DATI!$C$6*DATI!$C$13*DATI!$I$11*DATI!$I$16)</f>
        <v>0.33793869564172374</v>
      </c>
      <c r="Q182" s="176">
        <f>O182/(DATI!$C$6*DATI!$C$13^2*DATI!$I$11)</f>
        <v>0.26227533957488369</v>
      </c>
      <c r="R182" s="177">
        <f t="shared" si="11"/>
        <v>-333.26789106473711</v>
      </c>
      <c r="S182" s="173" t="str">
        <f>IF(R182&gt;=0, IF(R182&lt;=DATI!$C$8/6, "SI", "NO"),IF(R182&gt; -DATI!$C$8/6, "SI", "NO"))</f>
        <v>NO</v>
      </c>
      <c r="T182" s="174">
        <f t="shared" si="12"/>
        <v>0</v>
      </c>
      <c r="U182" s="173" t="str">
        <f t="shared" si="13"/>
        <v>ROTTURA BILANCIATA</v>
      </c>
    </row>
    <row r="183" spans="1:21" ht="18.75" x14ac:dyDescent="0.25">
      <c r="A183" s="122"/>
      <c r="B183" s="172">
        <f>DATI!$I$13*10^-3</f>
        <v>-4.0000000000000001E-3</v>
      </c>
      <c r="C183" s="172">
        <f>C182-(DATI!$D$24*10^-3/100)</f>
        <v>6.1000000000000082E-3</v>
      </c>
      <c r="D183" s="172">
        <f>(DATI!$I$13*(F183-DATI!$C$10))/(F183*1000)</f>
        <v>-3.0315068493150677E-3</v>
      </c>
      <c r="E183" s="173" t="s">
        <v>37</v>
      </c>
      <c r="F183" s="174">
        <f>(-DATI!$I$13*10^-3/(-DATI!$I$13*10^-3+C183))*DATI!$C$13</f>
        <v>144.55445544554445</v>
      </c>
      <c r="G183" s="175">
        <f t="shared" si="18"/>
        <v>46.169941388342075</v>
      </c>
      <c r="H183" s="175">
        <f t="shared" si="19"/>
        <v>104.21206925040394</v>
      </c>
      <c r="I183" s="175">
        <f>G183/(Foglio1!$P$3*(-DATI!$I$13))</f>
        <v>0.86174367388639628</v>
      </c>
      <c r="J183" s="175">
        <f t="shared" si="17"/>
        <v>0.43571474147074873</v>
      </c>
      <c r="K183" s="174">
        <f>IF(D183&gt;=(DATI!$D$26*10^-3),DATI!$D$30*DATI!$I$29,IF(D183&gt;=(-DATI!$D$26*10^-3),DATI!$D$32*D183*DATI!$I$29,-DATI!$D$30*DATI!$I$29))</f>
        <v>-352404.7411418116</v>
      </c>
      <c r="L183" s="174">
        <f>-DATI!$I$16*DATI!$C$6*I183*DATI!$I$11*F183</f>
        <v>-663998.44996213168</v>
      </c>
      <c r="M183" s="174">
        <f>IF(C183&gt;=(DATI!$D$26*10^-3),DATI!$D$30*DATI!$I$28,IF(C183&gt;=(-DATI!$D$26*10^-3),DATI!$I$28*DATI!$D$32*C183,-DATI!$D$30*DATI!$I$28))</f>
        <v>352404.7411418116</v>
      </c>
      <c r="N183" s="174">
        <f t="shared" si="10"/>
        <v>-663998.44996213168</v>
      </c>
      <c r="O183" s="174">
        <f>-L183*(DATI!$C$8/2-(J183*F183))-K183*(DATI!$C$13/2)+M183*(DATI!$C$13/2)</f>
        <v>219605805.36811304</v>
      </c>
      <c r="P183" s="176">
        <f>-N183/(DATI!$C$6*DATI!$C$13*DATI!$I$11*DATI!$I$16)</f>
        <v>0.34128462332134474</v>
      </c>
      <c r="Q183" s="176">
        <f>O183/(DATI!$C$6*DATI!$C$13^2*DATI!$I$11)</f>
        <v>0.26285699205552859</v>
      </c>
      <c r="R183" s="177">
        <f t="shared" si="11"/>
        <v>-330.73240665040305</v>
      </c>
      <c r="S183" s="173" t="str">
        <f>IF(R183&gt;=0, IF(R183&lt;=DATI!$C$8/6, "SI", "NO"),IF(R183&gt; -DATI!$C$8/6, "SI", "NO"))</f>
        <v>NO</v>
      </c>
      <c r="T183" s="174">
        <f t="shared" si="12"/>
        <v>0</v>
      </c>
      <c r="U183" s="173" t="str">
        <f t="shared" si="13"/>
        <v>ROTTURA BILANCIATA</v>
      </c>
    </row>
    <row r="184" spans="1:21" ht="18.75" x14ac:dyDescent="0.25">
      <c r="A184" s="122"/>
      <c r="B184" s="172">
        <f>DATI!$I$13*10^-3</f>
        <v>-4.0000000000000001E-3</v>
      </c>
      <c r="C184" s="172">
        <f>C183-(DATI!$D$24*10^-3/100)</f>
        <v>6.0000000000000079E-3</v>
      </c>
      <c r="D184" s="172">
        <f>(DATI!$I$13*(F184-DATI!$C$10))/(F184*1000)</f>
        <v>-3.0410958904109582E-3</v>
      </c>
      <c r="E184" s="173" t="s">
        <v>37</v>
      </c>
      <c r="F184" s="174">
        <f>(-DATI!$I$13*10^-3/(-DATI!$I$13*10^-3+C184))*DATI!$C$13</f>
        <v>145.99999999999986</v>
      </c>
      <c r="G184" s="175">
        <f t="shared" si="18"/>
        <v>46.169941388342075</v>
      </c>
      <c r="H184" s="175">
        <f t="shared" si="19"/>
        <v>104.21206925040394</v>
      </c>
      <c r="I184" s="175">
        <f>G184/(Foglio1!$P$3*(-DATI!$I$13))</f>
        <v>0.86174367388639628</v>
      </c>
      <c r="J184" s="175">
        <f t="shared" si="17"/>
        <v>0.43571474147074873</v>
      </c>
      <c r="K184" s="174">
        <f>IF(D184&gt;=(DATI!$D$26*10^-3),DATI!$D$30*DATI!$I$29,IF(D184&gt;=(-DATI!$D$26*10^-3),DATI!$D$32*D184*DATI!$I$29,-DATI!$D$30*DATI!$I$29))</f>
        <v>-352404.7411418116</v>
      </c>
      <c r="L184" s="174">
        <f>-DATI!$I$16*DATI!$C$6*I184*DATI!$I$11*F184</f>
        <v>-670638.43446175288</v>
      </c>
      <c r="M184" s="174">
        <f>IF(C184&gt;=(DATI!$D$26*10^-3),DATI!$D$30*DATI!$I$28,IF(C184&gt;=(-DATI!$D$26*10^-3),DATI!$I$28*DATI!$D$32*C184,-DATI!$D$30*DATI!$I$28))</f>
        <v>352404.7411418116</v>
      </c>
      <c r="N184" s="174">
        <f t="shared" si="10"/>
        <v>-670638.43446175288</v>
      </c>
      <c r="O184" s="174">
        <f>-L184*(DATI!$C$8/2-(J184*F184))-K184*(DATI!$C$13/2)+M184*(DATI!$C$13/2)</f>
        <v>220093187.8037017</v>
      </c>
      <c r="P184" s="176">
        <f>-N184/(DATI!$C$6*DATI!$C$13*DATI!$I$11*DATI!$I$16)</f>
        <v>0.34469746955455816</v>
      </c>
      <c r="Q184" s="176">
        <f>O184/(DATI!$C$6*DATI!$C$13^2*DATI!$I$11)</f>
        <v>0.26344036406969179</v>
      </c>
      <c r="R184" s="177">
        <f t="shared" si="11"/>
        <v>-328.18457233269982</v>
      </c>
      <c r="S184" s="173" t="str">
        <f>IF(R184&gt;=0, IF(R184&lt;=DATI!$C$8/6, "SI", "NO"),IF(R184&gt; -DATI!$C$8/6, "SI", "NO"))</f>
        <v>NO</v>
      </c>
      <c r="T184" s="174">
        <f t="shared" si="12"/>
        <v>0</v>
      </c>
      <c r="U184" s="173" t="str">
        <f t="shared" si="13"/>
        <v>ROTTURA BILANCIATA</v>
      </c>
    </row>
    <row r="185" spans="1:21" ht="18.75" x14ac:dyDescent="0.25">
      <c r="A185" s="122"/>
      <c r="B185" s="172">
        <f>DATI!$I$13*10^-3</f>
        <v>-4.0000000000000001E-3</v>
      </c>
      <c r="C185" s="172">
        <f>C184-(DATI!$D$24*10^-3/100)</f>
        <v>5.9000000000000077E-3</v>
      </c>
      <c r="D185" s="172">
        <f>(DATI!$I$13*(F185-DATI!$C$10))/(F185*1000)</f>
        <v>-3.0506849315068488E-3</v>
      </c>
      <c r="E185" s="173" t="s">
        <v>37</v>
      </c>
      <c r="F185" s="174">
        <f>(-DATI!$I$13*10^-3/(-DATI!$I$13*10^-3+C185))*DATI!$C$13</f>
        <v>147.47474747474737</v>
      </c>
      <c r="G185" s="175">
        <f t="shared" si="18"/>
        <v>46.169941388342075</v>
      </c>
      <c r="H185" s="175">
        <f t="shared" si="19"/>
        <v>104.21206925040394</v>
      </c>
      <c r="I185" s="175">
        <f>G185/(Foglio1!$P$3*(-DATI!$I$13))</f>
        <v>0.86174367388639628</v>
      </c>
      <c r="J185" s="175">
        <f t="shared" si="17"/>
        <v>0.43571474147074873</v>
      </c>
      <c r="K185" s="174">
        <f>IF(D185&gt;=(DATI!$D$26*10^-3),DATI!$D$30*DATI!$I$29,IF(D185&gt;=(-DATI!$D$26*10^-3),DATI!$D$32*D185*DATI!$I$29,-DATI!$D$30*DATI!$I$29))</f>
        <v>-352404.7411418116</v>
      </c>
      <c r="L185" s="174">
        <f>-DATI!$I$16*DATI!$C$6*I185*DATI!$I$11*F185</f>
        <v>-677412.56006237678</v>
      </c>
      <c r="M185" s="174">
        <f>IF(C185&gt;=(DATI!$D$26*10^-3),DATI!$D$30*DATI!$I$28,IF(C185&gt;=(-DATI!$D$26*10^-3),DATI!$I$28*DATI!$D$32*C185,-DATI!$D$30*DATI!$I$28))</f>
        <v>352404.7411418116</v>
      </c>
      <c r="N185" s="174">
        <f t="shared" si="10"/>
        <v>-677412.56006237678</v>
      </c>
      <c r="O185" s="174">
        <f>-L185*(DATI!$C$8/2-(J185*F185))-K185*(DATI!$C$13/2)+M185*(DATI!$C$13/2)</f>
        <v>220581796.8549073</v>
      </c>
      <c r="P185" s="176">
        <f>-N185/(DATI!$C$6*DATI!$C$13*DATI!$I$11*DATI!$I$16)</f>
        <v>0.34817926217632145</v>
      </c>
      <c r="Q185" s="176">
        <f>O185/(DATI!$C$6*DATI!$C$13^2*DATI!$I$11)</f>
        <v>0.26402520428043086</v>
      </c>
      <c r="R185" s="177">
        <f t="shared" si="11"/>
        <v>-325.62401387213123</v>
      </c>
      <c r="S185" s="173" t="str">
        <f>IF(R185&gt;=0, IF(R185&lt;=DATI!$C$8/6, "SI", "NO"),IF(R185&gt; -DATI!$C$8/6, "SI", "NO"))</f>
        <v>NO</v>
      </c>
      <c r="T185" s="174">
        <f t="shared" si="12"/>
        <v>0</v>
      </c>
      <c r="U185" s="173" t="str">
        <f t="shared" si="13"/>
        <v>ROTTURA BILANCIATA</v>
      </c>
    </row>
    <row r="186" spans="1:21" ht="18.75" x14ac:dyDescent="0.25">
      <c r="A186" s="122"/>
      <c r="B186" s="172">
        <f>DATI!$I$13*10^-3</f>
        <v>-4.0000000000000001E-3</v>
      </c>
      <c r="C186" s="172">
        <f>C185-(DATI!$D$24*10^-3/100)</f>
        <v>5.8000000000000074E-3</v>
      </c>
      <c r="D186" s="172">
        <f>(DATI!$I$13*(F186-DATI!$C$10))/(F186*1000)</f>
        <v>-3.0602739726027389E-3</v>
      </c>
      <c r="E186" s="173" t="s">
        <v>37</v>
      </c>
      <c r="F186" s="174">
        <f>(-DATI!$I$13*10^-3/(-DATI!$I$13*10^-3+C186))*DATI!$C$13</f>
        <v>148.97959183673458</v>
      </c>
      <c r="G186" s="175">
        <f t="shared" si="18"/>
        <v>46.169941388342075</v>
      </c>
      <c r="H186" s="175">
        <f t="shared" si="19"/>
        <v>104.21206925040394</v>
      </c>
      <c r="I186" s="175">
        <f>G186/(Foglio1!$P$3*(-DATI!$I$13))</f>
        <v>0.86174367388639628</v>
      </c>
      <c r="J186" s="175">
        <f t="shared" si="17"/>
        <v>0.43571474147074873</v>
      </c>
      <c r="K186" s="174">
        <f>IF(D186&gt;=(DATI!$D$26*10^-3),DATI!$D$30*DATI!$I$29,IF(D186&gt;=(-DATI!$D$26*10^-3),DATI!$D$32*D186*DATI!$I$29,-DATI!$D$30*DATI!$I$29))</f>
        <v>-352404.7411418116</v>
      </c>
      <c r="L186" s="174">
        <f>-DATI!$I$16*DATI!$C$6*I186*DATI!$I$11*F186</f>
        <v>-684324.93312423781</v>
      </c>
      <c r="M186" s="174">
        <f>IF(C186&gt;=(DATI!$D$26*10^-3),DATI!$D$30*DATI!$I$28,IF(C186&gt;=(-DATI!$D$26*10^-3),DATI!$I$28*DATI!$D$32*C186,-DATI!$D$30*DATI!$I$28))</f>
        <v>352404.7411418116</v>
      </c>
      <c r="N186" s="174">
        <f t="shared" si="10"/>
        <v>-684324.93312423781</v>
      </c>
      <c r="O186" s="174">
        <f>-L186*(DATI!$C$8/2-(J186*F186))-K186*(DATI!$C$13/2)+M186*(DATI!$C$13/2)</f>
        <v>221071403.51665029</v>
      </c>
      <c r="P186" s="176">
        <f>-N186/(DATI!$C$6*DATI!$C$13*DATI!$I$11*DATI!$I$16)</f>
        <v>0.35173211179036556</v>
      </c>
      <c r="Q186" s="176">
        <f>O186/(DATI!$C$6*DATI!$C$13^2*DATI!$I$11)</f>
        <v>0.26461123858030006</v>
      </c>
      <c r="R186" s="177">
        <f t="shared" si="11"/>
        <v>-323.05034175411993</v>
      </c>
      <c r="S186" s="173" t="str">
        <f>IF(R186&gt;=0, IF(R186&lt;=DATI!$C$8/6, "SI", "NO"),IF(R186&gt; -DATI!$C$8/6, "SI", "NO"))</f>
        <v>NO</v>
      </c>
      <c r="T186" s="174">
        <f t="shared" si="12"/>
        <v>0</v>
      </c>
      <c r="U186" s="173" t="str">
        <f t="shared" si="13"/>
        <v>ROTTURA BILANCIATA</v>
      </c>
    </row>
    <row r="187" spans="1:21" ht="18.75" x14ac:dyDescent="0.25">
      <c r="A187" s="122"/>
      <c r="B187" s="172">
        <f>DATI!$I$13*10^-3</f>
        <v>-4.0000000000000001E-3</v>
      </c>
      <c r="C187" s="172">
        <f>C186-(DATI!$D$24*10^-3/100)</f>
        <v>5.7000000000000071E-3</v>
      </c>
      <c r="D187" s="172">
        <f>(DATI!$I$13*(F187-DATI!$C$10))/(F187*1000)</f>
        <v>-3.0698630136986294E-3</v>
      </c>
      <c r="E187" s="173" t="s">
        <v>37</v>
      </c>
      <c r="F187" s="174">
        <f>(-DATI!$I$13*10^-3/(-DATI!$I$13*10^-3+C187))*DATI!$C$13</f>
        <v>150.51546391752566</v>
      </c>
      <c r="G187" s="175">
        <f t="shared" si="18"/>
        <v>46.169941388342075</v>
      </c>
      <c r="H187" s="175">
        <f t="shared" si="19"/>
        <v>104.21206925040394</v>
      </c>
      <c r="I187" s="175">
        <f>G187/(Foglio1!$P$3*(-DATI!$I$13))</f>
        <v>0.86174367388639628</v>
      </c>
      <c r="J187" s="175">
        <f t="shared" si="17"/>
        <v>0.43571474147074873</v>
      </c>
      <c r="K187" s="174">
        <f>IF(D187&gt;=(DATI!$D$26*10^-3),DATI!$D$30*DATI!$I$29,IF(D187&gt;=(-DATI!$D$26*10^-3),DATI!$D$32*D187*DATI!$I$29,-DATI!$D$30*DATI!$I$29))</f>
        <v>-352404.7411418116</v>
      </c>
      <c r="L187" s="174">
        <f>-DATI!$I$16*DATI!$C$6*I187*DATI!$I$11*F187</f>
        <v>-691379.82934201346</v>
      </c>
      <c r="M187" s="174">
        <f>IF(C187&gt;=(DATI!$D$26*10^-3),DATI!$D$30*DATI!$I$28,IF(C187&gt;=(-DATI!$D$26*10^-3),DATI!$I$28*DATI!$D$32*C187,-DATI!$D$30*DATI!$I$28))</f>
        <v>352404.7411418116</v>
      </c>
      <c r="N187" s="174">
        <f t="shared" si="10"/>
        <v>-691379.82934201346</v>
      </c>
      <c r="O187" s="174">
        <f>-L187*(DATI!$C$8/2-(J187*F187))-K187*(DATI!$C$13/2)+M187*(DATI!$C$13/2)</f>
        <v>221561758.23508406</v>
      </c>
      <c r="P187" s="176">
        <f>-N187/(DATI!$C$6*DATI!$C$13*DATI!$I$11*DATI!$I$16)</f>
        <v>0.35535821603562706</v>
      </c>
      <c r="Q187" s="176">
        <f>O187/(DATI!$C$6*DATI!$C$13^2*DATI!$I$11)</f>
        <v>0.26519816826602344</v>
      </c>
      <c r="R187" s="177">
        <f t="shared" si="11"/>
        <v>-320.46315040163159</v>
      </c>
      <c r="S187" s="173" t="str">
        <f>IF(R187&gt;=0, IF(R187&lt;=DATI!$C$8/6, "SI", "NO"),IF(R187&gt; -DATI!$C$8/6, "SI", "NO"))</f>
        <v>NO</v>
      </c>
      <c r="T187" s="174">
        <f t="shared" si="12"/>
        <v>0</v>
      </c>
      <c r="U187" s="173" t="str">
        <f t="shared" si="13"/>
        <v>ROTTURA BILANCIATA</v>
      </c>
    </row>
    <row r="188" spans="1:21" ht="18.75" x14ac:dyDescent="0.25">
      <c r="A188" s="122"/>
      <c r="B188" s="172">
        <f>DATI!$I$13*10^-3</f>
        <v>-4.0000000000000001E-3</v>
      </c>
      <c r="C188" s="172">
        <f>C187-(DATI!$D$24*10^-3/100)</f>
        <v>5.6000000000000069E-3</v>
      </c>
      <c r="D188" s="172">
        <f>(DATI!$I$13*(F188-DATI!$C$10))/(F188*1000)</f>
        <v>-3.0794520547945199E-3</v>
      </c>
      <c r="E188" s="173" t="s">
        <v>37</v>
      </c>
      <c r="F188" s="174">
        <f>(-DATI!$I$13*10^-3/(-DATI!$I$13*10^-3+C188))*DATI!$C$13</f>
        <v>152.08333333333323</v>
      </c>
      <c r="G188" s="175">
        <f t="shared" si="18"/>
        <v>46.169941388342075</v>
      </c>
      <c r="H188" s="175">
        <f t="shared" si="19"/>
        <v>104.21206925040394</v>
      </c>
      <c r="I188" s="175">
        <f>G188/(Foglio1!$P$3*(-DATI!$I$13))</f>
        <v>0.86174367388639628</v>
      </c>
      <c r="J188" s="175">
        <f t="shared" si="17"/>
        <v>0.43571474147074873</v>
      </c>
      <c r="K188" s="174">
        <f>IF(D188&gt;=(DATI!$D$26*10^-3),DATI!$D$30*DATI!$I$29,IF(D188&gt;=(-DATI!$D$26*10^-3),DATI!$D$32*D188*DATI!$I$29,-DATI!$D$30*DATI!$I$29))</f>
        <v>-352404.7411418116</v>
      </c>
      <c r="L188" s="174">
        <f>-DATI!$I$16*DATI!$C$6*I188*DATI!$I$11*F188</f>
        <v>-698581.70256432611</v>
      </c>
      <c r="M188" s="174">
        <f>IF(C188&gt;=(DATI!$D$26*10^-3),DATI!$D$30*DATI!$I$28,IF(C188&gt;=(-DATI!$D$26*10^-3),DATI!$I$28*DATI!$D$32*C188,-DATI!$D$30*DATI!$I$28))</f>
        <v>352404.7411418116</v>
      </c>
      <c r="N188" s="174">
        <f t="shared" si="10"/>
        <v>-698581.702564326</v>
      </c>
      <c r="O188" s="174">
        <f>-L188*(DATI!$C$8/2-(J188*F188))-K188*(DATI!$C$13/2)+M188*(DATI!$C$13/2)</f>
        <v>222052589.25292277</v>
      </c>
      <c r="P188" s="176">
        <f>-N188/(DATI!$C$6*DATI!$C$13*DATI!$I$11*DATI!$I$16)</f>
        <v>0.35905986411933144</v>
      </c>
      <c r="Q188" s="176">
        <f>O188/(DATI!$C$6*DATI!$C$13^2*DATI!$I$11)</f>
        <v>0.26578566805793635</v>
      </c>
      <c r="R188" s="177">
        <f t="shared" si="11"/>
        <v>-317.86201733858894</v>
      </c>
      <c r="S188" s="173" t="str">
        <f>IF(R188&gt;=0, IF(R188&lt;=DATI!$C$8/6, "SI", "NO"),IF(R188&gt; -DATI!$C$8/6, "SI", "NO"))</f>
        <v>NO</v>
      </c>
      <c r="T188" s="174">
        <f t="shared" si="12"/>
        <v>0</v>
      </c>
      <c r="U188" s="173" t="str">
        <f t="shared" si="13"/>
        <v>ROTTURA BILANCIATA</v>
      </c>
    </row>
    <row r="189" spans="1:21" ht="18.75" x14ac:dyDescent="0.25">
      <c r="A189" s="122"/>
      <c r="B189" s="172">
        <f>DATI!$I$13*10^-3</f>
        <v>-4.0000000000000001E-3</v>
      </c>
      <c r="C189" s="172">
        <f>C188-(DATI!$D$24*10^-3/100)</f>
        <v>5.5000000000000066E-3</v>
      </c>
      <c r="D189" s="172">
        <f>(DATI!$I$13*(F189-DATI!$C$10))/(F189*1000)</f>
        <v>-3.08904109589041E-3</v>
      </c>
      <c r="E189" s="173" t="s">
        <v>37</v>
      </c>
      <c r="F189" s="174">
        <f>(-DATI!$I$13*10^-3/(-DATI!$I$13*10^-3+C189))*DATI!$C$13</f>
        <v>153.68421052631567</v>
      </c>
      <c r="G189" s="175">
        <f t="shared" si="18"/>
        <v>46.169941388342075</v>
      </c>
      <c r="H189" s="175">
        <f t="shared" si="19"/>
        <v>104.21206925040394</v>
      </c>
      <c r="I189" s="175">
        <f>G189/(Foglio1!$P$3*(-DATI!$I$13))</f>
        <v>0.86174367388639628</v>
      </c>
      <c r="J189" s="175">
        <f t="shared" si="17"/>
        <v>0.43571474147074873</v>
      </c>
      <c r="K189" s="174">
        <f>IF(D189&gt;=(DATI!$D$26*10^-3),DATI!$D$30*DATI!$I$29,IF(D189&gt;=(-DATI!$D$26*10^-3),DATI!$D$32*D189*DATI!$I$29,-DATI!$D$30*DATI!$I$29))</f>
        <v>-352404.7411418116</v>
      </c>
      <c r="L189" s="174">
        <f>-DATI!$I$16*DATI!$C$6*I189*DATI!$I$11*F189</f>
        <v>-705935.19417026627</v>
      </c>
      <c r="M189" s="174">
        <f>IF(C189&gt;=(DATI!$D$26*10^-3),DATI!$D$30*DATI!$I$28,IF(C189&gt;=(-DATI!$D$26*10^-3),DATI!$I$28*DATI!$D$32*C189,-DATI!$D$30*DATI!$I$28))</f>
        <v>352404.7411418116</v>
      </c>
      <c r="N189" s="174">
        <f t="shared" si="10"/>
        <v>-705935.19417026627</v>
      </c>
      <c r="O189" s="174">
        <f>-L189*(DATI!$C$8/2-(J189*F189))-K189*(DATI!$C$13/2)+M189*(DATI!$C$13/2)</f>
        <v>222543600.81296393</v>
      </c>
      <c r="P189" s="176">
        <f>-N189/(DATI!$C$6*DATI!$C$13*DATI!$I$11*DATI!$I$16)</f>
        <v>0.36283944163637705</v>
      </c>
      <c r="Q189" s="176">
        <f>O189/(DATI!$C$6*DATI!$C$13^2*DATI!$I$11)</f>
        <v>0.26637338394969323</v>
      </c>
      <c r="R189" s="177">
        <f t="shared" si="11"/>
        <v>-315.24650230044784</v>
      </c>
      <c r="S189" s="173" t="str">
        <f>IF(R189&gt;=0, IF(R189&lt;=DATI!$C$8/6, "SI", "NO"),IF(R189&gt; -DATI!$C$8/6, "SI", "NO"))</f>
        <v>NO</v>
      </c>
      <c r="T189" s="174">
        <f t="shared" si="12"/>
        <v>0</v>
      </c>
      <c r="U189" s="173" t="str">
        <f t="shared" si="13"/>
        <v>ROTTURA BILANCIATA</v>
      </c>
    </row>
    <row r="190" spans="1:21" ht="18.75" x14ac:dyDescent="0.25">
      <c r="A190" s="122"/>
      <c r="B190" s="172">
        <f>DATI!$I$13*10^-3</f>
        <v>-4.0000000000000001E-3</v>
      </c>
      <c r="C190" s="172">
        <f>C189-(DATI!$D$24*10^-3/100)</f>
        <v>5.4000000000000064E-3</v>
      </c>
      <c r="D190" s="172">
        <f>(DATI!$I$13*(F190-DATI!$C$10))/(F190*1000)</f>
        <v>-3.098630136986301E-3</v>
      </c>
      <c r="E190" s="173" t="s">
        <v>37</v>
      </c>
      <c r="F190" s="174">
        <f>(-DATI!$I$13*10^-3/(-DATI!$I$13*10^-3+C190))*DATI!$C$13</f>
        <v>155.31914893617014</v>
      </c>
      <c r="G190" s="175">
        <f t="shared" si="18"/>
        <v>46.169941388342075</v>
      </c>
      <c r="H190" s="175">
        <f t="shared" si="19"/>
        <v>104.21206925040394</v>
      </c>
      <c r="I190" s="175">
        <f>G190/(Foglio1!$P$3*(-DATI!$I$13))</f>
        <v>0.86174367388639628</v>
      </c>
      <c r="J190" s="175">
        <f t="shared" si="17"/>
        <v>0.43571474147074873</v>
      </c>
      <c r="K190" s="174">
        <f>IF(D190&gt;=(DATI!$D$26*10^-3),DATI!$D$30*DATI!$I$29,IF(D190&gt;=(-DATI!$D$26*10^-3),DATI!$D$32*D190*DATI!$I$29,-DATI!$D$30*DATI!$I$29))</f>
        <v>-352404.7411418116</v>
      </c>
      <c r="L190" s="174">
        <f>-DATI!$I$16*DATI!$C$6*I190*DATI!$I$11*F190</f>
        <v>-713445.14304441831</v>
      </c>
      <c r="M190" s="174">
        <f>IF(C190&gt;=(DATI!$D$26*10^-3),DATI!$D$30*DATI!$I$28,IF(C190&gt;=(-DATI!$D$26*10^-3),DATI!$I$28*DATI!$D$32*C190,-DATI!$D$30*DATI!$I$28))</f>
        <v>352404.7411418116</v>
      </c>
      <c r="N190" s="174">
        <f t="shared" si="10"/>
        <v>-713445.14304441831</v>
      </c>
      <c r="O190" s="174">
        <f>-L190*(DATI!$C$8/2-(J190*F190))-K190*(DATI!$C$13/2)+M190*(DATI!$C$13/2)</f>
        <v>223034471.20643923</v>
      </c>
      <c r="P190" s="176">
        <f>-N190/(DATI!$C$6*DATI!$C$13*DATI!$I$11*DATI!$I$16)</f>
        <v>0.36669943569633862</v>
      </c>
      <c r="Q190" s="176">
        <f>O190/(DATI!$C$6*DATI!$C$13^2*DATI!$I$11)</f>
        <v>0.26696093087224271</v>
      </c>
      <c r="R190" s="177">
        <f t="shared" si="11"/>
        <v>-312.61614628800316</v>
      </c>
      <c r="S190" s="173" t="str">
        <f>IF(R190&gt;=0, IF(R190&lt;=DATI!$C$8/6, "SI", "NO"),IF(R190&gt; -DATI!$C$8/6, "SI", "NO"))</f>
        <v>NO</v>
      </c>
      <c r="T190" s="174">
        <f t="shared" si="12"/>
        <v>0</v>
      </c>
      <c r="U190" s="173" t="str">
        <f t="shared" si="13"/>
        <v>ROTTURA BILANCIATA</v>
      </c>
    </row>
    <row r="191" spans="1:21" ht="18.75" x14ac:dyDescent="0.25">
      <c r="A191" s="122"/>
      <c r="B191" s="172">
        <f>DATI!$I$13*10^-3</f>
        <v>-4.0000000000000001E-3</v>
      </c>
      <c r="C191" s="172">
        <f>C190-(DATI!$D$24*10^-3/100)</f>
        <v>5.3000000000000061E-3</v>
      </c>
      <c r="D191" s="172">
        <f>(DATI!$I$13*(F191-DATI!$C$10))/(F191*1000)</f>
        <v>-3.1082191780821915E-3</v>
      </c>
      <c r="E191" s="173" t="s">
        <v>37</v>
      </c>
      <c r="F191" s="174">
        <f>(-DATI!$I$13*10^-3/(-DATI!$I$13*10^-3+C191))*DATI!$C$13</f>
        <v>156.98924731182785</v>
      </c>
      <c r="G191" s="175">
        <f t="shared" si="18"/>
        <v>46.169941388342075</v>
      </c>
      <c r="H191" s="175">
        <f t="shared" si="19"/>
        <v>104.21206925040394</v>
      </c>
      <c r="I191" s="175">
        <f>G191/(Foglio1!$P$3*(-DATI!$I$13))</f>
        <v>0.86174367388639628</v>
      </c>
      <c r="J191" s="175">
        <f t="shared" si="17"/>
        <v>0.43571474147074873</v>
      </c>
      <c r="K191" s="174">
        <f>IF(D191&gt;=(DATI!$D$26*10^-3),DATI!$D$30*DATI!$I$29,IF(D191&gt;=(-DATI!$D$26*10^-3),DATI!$D$32*D191*DATI!$I$29,-DATI!$D$30*DATI!$I$29))</f>
        <v>-352404.7411418116</v>
      </c>
      <c r="L191" s="174">
        <f>-DATI!$I$16*DATI!$C$6*I191*DATI!$I$11*F191</f>
        <v>-721116.59619543341</v>
      </c>
      <c r="M191" s="174">
        <f>IF(C191&gt;=(DATI!$D$26*10^-3),DATI!$D$30*DATI!$I$28,IF(C191&gt;=(-DATI!$D$26*10^-3),DATI!$I$28*DATI!$D$32*C191,-DATI!$D$30*DATI!$I$28))</f>
        <v>352404.7411418116</v>
      </c>
      <c r="N191" s="174">
        <f t="shared" si="10"/>
        <v>-721116.59619543341</v>
      </c>
      <c r="O191" s="174">
        <f>-L191*(DATI!$C$8/2-(J191*F191))-K191*(DATI!$C$13/2)+M191*(DATI!$C$13/2)</f>
        <v>223524850.65143108</v>
      </c>
      <c r="P191" s="176">
        <f>-N191/(DATI!$C$6*DATI!$C$13*DATI!$I$11*DATI!$I$16)</f>
        <v>0.37064244038124539</v>
      </c>
      <c r="Q191" s="176">
        <f>O191/(DATI!$C$6*DATI!$C$13^2*DATI!$I$11)</f>
        <v>0.26754789015439989</v>
      </c>
      <c r="R191" s="177">
        <f t="shared" si="11"/>
        <v>-309.9704705601485</v>
      </c>
      <c r="S191" s="173" t="str">
        <f>IF(R191&gt;=0, IF(R191&lt;=DATI!$C$8/6, "SI", "NO"),IF(R191&gt; -DATI!$C$8/6, "SI", "NO"))</f>
        <v>NO</v>
      </c>
      <c r="T191" s="174">
        <f t="shared" si="12"/>
        <v>0</v>
      </c>
      <c r="U191" s="173" t="str">
        <f t="shared" si="13"/>
        <v>ROTTURA BILANCIATA</v>
      </c>
    </row>
    <row r="192" spans="1:21" ht="18.75" x14ac:dyDescent="0.25">
      <c r="A192" s="122"/>
      <c r="B192" s="172">
        <f>DATI!$I$13*10^-3</f>
        <v>-4.0000000000000001E-3</v>
      </c>
      <c r="C192" s="172">
        <f>C191-(DATI!$D$24*10^-3/100)</f>
        <v>5.2000000000000058E-3</v>
      </c>
      <c r="D192" s="172">
        <f>(DATI!$I$13*(F192-DATI!$C$10))/(F192*1000)</f>
        <v>-3.1178082191780816E-3</v>
      </c>
      <c r="E192" s="173" t="s">
        <v>37</v>
      </c>
      <c r="F192" s="174">
        <f>(-DATI!$I$13*10^-3/(-DATI!$I$13*10^-3+C192))*DATI!$C$13</f>
        <v>158.69565217391295</v>
      </c>
      <c r="G192" s="175">
        <f t="shared" si="18"/>
        <v>46.169941388342075</v>
      </c>
      <c r="H192" s="175">
        <f t="shared" si="19"/>
        <v>104.21206925040394</v>
      </c>
      <c r="I192" s="175">
        <f>G192/(Foglio1!$P$3*(-DATI!$I$13))</f>
        <v>0.86174367388639628</v>
      </c>
      <c r="J192" s="175">
        <f t="shared" si="17"/>
        <v>0.43571474147074873</v>
      </c>
      <c r="K192" s="174">
        <f>IF(D192&gt;=(DATI!$D$26*10^-3),DATI!$D$30*DATI!$I$29,IF(D192&gt;=(-DATI!$D$26*10^-3),DATI!$D$32*D192*DATI!$I$29,-DATI!$D$30*DATI!$I$29))</f>
        <v>-352404.7411418116</v>
      </c>
      <c r="L192" s="174">
        <f>-DATI!$I$16*DATI!$C$6*I192*DATI!$I$11*F192</f>
        <v>-728954.82006712293</v>
      </c>
      <c r="M192" s="174">
        <f>IF(C192&gt;=(DATI!$D$26*10^-3),DATI!$D$30*DATI!$I$28,IF(C192&gt;=(-DATI!$D$26*10^-3),DATI!$I$28*DATI!$D$32*C192,-DATI!$D$30*DATI!$I$28))</f>
        <v>352404.7411418116</v>
      </c>
      <c r="N192" s="174">
        <f t="shared" si="10"/>
        <v>-728954.82006712293</v>
      </c>
      <c r="O192" s="174">
        <f>-L192*(DATI!$C$8/2-(J192*F192))-K192*(DATI!$C$13/2)+M192*(DATI!$C$13/2)</f>
        <v>224014358.98504153</v>
      </c>
      <c r="P192" s="176">
        <f>-N192/(DATI!$C$6*DATI!$C$13*DATI!$I$11*DATI!$I$16)</f>
        <v>0.37467116255930244</v>
      </c>
      <c r="Q192" s="176">
        <f>O192/(DATI!$C$6*DATI!$C$13^2*DATI!$I$11)</f>
        <v>0.26813380676048992</v>
      </c>
      <c r="R192" s="177">
        <f t="shared" si="11"/>
        <v>-307.30897556094635</v>
      </c>
      <c r="S192" s="173" t="str">
        <f>IF(R192&gt;=0, IF(R192&lt;=DATI!$C$8/6, "SI", "NO"),IF(R192&gt; -DATI!$C$8/6, "SI", "NO"))</f>
        <v>NO</v>
      </c>
      <c r="T192" s="174">
        <f t="shared" si="12"/>
        <v>0</v>
      </c>
      <c r="U192" s="173" t="str">
        <f t="shared" si="13"/>
        <v>ROTTURA BILANCIATA</v>
      </c>
    </row>
    <row r="193" spans="1:21" ht="18.75" x14ac:dyDescent="0.25">
      <c r="A193" s="122"/>
      <c r="B193" s="172">
        <f>DATI!$I$13*10^-3</f>
        <v>-4.0000000000000001E-3</v>
      </c>
      <c r="C193" s="172">
        <f>C192-(DATI!$D$24*10^-3/100)</f>
        <v>5.1000000000000056E-3</v>
      </c>
      <c r="D193" s="172">
        <f>(DATI!$I$13*(F193-DATI!$C$10))/(F193*1000)</f>
        <v>-3.1273972602739717E-3</v>
      </c>
      <c r="E193" s="173" t="s">
        <v>37</v>
      </c>
      <c r="F193" s="174">
        <f>(-DATI!$I$13*10^-3/(-DATI!$I$13*10^-3+C193))*DATI!$C$13</f>
        <v>160.43956043956032</v>
      </c>
      <c r="G193" s="175">
        <f t="shared" si="18"/>
        <v>46.169941388342075</v>
      </c>
      <c r="H193" s="175">
        <f t="shared" si="19"/>
        <v>104.21206925040394</v>
      </c>
      <c r="I193" s="175">
        <f>G193/(Foglio1!$P$3*(-DATI!$I$13))</f>
        <v>0.86174367388639628</v>
      </c>
      <c r="J193" s="175">
        <f t="shared" si="17"/>
        <v>0.43571474147074873</v>
      </c>
      <c r="K193" s="174">
        <f>IF(D193&gt;=(DATI!$D$26*10^-3),DATI!$D$30*DATI!$I$29,IF(D193&gt;=(-DATI!$D$26*10^-3),DATI!$D$32*D193*DATI!$I$29,-DATI!$D$30*DATI!$I$29))</f>
        <v>-352404.7411418116</v>
      </c>
      <c r="L193" s="174">
        <f>-DATI!$I$16*DATI!$C$6*I193*DATI!$I$11*F193</f>
        <v>-736965.31259533297</v>
      </c>
      <c r="M193" s="174">
        <f>IF(C193&gt;=(DATI!$D$26*10^-3),DATI!$D$30*DATI!$I$28,IF(C193&gt;=(-DATI!$D$26*10^-3),DATI!$I$28*DATI!$D$32*C193,-DATI!$D$30*DATI!$I$28))</f>
        <v>352404.7411418116</v>
      </c>
      <c r="N193" s="174">
        <f t="shared" si="10"/>
        <v>-736965.31259533286</v>
      </c>
      <c r="O193" s="174">
        <f>-L193*(DATI!$C$8/2-(J193*F193))-K193*(DATI!$C$13/2)+M193*(DATI!$C$13/2)</f>
        <v>224502583.15126058</v>
      </c>
      <c r="P193" s="176">
        <f>-N193/(DATI!$C$6*DATI!$C$13*DATI!$I$11*DATI!$I$16)</f>
        <v>0.37878842808193203</v>
      </c>
      <c r="Q193" s="176">
        <f>O193/(DATI!$C$6*DATI!$C$13^2*DATI!$I$11)</f>
        <v>0.26871818628345401</v>
      </c>
      <c r="R193" s="177">
        <f t="shared" si="11"/>
        <v>-304.63113977595685</v>
      </c>
      <c r="S193" s="173" t="str">
        <f>IF(R193&gt;=0, IF(R193&lt;=DATI!$C$8/6, "SI", "NO"),IF(R193&gt; -DATI!$C$8/6, "SI", "NO"))</f>
        <v>NO</v>
      </c>
      <c r="T193" s="174">
        <f t="shared" si="12"/>
        <v>0</v>
      </c>
      <c r="U193" s="173" t="str">
        <f t="shared" si="13"/>
        <v>ROTTURA BILANCIATA</v>
      </c>
    </row>
    <row r="194" spans="1:21" ht="18.75" x14ac:dyDescent="0.25">
      <c r="A194" s="122"/>
      <c r="B194" s="172">
        <f>DATI!$I$13*10^-3</f>
        <v>-4.0000000000000001E-3</v>
      </c>
      <c r="C194" s="172">
        <f>C193-(DATI!$D$24*10^-3/100)</f>
        <v>5.0000000000000053E-3</v>
      </c>
      <c r="D194" s="172">
        <f>(DATI!$I$13*(F194-DATI!$C$10))/(F194*1000)</f>
        <v>-3.1369863013698627E-3</v>
      </c>
      <c r="E194" s="173" t="s">
        <v>37</v>
      </c>
      <c r="F194" s="174">
        <f>(-DATI!$I$13*10^-3/(-DATI!$I$13*10^-3+C194))*DATI!$C$13</f>
        <v>162.22222222222214</v>
      </c>
      <c r="G194" s="175">
        <f t="shared" si="18"/>
        <v>46.169941388342075</v>
      </c>
      <c r="H194" s="175">
        <f t="shared" si="19"/>
        <v>104.21206925040394</v>
      </c>
      <c r="I194" s="175">
        <f>G194/(Foglio1!$P$3*(-DATI!$I$13))</f>
        <v>0.86174367388639628</v>
      </c>
      <c r="J194" s="175">
        <f t="shared" si="17"/>
        <v>0.43571474147074873</v>
      </c>
      <c r="K194" s="174">
        <f>IF(D194&gt;=(DATI!$D$26*10^-3),DATI!$D$30*DATI!$I$29,IF(D194&gt;=(-DATI!$D$26*10^-3),DATI!$D$32*D194*DATI!$I$29,-DATI!$D$30*DATI!$I$29))</f>
        <v>-352404.7411418116</v>
      </c>
      <c r="L194" s="174">
        <f>-DATI!$I$16*DATI!$C$6*I194*DATI!$I$11*F194</f>
        <v>-745153.81606861472</v>
      </c>
      <c r="M194" s="174">
        <f>IF(C194&gt;=(DATI!$D$26*10^-3),DATI!$D$30*DATI!$I$28,IF(C194&gt;=(-DATI!$D$26*10^-3),DATI!$I$28*DATI!$D$32*C194,-DATI!$D$30*DATI!$I$28))</f>
        <v>352404.7411418116</v>
      </c>
      <c r="N194" s="174">
        <f t="shared" ref="N194:N257" si="20">K194+L194+M194</f>
        <v>-745153.81606861472</v>
      </c>
      <c r="O194" s="174">
        <f>-L194*(DATI!$C$8/2-(J194*F194))-K194*(DATI!$C$13/2)+M194*(DATI!$C$13/2)</f>
        <v>224989074.46454573</v>
      </c>
      <c r="P194" s="176">
        <f>-N194/(DATI!$C$6*DATI!$C$13*DATI!$I$11*DATI!$I$16)</f>
        <v>0.38299718839395369</v>
      </c>
      <c r="Q194" s="176">
        <f>O194/(DATI!$C$6*DATI!$C$13^2*DATI!$I$11)</f>
        <v>0.26930049166949299</v>
      </c>
      <c r="R194" s="177">
        <f t="shared" ref="R194:R257" si="21">O194/N194</f>
        <v>-301.93641851232019</v>
      </c>
      <c r="S194" s="173" t="str">
        <f>IF(R194&gt;=0, IF(R194&lt;=DATI!$C$8/6, "SI", "NO"),IF(R194&gt; -DATI!$C$8/6, "SI", "NO"))</f>
        <v>NO</v>
      </c>
      <c r="T194" s="174">
        <f t="shared" ref="T194:T257" si="22">(K194+M194)/10^3</f>
        <v>0</v>
      </c>
      <c r="U194" s="173" t="str">
        <f t="shared" ref="U194:U257" si="23">IF(T194&lt;1,IF(T194&gt;-1,"ROTTURA BILANCIATA",""),"")</f>
        <v>ROTTURA BILANCIATA</v>
      </c>
    </row>
    <row r="195" spans="1:21" ht="18.75" x14ac:dyDescent="0.25">
      <c r="A195" s="122"/>
      <c r="B195" s="172">
        <f>DATI!$I$13*10^-3</f>
        <v>-4.0000000000000001E-3</v>
      </c>
      <c r="C195" s="172">
        <f>C194-(DATI!$D$24*10^-3/100)</f>
        <v>4.900000000000005E-3</v>
      </c>
      <c r="D195" s="172">
        <f>(DATI!$I$13*(F195-DATI!$C$10))/(F195*1000)</f>
        <v>-3.1465753424657528E-3</v>
      </c>
      <c r="E195" s="173" t="s">
        <v>37</v>
      </c>
      <c r="F195" s="174">
        <f>(-DATI!$I$13*10^-3/(-DATI!$I$13*10^-3+C195))*DATI!$C$13</f>
        <v>164.04494382022463</v>
      </c>
      <c r="G195" s="175">
        <f t="shared" si="18"/>
        <v>46.169941388342075</v>
      </c>
      <c r="H195" s="175">
        <f t="shared" si="19"/>
        <v>104.21206925040394</v>
      </c>
      <c r="I195" s="175">
        <f>G195/(Foglio1!$P$3*(-DATI!$I$13))</f>
        <v>0.86174367388639628</v>
      </c>
      <c r="J195" s="175">
        <f t="shared" si="17"/>
        <v>0.43571474147074873</v>
      </c>
      <c r="K195" s="174">
        <f>IF(D195&gt;=(DATI!$D$26*10^-3),DATI!$D$30*DATI!$I$29,IF(D195&gt;=(-DATI!$D$26*10^-3),DATI!$D$32*D195*DATI!$I$29,-DATI!$D$30*DATI!$I$29))</f>
        <v>-352404.7411418116</v>
      </c>
      <c r="L195" s="174">
        <f>-DATI!$I$16*DATI!$C$6*I195*DATI!$I$11*F195</f>
        <v>-753526.3308559024</v>
      </c>
      <c r="M195" s="174">
        <f>IF(C195&gt;=(DATI!$D$26*10^-3),DATI!$D$30*DATI!$I$28,IF(C195&gt;=(-DATI!$D$26*10^-3),DATI!$I$28*DATI!$D$32*C195,-DATI!$D$30*DATI!$I$28))</f>
        <v>352404.7411418116</v>
      </c>
      <c r="N195" s="174">
        <f t="shared" si="20"/>
        <v>-753526.3308559024</v>
      </c>
      <c r="O195" s="174">
        <f>-L195*(DATI!$C$8/2-(J195*F195))-K195*(DATI!$C$13/2)+M195*(DATI!$C$13/2)</f>
        <v>225473345.62695178</v>
      </c>
      <c r="P195" s="176">
        <f>-N195/(DATI!$C$6*DATI!$C$13*DATI!$I$11*DATI!$I$16)</f>
        <v>0.38730052758939132</v>
      </c>
      <c r="Q195" s="176">
        <f>O195/(DATI!$C$6*DATI!$C$13^2*DATI!$I$11)</f>
        <v>0.26988013964772339</v>
      </c>
      <c r="R195" s="177">
        <f t="shared" si="21"/>
        <v>-299.22424259659914</v>
      </c>
      <c r="S195" s="173" t="str">
        <f>IF(R195&gt;=0, IF(R195&lt;=DATI!$C$8/6, "SI", "NO"),IF(R195&gt; -DATI!$C$8/6, "SI", "NO"))</f>
        <v>NO</v>
      </c>
      <c r="T195" s="174">
        <f t="shared" si="22"/>
        <v>0</v>
      </c>
      <c r="U195" s="173" t="str">
        <f t="shared" si="23"/>
        <v>ROTTURA BILANCIATA</v>
      </c>
    </row>
    <row r="196" spans="1:21" ht="18.75" x14ac:dyDescent="0.25">
      <c r="A196" s="122"/>
      <c r="B196" s="172">
        <f>DATI!$I$13*10^-3</f>
        <v>-4.0000000000000001E-3</v>
      </c>
      <c r="C196" s="172">
        <f>C195-(DATI!$D$24*10^-3/100)</f>
        <v>4.8000000000000048E-3</v>
      </c>
      <c r="D196" s="172">
        <f>(DATI!$I$13*(F196-DATI!$C$10))/(F196*1000)</f>
        <v>-3.1561643835616433E-3</v>
      </c>
      <c r="E196" s="173" t="s">
        <v>37</v>
      </c>
      <c r="F196" s="174">
        <f>(-DATI!$I$13*10^-3/(-DATI!$I$13*10^-3+C196))*DATI!$C$13</f>
        <v>165.90909090909079</v>
      </c>
      <c r="G196" s="175">
        <f t="shared" si="18"/>
        <v>46.169941388342075</v>
      </c>
      <c r="H196" s="175">
        <f t="shared" si="19"/>
        <v>104.21206925040394</v>
      </c>
      <c r="I196" s="175">
        <f>G196/(Foglio1!$P$3*(-DATI!$I$13))</f>
        <v>0.86174367388639628</v>
      </c>
      <c r="J196" s="175">
        <f t="shared" si="17"/>
        <v>0.43571474147074873</v>
      </c>
      <c r="K196" s="174">
        <f>IF(D196&gt;=(DATI!$D$26*10^-3),DATI!$D$30*DATI!$I$29,IF(D196&gt;=(-DATI!$D$26*10^-3),DATI!$D$32*D196*DATI!$I$29,-DATI!$D$30*DATI!$I$29))</f>
        <v>-352404.7411418116</v>
      </c>
      <c r="L196" s="174">
        <f>-DATI!$I$16*DATI!$C$6*I196*DATI!$I$11*F196</f>
        <v>-762089.13007017388</v>
      </c>
      <c r="M196" s="174">
        <f>IF(C196&gt;=(DATI!$D$26*10^-3),DATI!$D$30*DATI!$I$28,IF(C196&gt;=(-DATI!$D$26*10^-3),DATI!$I$28*DATI!$D$32*C196,-DATI!$D$30*DATI!$I$28))</f>
        <v>352404.7411418116</v>
      </c>
      <c r="N196" s="174">
        <f t="shared" si="20"/>
        <v>-762089.130070174</v>
      </c>
      <c r="O196" s="174">
        <f>-L196*(DATI!$C$8/2-(J196*F196))-K196*(DATI!$C$13/2)+M196*(DATI!$C$13/2)</f>
        <v>225954867.47422302</v>
      </c>
      <c r="P196" s="176">
        <f>-N196/(DATI!$C$6*DATI!$C$13*DATI!$I$11*DATI!$I$16)</f>
        <v>0.39170166994836164</v>
      </c>
      <c r="Q196" s="176">
        <f>O196/(DATI!$C$6*DATI!$C$13^2*DATI!$I$11)</f>
        <v>0.27045649683541512</v>
      </c>
      <c r="R196" s="177">
        <f t="shared" si="21"/>
        <v>-296.49401698383605</v>
      </c>
      <c r="S196" s="173" t="str">
        <f>IF(R196&gt;=0, IF(R196&lt;=DATI!$C$8/6, "SI", "NO"),IF(R196&gt; -DATI!$C$8/6, "SI", "NO"))</f>
        <v>NO</v>
      </c>
      <c r="T196" s="174">
        <f t="shared" si="22"/>
        <v>0</v>
      </c>
      <c r="U196" s="173" t="str">
        <f t="shared" si="23"/>
        <v>ROTTURA BILANCIATA</v>
      </c>
    </row>
    <row r="197" spans="1:21" ht="18.75" x14ac:dyDescent="0.25">
      <c r="A197" s="122"/>
      <c r="B197" s="172">
        <f>DATI!$I$13*10^-3</f>
        <v>-4.0000000000000001E-3</v>
      </c>
      <c r="C197" s="172">
        <f>C196-(DATI!$D$24*10^-3/100)</f>
        <v>4.7000000000000045E-3</v>
      </c>
      <c r="D197" s="172">
        <f>(DATI!$I$13*(F197-DATI!$C$10))/(F197*1000)</f>
        <v>-3.1657534246575338E-3</v>
      </c>
      <c r="E197" s="173" t="s">
        <v>37</v>
      </c>
      <c r="F197" s="174">
        <f>(-DATI!$I$13*10^-3/(-DATI!$I$13*10^-3+C197))*DATI!$C$13</f>
        <v>167.81609195402291</v>
      </c>
      <c r="G197" s="175">
        <f t="shared" si="18"/>
        <v>46.169941388342075</v>
      </c>
      <c r="H197" s="175">
        <f t="shared" si="19"/>
        <v>104.21206925040394</v>
      </c>
      <c r="I197" s="175">
        <f>G197/(Foglio1!$P$3*(-DATI!$I$13))</f>
        <v>0.86174367388639628</v>
      </c>
      <c r="J197" s="175">
        <f t="shared" si="17"/>
        <v>0.43571474147074873</v>
      </c>
      <c r="K197" s="174">
        <f>IF(D197&gt;=(DATI!$D$26*10^-3),DATI!$D$30*DATI!$I$29,IF(D197&gt;=(-DATI!$D$26*10^-3),DATI!$D$32*D197*DATI!$I$29,-DATI!$D$30*DATI!$I$29))</f>
        <v>-352404.7411418116</v>
      </c>
      <c r="L197" s="174">
        <f>-DATI!$I$16*DATI!$C$6*I197*DATI!$I$11*F197</f>
        <v>-770848.77524339454</v>
      </c>
      <c r="M197" s="174">
        <f>IF(C197&gt;=(DATI!$D$26*10^-3),DATI!$D$30*DATI!$I$28,IF(C197&gt;=(-DATI!$D$26*10^-3),DATI!$I$28*DATI!$D$32*C197,-DATI!$D$30*DATI!$I$28))</f>
        <v>352404.7411418116</v>
      </c>
      <c r="N197" s="174">
        <f t="shared" si="20"/>
        <v>-770848.77524339443</v>
      </c>
      <c r="O197" s="174">
        <f>-L197*(DATI!$C$8/2-(J197*F197))-K197*(DATI!$C$13/2)+M197*(DATI!$C$13/2)</f>
        <v>226433065.42353216</v>
      </c>
      <c r="P197" s="176">
        <f>-N197/(DATI!$C$6*DATI!$C$13*DATI!$I$11*DATI!$I$16)</f>
        <v>0.39620398799374512</v>
      </c>
      <c r="Q197" s="176">
        <f>O197/(DATI!$C$6*DATI!$C$13^2*DATI!$I$11)</f>
        <v>0.27102887548611526</v>
      </c>
      <c r="R197" s="177">
        <f t="shared" si="21"/>
        <v>-293.74511927068477</v>
      </c>
      <c r="S197" s="173" t="str">
        <f>IF(R197&gt;=0, IF(R197&lt;=DATI!$C$8/6, "SI", "NO"),IF(R197&gt; -DATI!$C$8/6, "SI", "NO"))</f>
        <v>NO</v>
      </c>
      <c r="T197" s="174">
        <f t="shared" si="22"/>
        <v>0</v>
      </c>
      <c r="U197" s="173" t="str">
        <f t="shared" si="23"/>
        <v>ROTTURA BILANCIATA</v>
      </c>
    </row>
    <row r="198" spans="1:21" ht="18.75" x14ac:dyDescent="0.25">
      <c r="A198" s="122"/>
      <c r="B198" s="172">
        <f>DATI!$I$13*10^-3</f>
        <v>-4.0000000000000001E-3</v>
      </c>
      <c r="C198" s="172">
        <f>C197-(DATI!$D$24*10^-3/100)</f>
        <v>4.6000000000000043E-3</v>
      </c>
      <c r="D198" s="172">
        <f>(DATI!$I$13*(F198-DATI!$C$10))/(F198*1000)</f>
        <v>-3.1753424657534248E-3</v>
      </c>
      <c r="E198" s="173" t="s">
        <v>37</v>
      </c>
      <c r="F198" s="174">
        <f>(-DATI!$I$13*10^-3/(-DATI!$I$13*10^-3+C198))*DATI!$C$13</f>
        <v>169.76744186046506</v>
      </c>
      <c r="G198" s="175">
        <f t="shared" si="18"/>
        <v>46.169941388342075</v>
      </c>
      <c r="H198" s="175">
        <f t="shared" si="19"/>
        <v>104.21206925040394</v>
      </c>
      <c r="I198" s="175">
        <f>G198/(Foglio1!$P$3*(-DATI!$I$13))</f>
        <v>0.86174367388639628</v>
      </c>
      <c r="J198" s="175">
        <f t="shared" si="17"/>
        <v>0.43571474147074873</v>
      </c>
      <c r="K198" s="174">
        <f>IF(D198&gt;=(DATI!$D$26*10^-3),DATI!$D$30*DATI!$I$29,IF(D198&gt;=(-DATI!$D$26*10^-3),DATI!$D$32*D198*DATI!$I$29,-DATI!$D$30*DATI!$I$29))</f>
        <v>-352404.7411418116</v>
      </c>
      <c r="L198" s="174">
        <f>-DATI!$I$16*DATI!$C$6*I198*DATI!$I$11*F198</f>
        <v>-779812.13309506199</v>
      </c>
      <c r="M198" s="174">
        <f>IF(C198&gt;=(DATI!$D$26*10^-3),DATI!$D$30*DATI!$I$28,IF(C198&gt;=(-DATI!$D$26*10^-3),DATI!$I$28*DATI!$D$32*C198,-DATI!$D$30*DATI!$I$28))</f>
        <v>352404.7411418116</v>
      </c>
      <c r="N198" s="174">
        <f t="shared" si="20"/>
        <v>-779812.13309506199</v>
      </c>
      <c r="O198" s="174">
        <f>-L198*(DATI!$C$8/2-(J198*F198))-K198*(DATI!$C$13/2)+M198*(DATI!$C$13/2)</f>
        <v>226907315.59249327</v>
      </c>
      <c r="P198" s="176">
        <f>-N198/(DATI!$C$6*DATI!$C$13*DATI!$I$11*DATI!$I$16)</f>
        <v>0.4008110111099516</v>
      </c>
      <c r="Q198" s="176">
        <f>O198/(DATI!$C$6*DATI!$C$13^2*DATI!$I$11)</f>
        <v>0.27159652884430396</v>
      </c>
      <c r="R198" s="177">
        <f t="shared" si="21"/>
        <v>-290.97689810480603</v>
      </c>
      <c r="S198" s="173" t="str">
        <f>IF(R198&gt;=0, IF(R198&lt;=DATI!$C$8/6, "SI", "NO"),IF(R198&gt; -DATI!$C$8/6, "SI", "NO"))</f>
        <v>NO</v>
      </c>
      <c r="T198" s="174">
        <f t="shared" si="22"/>
        <v>0</v>
      </c>
      <c r="U198" s="173" t="str">
        <f t="shared" si="23"/>
        <v>ROTTURA BILANCIATA</v>
      </c>
    </row>
    <row r="199" spans="1:21" ht="18.75" x14ac:dyDescent="0.25">
      <c r="A199" s="122"/>
      <c r="B199" s="172">
        <f>DATI!$I$13*10^-3</f>
        <v>-4.0000000000000001E-3</v>
      </c>
      <c r="C199" s="172">
        <f>C198-(DATI!$D$24*10^-3/100)</f>
        <v>4.500000000000004E-3</v>
      </c>
      <c r="D199" s="172">
        <f>(DATI!$I$13*(F199-DATI!$C$10))/(F199*1000)</f>
        <v>-3.1849315068493149E-3</v>
      </c>
      <c r="E199" s="173" t="s">
        <v>37</v>
      </c>
      <c r="F199" s="174">
        <f>(-DATI!$I$13*10^-3/(-DATI!$I$13*10^-3+C199))*DATI!$C$13</f>
        <v>171.76470588235287</v>
      </c>
      <c r="G199" s="175">
        <f t="shared" si="18"/>
        <v>46.169941388342075</v>
      </c>
      <c r="H199" s="175">
        <f t="shared" si="19"/>
        <v>104.21206925040394</v>
      </c>
      <c r="I199" s="175">
        <f>G199/(Foglio1!$P$3*(-DATI!$I$13))</f>
        <v>0.86174367388639628</v>
      </c>
      <c r="J199" s="175">
        <f t="shared" si="17"/>
        <v>0.43571474147074873</v>
      </c>
      <c r="K199" s="174">
        <f>IF(D199&gt;=(DATI!$D$26*10^-3),DATI!$D$30*DATI!$I$29,IF(D199&gt;=(-DATI!$D$26*10^-3),DATI!$D$32*D199*DATI!$I$29,-DATI!$D$30*DATI!$I$29))</f>
        <v>-352404.7411418116</v>
      </c>
      <c r="L199" s="174">
        <f>-DATI!$I$16*DATI!$C$6*I199*DATI!$I$11*F199</f>
        <v>-788986.3934844156</v>
      </c>
      <c r="M199" s="174">
        <f>IF(C199&gt;=(DATI!$D$26*10^-3),DATI!$D$30*DATI!$I$28,IF(C199&gt;=(-DATI!$D$26*10^-3),DATI!$I$28*DATI!$D$32*C199,-DATI!$D$30*DATI!$I$28))</f>
        <v>352404.7411418116</v>
      </c>
      <c r="N199" s="174">
        <f t="shared" si="20"/>
        <v>-788986.3934844156</v>
      </c>
      <c r="O199" s="174">
        <f>-L199*(DATI!$C$8/2-(J199*F199))-K199*(DATI!$C$13/2)+M199*(DATI!$C$13/2)</f>
        <v>227376940.55563721</v>
      </c>
      <c r="P199" s="176">
        <f>-N199/(DATI!$C$6*DATI!$C$13*DATI!$I$11*DATI!$I$16)</f>
        <v>0.40552643477006861</v>
      </c>
      <c r="Q199" s="176">
        <f>O199/(DATI!$C$6*DATI!$C$13^2*DATI!$I$11)</f>
        <v>0.27215864606611095</v>
      </c>
      <c r="R199" s="177">
        <f t="shared" si="21"/>
        <v>-288.18867148198603</v>
      </c>
      <c r="S199" s="173" t="str">
        <f>IF(R199&gt;=0, IF(R199&lt;=DATI!$C$8/6, "SI", "NO"),IF(R199&gt; -DATI!$C$8/6, "SI", "NO"))</f>
        <v>NO</v>
      </c>
      <c r="T199" s="174">
        <f t="shared" si="22"/>
        <v>0</v>
      </c>
      <c r="U199" s="173" t="str">
        <f t="shared" si="23"/>
        <v>ROTTURA BILANCIATA</v>
      </c>
    </row>
    <row r="200" spans="1:21" ht="18.75" x14ac:dyDescent="0.25">
      <c r="A200" s="122"/>
      <c r="B200" s="172">
        <f>DATI!$I$13*10^-3</f>
        <v>-4.0000000000000001E-3</v>
      </c>
      <c r="C200" s="172">
        <f>C199-(DATI!$D$24*10^-3/100)</f>
        <v>4.4000000000000037E-3</v>
      </c>
      <c r="D200" s="172">
        <f>(DATI!$I$13*(F200-DATI!$C$10))/(F200*1000)</f>
        <v>-3.194520547945205E-3</v>
      </c>
      <c r="E200" s="173" t="s">
        <v>37</v>
      </c>
      <c r="F200" s="174">
        <f>(-DATI!$I$13*10^-3/(-DATI!$I$13*10^-3+C200))*DATI!$C$13</f>
        <v>173.80952380952371</v>
      </c>
      <c r="G200" s="175">
        <f t="shared" si="18"/>
        <v>46.169941388342075</v>
      </c>
      <c r="H200" s="175">
        <f t="shared" si="19"/>
        <v>104.21206925040394</v>
      </c>
      <c r="I200" s="175">
        <f>G200/(Foglio1!$P$3*(-DATI!$I$13))</f>
        <v>0.86174367388639628</v>
      </c>
      <c r="J200" s="175">
        <f t="shared" ref="J200:J231" si="24">1-(H200/G200)/(-B200*10^3)</f>
        <v>0.43571474147074873</v>
      </c>
      <c r="K200" s="174">
        <f>IF(D200&gt;=(DATI!$D$26*10^-3),DATI!$D$30*DATI!$I$29,IF(D200&gt;=(-DATI!$D$26*10^-3),DATI!$D$32*D200*DATI!$I$29,-DATI!$D$30*DATI!$I$29))</f>
        <v>-352404.7411418116</v>
      </c>
      <c r="L200" s="174">
        <f>-DATI!$I$16*DATI!$C$6*I200*DATI!$I$11*F200</f>
        <v>-798379.08864494425</v>
      </c>
      <c r="M200" s="174">
        <f>IF(C200&gt;=(DATI!$D$26*10^-3),DATI!$D$30*DATI!$I$28,IF(C200&gt;=(-DATI!$D$26*10^-3),DATI!$I$28*DATI!$D$32*C200,-DATI!$D$30*DATI!$I$28))</f>
        <v>352404.7411418116</v>
      </c>
      <c r="N200" s="174">
        <f t="shared" si="20"/>
        <v>-798379.08864494425</v>
      </c>
      <c r="O200" s="174">
        <f>-L200*(DATI!$C$8/2-(J200*F200))-K200*(DATI!$C$13/2)+M200*(DATI!$C$13/2)</f>
        <v>227841204.70066768</v>
      </c>
      <c r="P200" s="176">
        <f>-N200/(DATI!$C$6*DATI!$C$13*DATI!$I$11*DATI!$I$16)</f>
        <v>0.41035413042209318</v>
      </c>
      <c r="Q200" s="176">
        <f>O200/(DATI!$C$6*DATI!$C$13^2*DATI!$I$11)</f>
        <v>0.27271434666098993</v>
      </c>
      <c r="R200" s="177">
        <f t="shared" si="21"/>
        <v>-285.37972492161975</v>
      </c>
      <c r="S200" s="173" t="str">
        <f>IF(R200&gt;=0, IF(R200&lt;=DATI!$C$8/6, "SI", "NO"),IF(R200&gt; -DATI!$C$8/6, "SI", "NO"))</f>
        <v>NO</v>
      </c>
      <c r="T200" s="174">
        <f t="shared" si="22"/>
        <v>0</v>
      </c>
      <c r="U200" s="173" t="str">
        <f t="shared" si="23"/>
        <v>ROTTURA BILANCIATA</v>
      </c>
    </row>
    <row r="201" spans="1:21" ht="18.75" x14ac:dyDescent="0.25">
      <c r="A201" s="122"/>
      <c r="B201" s="172">
        <f>DATI!$I$13*10^-3</f>
        <v>-4.0000000000000001E-3</v>
      </c>
      <c r="C201" s="172">
        <f>C200-(DATI!$D$24*10^-3/100)</f>
        <v>4.3000000000000035E-3</v>
      </c>
      <c r="D201" s="172">
        <f>(DATI!$I$13*(F201-DATI!$C$10))/(F201*1000)</f>
        <v>-3.2041095890410955E-3</v>
      </c>
      <c r="E201" s="173" t="s">
        <v>37</v>
      </c>
      <c r="F201" s="174">
        <f>(-DATI!$I$13*10^-3/(-DATI!$I$13*10^-3+C201))*DATI!$C$13</f>
        <v>175.90361445783125</v>
      </c>
      <c r="G201" s="175">
        <f t="shared" si="18"/>
        <v>46.169941388342075</v>
      </c>
      <c r="H201" s="175">
        <f t="shared" si="19"/>
        <v>104.21206925040394</v>
      </c>
      <c r="I201" s="175">
        <f>G201/(Foglio1!$P$3*(-DATI!$I$13))</f>
        <v>0.86174367388639628</v>
      </c>
      <c r="J201" s="175">
        <f t="shared" si="24"/>
        <v>0.43571474147074873</v>
      </c>
      <c r="K201" s="174">
        <f>IF(D201&gt;=(DATI!$D$26*10^-3),DATI!$D$30*DATI!$I$29,IF(D201&gt;=(-DATI!$D$26*10^-3),DATI!$D$32*D201*DATI!$I$29,-DATI!$D$30*DATI!$I$29))</f>
        <v>-352404.7411418116</v>
      </c>
      <c r="L201" s="174">
        <f>-DATI!$I$16*DATI!$C$6*I201*DATI!$I$11*F201</f>
        <v>-807998.11380934122</v>
      </c>
      <c r="M201" s="174">
        <f>IF(C201&gt;=(DATI!$D$26*10^-3),DATI!$D$30*DATI!$I$28,IF(C201&gt;=(-DATI!$D$26*10^-3),DATI!$I$28*DATI!$D$32*C201,-DATI!$D$30*DATI!$I$28))</f>
        <v>352404.7411418116</v>
      </c>
      <c r="N201" s="174">
        <f t="shared" si="20"/>
        <v>-807998.11380934122</v>
      </c>
      <c r="O201" s="174">
        <f>-L201*(DATI!$C$8/2-(J201*F201))-K201*(DATI!$C$13/2)+M201*(DATI!$C$13/2)</f>
        <v>228299309.14245564</v>
      </c>
      <c r="P201" s="176">
        <f>-N201/(DATI!$C$6*DATI!$C$13*DATI!$I$11*DATI!$I$16)</f>
        <v>0.41529815608982928</v>
      </c>
      <c r="Q201" s="176">
        <f>O201/(DATI!$C$6*DATI!$C$13^2*DATI!$I$11)</f>
        <v>0.27326267440402846</v>
      </c>
      <c r="R201" s="177">
        <f t="shared" si="21"/>
        <v>-282.54930951030184</v>
      </c>
      <c r="S201" s="173" t="str">
        <f>IF(R201&gt;=0, IF(R201&lt;=DATI!$C$8/6, "SI", "NO"),IF(R201&gt; -DATI!$C$8/6, "SI", "NO"))</f>
        <v>NO</v>
      </c>
      <c r="T201" s="174">
        <f t="shared" si="22"/>
        <v>0</v>
      </c>
      <c r="U201" s="173" t="str">
        <f t="shared" si="23"/>
        <v>ROTTURA BILANCIATA</v>
      </c>
    </row>
    <row r="202" spans="1:21" ht="18.75" x14ac:dyDescent="0.25">
      <c r="A202" s="122"/>
      <c r="B202" s="172">
        <f>DATI!$I$13*10^-3</f>
        <v>-4.0000000000000001E-3</v>
      </c>
      <c r="C202" s="172">
        <f>C201-(DATI!$D$24*10^-3/100)</f>
        <v>4.2000000000000032E-3</v>
      </c>
      <c r="D202" s="172">
        <f>(DATI!$I$13*(F202-DATI!$C$10))/(F202*1000)</f>
        <v>-3.2136986301369856E-3</v>
      </c>
      <c r="E202" s="173" t="s">
        <v>37</v>
      </c>
      <c r="F202" s="174">
        <f>(-DATI!$I$13*10^-3/(-DATI!$I$13*10^-3+C202))*DATI!$C$13</f>
        <v>178.04878048780483</v>
      </c>
      <c r="G202" s="175">
        <f t="shared" si="18"/>
        <v>46.169941388342075</v>
      </c>
      <c r="H202" s="175">
        <f t="shared" si="19"/>
        <v>104.21206925040394</v>
      </c>
      <c r="I202" s="175">
        <f>G202/(Foglio1!$P$3*(-DATI!$I$13))</f>
        <v>0.86174367388639628</v>
      </c>
      <c r="J202" s="175">
        <f t="shared" si="24"/>
        <v>0.43571474147074873</v>
      </c>
      <c r="K202" s="174">
        <f>IF(D202&gt;=(DATI!$D$26*10^-3),DATI!$D$30*DATI!$I$29,IF(D202&gt;=(-DATI!$D$26*10^-3),DATI!$D$32*D202*DATI!$I$29,-DATI!$D$30*DATI!$I$29))</f>
        <v>-352404.7411418116</v>
      </c>
      <c r="L202" s="174">
        <f>-DATI!$I$16*DATI!$C$6*I202*DATI!$I$11*F202</f>
        <v>-817851.74934360164</v>
      </c>
      <c r="M202" s="174">
        <f>IF(C202&gt;=(DATI!$D$26*10^-3),DATI!$D$30*DATI!$I$28,IF(C202&gt;=(-DATI!$D$26*10^-3),DATI!$I$28*DATI!$D$32*C202,-DATI!$D$30*DATI!$I$28))</f>
        <v>352404.7411418116</v>
      </c>
      <c r="N202" s="174">
        <f t="shared" si="20"/>
        <v>-817851.74934360164</v>
      </c>
      <c r="O202" s="174">
        <f>-L202*(DATI!$C$8/2-(J202*F202))-K202*(DATI!$C$13/2)+M202*(DATI!$C$13/2)</f>
        <v>228750386.14781028</v>
      </c>
      <c r="P202" s="176">
        <f>-N202/(DATI!$C$6*DATI!$C$13*DATI!$I$11*DATI!$I$16)</f>
        <v>0.42036276774946141</v>
      </c>
      <c r="Q202" s="176">
        <f>O202/(DATI!$C$6*DATI!$C$13^2*DATI!$I$11)</f>
        <v>0.27380259066268198</v>
      </c>
      <c r="R202" s="177">
        <f t="shared" si="21"/>
        <v>-279.69663980226574</v>
      </c>
      <c r="S202" s="173" t="str">
        <f>IF(R202&gt;=0, IF(R202&lt;=DATI!$C$8/6, "SI", "NO"),IF(R202&gt; -DATI!$C$8/6, "SI", "NO"))</f>
        <v>NO</v>
      </c>
      <c r="T202" s="174">
        <f t="shared" si="22"/>
        <v>0</v>
      </c>
      <c r="U202" s="173" t="str">
        <f t="shared" si="23"/>
        <v>ROTTURA BILANCIATA</v>
      </c>
    </row>
    <row r="203" spans="1:21" ht="18.75" x14ac:dyDescent="0.25">
      <c r="A203" s="122"/>
      <c r="B203" s="172">
        <f>DATI!$I$13*10^-3</f>
        <v>-4.0000000000000001E-3</v>
      </c>
      <c r="C203" s="172">
        <f>C202-(DATI!$D$24*10^-3/100)</f>
        <v>4.1000000000000029E-3</v>
      </c>
      <c r="D203" s="172">
        <f>(DATI!$I$13*(F203-DATI!$C$10))/(F203*1000)</f>
        <v>-3.2232876712328766E-3</v>
      </c>
      <c r="E203" s="173" t="s">
        <v>37</v>
      </c>
      <c r="F203" s="174">
        <f>(-DATI!$I$13*10^-3/(-DATI!$I$13*10^-3+C203))*DATI!$C$13</f>
        <v>180.24691358024685</v>
      </c>
      <c r="G203" s="175">
        <f t="shared" si="18"/>
        <v>46.169941388342075</v>
      </c>
      <c r="H203" s="175">
        <f t="shared" si="19"/>
        <v>104.21206925040394</v>
      </c>
      <c r="I203" s="175">
        <f>G203/(Foglio1!$P$3*(-DATI!$I$13))</f>
        <v>0.86174367388639628</v>
      </c>
      <c r="J203" s="175">
        <f t="shared" si="24"/>
        <v>0.43571474147074873</v>
      </c>
      <c r="K203" s="174">
        <f>IF(D203&gt;=(DATI!$D$26*10^-3),DATI!$D$30*DATI!$I$29,IF(D203&gt;=(-DATI!$D$26*10^-3),DATI!$D$32*D203*DATI!$I$29,-DATI!$D$30*DATI!$I$29))</f>
        <v>-352404.7411418116</v>
      </c>
      <c r="L203" s="174">
        <f>-DATI!$I$16*DATI!$C$6*I203*DATI!$I$11*F203</f>
        <v>-827948.68452068313</v>
      </c>
      <c r="M203" s="174">
        <f>IF(C203&gt;=(DATI!$D$26*10^-3),DATI!$D$30*DATI!$I$28,IF(C203&gt;=(-DATI!$D$26*10^-3),DATI!$I$28*DATI!$D$32*C203,-DATI!$D$30*DATI!$I$28))</f>
        <v>352404.7411418116</v>
      </c>
      <c r="N203" s="174">
        <f t="shared" si="20"/>
        <v>-827948.68452068313</v>
      </c>
      <c r="O203" s="174">
        <f>-L203*(DATI!$C$8/2-(J203*F203))-K203*(DATI!$C$13/2)+M203*(DATI!$C$13/2)</f>
        <v>229193493.01850468</v>
      </c>
      <c r="P203" s="176">
        <f>-N203/(DATI!$C$6*DATI!$C$13*DATI!$I$11*DATI!$I$16)</f>
        <v>0.42555243154883748</v>
      </c>
      <c r="Q203" s="176">
        <f>O203/(DATI!$C$6*DATI!$C$13^2*DATI!$I$11)</f>
        <v>0.2743329670750661</v>
      </c>
      <c r="R203" s="177">
        <f t="shared" si="21"/>
        <v>-276.82089156429981</v>
      </c>
      <c r="S203" s="173" t="str">
        <f>IF(R203&gt;=0, IF(R203&lt;=DATI!$C$8/6, "SI", "NO"),IF(R203&gt; -DATI!$C$8/6, "SI", "NO"))</f>
        <v>NO</v>
      </c>
      <c r="T203" s="174">
        <f t="shared" si="22"/>
        <v>0</v>
      </c>
      <c r="U203" s="173" t="str">
        <f t="shared" si="23"/>
        <v>ROTTURA BILANCIATA</v>
      </c>
    </row>
    <row r="204" spans="1:21" ht="18.75" x14ac:dyDescent="0.25">
      <c r="A204" s="122"/>
      <c r="B204" s="172">
        <f>DATI!$I$13*10^-3</f>
        <v>-4.0000000000000001E-3</v>
      </c>
      <c r="C204" s="172">
        <f>C203-(DATI!$D$24*10^-3/100)</f>
        <v>4.0000000000000027E-3</v>
      </c>
      <c r="D204" s="172">
        <f>(DATI!$I$13*(F204-DATI!$C$10))/(F204*1000)</f>
        <v>-3.2328767123287667E-3</v>
      </c>
      <c r="E204" s="173" t="s">
        <v>37</v>
      </c>
      <c r="F204" s="174">
        <f>(-DATI!$I$13*10^-3/(-DATI!$I$13*10^-3+C204))*DATI!$C$13</f>
        <v>182.49999999999991</v>
      </c>
      <c r="G204" s="175">
        <f t="shared" si="18"/>
        <v>46.169941388342075</v>
      </c>
      <c r="H204" s="175">
        <f t="shared" si="19"/>
        <v>104.21206925040394</v>
      </c>
      <c r="I204" s="175">
        <f>G204/(Foglio1!$P$3*(-DATI!$I$13))</f>
        <v>0.86174367388639628</v>
      </c>
      <c r="J204" s="175">
        <f t="shared" si="24"/>
        <v>0.43571474147074873</v>
      </c>
      <c r="K204" s="174">
        <f>IF(D204&gt;=(DATI!$D$26*10^-3),DATI!$D$30*DATI!$I$29,IF(D204&gt;=(-DATI!$D$26*10^-3),DATI!$D$32*D204*DATI!$I$29,-DATI!$D$30*DATI!$I$29))</f>
        <v>-352404.7411418116</v>
      </c>
      <c r="L204" s="174">
        <f>-DATI!$I$16*DATI!$C$6*I204*DATI!$I$11*F204</f>
        <v>-838298.04307719157</v>
      </c>
      <c r="M204" s="174">
        <f>IF(C204&gt;=(DATI!$D$26*10^-3),DATI!$D$30*DATI!$I$28,IF(C204&gt;=(-DATI!$D$26*10^-3),DATI!$I$28*DATI!$D$32*C204,-DATI!$D$30*DATI!$I$28))</f>
        <v>352404.7411418116</v>
      </c>
      <c r="N204" s="174">
        <f t="shared" si="20"/>
        <v>-838298.04307719169</v>
      </c>
      <c r="O204" s="174">
        <f>-L204*(DATI!$C$8/2-(J204*F204))-K204*(DATI!$C$13/2)+M204*(DATI!$C$13/2)</f>
        <v>229627605.37374619</v>
      </c>
      <c r="P204" s="176">
        <f>-N204/(DATI!$C$6*DATI!$C$13*DATI!$I$11*DATI!$I$16)</f>
        <v>0.43087183694319797</v>
      </c>
      <c r="Q204" s="176">
        <f>O204/(DATI!$C$6*DATI!$C$13^2*DATI!$I$11)</f>
        <v>0.27485257750941527</v>
      </c>
      <c r="R204" s="177">
        <f t="shared" si="21"/>
        <v>-273.92119935153153</v>
      </c>
      <c r="S204" s="173" t="str">
        <f>IF(R204&gt;=0, IF(R204&lt;=DATI!$C$8/6, "SI", "NO"),IF(R204&gt; -DATI!$C$8/6, "SI", "NO"))</f>
        <v>NO</v>
      </c>
      <c r="T204" s="174">
        <f t="shared" si="22"/>
        <v>0</v>
      </c>
      <c r="U204" s="173" t="str">
        <f t="shared" si="23"/>
        <v>ROTTURA BILANCIATA</v>
      </c>
    </row>
    <row r="205" spans="1:21" ht="18.75" x14ac:dyDescent="0.25">
      <c r="A205" s="122"/>
      <c r="B205" s="172">
        <f>DATI!$I$13*10^-3</f>
        <v>-4.0000000000000001E-3</v>
      </c>
      <c r="C205" s="172">
        <f>C204-(DATI!$D$24*10^-3/100)</f>
        <v>3.9000000000000029E-3</v>
      </c>
      <c r="D205" s="172">
        <f>(DATI!$I$13*(F205-DATI!$C$10))/(F205*1000)</f>
        <v>-3.2424657534246572E-3</v>
      </c>
      <c r="E205" s="173" t="s">
        <v>37</v>
      </c>
      <c r="F205" s="174">
        <f>(-DATI!$I$13*10^-3/(-DATI!$I$13*10^-3+C205))*DATI!$C$13</f>
        <v>184.8101265822784</v>
      </c>
      <c r="G205" s="175">
        <f t="shared" si="18"/>
        <v>46.169941388342075</v>
      </c>
      <c r="H205" s="175">
        <f t="shared" si="19"/>
        <v>104.21206925040394</v>
      </c>
      <c r="I205" s="175">
        <f>G205/(Foglio1!$P$3*(-DATI!$I$13))</f>
        <v>0.86174367388639628</v>
      </c>
      <c r="J205" s="175">
        <f t="shared" si="24"/>
        <v>0.43571474147074873</v>
      </c>
      <c r="K205" s="174">
        <f>IF(D205&gt;=(DATI!$D$26*10^-3),DATI!$D$30*DATI!$I$29,IF(D205&gt;=(-DATI!$D$26*10^-3),DATI!$D$32*D205*DATI!$I$29,-DATI!$D$30*DATI!$I$29))</f>
        <v>-352404.7411418116</v>
      </c>
      <c r="L205" s="174">
        <f>-DATI!$I$16*DATI!$C$6*I205*DATI!$I$11*F205</f>
        <v>-848909.41071108007</v>
      </c>
      <c r="M205" s="174">
        <f>IF(C205&gt;=(DATI!$D$26*10^-3),DATI!$D$30*DATI!$I$28,IF(C205&gt;=(-DATI!$D$26*10^-3),DATI!$I$28*DATI!$D$32*C205,-DATI!$D$30*DATI!$I$28))</f>
        <v>352404.7411418116</v>
      </c>
      <c r="N205" s="174">
        <f t="shared" si="20"/>
        <v>-848909.41071108019</v>
      </c>
      <c r="O205" s="174">
        <f>-L205*(DATI!$C$8/2-(J205*F205))-K205*(DATI!$C$13/2)+M205*(DATI!$C$13/2)</f>
        <v>230051609.76615533</v>
      </c>
      <c r="P205" s="176">
        <f>-N205/(DATI!$C$6*DATI!$C$13*DATI!$I$11*DATI!$I$16)</f>
        <v>0.43632591082855493</v>
      </c>
      <c r="Q205" s="176">
        <f>O205/(DATI!$C$6*DATI!$C$13^2*DATI!$I$11)</f>
        <v>0.27536008922578442</v>
      </c>
      <c r="R205" s="177">
        <f t="shared" si="21"/>
        <v>-270.99665389909507</v>
      </c>
      <c r="S205" s="173" t="str">
        <f>IF(R205&gt;=0, IF(R205&lt;=DATI!$C$8/6, "SI", "NO"),IF(R205&gt; -DATI!$C$8/6, "SI", "NO"))</f>
        <v>NO</v>
      </c>
      <c r="T205" s="174">
        <f t="shared" si="22"/>
        <v>0</v>
      </c>
      <c r="U205" s="173" t="str">
        <f t="shared" si="23"/>
        <v>ROTTURA BILANCIATA</v>
      </c>
    </row>
    <row r="206" spans="1:21" ht="18.75" x14ac:dyDescent="0.25">
      <c r="A206" s="122"/>
      <c r="B206" s="172">
        <f>DATI!$I$13*10^-3</f>
        <v>-4.0000000000000001E-3</v>
      </c>
      <c r="C206" s="172">
        <f>C205-(DATI!$D$24*10^-3/100)</f>
        <v>3.800000000000003E-3</v>
      </c>
      <c r="D206" s="172">
        <f>(DATI!$I$13*(F206-DATI!$C$10))/(F206*1000)</f>
        <v>-3.2520547945205478E-3</v>
      </c>
      <c r="E206" s="173" t="s">
        <v>37</v>
      </c>
      <c r="F206" s="174">
        <f>(-DATI!$I$13*10^-3/(-DATI!$I$13*10^-3+C206))*DATI!$C$13</f>
        <v>187.17948717948713</v>
      </c>
      <c r="G206" s="175">
        <f t="shared" si="18"/>
        <v>46.169941388342075</v>
      </c>
      <c r="H206" s="175">
        <f t="shared" si="19"/>
        <v>104.21206925040394</v>
      </c>
      <c r="I206" s="175">
        <f>G206/(Foglio1!$P$3*(-DATI!$I$13))</f>
        <v>0.86174367388639628</v>
      </c>
      <c r="J206" s="175">
        <f t="shared" si="24"/>
        <v>0.43571474147074873</v>
      </c>
      <c r="K206" s="174">
        <f>IF(D206&gt;=(DATI!$D$26*10^-3),DATI!$D$30*DATI!$I$29,IF(D206&gt;=(-DATI!$D$26*10^-3),DATI!$D$32*D206*DATI!$I$29,-DATI!$D$30*DATI!$I$29))</f>
        <v>-352404.7411418116</v>
      </c>
      <c r="L206" s="174">
        <f>-DATI!$I$16*DATI!$C$6*I206*DATI!$I$11*F206</f>
        <v>-859792.86469455552</v>
      </c>
      <c r="M206" s="174">
        <f>IF(C206&gt;=(DATI!$D$26*10^-3),DATI!$D$30*DATI!$I$28,IF(C206&gt;=(-DATI!$D$26*10^-3),DATI!$I$28*DATI!$D$32*C206,-DATI!$D$30*DATI!$I$28))</f>
        <v>352404.7411418116</v>
      </c>
      <c r="N206" s="174">
        <f t="shared" si="20"/>
        <v>-859792.86469455564</v>
      </c>
      <c r="O206" s="174">
        <f>-L206*(DATI!$C$8/2-(J206*F206))-K206*(DATI!$C$13/2)+M206*(DATI!$C$13/2)</f>
        <v>230464295.55723354</v>
      </c>
      <c r="P206" s="176">
        <f>-N206/(DATI!$C$6*DATI!$C$13*DATI!$I$11*DATI!$I$16)</f>
        <v>0.44191983276225438</v>
      </c>
      <c r="Q206" s="176">
        <f>O206/(DATI!$C$6*DATI!$C$13^2*DATI!$I$11)</f>
        <v>0.27585405315139666</v>
      </c>
      <c r="R206" s="177">
        <f t="shared" si="21"/>
        <v>-268.04629931315696</v>
      </c>
      <c r="S206" s="173" t="str">
        <f>IF(R206&gt;=0, IF(R206&lt;=DATI!$C$8/6, "SI", "NO"),IF(R206&gt; -DATI!$C$8/6, "SI", "NO"))</f>
        <v>NO</v>
      </c>
      <c r="T206" s="174">
        <f t="shared" si="22"/>
        <v>0</v>
      </c>
      <c r="U206" s="173" t="str">
        <f t="shared" si="23"/>
        <v>ROTTURA BILANCIATA</v>
      </c>
    </row>
    <row r="207" spans="1:21" ht="18.75" x14ac:dyDescent="0.25">
      <c r="A207" s="122"/>
      <c r="B207" s="172">
        <f>DATI!$I$13*10^-3</f>
        <v>-4.0000000000000001E-3</v>
      </c>
      <c r="C207" s="172">
        <f>C206-(DATI!$D$24*10^-3/100)</f>
        <v>3.7000000000000032E-3</v>
      </c>
      <c r="D207" s="172">
        <f>(DATI!$I$13*(F207-DATI!$C$10))/(F207*1000)</f>
        <v>-3.2616438356164383E-3</v>
      </c>
      <c r="E207" s="173" t="s">
        <v>37</v>
      </c>
      <c r="F207" s="174">
        <f>(-DATI!$I$13*10^-3/(-DATI!$I$13*10^-3+C207))*DATI!$C$13</f>
        <v>189.61038961038952</v>
      </c>
      <c r="G207" s="175">
        <f t="shared" si="18"/>
        <v>46.169941388342075</v>
      </c>
      <c r="H207" s="175">
        <f t="shared" si="19"/>
        <v>104.21206925040394</v>
      </c>
      <c r="I207" s="175">
        <f>G207/(Foglio1!$P$3*(-DATI!$I$13))</f>
        <v>0.86174367388639628</v>
      </c>
      <c r="J207" s="175">
        <f t="shared" si="24"/>
        <v>0.43571474147074873</v>
      </c>
      <c r="K207" s="174">
        <f>IF(D207&gt;=(DATI!$D$26*10^-3),DATI!$D$30*DATI!$I$29,IF(D207&gt;=(-DATI!$D$26*10^-3),DATI!$D$32*D207*DATI!$I$29,-DATI!$D$30*DATI!$I$29))</f>
        <v>-352404.7411418116</v>
      </c>
      <c r="L207" s="174">
        <f>-DATI!$I$16*DATI!$C$6*I207*DATI!$I$11*F207</f>
        <v>-870959.00579448463</v>
      </c>
      <c r="M207" s="174">
        <f>IF(C207&gt;=(DATI!$D$26*10^-3),DATI!$D$30*DATI!$I$28,IF(C207&gt;=(-DATI!$D$26*10^-3),DATI!$I$28*DATI!$D$32*C207,-DATI!$D$30*DATI!$I$28))</f>
        <v>352404.7411418116</v>
      </c>
      <c r="N207" s="174">
        <f t="shared" si="20"/>
        <v>-870959.00579448452</v>
      </c>
      <c r="O207" s="174">
        <f>-L207*(DATI!$C$8/2-(J207*F207))-K207*(DATI!$C$13/2)+M207*(DATI!$C$13/2)</f>
        <v>230864345.96911383</v>
      </c>
      <c r="P207" s="176">
        <f>-N207/(DATI!$C$6*DATI!$C$13*DATI!$I$11*DATI!$I$16)</f>
        <v>0.44765905136955614</v>
      </c>
      <c r="Q207" s="176">
        <f>O207/(DATI!$C$6*DATI!$C$13^2*DATI!$I$11)</f>
        <v>0.27633289317004356</v>
      </c>
      <c r="R207" s="177">
        <f t="shared" si="21"/>
        <v>-265.06913004306159</v>
      </c>
      <c r="S207" s="173" t="str">
        <f>IF(R207&gt;=0, IF(R207&lt;=DATI!$C$8/6, "SI", "NO"),IF(R207&gt; -DATI!$C$8/6, "SI", "NO"))</f>
        <v>NO</v>
      </c>
      <c r="T207" s="174">
        <f t="shared" si="22"/>
        <v>0</v>
      </c>
      <c r="U207" s="173" t="str">
        <f t="shared" si="23"/>
        <v>ROTTURA BILANCIATA</v>
      </c>
    </row>
    <row r="208" spans="1:21" ht="18.75" x14ac:dyDescent="0.25">
      <c r="A208" s="122"/>
      <c r="B208" s="172">
        <f>DATI!$I$13*10^-3</f>
        <v>-4.0000000000000001E-3</v>
      </c>
      <c r="C208" s="172">
        <f>C207-(DATI!$D$24*10^-3/100)</f>
        <v>3.6000000000000034E-3</v>
      </c>
      <c r="D208" s="172">
        <f>(DATI!$I$13*(F208-DATI!$C$10))/(F208*1000)</f>
        <v>-3.2712328767123284E-3</v>
      </c>
      <c r="E208" s="173" t="s">
        <v>37</v>
      </c>
      <c r="F208" s="174">
        <f>(-DATI!$I$13*10^-3/(-DATI!$I$13*10^-3+C208))*DATI!$C$13</f>
        <v>192.10526315789465</v>
      </c>
      <c r="G208" s="175">
        <f t="shared" ref="G208:G239" si="25">$G$143</f>
        <v>46.169941388342075</v>
      </c>
      <c r="H208" s="175">
        <f t="shared" ref="H208:H244" si="26">$H$143</f>
        <v>104.21206925040394</v>
      </c>
      <c r="I208" s="175">
        <f>G208/(Foglio1!$P$3*(-DATI!$I$13))</f>
        <v>0.86174367388639628</v>
      </c>
      <c r="J208" s="175">
        <f t="shared" si="24"/>
        <v>0.43571474147074873</v>
      </c>
      <c r="K208" s="174">
        <f>IF(D208&gt;=(DATI!$D$26*10^-3),DATI!$D$30*DATI!$I$29,IF(D208&gt;=(-DATI!$D$26*10^-3),DATI!$D$32*D208*DATI!$I$29,-DATI!$D$30*DATI!$I$29))</f>
        <v>-352404.7411418116</v>
      </c>
      <c r="L208" s="174">
        <f>-DATI!$I$16*DATI!$C$6*I208*DATI!$I$11*F208</f>
        <v>-882418.99271283322</v>
      </c>
      <c r="M208" s="174">
        <f>IF(C208&gt;=(DATI!$D$26*10^-3),DATI!$D$30*DATI!$I$28,IF(C208&gt;=(-DATI!$D$26*10^-3),DATI!$I$28*DATI!$D$32*C208,-DATI!$D$30*DATI!$I$28))</f>
        <v>352404.7411418116</v>
      </c>
      <c r="N208" s="174">
        <f t="shared" si="20"/>
        <v>-882418.99271283334</v>
      </c>
      <c r="O208" s="174">
        <f>-L208*(DATI!$C$8/2-(J208*F208))-K208*(DATI!$C$13/2)+M208*(DATI!$C$13/2)</f>
        <v>231250328.21893635</v>
      </c>
      <c r="P208" s="176">
        <f>-N208/(DATI!$C$6*DATI!$C$13*DATI!$I$11*DATI!$I$16)</f>
        <v>0.45354930204547156</v>
      </c>
      <c r="Q208" s="176">
        <f>O208/(DATI!$C$6*DATI!$C$13^2*DATI!$I$11)</f>
        <v>0.27679489431343363</v>
      </c>
      <c r="R208" s="177">
        <f t="shared" si="21"/>
        <v>-262.06408761443379</v>
      </c>
      <c r="S208" s="173" t="str">
        <f>IF(R208&gt;=0, IF(R208&lt;=DATI!$C$8/6, "SI", "NO"),IF(R208&gt; -DATI!$C$8/6, "SI", "NO"))</f>
        <v>NO</v>
      </c>
      <c r="T208" s="174">
        <f t="shared" si="22"/>
        <v>0</v>
      </c>
      <c r="U208" s="173" t="str">
        <f t="shared" si="23"/>
        <v>ROTTURA BILANCIATA</v>
      </c>
    </row>
    <row r="209" spans="1:21" ht="18.75" x14ac:dyDescent="0.25">
      <c r="A209" s="122"/>
      <c r="B209" s="172">
        <f>DATI!$I$13*10^-3</f>
        <v>-4.0000000000000001E-3</v>
      </c>
      <c r="C209" s="172">
        <f>C208-(DATI!$D$24*10^-3/100)</f>
        <v>3.5000000000000035E-3</v>
      </c>
      <c r="D209" s="172">
        <f>(DATI!$I$13*(F209-DATI!$C$10))/(F209*1000)</f>
        <v>-3.2808219178082189E-3</v>
      </c>
      <c r="E209" s="173" t="s">
        <v>37</v>
      </c>
      <c r="F209" s="174">
        <f>(-DATI!$I$13*10^-3/(-DATI!$I$13*10^-3+C209))*DATI!$C$13</f>
        <v>194.66666666666657</v>
      </c>
      <c r="G209" s="175">
        <f t="shared" si="25"/>
        <v>46.169941388342075</v>
      </c>
      <c r="H209" s="175">
        <f t="shared" si="26"/>
        <v>104.21206925040394</v>
      </c>
      <c r="I209" s="175">
        <f>G209/(Foglio1!$P$3*(-DATI!$I$13))</f>
        <v>0.86174367388639628</v>
      </c>
      <c r="J209" s="175">
        <f t="shared" si="24"/>
        <v>0.43571474147074873</v>
      </c>
      <c r="K209" s="174">
        <f>IF(D209&gt;=(DATI!$D$26*10^-3),DATI!$D$30*DATI!$I$29,IF(D209&gt;=(-DATI!$D$26*10^-3),DATI!$D$32*D209*DATI!$I$29,-DATI!$D$30*DATI!$I$29))</f>
        <v>-352404.7411418116</v>
      </c>
      <c r="L209" s="174">
        <f>-DATI!$I$16*DATI!$C$6*I209*DATI!$I$11*F209</f>
        <v>-894184.57928233757</v>
      </c>
      <c r="M209" s="174">
        <f>IF(C209&gt;=(DATI!$D$26*10^-3),DATI!$D$30*DATI!$I$28,IF(C209&gt;=(-DATI!$D$26*10^-3),DATI!$I$28*DATI!$D$32*C209,-DATI!$D$30*DATI!$I$28))</f>
        <v>352404.7411418116</v>
      </c>
      <c r="N209" s="174">
        <f t="shared" si="20"/>
        <v>-894184.57928233768</v>
      </c>
      <c r="O209" s="174">
        <f>-L209*(DATI!$C$8/2-(J209*F209))-K209*(DATI!$C$13/2)+M209*(DATI!$C$13/2)</f>
        <v>231620682.6302774</v>
      </c>
      <c r="P209" s="176">
        <f>-N209/(DATI!$C$6*DATI!$C$13*DATI!$I$11*DATI!$I$16)</f>
        <v>0.45959662607274443</v>
      </c>
      <c r="Q209" s="176">
        <f>O209/(DATI!$C$6*DATI!$C$13^2*DATI!$I$11)</f>
        <v>0.27723818972812642</v>
      </c>
      <c r="R209" s="177">
        <f t="shared" si="21"/>
        <v>-259.03005710093265</v>
      </c>
      <c r="S209" s="173" t="str">
        <f>IF(R209&gt;=0, IF(R209&lt;=DATI!$C$8/6, "SI", "NO"),IF(R209&gt; -DATI!$C$8/6, "SI", "NO"))</f>
        <v>NO</v>
      </c>
      <c r="T209" s="174">
        <f t="shared" si="22"/>
        <v>0</v>
      </c>
      <c r="U209" s="173" t="str">
        <f t="shared" si="23"/>
        <v>ROTTURA BILANCIATA</v>
      </c>
    </row>
    <row r="210" spans="1:21" ht="18.75" x14ac:dyDescent="0.25">
      <c r="A210" s="122"/>
      <c r="B210" s="172">
        <f>DATI!$I$13*10^-3</f>
        <v>-4.0000000000000001E-3</v>
      </c>
      <c r="C210" s="172">
        <f>C209-(DATI!$D$24*10^-3/100)</f>
        <v>3.4000000000000037E-3</v>
      </c>
      <c r="D210" s="172">
        <f>(DATI!$I$13*(F210-DATI!$C$10))/(F210*1000)</f>
        <v>-3.290410958904109E-3</v>
      </c>
      <c r="E210" s="173" t="s">
        <v>37</v>
      </c>
      <c r="F210" s="174">
        <f>(-DATI!$I$13*10^-3/(-DATI!$I$13*10^-3+C210))*DATI!$C$13</f>
        <v>197.29729729729718</v>
      </c>
      <c r="G210" s="175">
        <f t="shared" si="25"/>
        <v>46.169941388342075</v>
      </c>
      <c r="H210" s="175">
        <f t="shared" si="26"/>
        <v>104.21206925040394</v>
      </c>
      <c r="I210" s="175">
        <f>G210/(Foglio1!$P$3*(-DATI!$I$13))</f>
        <v>0.86174367388639628</v>
      </c>
      <c r="J210" s="175">
        <f t="shared" si="24"/>
        <v>0.43571474147074873</v>
      </c>
      <c r="K210" s="174">
        <f>IF(D210&gt;=(DATI!$D$26*10^-3),DATI!$D$30*DATI!$I$29,IF(D210&gt;=(-DATI!$D$26*10^-3),DATI!$D$32*D210*DATI!$I$29,-DATI!$D$30*DATI!$I$29))</f>
        <v>-352404.7411418116</v>
      </c>
      <c r="L210" s="174">
        <f>-DATI!$I$16*DATI!$C$6*I210*DATI!$I$11*F210</f>
        <v>-906268.15467804472</v>
      </c>
      <c r="M210" s="174">
        <f>IF(C210&gt;=(DATI!$D$26*10^-3),DATI!$D$30*DATI!$I$28,IF(C210&gt;=(-DATI!$D$26*10^-3),DATI!$I$28*DATI!$D$32*C210,-DATI!$D$30*DATI!$I$28))</f>
        <v>352404.7411418116</v>
      </c>
      <c r="N210" s="174">
        <f t="shared" si="20"/>
        <v>-906268.15467804472</v>
      </c>
      <c r="O210" s="174">
        <f>-L210*(DATI!$C$8/2-(J210*F210))-K210*(DATI!$C$13/2)+M210*(DATI!$C$13/2)</f>
        <v>231973710.60246125</v>
      </c>
      <c r="P210" s="176">
        <f>-N210/(DATI!$C$6*DATI!$C$13*DATI!$I$11*DATI!$I$16)</f>
        <v>0.46580739128994358</v>
      </c>
      <c r="Q210" s="176">
        <f>O210/(DATI!$C$6*DATI!$C$13^2*DATI!$I$11)</f>
        <v>0.27766074627540971</v>
      </c>
      <c r="R210" s="177">
        <f t="shared" si="21"/>
        <v>-255.96586330992818</v>
      </c>
      <c r="S210" s="173" t="str">
        <f>IF(R210&gt;=0, IF(R210&lt;=DATI!$C$8/6, "SI", "NO"),IF(R210&gt; -DATI!$C$8/6, "SI", "NO"))</f>
        <v>NO</v>
      </c>
      <c r="T210" s="174">
        <f t="shared" si="22"/>
        <v>0</v>
      </c>
      <c r="U210" s="173" t="str">
        <f t="shared" si="23"/>
        <v>ROTTURA BILANCIATA</v>
      </c>
    </row>
    <row r="211" spans="1:21" ht="18.75" x14ac:dyDescent="0.25">
      <c r="A211" s="122"/>
      <c r="B211" s="172">
        <f>DATI!$I$13*10^-3</f>
        <v>-4.0000000000000001E-3</v>
      </c>
      <c r="C211" s="172">
        <f>C210-(DATI!$D$24*10^-3/100)</f>
        <v>3.3000000000000039E-3</v>
      </c>
      <c r="D211" s="172">
        <f>(DATI!$I$13*(F211-DATI!$C$10))/(F211*1000)</f>
        <v>-3.2999999999999995E-3</v>
      </c>
      <c r="E211" s="173" t="s">
        <v>37</v>
      </c>
      <c r="F211" s="174">
        <f>(-DATI!$I$13*10^-3/(-DATI!$I$13*10^-3+C211))*DATI!$C$13</f>
        <v>199.99999999999986</v>
      </c>
      <c r="G211" s="175">
        <f t="shared" si="25"/>
        <v>46.169941388342075</v>
      </c>
      <c r="H211" s="175">
        <f t="shared" si="26"/>
        <v>104.21206925040394</v>
      </c>
      <c r="I211" s="175">
        <f>G211/(Foglio1!$P$3*(-DATI!$I$13))</f>
        <v>0.86174367388639628</v>
      </c>
      <c r="J211" s="175">
        <f t="shared" si="24"/>
        <v>0.43571474147074873</v>
      </c>
      <c r="K211" s="174">
        <f>IF(D211&gt;=(DATI!$D$26*10^-3),DATI!$D$30*DATI!$I$29,IF(D211&gt;=(-DATI!$D$26*10^-3),DATI!$D$32*D211*DATI!$I$29,-DATI!$D$30*DATI!$I$29))</f>
        <v>-352404.7411418116</v>
      </c>
      <c r="L211" s="174">
        <f>-DATI!$I$16*DATI!$C$6*I211*DATI!$I$11*F211</f>
        <v>-918682.78693390824</v>
      </c>
      <c r="M211" s="174">
        <f>IF(C211&gt;=(DATI!$D$26*10^-3),DATI!$D$30*DATI!$I$28,IF(C211&gt;=(-DATI!$D$26*10^-3),DATI!$I$28*DATI!$D$32*C211,-DATI!$D$30*DATI!$I$28))</f>
        <v>352404.7411418116</v>
      </c>
      <c r="N211" s="174">
        <f t="shared" si="20"/>
        <v>-918682.78693390812</v>
      </c>
      <c r="O211" s="174">
        <f>-L211*(DATI!$C$8/2-(J211*F211))-K211*(DATI!$C$13/2)+M211*(DATI!$C$13/2)</f>
        <v>232307561.30303597</v>
      </c>
      <c r="P211" s="176">
        <f>-N211/(DATI!$C$6*DATI!$C$13*DATI!$I$11*DATI!$I$16)</f>
        <v>0.47218831445829884</v>
      </c>
      <c r="Q211" s="176">
        <f>O211/(DATI!$C$6*DATI!$C$13^2*DATI!$I$11)</f>
        <v>0.27806034860286916</v>
      </c>
      <c r="R211" s="177">
        <f t="shared" si="21"/>
        <v>-252.87026665467354</v>
      </c>
      <c r="S211" s="173" t="str">
        <f>IF(R211&gt;=0, IF(R211&lt;=DATI!$C$8/6, "SI", "NO"),IF(R211&gt; -DATI!$C$8/6, "SI", "NO"))</f>
        <v>NO</v>
      </c>
      <c r="T211" s="174">
        <f t="shared" si="22"/>
        <v>0</v>
      </c>
      <c r="U211" s="173" t="str">
        <f t="shared" si="23"/>
        <v>ROTTURA BILANCIATA</v>
      </c>
    </row>
    <row r="212" spans="1:21" ht="18.75" x14ac:dyDescent="0.25">
      <c r="A212" s="122"/>
      <c r="B212" s="172">
        <f>DATI!$I$13*10^-3</f>
        <v>-4.0000000000000001E-3</v>
      </c>
      <c r="C212" s="172">
        <f>C211-(DATI!$D$24*10^-3/100)</f>
        <v>3.2000000000000041E-3</v>
      </c>
      <c r="D212" s="172">
        <f>(DATI!$I$13*(F212-DATI!$C$10))/(F212*1000)</f>
        <v>-3.3095890410958901E-3</v>
      </c>
      <c r="E212" s="173" t="s">
        <v>37</v>
      </c>
      <c r="F212" s="174">
        <f>(-DATI!$I$13*10^-3/(-DATI!$I$13*10^-3+C212))*DATI!$C$13</f>
        <v>202.77777777777766</v>
      </c>
      <c r="G212" s="175">
        <f t="shared" si="25"/>
        <v>46.169941388342075</v>
      </c>
      <c r="H212" s="175">
        <f t="shared" si="26"/>
        <v>104.21206925040394</v>
      </c>
      <c r="I212" s="175">
        <f>G212/(Foglio1!$P$3*(-DATI!$I$13))</f>
        <v>0.86174367388639628</v>
      </c>
      <c r="J212" s="175">
        <f t="shared" si="24"/>
        <v>0.43571474147074873</v>
      </c>
      <c r="K212" s="174">
        <f>IF(D212&gt;=(DATI!$D$26*10^-3),DATI!$D$30*DATI!$I$29,IF(D212&gt;=(-DATI!$D$26*10^-3),DATI!$D$32*D212*DATI!$I$29,-DATI!$D$30*DATI!$I$29))</f>
        <v>-352404.7411418116</v>
      </c>
      <c r="L212" s="174">
        <f>-DATI!$I$16*DATI!$C$6*I212*DATI!$I$11*F212</f>
        <v>-931442.27008576819</v>
      </c>
      <c r="M212" s="174">
        <f>IF(C212&gt;=(DATI!$D$26*10^-3),DATI!$D$30*DATI!$I$28,IF(C212&gt;=(-DATI!$D$26*10^-3),DATI!$I$28*DATI!$D$32*C212,-DATI!$D$30*DATI!$I$28))</f>
        <v>352404.7411418116</v>
      </c>
      <c r="N212" s="174">
        <f t="shared" si="20"/>
        <v>-931442.27008576819</v>
      </c>
      <c r="O212" s="174">
        <f>-L212*(DATI!$C$8/2-(J212*F212))-K212*(DATI!$C$13/2)+M212*(DATI!$C$13/2)</f>
        <v>232620216.93088606</v>
      </c>
      <c r="P212" s="176">
        <f>-N212/(DATI!$C$6*DATI!$C$13*DATI!$I$11*DATI!$I$16)</f>
        <v>0.47874648549244203</v>
      </c>
      <c r="Q212" s="176">
        <f>O212/(DATI!$C$6*DATI!$C$13^2*DATI!$I$11)</f>
        <v>0.27843458150508293</v>
      </c>
      <c r="R212" s="177">
        <f t="shared" si="21"/>
        <v>-249.74195868249154</v>
      </c>
      <c r="S212" s="173" t="str">
        <f>IF(R212&gt;=0, IF(R212&lt;=DATI!$C$8/6, "SI", "NO"),IF(R212&gt; -DATI!$C$8/6, "SI", "NO"))</f>
        <v>NO</v>
      </c>
      <c r="T212" s="174">
        <f t="shared" si="22"/>
        <v>0</v>
      </c>
      <c r="U212" s="173" t="str">
        <f t="shared" si="23"/>
        <v>ROTTURA BILANCIATA</v>
      </c>
    </row>
    <row r="213" spans="1:21" ht="18.75" x14ac:dyDescent="0.25">
      <c r="A213" s="122"/>
      <c r="B213" s="172">
        <f>DATI!$I$13*10^-3</f>
        <v>-4.0000000000000001E-3</v>
      </c>
      <c r="C213" s="172">
        <f>C212-(DATI!$D$24*10^-3/100)</f>
        <v>3.1000000000000042E-3</v>
      </c>
      <c r="D213" s="172">
        <f>(DATI!$I$13*(F213-DATI!$C$10))/(F213*1000)</f>
        <v>-3.3191780821917802E-3</v>
      </c>
      <c r="E213" s="173" t="s">
        <v>37</v>
      </c>
      <c r="F213" s="174">
        <f>(-DATI!$I$13*10^-3/(-DATI!$I$13*10^-3+C213))*DATI!$C$13</f>
        <v>205.63380281690129</v>
      </c>
      <c r="G213" s="175">
        <f t="shared" si="25"/>
        <v>46.169941388342075</v>
      </c>
      <c r="H213" s="175">
        <f t="shared" si="26"/>
        <v>104.21206925040394</v>
      </c>
      <c r="I213" s="175">
        <f>G213/(Foglio1!$P$3*(-DATI!$I$13))</f>
        <v>0.86174367388639628</v>
      </c>
      <c r="J213" s="175">
        <f t="shared" si="24"/>
        <v>0.43571474147074873</v>
      </c>
      <c r="K213" s="174">
        <f>IF(D213&gt;=(DATI!$D$26*10^-3),DATI!$D$30*DATI!$I$29,IF(D213&gt;=(-DATI!$D$26*10^-3),DATI!$D$32*D213*DATI!$I$29,-DATI!$D$30*DATI!$I$29))</f>
        <v>-352404.7411418116</v>
      </c>
      <c r="L213" s="174">
        <f>-DATI!$I$16*DATI!$C$6*I213*DATI!$I$11*F213</f>
        <v>-944561.17529824388</v>
      </c>
      <c r="M213" s="174">
        <f>IF(C213&gt;=(DATI!$D$26*10^-3),DATI!$D$30*DATI!$I$28,IF(C213&gt;=(-DATI!$D$26*10^-3),DATI!$I$28*DATI!$D$32*C213,-DATI!$D$30*DATI!$I$28))</f>
        <v>352404.7411418116</v>
      </c>
      <c r="N213" s="174">
        <f t="shared" si="20"/>
        <v>-944561.17529824388</v>
      </c>
      <c r="O213" s="174">
        <f>-L213*(DATI!$C$8/2-(J213*F213))-K213*(DATI!$C$13/2)+M213*(DATI!$C$13/2)</f>
        <v>232909476.37702468</v>
      </c>
      <c r="P213" s="176">
        <f>-N213/(DATI!$C$6*DATI!$C$13*DATI!$I$11*DATI!$I$16)</f>
        <v>0.4854893937388145</v>
      </c>
      <c r="Q213" s="176">
        <f>O213/(DATI!$C$6*DATI!$C$13^2*DATI!$I$11)</f>
        <v>0.27878081036642016</v>
      </c>
      <c r="R213" s="177">
        <f t="shared" si="21"/>
        <v>-246.57955722506151</v>
      </c>
      <c r="S213" s="173" t="str">
        <f>IF(R213&gt;=0, IF(R213&lt;=DATI!$C$8/6, "SI", "NO"),IF(R213&gt; -DATI!$C$8/6, "SI", "NO"))</f>
        <v>NO</v>
      </c>
      <c r="T213" s="174">
        <f t="shared" si="22"/>
        <v>0</v>
      </c>
      <c r="U213" s="173" t="str">
        <f t="shared" si="23"/>
        <v>ROTTURA BILANCIATA</v>
      </c>
    </row>
    <row r="214" spans="1:21" ht="18.75" x14ac:dyDescent="0.25">
      <c r="A214" s="122"/>
      <c r="B214" s="172">
        <f>DATI!$I$13*10^-3</f>
        <v>-4.0000000000000001E-3</v>
      </c>
      <c r="C214" s="172">
        <f>C213-(DATI!$D$24*10^-3/100)</f>
        <v>3.0000000000000044E-3</v>
      </c>
      <c r="D214" s="172">
        <f>(DATI!$I$13*(F214-DATI!$C$10))/(F214*1000)</f>
        <v>-3.3287671232876711E-3</v>
      </c>
      <c r="E214" s="173" t="s">
        <v>37</v>
      </c>
      <c r="F214" s="174">
        <f>(-DATI!$I$13*10^-3/(-DATI!$I$13*10^-3+C214))*DATI!$C$13</f>
        <v>208.57142857142844</v>
      </c>
      <c r="G214" s="175">
        <f t="shared" si="25"/>
        <v>46.169941388342075</v>
      </c>
      <c r="H214" s="175">
        <f t="shared" si="26"/>
        <v>104.21206925040394</v>
      </c>
      <c r="I214" s="175">
        <f>G214/(Foglio1!$P$3*(-DATI!$I$13))</f>
        <v>0.86174367388639628</v>
      </c>
      <c r="J214" s="175">
        <f t="shared" si="24"/>
        <v>0.43571474147074873</v>
      </c>
      <c r="K214" s="174">
        <f>IF(D214&gt;=(DATI!$D$26*10^-3),DATI!$D$30*DATI!$I$29,IF(D214&gt;=(-DATI!$D$26*10^-3),DATI!$D$32*D214*DATI!$I$29,-DATI!$D$30*DATI!$I$29))</f>
        <v>-352404.7411418116</v>
      </c>
      <c r="L214" s="174">
        <f>-DATI!$I$16*DATI!$C$6*I214*DATI!$I$11*F214</f>
        <v>-958054.90637393296</v>
      </c>
      <c r="M214" s="174">
        <f>IF(C214&gt;=(DATI!$D$26*10^-3),DATI!$D$30*DATI!$I$28,IF(C214&gt;=(-DATI!$D$26*10^-3),DATI!$I$28*DATI!$D$32*C214,-DATI!$D$30*DATI!$I$28))</f>
        <v>352404.7411418116</v>
      </c>
      <c r="N214" s="174">
        <f t="shared" si="20"/>
        <v>-958054.90637393284</v>
      </c>
      <c r="O214" s="174">
        <f>-L214*(DATI!$C$8/2-(J214*F214))-K214*(DATI!$C$13/2)+M214*(DATI!$C$13/2)</f>
        <v>233172937.08662918</v>
      </c>
      <c r="P214" s="176">
        <f>-N214/(DATI!$C$6*DATI!$C$13*DATI!$I$11*DATI!$I$16)</f>
        <v>0.49242495650651169</v>
      </c>
      <c r="Q214" s="176">
        <f>O214/(DATI!$C$6*DATI!$C$13^2*DATI!$I$11)</f>
        <v>0.27909615945081878</v>
      </c>
      <c r="R214" s="177">
        <f t="shared" si="21"/>
        <v>-243.38160113301566</v>
      </c>
      <c r="S214" s="173" t="str">
        <f>IF(R214&gt;=0, IF(R214&lt;=DATI!$C$8/6, "SI", "NO"),IF(R214&gt; -DATI!$C$8/6, "SI", "NO"))</f>
        <v>NO</v>
      </c>
      <c r="T214" s="174">
        <f t="shared" si="22"/>
        <v>0</v>
      </c>
      <c r="U214" s="173" t="str">
        <f t="shared" si="23"/>
        <v>ROTTURA BILANCIATA</v>
      </c>
    </row>
    <row r="215" spans="1:21" ht="18.75" x14ac:dyDescent="0.25">
      <c r="A215" s="122"/>
      <c r="B215" s="172">
        <f>DATI!$I$13*10^-3</f>
        <v>-4.0000000000000001E-3</v>
      </c>
      <c r="C215" s="172">
        <f>C214-(DATI!$D$24*10^-3/100)</f>
        <v>2.9000000000000046E-3</v>
      </c>
      <c r="D215" s="172">
        <f>(DATI!$I$13*(F215-DATI!$C$10))/(F215*1000)</f>
        <v>-3.3383561643835612E-3</v>
      </c>
      <c r="E215" s="173" t="s">
        <v>37</v>
      </c>
      <c r="F215" s="174">
        <f>(-DATI!$I$13*10^-3/(-DATI!$I$13*10^-3+C215))*DATI!$C$13</f>
        <v>211.59420289855058</v>
      </c>
      <c r="G215" s="175">
        <f t="shared" si="25"/>
        <v>46.169941388342075</v>
      </c>
      <c r="H215" s="175">
        <f t="shared" si="26"/>
        <v>104.21206925040394</v>
      </c>
      <c r="I215" s="175">
        <f>G215/(Foglio1!$P$3*(-DATI!$I$13))</f>
        <v>0.86174367388639628</v>
      </c>
      <c r="J215" s="175">
        <f t="shared" si="24"/>
        <v>0.43571474147074873</v>
      </c>
      <c r="K215" s="174">
        <f>IF(D215&gt;=(DATI!$D$26*10^-3),DATI!$D$30*DATI!$I$29,IF(D215&gt;=(-DATI!$D$26*10^-3),DATI!$D$32*D215*DATI!$I$29,-DATI!$D$30*DATI!$I$29))</f>
        <v>-352404.7411418116</v>
      </c>
      <c r="L215" s="174">
        <f>-DATI!$I$16*DATI!$C$6*I215*DATI!$I$11*F215</f>
        <v>-971939.7600894972</v>
      </c>
      <c r="M215" s="174">
        <f>IF(C215&gt;=(DATI!$D$26*10^-3),DATI!$D$30*DATI!$I$28,IF(C215&gt;=(-DATI!$D$26*10^-3),DATI!$I$28*DATI!$D$32*C215,-DATI!$D$30*DATI!$I$28))</f>
        <v>352404.7411418116</v>
      </c>
      <c r="N215" s="174">
        <f t="shared" si="20"/>
        <v>-971939.7600894972</v>
      </c>
      <c r="O215" s="174">
        <f>-L215*(DATI!$C$8/2-(J215*F215))-K215*(DATI!$C$13/2)+M215*(DATI!$C$13/2)</f>
        <v>233407974.89884859</v>
      </c>
      <c r="P215" s="176">
        <f>-N215/(DATI!$C$6*DATI!$C$13*DATI!$I$11*DATI!$I$16)</f>
        <v>0.49956155007906988</v>
      </c>
      <c r="Q215" s="176">
        <f>O215/(DATI!$C$6*DATI!$C$13^2*DATI!$I$11)</f>
        <v>0.27937748777105942</v>
      </c>
      <c r="R215" s="177">
        <f t="shared" si="21"/>
        <v>-240.1465445526749</v>
      </c>
      <c r="S215" s="173" t="str">
        <f>IF(R215&gt;=0, IF(R215&lt;=DATI!$C$8/6, "SI", "NO"),IF(R215&gt; -DATI!$C$8/6, "SI", "NO"))</f>
        <v>NO</v>
      </c>
      <c r="T215" s="174">
        <f t="shared" si="22"/>
        <v>0</v>
      </c>
      <c r="U215" s="173" t="str">
        <f t="shared" si="23"/>
        <v>ROTTURA BILANCIATA</v>
      </c>
    </row>
    <row r="216" spans="1:21" ht="18.75" x14ac:dyDescent="0.25">
      <c r="A216" s="122"/>
      <c r="B216" s="172">
        <f>DATI!$I$13*10^-3</f>
        <v>-4.0000000000000001E-3</v>
      </c>
      <c r="C216" s="172">
        <f>C215-(DATI!$D$24*10^-3/100)</f>
        <v>2.8000000000000047E-3</v>
      </c>
      <c r="D216" s="172">
        <f>(DATI!$I$13*(F216-DATI!$C$10))/(F216*1000)</f>
        <v>-3.3479452054794513E-3</v>
      </c>
      <c r="E216" s="173" t="s">
        <v>37</v>
      </c>
      <c r="F216" s="174">
        <f>(-DATI!$I$13*10^-3/(-DATI!$I$13*10^-3+C216))*DATI!$C$13</f>
        <v>214.70588235294102</v>
      </c>
      <c r="G216" s="175">
        <f t="shared" si="25"/>
        <v>46.169941388342075</v>
      </c>
      <c r="H216" s="175">
        <f t="shared" si="26"/>
        <v>104.21206925040394</v>
      </c>
      <c r="I216" s="175">
        <f>G216/(Foglio1!$P$3*(-DATI!$I$13))</f>
        <v>0.86174367388639628</v>
      </c>
      <c r="J216" s="175">
        <f t="shared" si="24"/>
        <v>0.43571474147074873</v>
      </c>
      <c r="K216" s="174">
        <f>IF(D216&gt;=(DATI!$D$26*10^-3),DATI!$D$30*DATI!$I$29,IF(D216&gt;=(-DATI!$D$26*10^-3),DATI!$D$32*D216*DATI!$I$29,-DATI!$D$30*DATI!$I$29))</f>
        <v>-352404.7411418116</v>
      </c>
      <c r="L216" s="174">
        <f>-DATI!$I$16*DATI!$C$6*I216*DATI!$I$11*F216</f>
        <v>-986232.99185551913</v>
      </c>
      <c r="M216" s="174">
        <f>IF(C216&gt;=(DATI!$D$26*10^-3),DATI!$D$30*DATI!$I$28,IF(C216&gt;=(-DATI!$D$26*10^-3),DATI!$I$28*DATI!$D$32*C216,-DATI!$D$30*DATI!$I$28))</f>
        <v>352404.7411418116</v>
      </c>
      <c r="N216" s="174">
        <f t="shared" si="20"/>
        <v>-986232.99185551924</v>
      </c>
      <c r="O216" s="174">
        <f>-L216*(DATI!$C$8/2-(J216*F216))-K216*(DATI!$C$13/2)+M216*(DATI!$C$13/2)</f>
        <v>233611721.60972896</v>
      </c>
      <c r="P216" s="176">
        <f>-N216/(DATI!$C$6*DATI!$C$13*DATI!$I$11*DATI!$I$16)</f>
        <v>0.50690804346258567</v>
      </c>
      <c r="Q216" s="176">
        <f>O216/(DATI!$C$6*DATI!$C$13^2*DATI!$I$11)</f>
        <v>0.27962136223272699</v>
      </c>
      <c r="R216" s="177">
        <f t="shared" si="21"/>
        <v>-236.87275069779102</v>
      </c>
      <c r="S216" s="173" t="str">
        <f>IF(R216&gt;=0, IF(R216&lt;=DATI!$C$8/6, "SI", "NO"),IF(R216&gt; -DATI!$C$8/6, "SI", "NO"))</f>
        <v>NO</v>
      </c>
      <c r="T216" s="174">
        <f t="shared" si="22"/>
        <v>0</v>
      </c>
      <c r="U216" s="173" t="str">
        <f t="shared" si="23"/>
        <v>ROTTURA BILANCIATA</v>
      </c>
    </row>
    <row r="217" spans="1:21" ht="18.75" x14ac:dyDescent="0.25">
      <c r="A217" s="122"/>
      <c r="B217" s="172">
        <f>DATI!$I$13*10^-3</f>
        <v>-4.0000000000000001E-3</v>
      </c>
      <c r="C217" s="172">
        <f>C216-(DATI!$D$24*10^-3/100)</f>
        <v>2.7000000000000049E-3</v>
      </c>
      <c r="D217" s="172">
        <f>(DATI!$I$13*(F217-DATI!$C$10))/(F217*1000)</f>
        <v>-3.3575342465753419E-3</v>
      </c>
      <c r="E217" s="173" t="s">
        <v>37</v>
      </c>
      <c r="F217" s="174">
        <f>(-DATI!$I$13*10^-3/(-DATI!$I$13*10^-3+C217))*DATI!$C$13</f>
        <v>217.91044776119389</v>
      </c>
      <c r="G217" s="175">
        <f t="shared" si="25"/>
        <v>46.169941388342075</v>
      </c>
      <c r="H217" s="175">
        <f t="shared" si="26"/>
        <v>104.21206925040394</v>
      </c>
      <c r="I217" s="175">
        <f>G217/(Foglio1!$P$3*(-DATI!$I$13))</f>
        <v>0.86174367388639628</v>
      </c>
      <c r="J217" s="175">
        <f t="shared" si="24"/>
        <v>0.43571474147074873</v>
      </c>
      <c r="K217" s="174">
        <f>IF(D217&gt;=(DATI!$D$26*10^-3),DATI!$D$30*DATI!$I$29,IF(D217&gt;=(-DATI!$D$26*10^-3),DATI!$D$32*D217*DATI!$I$29,-DATI!$D$30*DATI!$I$29))</f>
        <v>-352404.7411418116</v>
      </c>
      <c r="L217" s="174">
        <f>-DATI!$I$16*DATI!$C$6*I217*DATI!$I$11*F217</f>
        <v>-1000952.8872563479</v>
      </c>
      <c r="M217" s="174">
        <f>IF(C217&gt;=(DATI!$D$26*10^-3),DATI!$D$30*DATI!$I$28,IF(C217&gt;=(-DATI!$D$26*10^-3),DATI!$I$28*DATI!$D$32*C217,-DATI!$D$30*DATI!$I$28))</f>
        <v>352404.7411418116</v>
      </c>
      <c r="N217" s="174">
        <f t="shared" si="20"/>
        <v>-1000952.8872563479</v>
      </c>
      <c r="O217" s="174">
        <f>-L217*(DATI!$C$8/2-(J217*F217))-K217*(DATI!$C$13/2)+M217*(DATI!$C$13/2)</f>
        <v>233781039.96756271</v>
      </c>
      <c r="P217" s="176">
        <f>-N217/(DATI!$C$6*DATI!$C$13*DATI!$I$11*DATI!$I$16)</f>
        <v>0.51447383515605705</v>
      </c>
      <c r="Q217" s="176">
        <f>O217/(DATI!$C$6*DATI!$C$13^2*DATI!$I$11)</f>
        <v>0.2798240277049141</v>
      </c>
      <c r="R217" s="177">
        <f t="shared" si="21"/>
        <v>-233.55848506353374</v>
      </c>
      <c r="S217" s="173" t="str">
        <f>IF(R217&gt;=0, IF(R217&lt;=DATI!$C$8/6, "SI", "NO"),IF(R217&gt; -DATI!$C$8/6, "SI", "NO"))</f>
        <v>NO</v>
      </c>
      <c r="T217" s="174">
        <f t="shared" si="22"/>
        <v>0</v>
      </c>
      <c r="U217" s="173" t="str">
        <f t="shared" si="23"/>
        <v>ROTTURA BILANCIATA</v>
      </c>
    </row>
    <row r="218" spans="1:21" ht="18.75" x14ac:dyDescent="0.25">
      <c r="A218" s="122"/>
      <c r="B218" s="172">
        <f>DATI!$I$13*10^-3</f>
        <v>-4.0000000000000001E-3</v>
      </c>
      <c r="C218" s="172">
        <f>C217-(DATI!$D$24*10^-3/100)</f>
        <v>2.6000000000000051E-3</v>
      </c>
      <c r="D218" s="172">
        <f>(DATI!$I$13*(F218-DATI!$C$10))/(F218*1000)</f>
        <v>-3.3671232876712324E-3</v>
      </c>
      <c r="E218" s="173" t="s">
        <v>37</v>
      </c>
      <c r="F218" s="174">
        <f>(-DATI!$I$13*10^-3/(-DATI!$I$13*10^-3+C218))*DATI!$C$13</f>
        <v>221.21212121212105</v>
      </c>
      <c r="G218" s="175">
        <f t="shared" si="25"/>
        <v>46.169941388342075</v>
      </c>
      <c r="H218" s="175">
        <f t="shared" si="26"/>
        <v>104.21206925040394</v>
      </c>
      <c r="I218" s="175">
        <f>G218/(Foglio1!$P$3*(-DATI!$I$13))</f>
        <v>0.86174367388639628</v>
      </c>
      <c r="J218" s="175">
        <f t="shared" si="24"/>
        <v>0.43571474147074873</v>
      </c>
      <c r="K218" s="174">
        <f>IF(D218&gt;=(DATI!$D$26*10^-3),DATI!$D$30*DATI!$I$29,IF(D218&gt;=(-DATI!$D$26*10^-3),DATI!$D$32*D218*DATI!$I$29,-DATI!$D$30*DATI!$I$29))</f>
        <v>-352404.7411418116</v>
      </c>
      <c r="L218" s="174">
        <f>-DATI!$I$16*DATI!$C$6*I218*DATI!$I$11*F218</f>
        <v>-1016118.8400935652</v>
      </c>
      <c r="M218" s="174">
        <f>IF(C218&gt;=(DATI!$D$26*10^-3),DATI!$D$30*DATI!$I$28,IF(C218&gt;=(-DATI!$D$26*10^-3),DATI!$I$28*DATI!$D$32*C218,-DATI!$D$30*DATI!$I$28))</f>
        <v>352404.7411418116</v>
      </c>
      <c r="N218" s="174">
        <f t="shared" si="20"/>
        <v>-1016118.8400935651</v>
      </c>
      <c r="O218" s="174">
        <f>-L218*(DATI!$C$8/2-(J218*F218))-K218*(DATI!$C$13/2)+M218*(DATI!$C$13/2)</f>
        <v>233912495.76823339</v>
      </c>
      <c r="P218" s="176">
        <f>-N218/(DATI!$C$6*DATI!$C$13*DATI!$I$11*DATI!$I$16)</f>
        <v>0.52226889326448211</v>
      </c>
      <c r="Q218" s="176">
        <f>O218/(DATI!$C$6*DATI!$C$13^2*DATI!$I$11)</f>
        <v>0.27998137361976649</v>
      </c>
      <c r="R218" s="177">
        <f t="shared" si="21"/>
        <v>-230.20190802356794</v>
      </c>
      <c r="S218" s="173" t="str">
        <f>IF(R218&gt;=0, IF(R218&lt;=DATI!$C$8/6, "SI", "NO"),IF(R218&gt; -DATI!$C$8/6, "SI", "NO"))</f>
        <v>NO</v>
      </c>
      <c r="T218" s="174">
        <f t="shared" si="22"/>
        <v>0</v>
      </c>
      <c r="U218" s="173" t="str">
        <f t="shared" si="23"/>
        <v>ROTTURA BILANCIATA</v>
      </c>
    </row>
    <row r="219" spans="1:21" ht="18.75" x14ac:dyDescent="0.25">
      <c r="A219" s="122"/>
      <c r="B219" s="172">
        <f>DATI!$I$13*10^-3</f>
        <v>-4.0000000000000001E-3</v>
      </c>
      <c r="C219" s="172">
        <f>C218-(DATI!$D$24*10^-3/100)</f>
        <v>2.5000000000000053E-3</v>
      </c>
      <c r="D219" s="172">
        <f>(DATI!$I$13*(F219-DATI!$C$10))/(F219*1000)</f>
        <v>-3.3767123287671225E-3</v>
      </c>
      <c r="E219" s="173" t="s">
        <v>37</v>
      </c>
      <c r="F219" s="174">
        <f>(-DATI!$I$13*10^-3/(-DATI!$I$13*10^-3+C219))*DATI!$C$13</f>
        <v>224.61538461538441</v>
      </c>
      <c r="G219" s="175">
        <f t="shared" si="25"/>
        <v>46.169941388342075</v>
      </c>
      <c r="H219" s="175">
        <f t="shared" si="26"/>
        <v>104.21206925040394</v>
      </c>
      <c r="I219" s="175">
        <f>G219/(Foglio1!$P$3*(-DATI!$I$13))</f>
        <v>0.86174367388639628</v>
      </c>
      <c r="J219" s="175">
        <f t="shared" si="24"/>
        <v>0.43571474147074873</v>
      </c>
      <c r="K219" s="174">
        <f>IF(D219&gt;=(DATI!$D$26*10^-3),DATI!$D$30*DATI!$I$29,IF(D219&gt;=(-DATI!$D$26*10^-3),DATI!$D$32*D219*DATI!$I$29,-DATI!$D$30*DATI!$I$29))</f>
        <v>-352404.7411418116</v>
      </c>
      <c r="L219" s="174">
        <f>-DATI!$I$16*DATI!$C$6*I219*DATI!$I$11*F219</f>
        <v>-1031751.4376334661</v>
      </c>
      <c r="M219" s="174">
        <f>IF(C219&gt;=(DATI!$D$26*10^-3),DATI!$D$30*DATI!$I$28,IF(C219&gt;=(-DATI!$D$26*10^-3),DATI!$I$28*DATI!$D$32*C219,-DATI!$D$30*DATI!$I$28))</f>
        <v>352404.7411418116</v>
      </c>
      <c r="N219" s="174">
        <f t="shared" si="20"/>
        <v>-1031751.4376334661</v>
      </c>
      <c r="O219" s="174">
        <f>-L219*(DATI!$C$8/2-(J219*F219))-K219*(DATI!$C$13/2)+M219*(DATI!$C$13/2)</f>
        <v>234002326.66970271</v>
      </c>
      <c r="P219" s="176">
        <f>-N219/(DATI!$C$6*DATI!$C$13*DATI!$I$11*DATI!$I$16)</f>
        <v>0.53030379931470484</v>
      </c>
      <c r="Q219" s="176">
        <f>O219/(DATI!$C$6*DATI!$C$13^2*DATI!$I$11)</f>
        <v>0.28008889664500841</v>
      </c>
      <c r="R219" s="177">
        <f t="shared" si="21"/>
        <v>-226.80106674378388</v>
      </c>
      <c r="S219" s="173" t="str">
        <f>IF(R219&gt;=0, IF(R219&lt;=DATI!$C$8/6, "SI", "NO"),IF(R219&gt; -DATI!$C$8/6, "SI", "NO"))</f>
        <v>NO</v>
      </c>
      <c r="T219" s="174">
        <f t="shared" si="22"/>
        <v>0</v>
      </c>
      <c r="U219" s="173" t="str">
        <f t="shared" si="23"/>
        <v>ROTTURA BILANCIATA</v>
      </c>
    </row>
    <row r="220" spans="1:21" ht="18.75" x14ac:dyDescent="0.25">
      <c r="A220" s="122"/>
      <c r="B220" s="172">
        <f>DATI!$I$13*10^-3</f>
        <v>-4.0000000000000001E-3</v>
      </c>
      <c r="C220" s="172">
        <f>C219-(DATI!$D$24*10^-3/100)</f>
        <v>2.4000000000000054E-3</v>
      </c>
      <c r="D220" s="172">
        <f>(DATI!$I$13*(F220-DATI!$C$10))/(F220*1000)</f>
        <v>-3.386301369863013E-3</v>
      </c>
      <c r="E220" s="173" t="s">
        <v>37</v>
      </c>
      <c r="F220" s="174">
        <f>(-DATI!$I$13*10^-3/(-DATI!$I$13*10^-3+C220))*DATI!$C$13</f>
        <v>228.1249999999998</v>
      </c>
      <c r="G220" s="175">
        <f t="shared" si="25"/>
        <v>46.169941388342075</v>
      </c>
      <c r="H220" s="175">
        <f t="shared" si="26"/>
        <v>104.21206925040394</v>
      </c>
      <c r="I220" s="175">
        <f>G220/(Foglio1!$P$3*(-DATI!$I$13))</f>
        <v>0.86174367388639628</v>
      </c>
      <c r="J220" s="175">
        <f t="shared" si="24"/>
        <v>0.43571474147074873</v>
      </c>
      <c r="K220" s="174">
        <f>IF(D220&gt;=(DATI!$D$26*10^-3),DATI!$D$30*DATI!$I$29,IF(D220&gt;=(-DATI!$D$26*10^-3),DATI!$D$32*D220*DATI!$I$29,-DATI!$D$30*DATI!$I$29))</f>
        <v>-352404.7411418116</v>
      </c>
      <c r="L220" s="174">
        <f>-DATI!$I$16*DATI!$C$6*I220*DATI!$I$11*F220</f>
        <v>-1047872.5538464889</v>
      </c>
      <c r="M220" s="174">
        <f>IF(C220&gt;=(DATI!$D$26*10^-3),DATI!$D$30*DATI!$I$28,IF(C220&gt;=(-DATI!$D$26*10^-3),DATI!$I$28*DATI!$D$32*C220,-DATI!$D$30*DATI!$I$28))</f>
        <v>352404.7411418116</v>
      </c>
      <c r="N220" s="174">
        <f t="shared" si="20"/>
        <v>-1047872.5538464891</v>
      </c>
      <c r="O220" s="174">
        <f>-L220*(DATI!$C$8/2-(J220*F220))-K220*(DATI!$C$13/2)+M220*(DATI!$C$13/2)</f>
        <v>234046407.28847575</v>
      </c>
      <c r="P220" s="176">
        <f>-N220/(DATI!$C$6*DATI!$C$13*DATI!$I$11*DATI!$I$16)</f>
        <v>0.53858979617899716</v>
      </c>
      <c r="Q220" s="176">
        <f>O220/(DATI!$C$6*DATI!$C$13^2*DATI!$I$11)</f>
        <v>0.28014165890618453</v>
      </c>
      <c r="R220" s="177">
        <f t="shared" si="21"/>
        <v>-223.35388633794011</v>
      </c>
      <c r="S220" s="173" t="str">
        <f>IF(R220&gt;=0, IF(R220&lt;=DATI!$C$8/6, "SI", "NO"),IF(R220&gt; -DATI!$C$8/6, "SI", "NO"))</f>
        <v>NO</v>
      </c>
      <c r="T220" s="174">
        <f t="shared" si="22"/>
        <v>0</v>
      </c>
      <c r="U220" s="173" t="str">
        <f t="shared" si="23"/>
        <v>ROTTURA BILANCIATA</v>
      </c>
    </row>
    <row r="221" spans="1:21" ht="18.75" x14ac:dyDescent="0.25">
      <c r="A221" s="122"/>
      <c r="B221" s="172">
        <f>DATI!$I$13*10^-3</f>
        <v>-4.0000000000000001E-3</v>
      </c>
      <c r="C221" s="172">
        <f>C220-(DATI!$D$24*10^-3/100)</f>
        <v>2.3000000000000056E-3</v>
      </c>
      <c r="D221" s="172">
        <f>(DATI!$I$13*(F221-DATI!$C$10))/(F221*1000)</f>
        <v>-3.3958904109589036E-3</v>
      </c>
      <c r="E221" s="173" t="s">
        <v>37</v>
      </c>
      <c r="F221" s="174">
        <f>(-DATI!$I$13*10^-3/(-DATI!$I$13*10^-3+C221))*DATI!$C$13</f>
        <v>231.74603174603158</v>
      </c>
      <c r="G221" s="175">
        <f t="shared" si="25"/>
        <v>46.169941388342075</v>
      </c>
      <c r="H221" s="175">
        <f t="shared" si="26"/>
        <v>104.21206925040394</v>
      </c>
      <c r="I221" s="175">
        <f>G221/(Foglio1!$P$3*(-DATI!$I$13))</f>
        <v>0.86174367388639628</v>
      </c>
      <c r="J221" s="175">
        <f t="shared" si="24"/>
        <v>0.43571474147074873</v>
      </c>
      <c r="K221" s="174">
        <f>IF(D221&gt;=(DATI!$D$26*10^-3),DATI!$D$30*DATI!$I$29,IF(D221&gt;=(-DATI!$D$26*10^-3),DATI!$D$32*D221*DATI!$I$29,-DATI!$D$30*DATI!$I$29))</f>
        <v>-352404.7411418116</v>
      </c>
      <c r="L221" s="174">
        <f>-DATI!$I$16*DATI!$C$6*I221*DATI!$I$11*F221</f>
        <v>-1064505.451526592</v>
      </c>
      <c r="M221" s="174">
        <f>IF(C221&gt;=(DATI!$D$26*10^-3),DATI!$D$30*DATI!$I$28,IF(C221&gt;=(-DATI!$D$26*10^-3),DATI!$I$28*DATI!$D$32*C221,-DATI!$D$30*DATI!$I$28))</f>
        <v>352404.7411418116</v>
      </c>
      <c r="N221" s="174">
        <f t="shared" si="20"/>
        <v>-1064505.451526592</v>
      </c>
      <c r="O221" s="174">
        <f>-L221*(DATI!$C$8/2-(J221*F221))-K221*(DATI!$C$13/2)+M221*(DATI!$C$13/2)</f>
        <v>234040210.07526654</v>
      </c>
      <c r="P221" s="176">
        <f>-N221/(DATI!$C$6*DATI!$C$13*DATI!$I$11*DATI!$I$16)</f>
        <v>0.54713884056279072</v>
      </c>
      <c r="Q221" s="176">
        <f>O221/(DATI!$C$6*DATI!$C$13^2*DATI!$I$11)</f>
        <v>0.28013424115681962</v>
      </c>
      <c r="R221" s="177">
        <f t="shared" si="21"/>
        <v>-219.85816018098623</v>
      </c>
      <c r="S221" s="173" t="str">
        <f>IF(R221&gt;=0, IF(R221&lt;=DATI!$C$8/6, "SI", "NO"),IF(R221&gt; -DATI!$C$8/6, "SI", "NO"))</f>
        <v>NO</v>
      </c>
      <c r="T221" s="174">
        <f t="shared" si="22"/>
        <v>0</v>
      </c>
      <c r="U221" s="173" t="str">
        <f t="shared" si="23"/>
        <v>ROTTURA BILANCIATA</v>
      </c>
    </row>
    <row r="222" spans="1:21" ht="18.75" x14ac:dyDescent="0.25">
      <c r="A222" s="122"/>
      <c r="B222" s="172">
        <f>DATI!$I$13*10^-3</f>
        <v>-4.0000000000000001E-3</v>
      </c>
      <c r="C222" s="172">
        <f>C221-(DATI!$D$24*10^-3/100)</f>
        <v>2.2000000000000058E-3</v>
      </c>
      <c r="D222" s="172">
        <f>(DATI!$I$13*(F222-DATI!$C$10))/(F222*1000)</f>
        <v>-3.4054794520547937E-3</v>
      </c>
      <c r="E222" s="173" t="s">
        <v>37</v>
      </c>
      <c r="F222" s="174">
        <f>(-DATI!$I$13*10^-3/(-DATI!$I$13*10^-3+C222))*DATI!$C$13</f>
        <v>235.48387096774172</v>
      </c>
      <c r="G222" s="175">
        <f t="shared" si="25"/>
        <v>46.169941388342075</v>
      </c>
      <c r="H222" s="175">
        <f t="shared" si="26"/>
        <v>104.21206925040394</v>
      </c>
      <c r="I222" s="175">
        <f>G222/(Foglio1!$P$3*(-DATI!$I$13))</f>
        <v>0.86174367388639628</v>
      </c>
      <c r="J222" s="175">
        <f t="shared" si="24"/>
        <v>0.43571474147074873</v>
      </c>
      <c r="K222" s="174">
        <f>IF(D222&gt;=(DATI!$D$26*10^-3),DATI!$D$30*DATI!$I$29,IF(D222&gt;=(-DATI!$D$26*10^-3),DATI!$D$32*D222*DATI!$I$29,-DATI!$D$30*DATI!$I$29))</f>
        <v>-352404.7411418116</v>
      </c>
      <c r="L222" s="174">
        <f>-DATI!$I$16*DATI!$C$6*I222*DATI!$I$11*F222</f>
        <v>-1081674.8942931499</v>
      </c>
      <c r="M222" s="174">
        <f>IF(C222&gt;=(DATI!$D$26*10^-3),DATI!$D$30*DATI!$I$28,IF(C222&gt;=(-DATI!$D$26*10^-3),DATI!$I$28*DATI!$D$32*C222,-DATI!$D$30*DATI!$I$28))</f>
        <v>352404.7411418116</v>
      </c>
      <c r="N222" s="174">
        <f t="shared" si="20"/>
        <v>-1081674.8942931499</v>
      </c>
      <c r="O222" s="174">
        <f>-L222*(DATI!$C$8/2-(J222*F222))-K222*(DATI!$C$13/2)+M222*(DATI!$C$13/2)</f>
        <v>233978761.39045337</v>
      </c>
      <c r="P222" s="176">
        <f>-N222/(DATI!$C$6*DATI!$C$13*DATI!$I$11*DATI!$I$16)</f>
        <v>0.55596366057186808</v>
      </c>
      <c r="Q222" s="176">
        <f>O222/(DATI!$C$6*DATI!$C$13^2*DATI!$I$11)</f>
        <v>0.28006069020296992</v>
      </c>
      <c r="R222" s="177">
        <f t="shared" si="21"/>
        <v>-216.31153928496528</v>
      </c>
      <c r="S222" s="173" t="str">
        <f>IF(R222&gt;=0, IF(R222&lt;=DATI!$C$8/6, "SI", "NO"),IF(R222&gt; -DATI!$C$8/6, "SI", "NO"))</f>
        <v>NO</v>
      </c>
      <c r="T222" s="174">
        <f t="shared" si="22"/>
        <v>0</v>
      </c>
      <c r="U222" s="173" t="str">
        <f t="shared" si="23"/>
        <v>ROTTURA BILANCIATA</v>
      </c>
    </row>
    <row r="223" spans="1:21" ht="18.75" x14ac:dyDescent="0.25">
      <c r="A223" s="122"/>
      <c r="B223" s="172">
        <f>DATI!$I$13*10^-3</f>
        <v>-4.0000000000000001E-3</v>
      </c>
      <c r="C223" s="172">
        <f>C222-(DATI!$D$24*10^-3/100)</f>
        <v>2.1000000000000059E-3</v>
      </c>
      <c r="D223" s="172">
        <f>(DATI!$I$13*(F223-DATI!$C$10))/(F223*1000)</f>
        <v>-3.4150684931506842E-3</v>
      </c>
      <c r="E223" s="173" t="s">
        <v>37</v>
      </c>
      <c r="F223" s="174">
        <f>(-DATI!$I$13*10^-3/(-DATI!$I$13*10^-3+C223))*DATI!$C$13</f>
        <v>239.34426229508171</v>
      </c>
      <c r="G223" s="175">
        <f t="shared" si="25"/>
        <v>46.169941388342075</v>
      </c>
      <c r="H223" s="175">
        <f t="shared" si="26"/>
        <v>104.21206925040394</v>
      </c>
      <c r="I223" s="175">
        <f>G223/(Foglio1!$P$3*(-DATI!$I$13))</f>
        <v>0.86174367388639628</v>
      </c>
      <c r="J223" s="175">
        <f t="shared" si="24"/>
        <v>0.43571474147074873</v>
      </c>
      <c r="K223" s="174">
        <f>IF(D223&gt;=(DATI!$D$26*10^-3),DATI!$D$30*DATI!$I$29,IF(D223&gt;=(-DATI!$D$26*10^-3),DATI!$D$32*D223*DATI!$I$29,-DATI!$D$30*DATI!$I$29))</f>
        <v>-352404.7411418116</v>
      </c>
      <c r="L223" s="174">
        <f>-DATI!$I$16*DATI!$C$6*I223*DATI!$I$11*F223</f>
        <v>-1099407.2696094308</v>
      </c>
      <c r="M223" s="174">
        <f>IF(C223&gt;=(DATI!$D$26*10^-3),DATI!$D$30*DATI!$I$28,IF(C223&gt;=(-DATI!$D$26*10^-3),DATI!$I$28*DATI!$D$32*C223,-DATI!$D$30*DATI!$I$28))</f>
        <v>352404.7411418116</v>
      </c>
      <c r="N223" s="174">
        <f t="shared" si="20"/>
        <v>-1099407.2696094308</v>
      </c>
      <c r="O223" s="174">
        <f>-L223*(DATI!$C$8/2-(J223*F223))-K223*(DATI!$C$13/2)+M223*(DATI!$C$13/2)</f>
        <v>233856592.11021394</v>
      </c>
      <c r="P223" s="176">
        <f>-N223/(DATI!$C$6*DATI!$C$13*DATI!$I$11*DATI!$I$16)</f>
        <v>0.56507781894189846</v>
      </c>
      <c r="Q223" s="176">
        <f>O223/(DATI!$C$6*DATI!$C$13^2*DATI!$I$11)</f>
        <v>0.27991445978127638</v>
      </c>
      <c r="R223" s="177">
        <f t="shared" si="21"/>
        <v>-212.71152062992317</v>
      </c>
      <c r="S223" s="173" t="str">
        <f>IF(R223&gt;=0, IF(R223&lt;=DATI!$C$8/6, "SI", "NO"),IF(R223&gt; -DATI!$C$8/6, "SI", "NO"))</f>
        <v>NO</v>
      </c>
      <c r="T223" s="174">
        <f t="shared" si="22"/>
        <v>0</v>
      </c>
      <c r="U223" s="173" t="str">
        <f t="shared" si="23"/>
        <v>ROTTURA BILANCIATA</v>
      </c>
    </row>
    <row r="224" spans="1:21" ht="18.75" x14ac:dyDescent="0.25">
      <c r="A224" s="122"/>
      <c r="B224" s="172">
        <f>DATI!$I$13*10^-3</f>
        <v>-4.0000000000000001E-3</v>
      </c>
      <c r="C224" s="172">
        <f>C223-(DATI!$D$24*10^-3/100)</f>
        <v>2.0000000000000061E-3</v>
      </c>
      <c r="D224" s="172">
        <f>(DATI!$I$13*(F224-DATI!$C$10))/(F224*1000)</f>
        <v>-3.4246575342465747E-3</v>
      </c>
      <c r="E224" s="173" t="s">
        <v>37</v>
      </c>
      <c r="F224" s="174">
        <f>(-DATI!$I$13*10^-3/(-DATI!$I$13*10^-3+C224))*DATI!$C$13</f>
        <v>243.33333333333309</v>
      </c>
      <c r="G224" s="175">
        <f t="shared" si="25"/>
        <v>46.169941388342075</v>
      </c>
      <c r="H224" s="175">
        <f t="shared" si="26"/>
        <v>104.21206925040394</v>
      </c>
      <c r="I224" s="175">
        <f>G224/(Foglio1!$P$3*(-DATI!$I$13))</f>
        <v>0.86174367388639628</v>
      </c>
      <c r="J224" s="175">
        <f t="shared" si="24"/>
        <v>0.43571474147074873</v>
      </c>
      <c r="K224" s="174">
        <f>IF(D224&gt;=(DATI!$D$26*10^-3),DATI!$D$30*DATI!$I$29,IF(D224&gt;=(-DATI!$D$26*10^-3),DATI!$D$32*D224*DATI!$I$29,-DATI!$D$30*DATI!$I$29))</f>
        <v>-352404.7411418116</v>
      </c>
      <c r="L224" s="174">
        <f>-DATI!$I$16*DATI!$C$6*I224*DATI!$I$11*F224</f>
        <v>-1117730.7241029213</v>
      </c>
      <c r="M224" s="174">
        <f>IF(C224&gt;=(DATI!$D$26*10^-3),DATI!$D$30*DATI!$I$28,IF(C224&gt;=(-DATI!$D$26*10^-3),DATI!$I$28*DATI!$D$32*C224,-DATI!$D$30*DATI!$I$28))</f>
        <v>352404.7411418116</v>
      </c>
      <c r="N224" s="174">
        <f t="shared" si="20"/>
        <v>-1117730.7241029213</v>
      </c>
      <c r="O224" s="174">
        <f>-L224*(DATI!$C$8/2-(J224*F224))-K224*(DATI!$C$13/2)+M224*(DATI!$C$13/2)</f>
        <v>233667681.98898411</v>
      </c>
      <c r="P224" s="176">
        <f>-N224/(DATI!$C$6*DATI!$C$13*DATI!$I$11*DATI!$I$16)</f>
        <v>0.57449578259093015</v>
      </c>
      <c r="Q224" s="176">
        <f>O224/(DATI!$C$6*DATI!$C$13^2*DATI!$I$11)</f>
        <v>0.27968834396365455</v>
      </c>
      <c r="R224" s="177">
        <f t="shared" si="21"/>
        <v>-209.0554343279087</v>
      </c>
      <c r="S224" s="173" t="str">
        <f>IF(R224&gt;=0, IF(R224&lt;=DATI!$C$8/6, "SI", "NO"),IF(R224&gt; -DATI!$C$8/6, "SI", "NO"))</f>
        <v>NO</v>
      </c>
      <c r="T224" s="174">
        <f t="shared" si="22"/>
        <v>0</v>
      </c>
      <c r="U224" s="173" t="str">
        <f t="shared" si="23"/>
        <v>ROTTURA BILANCIATA</v>
      </c>
    </row>
    <row r="225" spans="1:21" ht="18.75" x14ac:dyDescent="0.25">
      <c r="A225" s="122"/>
      <c r="B225" s="172">
        <f>DATI!$I$13*10^-3</f>
        <v>-4.0000000000000001E-3</v>
      </c>
      <c r="C225" s="172">
        <f>C224-(DATI!$D$24*10^-3/100)</f>
        <v>1.9000000000000061E-3</v>
      </c>
      <c r="D225" s="172">
        <f>(DATI!$I$13*(F225-DATI!$C$10))/(F225*1000)</f>
        <v>-3.4342465753424652E-3</v>
      </c>
      <c r="E225" s="173" t="s">
        <v>37</v>
      </c>
      <c r="F225" s="174">
        <f>(-DATI!$I$13*10^-3/(-DATI!$I$13*10^-3+C225))*DATI!$C$13</f>
        <v>247.45762711864381</v>
      </c>
      <c r="G225" s="175">
        <f t="shared" si="25"/>
        <v>46.169941388342075</v>
      </c>
      <c r="H225" s="175">
        <f t="shared" si="26"/>
        <v>104.21206925040394</v>
      </c>
      <c r="I225" s="175">
        <f>G225/(Foglio1!$P$3*(-DATI!$I$13))</f>
        <v>0.86174367388639628</v>
      </c>
      <c r="J225" s="175">
        <f t="shared" si="24"/>
        <v>0.43571474147074873</v>
      </c>
      <c r="K225" s="174">
        <f>IF(D225&gt;=(DATI!$D$26*10^-3),DATI!$D$30*DATI!$I$29,IF(D225&gt;=(-DATI!$D$26*10^-3),DATI!$D$32*D225*DATI!$I$29,-DATI!$D$30*DATI!$I$29))</f>
        <v>-352404.7411418116</v>
      </c>
      <c r="L225" s="174">
        <f>-DATI!$I$16*DATI!$C$6*I225*DATI!$I$11*F225</f>
        <v>-1136675.3126470386</v>
      </c>
      <c r="M225" s="174">
        <f>IF(C225&gt;=(DATI!$D$26*10^-3),DATI!$D$30*DATI!$I$28,IF(C225&gt;=(-DATI!$D$26*10^-3),DATI!$I$28*DATI!$D$32*C225,-DATI!$D$30*DATI!$I$28))</f>
        <v>352404.7411418116</v>
      </c>
      <c r="N225" s="174">
        <f t="shared" si="20"/>
        <v>-1136675.3126470386</v>
      </c>
      <c r="O225" s="174">
        <f>-L225*(DATI!$C$8/2-(J225*F225))-K225*(DATI!$C$13/2)+M225*(DATI!$C$13/2)</f>
        <v>233405396.88009569</v>
      </c>
      <c r="P225" s="176">
        <f>-N225/(DATI!$C$6*DATI!$C$13*DATI!$I$11*DATI!$I$16)</f>
        <v>0.58423299924501371</v>
      </c>
      <c r="Q225" s="176">
        <f>O225/(DATI!$C$6*DATI!$C$13^2*DATI!$I$11)</f>
        <v>0.27937440201358726</v>
      </c>
      <c r="R225" s="177">
        <f t="shared" si="21"/>
        <v>-205.34042948161832</v>
      </c>
      <c r="S225" s="173" t="str">
        <f>IF(R225&gt;=0, IF(R225&lt;=DATI!$C$8/6, "SI", "NO"),IF(R225&gt; -DATI!$C$8/6, "SI", "NO"))</f>
        <v>NO</v>
      </c>
      <c r="T225" s="174">
        <f t="shared" si="22"/>
        <v>0</v>
      </c>
      <c r="U225" s="173" t="str">
        <f t="shared" si="23"/>
        <v>ROTTURA BILANCIATA</v>
      </c>
    </row>
    <row r="226" spans="1:21" ht="18.75" x14ac:dyDescent="0.25">
      <c r="A226" s="122"/>
      <c r="B226" s="172">
        <f>DATI!$I$13*10^-3</f>
        <v>-4.0000000000000001E-3</v>
      </c>
      <c r="C226" s="172">
        <f>C225-(DATI!$D$24*10^-3/100)</f>
        <v>1.800000000000006E-3</v>
      </c>
      <c r="D226" s="172">
        <f>(DATI!$I$13*(F226-DATI!$C$10))/(F226*1000)</f>
        <v>-3.4438356164383553E-3</v>
      </c>
      <c r="E226" s="173" t="s">
        <v>37</v>
      </c>
      <c r="F226" s="174">
        <f>(-DATI!$I$13*10^-3/(-DATI!$I$13*10^-3+C226))*DATI!$C$13</f>
        <v>251.72413793103422</v>
      </c>
      <c r="G226" s="175">
        <f t="shared" si="25"/>
        <v>46.169941388342075</v>
      </c>
      <c r="H226" s="175">
        <f t="shared" si="26"/>
        <v>104.21206925040394</v>
      </c>
      <c r="I226" s="175">
        <f>G226/(Foglio1!$P$3*(-DATI!$I$13))</f>
        <v>0.86174367388639628</v>
      </c>
      <c r="J226" s="175">
        <f t="shared" si="24"/>
        <v>0.43571474147074873</v>
      </c>
      <c r="K226" s="174">
        <f>IF(D226&gt;=(DATI!$D$26*10^-3),DATI!$D$30*DATI!$I$29,IF(D226&gt;=(-DATI!$D$26*10^-3),DATI!$D$32*D226*DATI!$I$29,-DATI!$D$30*DATI!$I$29))</f>
        <v>-352404.7411418116</v>
      </c>
      <c r="L226" s="174">
        <f>-DATI!$I$16*DATI!$C$6*I226*DATI!$I$11*F226</f>
        <v>-1156273.1628650911</v>
      </c>
      <c r="M226" s="174">
        <f>IF(C226&gt;=(DATI!$D$26*10^-3),DATI!$D$30*DATI!$I$28,IF(C226&gt;=(-DATI!$D$26*10^-3),DATI!$I$28*DATI!$D$32*C226,-DATI!$D$30*DATI!$I$28))</f>
        <v>339213.11981564859</v>
      </c>
      <c r="N226" s="174">
        <f t="shared" si="20"/>
        <v>-1169464.7841912541</v>
      </c>
      <c r="O226" s="174">
        <f>-L226*(DATI!$C$8/2-(J226*F226))-K226*(DATI!$C$13/2)+M226*(DATI!$C$13/2)</f>
        <v>230654946.8784619</v>
      </c>
      <c r="P226" s="176">
        <f>-N226/(DATI!$C$6*DATI!$C$13*DATI!$I$11*DATI!$I$16)</f>
        <v>0.60108626516078767</v>
      </c>
      <c r="Q226" s="176">
        <f>O226/(DATI!$C$6*DATI!$C$13^2*DATI!$I$11)</f>
        <v>0.27608225309695589</v>
      </c>
      <c r="R226" s="177">
        <f t="shared" si="21"/>
        <v>-197.23120353553171</v>
      </c>
      <c r="S226" s="173" t="str">
        <f>IF(R226&gt;=0, IF(R226&lt;=DATI!$C$8/6, "SI", "NO"),IF(R226&gt; -DATI!$C$8/6, "SI", "NO"))</f>
        <v>NO</v>
      </c>
      <c r="T226" s="174">
        <f t="shared" si="22"/>
        <v>-13.191621326163004</v>
      </c>
      <c r="U226" s="173" t="str">
        <f t="shared" si="23"/>
        <v/>
      </c>
    </row>
    <row r="227" spans="1:21" ht="18.75" x14ac:dyDescent="0.25">
      <c r="A227" s="122"/>
      <c r="B227" s="172">
        <f>DATI!$I$13*10^-3</f>
        <v>-4.0000000000000001E-3</v>
      </c>
      <c r="C227" s="172">
        <f>C226-(DATI!$D$24*10^-3/100)</f>
        <v>1.700000000000006E-3</v>
      </c>
      <c r="D227" s="172">
        <f>(DATI!$I$13*(F227-DATI!$C$10))/(F227*1000)</f>
        <v>-3.4534246575342459E-3</v>
      </c>
      <c r="E227" s="173" t="s">
        <v>37</v>
      </c>
      <c r="F227" s="174">
        <f>(-DATI!$I$13*10^-3/(-DATI!$I$13*10^-3+C227))*DATI!$C$13</f>
        <v>256.1403508771927</v>
      </c>
      <c r="G227" s="175">
        <f t="shared" si="25"/>
        <v>46.169941388342075</v>
      </c>
      <c r="H227" s="175">
        <f t="shared" si="26"/>
        <v>104.21206925040394</v>
      </c>
      <c r="I227" s="175">
        <f>G227/(Foglio1!$P$3*(-DATI!$I$13))</f>
        <v>0.86174367388639628</v>
      </c>
      <c r="J227" s="175">
        <f t="shared" si="24"/>
        <v>0.43571474147074873</v>
      </c>
      <c r="K227" s="174">
        <f>IF(D227&gt;=(DATI!$D$26*10^-3),DATI!$D$30*DATI!$I$29,IF(D227&gt;=(-DATI!$D$26*10^-3),DATI!$D$32*D227*DATI!$I$29,-DATI!$D$30*DATI!$I$29))</f>
        <v>-352404.7411418116</v>
      </c>
      <c r="L227" s="174">
        <f>-DATI!$I$16*DATI!$C$6*I227*DATI!$I$11*F227</f>
        <v>-1176558.6569504435</v>
      </c>
      <c r="M227" s="174">
        <f>IF(C227&gt;=(DATI!$D$26*10^-3),DATI!$D$30*DATI!$I$28,IF(C227&gt;=(-DATI!$D$26*10^-3),DATI!$I$28*DATI!$D$32*C227,-DATI!$D$30*DATI!$I$28))</f>
        <v>320367.94649255706</v>
      </c>
      <c r="N227" s="174">
        <f t="shared" si="20"/>
        <v>-1208595.451599698</v>
      </c>
      <c r="O227" s="174">
        <f>-L227*(DATI!$C$8/2-(J227*F227))-K227*(DATI!$C$13/2)+M227*(DATI!$C$13/2)</f>
        <v>226783945.38933176</v>
      </c>
      <c r="P227" s="176">
        <f>-N227/(DATI!$C$6*DATI!$C$13*DATI!$I$11*DATI!$I$16)</f>
        <v>0.62119880471199485</v>
      </c>
      <c r="Q227" s="176">
        <f>O227/(DATI!$C$6*DATI!$C$13^2*DATI!$I$11)</f>
        <v>0.27144886097888504</v>
      </c>
      <c r="R227" s="177">
        <f t="shared" si="21"/>
        <v>-187.64256070065488</v>
      </c>
      <c r="S227" s="173" t="str">
        <f>IF(R227&gt;=0, IF(R227&lt;=DATI!$C$8/6, "SI", "NO"),IF(R227&gt; -DATI!$C$8/6, "SI", "NO"))</f>
        <v>NO</v>
      </c>
      <c r="T227" s="174">
        <f t="shared" si="22"/>
        <v>-32.036794649254531</v>
      </c>
      <c r="U227" s="173" t="str">
        <f t="shared" si="23"/>
        <v/>
      </c>
    </row>
    <row r="228" spans="1:21" ht="18.75" x14ac:dyDescent="0.25">
      <c r="A228" s="122"/>
      <c r="B228" s="172">
        <f>DATI!$I$13*10^-3</f>
        <v>-4.0000000000000001E-3</v>
      </c>
      <c r="C228" s="172">
        <f>C227-(DATI!$D$24*10^-3/100)</f>
        <v>1.6000000000000059E-3</v>
      </c>
      <c r="D228" s="172">
        <f>(DATI!$I$13*(F228-DATI!$C$10))/(F228*1000)</f>
        <v>-3.4630136986301364E-3</v>
      </c>
      <c r="E228" s="173" t="s">
        <v>37</v>
      </c>
      <c r="F228" s="174">
        <f>(-DATI!$I$13*10^-3/(-DATI!$I$13*10^-3+C228))*DATI!$C$13</f>
        <v>260.71428571428544</v>
      </c>
      <c r="G228" s="175">
        <f t="shared" si="25"/>
        <v>46.169941388342075</v>
      </c>
      <c r="H228" s="175">
        <f t="shared" si="26"/>
        <v>104.21206925040394</v>
      </c>
      <c r="I228" s="175">
        <f>G228/(Foglio1!$P$3*(-DATI!$I$13))</f>
        <v>0.86174367388639628</v>
      </c>
      <c r="J228" s="175">
        <f t="shared" si="24"/>
        <v>0.43571474147074873</v>
      </c>
      <c r="K228" s="174">
        <f>IF(D228&gt;=(DATI!$D$26*10^-3),DATI!$D$30*DATI!$I$29,IF(D228&gt;=(-DATI!$D$26*10^-3),DATI!$D$32*D228*DATI!$I$29,-DATI!$D$30*DATI!$I$29))</f>
        <v>-352404.7411418116</v>
      </c>
      <c r="L228" s="174">
        <f>-DATI!$I$16*DATI!$C$6*I228*DATI!$I$11*F228</f>
        <v>-1197568.6329674157</v>
      </c>
      <c r="M228" s="174">
        <f>IF(C228&gt;=(DATI!$D$26*10^-3),DATI!$D$30*DATI!$I$28,IF(C228&gt;=(-DATI!$D$26*10^-3),DATI!$I$28*DATI!$D$32*C228,-DATI!$D$30*DATI!$I$28))</f>
        <v>301522.77316946554</v>
      </c>
      <c r="N228" s="174">
        <f t="shared" si="20"/>
        <v>-1248450.6009397616</v>
      </c>
      <c r="O228" s="174">
        <f>-L228*(DATI!$C$8/2-(J228*F228))-K228*(DATI!$C$13/2)+M228*(DATI!$C$13/2)</f>
        <v>222815224.97885597</v>
      </c>
      <c r="P228" s="176">
        <f>-N228/(DATI!$C$6*DATI!$C$13*DATI!$I$11*DATI!$I$16)</f>
        <v>0.64168371643236899</v>
      </c>
      <c r="Q228" s="176">
        <f>O228/(DATI!$C$6*DATI!$C$13^2*DATI!$I$11)</f>
        <v>0.26669850427652747</v>
      </c>
      <c r="R228" s="177">
        <f t="shared" si="21"/>
        <v>-178.4734011991612</v>
      </c>
      <c r="S228" s="173" t="str">
        <f>IF(R228&gt;=0, IF(R228&lt;=DATI!$C$8/6, "SI", "NO"),IF(R228&gt; -DATI!$C$8/6, "SI", "NO"))</f>
        <v>NO</v>
      </c>
      <c r="T228" s="174">
        <f t="shared" si="22"/>
        <v>-50.881967972346061</v>
      </c>
      <c r="U228" s="173" t="str">
        <f t="shared" si="23"/>
        <v/>
      </c>
    </row>
    <row r="229" spans="1:21" ht="18.75" x14ac:dyDescent="0.25">
      <c r="A229" s="122"/>
      <c r="B229" s="172">
        <f>DATI!$I$13*10^-3</f>
        <v>-4.0000000000000001E-3</v>
      </c>
      <c r="C229" s="172">
        <f>C228-(DATI!$D$24*10^-3/100)</f>
        <v>1.5000000000000059E-3</v>
      </c>
      <c r="D229" s="172">
        <f>(DATI!$I$13*(F229-DATI!$C$10))/(F229*1000)</f>
        <v>-3.4726027397260265E-3</v>
      </c>
      <c r="E229" s="173" t="s">
        <v>37</v>
      </c>
      <c r="F229" s="174">
        <f>(-DATI!$I$13*10^-3/(-DATI!$I$13*10^-3+C229))*DATI!$C$13</f>
        <v>265.45454545454515</v>
      </c>
      <c r="G229" s="175">
        <f t="shared" si="25"/>
        <v>46.169941388342075</v>
      </c>
      <c r="H229" s="175">
        <f t="shared" si="26"/>
        <v>104.21206925040394</v>
      </c>
      <c r="I229" s="175">
        <f>G229/(Foglio1!$P$3*(-DATI!$I$13))</f>
        <v>0.86174367388639628</v>
      </c>
      <c r="J229" s="175">
        <f t="shared" si="24"/>
        <v>0.43571474147074873</v>
      </c>
      <c r="K229" s="174">
        <f>IF(D229&gt;=(DATI!$D$26*10^-3),DATI!$D$30*DATI!$I$29,IF(D229&gt;=(-DATI!$D$26*10^-3),DATI!$D$32*D229*DATI!$I$29,-DATI!$D$30*DATI!$I$29))</f>
        <v>-352404.7411418116</v>
      </c>
      <c r="L229" s="174">
        <f>-DATI!$I$16*DATI!$C$6*I229*DATI!$I$11*F229</f>
        <v>-1219342.6081122777</v>
      </c>
      <c r="M229" s="174">
        <f>IF(C229&gt;=(DATI!$D$26*10^-3),DATI!$D$30*DATI!$I$28,IF(C229&gt;=(-DATI!$D$26*10^-3),DATI!$I$28*DATI!$D$32*C229,-DATI!$D$30*DATI!$I$28))</f>
        <v>282677.59984637401</v>
      </c>
      <c r="N229" s="174">
        <f t="shared" si="20"/>
        <v>-1289069.7494077154</v>
      </c>
      <c r="O229" s="174">
        <f>-L229*(DATI!$C$8/2-(J229*F229))-K229*(DATI!$C$13/2)+M229*(DATI!$C$13/2)</f>
        <v>218738884.86797267</v>
      </c>
      <c r="P229" s="176">
        <f>-N229/(DATI!$C$6*DATI!$C$13*DATI!$I$11*DATI!$I$16)</f>
        <v>0.66256131153113762</v>
      </c>
      <c r="Q229" s="176">
        <f>O229/(DATI!$C$6*DATI!$C$13^2*DATI!$I$11)</f>
        <v>0.26181933226035059</v>
      </c>
      <c r="R229" s="177">
        <f t="shared" si="21"/>
        <v>-169.68739276402684</v>
      </c>
      <c r="S229" s="173" t="str">
        <f>IF(R229&gt;=0, IF(R229&lt;=DATI!$C$8/6, "SI", "NO"),IF(R229&gt; -DATI!$C$8/6, "SI", "NO"))</f>
        <v>NO</v>
      </c>
      <c r="T229" s="174">
        <f t="shared" si="22"/>
        <v>-69.72714129543759</v>
      </c>
      <c r="U229" s="173" t="str">
        <f t="shared" si="23"/>
        <v/>
      </c>
    </row>
    <row r="230" spans="1:21" ht="18.75" x14ac:dyDescent="0.25">
      <c r="A230" s="122"/>
      <c r="B230" s="172">
        <f>DATI!$I$13*10^-3</f>
        <v>-4.0000000000000001E-3</v>
      </c>
      <c r="C230" s="172">
        <f>C229-(DATI!$D$24*10^-3/100)</f>
        <v>1.4000000000000058E-3</v>
      </c>
      <c r="D230" s="172">
        <f>(DATI!$I$13*(F230-DATI!$C$10))/(F230*1000)</f>
        <v>-3.482191780821917E-3</v>
      </c>
      <c r="E230" s="173" t="s">
        <v>37</v>
      </c>
      <c r="F230" s="174">
        <f>(-DATI!$I$13*10^-3/(-DATI!$I$13*10^-3+C230))*DATI!$C$13</f>
        <v>270.3703703703701</v>
      </c>
      <c r="G230" s="175">
        <f t="shared" si="25"/>
        <v>46.169941388342075</v>
      </c>
      <c r="H230" s="175">
        <f t="shared" si="26"/>
        <v>104.21206925040394</v>
      </c>
      <c r="I230" s="175">
        <f>G230/(Foglio1!$P$3*(-DATI!$I$13))</f>
        <v>0.86174367388639628</v>
      </c>
      <c r="J230" s="175">
        <f t="shared" si="24"/>
        <v>0.43571474147074873</v>
      </c>
      <c r="K230" s="174">
        <f>IF(D230&gt;=(DATI!$D$26*10^-3),DATI!$D$30*DATI!$I$29,IF(D230&gt;=(-DATI!$D$26*10^-3),DATI!$D$32*D230*DATI!$I$29,-DATI!$D$30*DATI!$I$29))</f>
        <v>-352404.7411418116</v>
      </c>
      <c r="L230" s="174">
        <f>-DATI!$I$16*DATI!$C$6*I230*DATI!$I$11*F230</f>
        <v>-1241923.0267810237</v>
      </c>
      <c r="M230" s="174">
        <f>IF(C230&gt;=(DATI!$D$26*10^-3),DATI!$D$30*DATI!$I$28,IF(C230&gt;=(-DATI!$D$26*10^-3),DATI!$I$28*DATI!$D$32*C230,-DATI!$D$30*DATI!$I$28))</f>
        <v>263832.42652328243</v>
      </c>
      <c r="N230" s="174">
        <f t="shared" si="20"/>
        <v>-1330495.341399553</v>
      </c>
      <c r="O230" s="174">
        <f>-L230*(DATI!$C$8/2-(J230*F230))-K230*(DATI!$C$13/2)+M230*(DATI!$C$13/2)</f>
        <v>214543946.04969999</v>
      </c>
      <c r="P230" s="176">
        <f>-N230/(DATI!$C$6*DATI!$C$13*DATI!$I$11*DATI!$I$16)</f>
        <v>0.68385340575154474</v>
      </c>
      <c r="Q230" s="176">
        <f>O230/(DATI!$C$6*DATI!$C$13^2*DATI!$I$11)</f>
        <v>0.25679820361678041</v>
      </c>
      <c r="R230" s="177">
        <f t="shared" si="21"/>
        <v>-161.25118170201213</v>
      </c>
      <c r="S230" s="173" t="str">
        <f>IF(R230&gt;=0, IF(R230&lt;=DATI!$C$8/6, "SI", "NO"),IF(R230&gt; -DATI!$C$8/6, "SI", "NO"))</f>
        <v>NO</v>
      </c>
      <c r="T230" s="174">
        <f t="shared" si="22"/>
        <v>-88.572314618529177</v>
      </c>
      <c r="U230" s="173" t="str">
        <f t="shared" si="23"/>
        <v/>
      </c>
    </row>
    <row r="231" spans="1:21" ht="18.75" x14ac:dyDescent="0.25">
      <c r="A231" s="122"/>
      <c r="B231" s="172">
        <f>DATI!$I$13*10^-3</f>
        <v>-4.0000000000000001E-3</v>
      </c>
      <c r="C231" s="172">
        <f>C230-(DATI!$D$24*10^-3/100)</f>
        <v>1.3000000000000058E-3</v>
      </c>
      <c r="D231" s="172">
        <f>(DATI!$I$13*(F231-DATI!$C$10))/(F231*1000)</f>
        <v>-3.491780821917808E-3</v>
      </c>
      <c r="E231" s="173" t="s">
        <v>37</v>
      </c>
      <c r="F231" s="174">
        <f>(-DATI!$I$13*10^-3/(-DATI!$I$13*10^-3+C231))*DATI!$C$13</f>
        <v>275.47169811320725</v>
      </c>
      <c r="G231" s="175">
        <f t="shared" si="25"/>
        <v>46.169941388342075</v>
      </c>
      <c r="H231" s="175">
        <f t="shared" si="26"/>
        <v>104.21206925040394</v>
      </c>
      <c r="I231" s="175">
        <f>G231/(Foglio1!$P$3*(-DATI!$I$13))</f>
        <v>0.86174367388639628</v>
      </c>
      <c r="J231" s="175">
        <f t="shared" si="24"/>
        <v>0.43571474147074873</v>
      </c>
      <c r="K231" s="174">
        <f>IF(D231&gt;=(DATI!$D$26*10^-3),DATI!$D$30*DATI!$I$29,IF(D231&gt;=(-DATI!$D$26*10^-3),DATI!$D$32*D231*DATI!$I$29,-DATI!$D$30*DATI!$I$29))</f>
        <v>-352404.7411418116</v>
      </c>
      <c r="L231" s="174">
        <f>-DATI!$I$16*DATI!$C$6*I231*DATI!$I$11*F231</f>
        <v>-1265355.5367202882</v>
      </c>
      <c r="M231" s="174">
        <f>IF(C231&gt;=(DATI!$D$26*10^-3),DATI!$D$30*DATI!$I$28,IF(C231&gt;=(-DATI!$D$26*10^-3),DATI!$I$28*DATI!$D$32*C231,-DATI!$D$30*DATI!$I$28))</f>
        <v>244987.25320019093</v>
      </c>
      <c r="N231" s="174">
        <f t="shared" si="20"/>
        <v>-1372773.0246619091</v>
      </c>
      <c r="O231" s="174">
        <f>-L231*(DATI!$C$8/2-(J231*F231))-K231*(DATI!$C$13/2)+M231*(DATI!$C$13/2)</f>
        <v>210218216.42393273</v>
      </c>
      <c r="P231" s="176">
        <f>-N231/(DATI!$C$6*DATI!$C$13*DATI!$I$11*DATI!$I$16)</f>
        <v>0.70558346130802263</v>
      </c>
      <c r="Q231" s="176">
        <f>O231/(DATI!$C$6*DATI!$C$13^2*DATI!$I$11)</f>
        <v>0.25162052502140497</v>
      </c>
      <c r="R231" s="177">
        <f t="shared" si="21"/>
        <v>-153.13399421998835</v>
      </c>
      <c r="S231" s="173" t="str">
        <f>IF(R231&gt;=0, IF(R231&lt;=DATI!$C$8/6, "SI", "NO"),IF(R231&gt; -DATI!$C$8/6, "SI", "NO"))</f>
        <v>NO</v>
      </c>
      <c r="T231" s="174">
        <f t="shared" si="22"/>
        <v>-107.41748794162066</v>
      </c>
      <c r="U231" s="173" t="str">
        <f t="shared" si="23"/>
        <v/>
      </c>
    </row>
    <row r="232" spans="1:21" ht="18.75" x14ac:dyDescent="0.25">
      <c r="A232" s="122"/>
      <c r="B232" s="172">
        <f>DATI!$I$13*10^-3</f>
        <v>-4.0000000000000001E-3</v>
      </c>
      <c r="C232" s="172">
        <f>C231-(DATI!$D$24*10^-3/100)</f>
        <v>1.2000000000000057E-3</v>
      </c>
      <c r="D232" s="172">
        <f>(DATI!$I$13*(F232-DATI!$C$10))/(F232*1000)</f>
        <v>-3.5013698630136977E-3</v>
      </c>
      <c r="E232" s="173" t="s">
        <v>37</v>
      </c>
      <c r="F232" s="174">
        <f>(-DATI!$I$13*10^-3/(-DATI!$I$13*10^-3+C232))*DATI!$C$13</f>
        <v>280.76923076923043</v>
      </c>
      <c r="G232" s="175">
        <f t="shared" si="25"/>
        <v>46.169941388342075</v>
      </c>
      <c r="H232" s="175">
        <f t="shared" si="26"/>
        <v>104.21206925040394</v>
      </c>
      <c r="I232" s="175">
        <f>G232/(Foglio1!$P$3*(-DATI!$I$13))</f>
        <v>0.86174367388639628</v>
      </c>
      <c r="J232" s="175">
        <f t="shared" ref="J232:J247" si="27">1-(H232/G232)/(-B232*10^3)</f>
        <v>0.43571474147074873</v>
      </c>
      <c r="K232" s="174">
        <f>IF(D232&gt;=(DATI!$D$26*10^-3),DATI!$D$30*DATI!$I$29,IF(D232&gt;=(-DATI!$D$26*10^-3),DATI!$D$32*D232*DATI!$I$29,-DATI!$D$30*DATI!$I$29))</f>
        <v>-352404.7411418116</v>
      </c>
      <c r="L232" s="174">
        <f>-DATI!$I$16*DATI!$C$6*I232*DATI!$I$11*F232</f>
        <v>-1289689.2970418322</v>
      </c>
      <c r="M232" s="174">
        <f>IF(C232&gt;=(DATI!$D$26*10^-3),DATI!$D$30*DATI!$I$28,IF(C232&gt;=(-DATI!$D$26*10^-3),DATI!$I$28*DATI!$D$32*C232,-DATI!$D$30*DATI!$I$28))</f>
        <v>226142.07987709937</v>
      </c>
      <c r="N232" s="174">
        <f t="shared" si="20"/>
        <v>-1415951.9583065445</v>
      </c>
      <c r="O232" s="174">
        <f>-L232*(DATI!$C$8/2-(J232*F232))-K232*(DATI!$C$13/2)+M232*(DATI!$C$13/2)</f>
        <v>205748136.47283065</v>
      </c>
      <c r="P232" s="176">
        <f>-N232/(DATI!$C$6*DATI!$C$13*DATI!$I$11*DATI!$I$16)</f>
        <v>0.72777674520072921</v>
      </c>
      <c r="Q232" s="176">
        <f>O232/(DATI!$C$6*DATI!$C$13^2*DATI!$I$11)</f>
        <v>0.2462700664202544</v>
      </c>
      <c r="R232" s="177">
        <f t="shared" si="21"/>
        <v>-145.30728621534737</v>
      </c>
      <c r="S232" s="173" t="str">
        <f>IF(R232&gt;=0, IF(R232&lt;=DATI!$C$8/6, "SI", "NO"),IF(R232&gt; -DATI!$C$8/6, "SI", "NO"))</f>
        <v>NO</v>
      </c>
      <c r="T232" s="174">
        <f t="shared" si="22"/>
        <v>-126.26266126471222</v>
      </c>
      <c r="U232" s="173" t="str">
        <f t="shared" si="23"/>
        <v/>
      </c>
    </row>
    <row r="233" spans="1:21" ht="18.75" x14ac:dyDescent="0.25">
      <c r="A233" s="122"/>
      <c r="B233" s="172">
        <f>DATI!$I$13*10^-3</f>
        <v>-4.0000000000000001E-3</v>
      </c>
      <c r="C233" s="172">
        <f>C232-(DATI!$D$24*10^-3/100)</f>
        <v>1.1000000000000057E-3</v>
      </c>
      <c r="D233" s="172">
        <f>(DATI!$I$13*(F233-DATI!$C$10))/(F233*1000)</f>
        <v>-3.5109589041095882E-3</v>
      </c>
      <c r="E233" s="173" t="s">
        <v>37</v>
      </c>
      <c r="F233" s="174">
        <f>(-DATI!$I$13*10^-3/(-DATI!$I$13*10^-3+C233))*DATI!$C$13</f>
        <v>286.27450980392126</v>
      </c>
      <c r="G233" s="175">
        <f t="shared" si="25"/>
        <v>46.169941388342075</v>
      </c>
      <c r="H233" s="175">
        <f t="shared" si="26"/>
        <v>104.21206925040394</v>
      </c>
      <c r="I233" s="175">
        <f>G233/(Foglio1!$P$3*(-DATI!$I$13))</f>
        <v>0.86174367388639628</v>
      </c>
      <c r="J233" s="175">
        <f t="shared" si="27"/>
        <v>0.43571474147074873</v>
      </c>
      <c r="K233" s="174">
        <f>IF(D233&gt;=(DATI!$D$26*10^-3),DATI!$D$30*DATI!$I$29,IF(D233&gt;=(-DATI!$D$26*10^-3),DATI!$D$32*D233*DATI!$I$29,-DATI!$D$30*DATI!$I$29))</f>
        <v>-352404.7411418116</v>
      </c>
      <c r="L233" s="174">
        <f>-DATI!$I$16*DATI!$C$6*I233*DATI!$I$11*F233</f>
        <v>-1314977.3224740252</v>
      </c>
      <c r="M233" s="174">
        <f>IF(C233&gt;=(DATI!$D$26*10^-3),DATI!$D$30*DATI!$I$28,IF(C233&gt;=(-DATI!$D$26*10^-3),DATI!$I$28*DATI!$D$32*C233,-DATI!$D$30*DATI!$I$28))</f>
        <v>207296.90655400784</v>
      </c>
      <c r="N233" s="174">
        <f t="shared" si="20"/>
        <v>-1460085.1570618288</v>
      </c>
      <c r="O233" s="174">
        <f>-L233*(DATI!$C$8/2-(J233*F233))-K233*(DATI!$C$13/2)+M233*(DATI!$C$13/2)</f>
        <v>201118602.26038358</v>
      </c>
      <c r="P233" s="176">
        <f>-N233/(DATI!$C$6*DATI!$C$13*DATI!$I$11*DATI!$I$16)</f>
        <v>0.75046050615532522</v>
      </c>
      <c r="Q233" s="176">
        <f>O233/(DATI!$C$6*DATI!$C$13^2*DATI!$I$11)</f>
        <v>0.24072874916927295</v>
      </c>
      <c r="R233" s="177">
        <f t="shared" si="21"/>
        <v>-137.74443311587407</v>
      </c>
      <c r="S233" s="173" t="str">
        <f>IF(R233&gt;=0, IF(R233&lt;=DATI!$C$8/6, "SI", "NO"),IF(R233&gt; -DATI!$C$8/6, "SI", "NO"))</f>
        <v>NO</v>
      </c>
      <c r="T233" s="174">
        <f t="shared" si="22"/>
        <v>-145.10783458780375</v>
      </c>
      <c r="U233" s="173" t="str">
        <f t="shared" si="23"/>
        <v/>
      </c>
    </row>
    <row r="234" spans="1:21" ht="18.75" x14ac:dyDescent="0.25">
      <c r="A234" s="122"/>
      <c r="B234" s="172">
        <f>DATI!$I$13*10^-3</f>
        <v>-4.0000000000000001E-3</v>
      </c>
      <c r="C234" s="172">
        <f>C233-(DATI!$D$24*10^-3/100)</f>
        <v>1.0000000000000057E-3</v>
      </c>
      <c r="D234" s="172">
        <f>(DATI!$I$13*(F234-DATI!$C$10))/(F234*1000)</f>
        <v>-3.5205479452054792E-3</v>
      </c>
      <c r="E234" s="173" t="s">
        <v>37</v>
      </c>
      <c r="F234" s="174">
        <f>(-DATI!$I$13*10^-3/(-DATI!$I$13*10^-3+C234))*DATI!$C$13</f>
        <v>291.99999999999966</v>
      </c>
      <c r="G234" s="175">
        <f t="shared" si="25"/>
        <v>46.169941388342075</v>
      </c>
      <c r="H234" s="175">
        <f t="shared" si="26"/>
        <v>104.21206925040394</v>
      </c>
      <c r="I234" s="175">
        <f>G234/(Foglio1!$P$3*(-DATI!$I$13))</f>
        <v>0.86174367388639628</v>
      </c>
      <c r="J234" s="175">
        <f t="shared" si="27"/>
        <v>0.43571474147074873</v>
      </c>
      <c r="K234" s="174">
        <f>IF(D234&gt;=(DATI!$D$26*10^-3),DATI!$D$30*DATI!$I$29,IF(D234&gt;=(-DATI!$D$26*10^-3),DATI!$D$32*D234*DATI!$I$29,-DATI!$D$30*DATI!$I$29))</f>
        <v>-352404.7411418116</v>
      </c>
      <c r="L234" s="174">
        <f>-DATI!$I$16*DATI!$C$6*I234*DATI!$I$11*F234</f>
        <v>-1341276.8689235055</v>
      </c>
      <c r="M234" s="174">
        <f>IF(C234&gt;=(DATI!$D$26*10^-3),DATI!$D$30*DATI!$I$28,IF(C234&gt;=(-DATI!$D$26*10^-3),DATI!$I$28*DATI!$D$32*C234,-DATI!$D$30*DATI!$I$28))</f>
        <v>188451.73323091632</v>
      </c>
      <c r="N234" s="174">
        <f t="shared" si="20"/>
        <v>-1505229.8768344009</v>
      </c>
      <c r="O234" s="174">
        <f>-L234*(DATI!$C$8/2-(J234*F234))-K234*(DATI!$C$13/2)+M234*(DATI!$C$13/2)</f>
        <v>196312761.93608359</v>
      </c>
      <c r="P234" s="176">
        <f>-N234/(DATI!$C$6*DATI!$C$13*DATI!$I$11*DATI!$I$16)</f>
        <v>0.77366417279552391</v>
      </c>
      <c r="Q234" s="176">
        <f>O234/(DATI!$C$6*DATI!$C$13^2*DATI!$I$11)</f>
        <v>0.23497640245955301</v>
      </c>
      <c r="R234" s="177">
        <f t="shared" si="21"/>
        <v>-130.42045268789272</v>
      </c>
      <c r="S234" s="173" t="str">
        <f>IF(R234&gt;=0, IF(R234&lt;=DATI!$C$8/6, "SI", "NO"),IF(R234&gt; -DATI!$C$8/6, "SI", "NO"))</f>
        <v>NO</v>
      </c>
      <c r="T234" s="174">
        <f t="shared" si="22"/>
        <v>-163.95300791089528</v>
      </c>
      <c r="U234" s="173" t="str">
        <f t="shared" si="23"/>
        <v/>
      </c>
    </row>
    <row r="235" spans="1:21" ht="18.75" x14ac:dyDescent="0.25">
      <c r="A235" s="122"/>
      <c r="B235" s="172">
        <f>DATI!$I$13*10^-3</f>
        <v>-4.0000000000000001E-3</v>
      </c>
      <c r="C235" s="172">
        <f>C234-(DATI!$D$24*10^-3/100)</f>
        <v>9.0000000000000561E-4</v>
      </c>
      <c r="D235" s="172">
        <f>(DATI!$I$13*(F235-DATI!$C$10))/(F235*1000)</f>
        <v>-3.5301369863013693E-3</v>
      </c>
      <c r="E235" s="173" t="s">
        <v>37</v>
      </c>
      <c r="F235" s="174">
        <f>(-DATI!$I$13*10^-3/(-DATI!$I$13*10^-3+C235))*DATI!$C$13</f>
        <v>297.95918367346906</v>
      </c>
      <c r="G235" s="175">
        <f t="shared" si="25"/>
        <v>46.169941388342075</v>
      </c>
      <c r="H235" s="175">
        <f t="shared" si="26"/>
        <v>104.21206925040394</v>
      </c>
      <c r="I235" s="175">
        <f>G235/(Foglio1!$P$3*(-DATI!$I$13))</f>
        <v>0.86174367388639628</v>
      </c>
      <c r="J235" s="175">
        <f t="shared" si="27"/>
        <v>0.43571474147074873</v>
      </c>
      <c r="K235" s="174">
        <f>IF(D235&gt;=(DATI!$D$26*10^-3),DATI!$D$30*DATI!$I$29,IF(D235&gt;=(-DATI!$D$26*10^-3),DATI!$D$32*D235*DATI!$I$29,-DATI!$D$30*DATI!$I$29))</f>
        <v>-352404.7411418116</v>
      </c>
      <c r="L235" s="174">
        <f>-DATI!$I$16*DATI!$C$6*I235*DATI!$I$11*F235</f>
        <v>-1368649.8662484752</v>
      </c>
      <c r="M235" s="174">
        <f>IF(C235&gt;=(DATI!$D$26*10^-3),DATI!$D$30*DATI!$I$28,IF(C235&gt;=(-DATI!$D$26*10^-3),DATI!$I$28*DATI!$D$32*C235,-DATI!$D$30*DATI!$I$28))</f>
        <v>169606.55990782479</v>
      </c>
      <c r="N235" s="174">
        <f t="shared" si="20"/>
        <v>-1551448.0474824621</v>
      </c>
      <c r="O235" s="174">
        <f>-L235*(DATI!$C$8/2-(J235*F235))-K235*(DATI!$C$13/2)+M235*(DATI!$C$13/2)</f>
        <v>191311781.19141984</v>
      </c>
      <c r="P235" s="176">
        <f>-N235/(DATI!$C$6*DATI!$C$13*DATI!$I$11*DATI!$I$16)</f>
        <v>0.79741957608166825</v>
      </c>
      <c r="Q235" s="176">
        <f>O235/(DATI!$C$6*DATI!$C$13^2*DATI!$I$11)</f>
        <v>0.22899048258067534</v>
      </c>
      <c r="R235" s="177">
        <f t="shared" si="21"/>
        <v>-123.31175478409467</v>
      </c>
      <c r="S235" s="173" t="str">
        <f>IF(R235&gt;=0, IF(R235&lt;=DATI!$C$8/6, "SI", "NO"),IF(R235&gt; -DATI!$C$8/6, "SI", "NO"))</f>
        <v>NO</v>
      </c>
      <c r="T235" s="174">
        <f t="shared" si="22"/>
        <v>-182.79818123398681</v>
      </c>
      <c r="U235" s="173" t="str">
        <f t="shared" si="23"/>
        <v/>
      </c>
    </row>
    <row r="236" spans="1:21" ht="18.75" x14ac:dyDescent="0.25">
      <c r="A236" s="122"/>
      <c r="B236" s="172">
        <f>DATI!$I$13*10^-3</f>
        <v>-4.0000000000000001E-3</v>
      </c>
      <c r="C236" s="172">
        <f>C235-(DATI!$D$24*10^-3/100)</f>
        <v>8.0000000000000557E-4</v>
      </c>
      <c r="D236" s="172">
        <f>(DATI!$I$13*(F236-DATI!$C$10))/(F236*1000)</f>
        <v>-3.5397260273972598E-3</v>
      </c>
      <c r="E236" s="173" t="s">
        <v>37</v>
      </c>
      <c r="F236" s="174">
        <f>(-DATI!$I$13*10^-3/(-DATI!$I$13*10^-3+C236))*DATI!$C$13</f>
        <v>304.16666666666629</v>
      </c>
      <c r="G236" s="175">
        <f t="shared" si="25"/>
        <v>46.169941388342075</v>
      </c>
      <c r="H236" s="175">
        <f t="shared" si="26"/>
        <v>104.21206925040394</v>
      </c>
      <c r="I236" s="175">
        <f>G236/(Foglio1!$P$3*(-DATI!$I$13))</f>
        <v>0.86174367388639628</v>
      </c>
      <c r="J236" s="175">
        <f t="shared" si="27"/>
        <v>0.43571474147074873</v>
      </c>
      <c r="K236" s="174">
        <f>IF(D236&gt;=(DATI!$D$26*10^-3),DATI!$D$30*DATI!$I$29,IF(D236&gt;=(-DATI!$D$26*10^-3),DATI!$D$32*D236*DATI!$I$29,-DATI!$D$30*DATI!$I$29))</f>
        <v>-352404.7411418116</v>
      </c>
      <c r="L236" s="174">
        <f>-DATI!$I$16*DATI!$C$6*I236*DATI!$I$11*F236</f>
        <v>-1397163.4051286515</v>
      </c>
      <c r="M236" s="174">
        <f>IF(C236&gt;=(DATI!$D$26*10^-3),DATI!$D$30*DATI!$I$28,IF(C236&gt;=(-DATI!$D$26*10^-3),DATI!$I$28*DATI!$D$32*C236,-DATI!$D$30*DATI!$I$28))</f>
        <v>150761.38658473323</v>
      </c>
      <c r="N236" s="174">
        <f t="shared" si="20"/>
        <v>-1598806.7596857301</v>
      </c>
      <c r="O236" s="174">
        <f>-L236*(DATI!$C$8/2-(J236*F236))-K236*(DATI!$C$13/2)+M236*(DATI!$C$13/2)</f>
        <v>186094572.22901013</v>
      </c>
      <c r="P236" s="176">
        <f>-N236/(DATI!$C$6*DATI!$C$13*DATI!$I$11*DATI!$I$16)</f>
        <v>0.82176119955412974</v>
      </c>
      <c r="Q236" s="176">
        <f>O236/(DATI!$C$6*DATI!$C$13^2*DATI!$I$11)</f>
        <v>0.22274574851052908</v>
      </c>
      <c r="R236" s="177">
        <f t="shared" si="21"/>
        <v>-116.39591282788288</v>
      </c>
      <c r="S236" s="173" t="str">
        <f>IF(R236&gt;=0, IF(R236&lt;=DATI!$C$8/6, "SI", "NO"),IF(R236&gt; -DATI!$C$8/6, "SI", "NO"))</f>
        <v>NO</v>
      </c>
      <c r="T236" s="174">
        <f t="shared" si="22"/>
        <v>-201.64335455707837</v>
      </c>
      <c r="U236" s="173" t="str">
        <f t="shared" si="23"/>
        <v/>
      </c>
    </row>
    <row r="237" spans="1:21" ht="18.75" x14ac:dyDescent="0.25">
      <c r="A237" s="122"/>
      <c r="B237" s="172">
        <f>DATI!$I$13*10^-3</f>
        <v>-4.0000000000000001E-3</v>
      </c>
      <c r="C237" s="172">
        <f>C236-(DATI!$D$24*10^-3/100)</f>
        <v>7.0000000000000552E-4</v>
      </c>
      <c r="D237" s="172">
        <f>(DATI!$I$13*(F237-DATI!$C$10))/(F237*1000)</f>
        <v>-3.5493150684931499E-3</v>
      </c>
      <c r="E237" s="173" t="s">
        <v>37</v>
      </c>
      <c r="F237" s="174">
        <f>(-DATI!$I$13*10^-3/(-DATI!$I$13*10^-3+C237))*DATI!$C$13</f>
        <v>310.63829787234005</v>
      </c>
      <c r="G237" s="175">
        <f t="shared" si="25"/>
        <v>46.169941388342075</v>
      </c>
      <c r="H237" s="175">
        <f t="shared" si="26"/>
        <v>104.21206925040394</v>
      </c>
      <c r="I237" s="175">
        <f>G237/(Foglio1!$P$3*(-DATI!$I$13))</f>
        <v>0.86174367388639628</v>
      </c>
      <c r="J237" s="175">
        <f t="shared" si="27"/>
        <v>0.43571474147074873</v>
      </c>
      <c r="K237" s="174">
        <f>IF(D237&gt;=(DATI!$D$26*10^-3),DATI!$D$30*DATI!$I$29,IF(D237&gt;=(-DATI!$D$26*10^-3),DATI!$D$32*D237*DATI!$I$29,-DATI!$D$30*DATI!$I$29))</f>
        <v>-352404.7411418116</v>
      </c>
      <c r="L237" s="174">
        <f>-DATI!$I$16*DATI!$C$6*I237*DATI!$I$11*F237</f>
        <v>-1426890.2860888354</v>
      </c>
      <c r="M237" s="174">
        <f>IF(C237&gt;=(DATI!$D$26*10^-3),DATI!$D$30*DATI!$I$28,IF(C237&gt;=(-DATI!$D$26*10^-3),DATI!$I$28*DATI!$D$32*C237,-DATI!$D$30*DATI!$I$28))</f>
        <v>131916.21326164171</v>
      </c>
      <c r="N237" s="174">
        <f t="shared" si="20"/>
        <v>-1647378.8139690051</v>
      </c>
      <c r="O237" s="174">
        <f>-L237*(DATI!$C$8/2-(J237*F237))-K237*(DATI!$C$13/2)+M237*(DATI!$C$13/2)</f>
        <v>180637479.71957484</v>
      </c>
      <c r="P237" s="176">
        <f>-N237/(DATI!$C$6*DATI!$C$13*DATI!$I$11*DATI!$I$16)</f>
        <v>0.84672646152267328</v>
      </c>
      <c r="Q237" s="176">
        <f>O237/(DATI!$C$6*DATI!$C$13^2*DATI!$I$11)</f>
        <v>0.21621388602176447</v>
      </c>
      <c r="R237" s="177">
        <f t="shared" si="21"/>
        <v>-109.65145246973746</v>
      </c>
      <c r="S237" s="173" t="str">
        <f>IF(R237&gt;=0, IF(R237&lt;=DATI!$C$8/6, "SI", "NO"),IF(R237&gt; -DATI!$C$8/6, "SI", "NO"))</f>
        <v>NO</v>
      </c>
      <c r="T237" s="174">
        <f t="shared" si="22"/>
        <v>-220.4885278801699</v>
      </c>
      <c r="U237" s="173" t="str">
        <f t="shared" si="23"/>
        <v/>
      </c>
    </row>
    <row r="238" spans="1:21" ht="18.75" x14ac:dyDescent="0.25">
      <c r="A238" s="122"/>
      <c r="B238" s="172">
        <f>DATI!$I$13*10^-3</f>
        <v>-4.0000000000000001E-3</v>
      </c>
      <c r="C238" s="172">
        <f>C237-(DATI!$D$24*10^-3/100)</f>
        <v>6.0000000000000548E-4</v>
      </c>
      <c r="D238" s="172">
        <f>(DATI!$I$13*(F238-DATI!$C$10))/(F238*1000)</f>
        <v>-3.5589041095890409E-3</v>
      </c>
      <c r="E238" s="173" t="s">
        <v>37</v>
      </c>
      <c r="F238" s="174">
        <f>(-DATI!$I$13*10^-3/(-DATI!$I$13*10^-3+C238))*DATI!$C$13</f>
        <v>317.39130434782578</v>
      </c>
      <c r="G238" s="175">
        <f t="shared" si="25"/>
        <v>46.169941388342075</v>
      </c>
      <c r="H238" s="175">
        <f t="shared" si="26"/>
        <v>104.21206925040394</v>
      </c>
      <c r="I238" s="175">
        <f>G238/(Foglio1!$P$3*(-DATI!$I$13))</f>
        <v>0.86174367388639628</v>
      </c>
      <c r="J238" s="175">
        <f t="shared" si="27"/>
        <v>0.43571474147074873</v>
      </c>
      <c r="K238" s="174">
        <f>IF(D238&gt;=(DATI!$D$26*10^-3),DATI!$D$30*DATI!$I$29,IF(D238&gt;=(-DATI!$D$26*10^-3),DATI!$D$32*D238*DATI!$I$29,-DATI!$D$30*DATI!$I$29))</f>
        <v>-352404.7411418116</v>
      </c>
      <c r="L238" s="174">
        <f>-DATI!$I$16*DATI!$C$6*I238*DATI!$I$11*F238</f>
        <v>-1457909.6401342454</v>
      </c>
      <c r="M238" s="174">
        <f>IF(C238&gt;=(DATI!$D$26*10^-3),DATI!$D$30*DATI!$I$28,IF(C238&gt;=(-DATI!$D$26*10^-3),DATI!$I$28*DATI!$D$32*C238,-DATI!$D$30*DATI!$I$28))</f>
        <v>113071.03993855018</v>
      </c>
      <c r="N238" s="174">
        <f t="shared" si="20"/>
        <v>-1697243.3413375069</v>
      </c>
      <c r="O238" s="174">
        <f>-L238*(DATI!$C$8/2-(J238*F238))-K238*(DATI!$C$13/2)+M238*(DATI!$C$13/2)</f>
        <v>174913915.89343804</v>
      </c>
      <c r="P238" s="176">
        <f>-N238/(DATI!$C$6*DATI!$C$13*DATI!$I$11*DATI!$I$16)</f>
        <v>0.87235603406313111</v>
      </c>
      <c r="Q238" s="176">
        <f>O238/(DATI!$C$6*DATI!$C$13^2*DATI!$I$11)</f>
        <v>0.20936307090485864</v>
      </c>
      <c r="R238" s="177">
        <f t="shared" si="21"/>
        <v>-103.05765333307934</v>
      </c>
      <c r="S238" s="173" t="str">
        <f>IF(R238&gt;=0, IF(R238&lt;=DATI!$C$8/6, "SI", "NO"),IF(R238&gt; -DATI!$C$8/6, "SI", "NO"))</f>
        <v>NO</v>
      </c>
      <c r="T238" s="174">
        <f t="shared" si="22"/>
        <v>-239.33370120326143</v>
      </c>
      <c r="U238" s="173" t="str">
        <f t="shared" si="23"/>
        <v/>
      </c>
    </row>
    <row r="239" spans="1:21" ht="18.75" x14ac:dyDescent="0.25">
      <c r="A239" s="122"/>
      <c r="B239" s="172">
        <f>DATI!$I$13*10^-3</f>
        <v>-4.0000000000000001E-3</v>
      </c>
      <c r="C239" s="172">
        <f>C238-(DATI!$D$24*10^-3/100)</f>
        <v>5.0000000000000543E-4</v>
      </c>
      <c r="D239" s="172">
        <f>(DATI!$I$13*(F239-DATI!$C$10))/(F239*1000)</f>
        <v>-3.5684931506849305E-3</v>
      </c>
      <c r="E239" s="173" t="s">
        <v>37</v>
      </c>
      <c r="F239" s="174">
        <f>(-DATI!$I$13*10^-3/(-DATI!$I$13*10^-3+C239))*DATI!$C$13</f>
        <v>324.444444444444</v>
      </c>
      <c r="G239" s="175">
        <f t="shared" si="25"/>
        <v>46.169941388342075</v>
      </c>
      <c r="H239" s="175">
        <f t="shared" si="26"/>
        <v>104.21206925040394</v>
      </c>
      <c r="I239" s="175">
        <f>G239/(Foglio1!$P$3*(-DATI!$I$13))</f>
        <v>0.86174367388639628</v>
      </c>
      <c r="J239" s="175">
        <f t="shared" si="27"/>
        <v>0.43571474147074873</v>
      </c>
      <c r="K239" s="174">
        <f>IF(D239&gt;=(DATI!$D$26*10^-3),DATI!$D$30*DATI!$I$29,IF(D239&gt;=(-DATI!$D$26*10^-3),DATI!$D$32*D239*DATI!$I$29,-DATI!$D$30*DATI!$I$29))</f>
        <v>-352404.7411418116</v>
      </c>
      <c r="L239" s="174">
        <f>-DATI!$I$16*DATI!$C$6*I239*DATI!$I$11*F239</f>
        <v>-1490307.632137228</v>
      </c>
      <c r="M239" s="174">
        <f>IF(C239&gt;=(DATI!$D$26*10^-3),DATI!$D$30*DATI!$I$28,IF(C239&gt;=(-DATI!$D$26*10^-3),DATI!$I$28*DATI!$D$32*C239,-DATI!$D$30*DATI!$I$28))</f>
        <v>94225.866615458654</v>
      </c>
      <c r="N239" s="174">
        <f t="shared" si="20"/>
        <v>-1748486.5066635811</v>
      </c>
      <c r="O239" s="174">
        <f>-L239*(DATI!$C$8/2-(J239*F239))-K239*(DATI!$C$13/2)+M239*(DATI!$C$13/2)</f>
        <v>168893935.27939397</v>
      </c>
      <c r="P239" s="176">
        <f>-N239/(DATI!$C$6*DATI!$C$13*DATI!$I$11*DATI!$I$16)</f>
        <v>0.8986942045469628</v>
      </c>
      <c r="Q239" s="176">
        <f>O239/(DATI!$C$6*DATI!$C$13^2*DATI!$I$11)</f>
        <v>0.2021574599521439</v>
      </c>
      <c r="R239" s="177">
        <f t="shared" si="21"/>
        <v>-96.594360114149936</v>
      </c>
      <c r="S239" s="173" t="str">
        <f>IF(R239&gt;=0, IF(R239&lt;=DATI!$C$8/6, "SI", "NO"),IF(R239&gt; -DATI!$C$8/6, "SI", "NO"))</f>
        <v>NO</v>
      </c>
      <c r="T239" s="174">
        <f t="shared" si="22"/>
        <v>-258.17887452635296</v>
      </c>
      <c r="U239" s="173" t="str">
        <f t="shared" si="23"/>
        <v/>
      </c>
    </row>
    <row r="240" spans="1:21" ht="18.75" x14ac:dyDescent="0.25">
      <c r="A240" s="122"/>
      <c r="B240" s="172">
        <f>DATI!$I$13*10^-3</f>
        <v>-4.0000000000000001E-3</v>
      </c>
      <c r="C240" s="172">
        <f>C239-(DATI!$D$24*10^-3/100)</f>
        <v>4.0000000000000544E-4</v>
      </c>
      <c r="D240" s="172">
        <f>(DATI!$I$13*(F240-DATI!$C$10))/(F240*1000)</f>
        <v>-3.5780821917808215E-3</v>
      </c>
      <c r="E240" s="173" t="s">
        <v>37</v>
      </c>
      <c r="F240" s="174">
        <f>(-DATI!$I$13*10^-3/(-DATI!$I$13*10^-3+C240))*DATI!$C$13</f>
        <v>331.81818181818142</v>
      </c>
      <c r="G240" s="175">
        <f t="shared" ref="G240:G247" si="28">$G$143</f>
        <v>46.169941388342075</v>
      </c>
      <c r="H240" s="175">
        <f t="shared" si="26"/>
        <v>104.21206925040394</v>
      </c>
      <c r="I240" s="175">
        <f>G240/(Foglio1!$P$3*(-DATI!$I$13))</f>
        <v>0.86174367388639628</v>
      </c>
      <c r="J240" s="175">
        <f t="shared" si="27"/>
        <v>0.43571474147074873</v>
      </c>
      <c r="K240" s="174">
        <f>IF(D240&gt;=(DATI!$D$26*10^-3),DATI!$D$30*DATI!$I$29,IF(D240&gt;=(-DATI!$D$26*10^-3),DATI!$D$32*D240*DATI!$I$29,-DATI!$D$30*DATI!$I$29))</f>
        <v>-352404.7411418116</v>
      </c>
      <c r="L240" s="174">
        <f>-DATI!$I$16*DATI!$C$6*I240*DATI!$I$11*F240</f>
        <v>-1524178.2601403471</v>
      </c>
      <c r="M240" s="174">
        <f>IF(C240&gt;=(DATI!$D$26*10^-3),DATI!$D$30*DATI!$I$28,IF(C240&gt;=(-DATI!$D$26*10^-3),DATI!$I$28*DATI!$D$32*C240,-DATI!$D$30*DATI!$I$28))</f>
        <v>75380.693292367127</v>
      </c>
      <c r="N240" s="174">
        <f t="shared" si="20"/>
        <v>-1801202.3079897917</v>
      </c>
      <c r="O240" s="174">
        <f>-L240*(DATI!$C$8/2-(J240*F240))-K240*(DATI!$C$13/2)+M240*(DATI!$C$13/2)</f>
        <v>162543737.58601528</v>
      </c>
      <c r="P240" s="176">
        <f>-N240/(DATI!$C$6*DATI!$C$13*DATI!$I$11*DATI!$I$16)</f>
        <v>0.92578928647030867</v>
      </c>
      <c r="Q240" s="176">
        <f>O240/(DATI!$C$6*DATI!$C$13^2*DATI!$I$11)</f>
        <v>0.19455659593198968</v>
      </c>
      <c r="R240" s="177">
        <f t="shared" si="21"/>
        <v>-90.241799527461239</v>
      </c>
      <c r="S240" s="173" t="str">
        <f>IF(R240&gt;=0, IF(R240&lt;=DATI!$C$8/6, "SI", "NO"),IF(R240&gt; -DATI!$C$8/6, "SI", "NO"))</f>
        <v>NO</v>
      </c>
      <c r="T240" s="174">
        <f t="shared" si="22"/>
        <v>-277.02404784944446</v>
      </c>
      <c r="U240" s="173" t="str">
        <f t="shared" si="23"/>
        <v/>
      </c>
    </row>
    <row r="241" spans="1:21" ht="18.75" x14ac:dyDescent="0.25">
      <c r="A241" s="122"/>
      <c r="B241" s="172">
        <f>DATI!$I$13*10^-3</f>
        <v>-4.0000000000000001E-3</v>
      </c>
      <c r="C241" s="172">
        <f>C240-(DATI!$D$24*10^-3/100)</f>
        <v>3.0000000000000545E-4</v>
      </c>
      <c r="D241" s="172">
        <f>(DATI!$I$13*(F241-DATI!$C$10))/(F241*1000)</f>
        <v>-3.5876712328767116E-3</v>
      </c>
      <c r="E241" s="173" t="s">
        <v>37</v>
      </c>
      <c r="F241" s="174">
        <f>(-DATI!$I$13*10^-3/(-DATI!$I$13*10^-3+C241))*DATI!$C$13</f>
        <v>339.53488372092983</v>
      </c>
      <c r="G241" s="175">
        <f t="shared" si="28"/>
        <v>46.169941388342075</v>
      </c>
      <c r="H241" s="175">
        <f t="shared" si="26"/>
        <v>104.21206925040394</v>
      </c>
      <c r="I241" s="175">
        <f>G241/(Foglio1!$P$3*(-DATI!$I$13))</f>
        <v>0.86174367388639628</v>
      </c>
      <c r="J241" s="175">
        <f t="shared" si="27"/>
        <v>0.43571474147074873</v>
      </c>
      <c r="K241" s="174">
        <f>IF(D241&gt;=(DATI!$D$26*10^-3),DATI!$D$30*DATI!$I$29,IF(D241&gt;=(-DATI!$D$26*10^-3),DATI!$D$32*D241*DATI!$I$29,-DATI!$D$30*DATI!$I$29))</f>
        <v>-352404.7411418116</v>
      </c>
      <c r="L241" s="174">
        <f>-DATI!$I$16*DATI!$C$6*I241*DATI!$I$11*F241</f>
        <v>-1559624.2661901226</v>
      </c>
      <c r="M241" s="174">
        <f>IF(C241&gt;=(DATI!$D$26*10^-3),DATI!$D$30*DATI!$I$28,IF(C241&gt;=(-DATI!$D$26*10^-3),DATI!$I$28*DATI!$D$32*C241,-DATI!$D$30*DATI!$I$28))</f>
        <v>56535.5199692756</v>
      </c>
      <c r="N241" s="174">
        <f t="shared" si="20"/>
        <v>-1855493.4873626586</v>
      </c>
      <c r="O241" s="174">
        <f>-L241*(DATI!$C$8/2-(J241*F241))-K241*(DATI!$C$13/2)+M241*(DATI!$C$13/2)</f>
        <v>155825084.71767685</v>
      </c>
      <c r="P241" s="176">
        <f>-N241/(DATI!$C$6*DATI!$C$13*DATI!$I$11*DATI!$I$16)</f>
        <v>0.95369408760801788</v>
      </c>
      <c r="Q241" s="176">
        <f>O241/(DATI!$C$6*DATI!$C$13^2*DATI!$I$11)</f>
        <v>0.18651470978660128</v>
      </c>
      <c r="R241" s="177">
        <f t="shared" si="21"/>
        <v>-83.980399704426787</v>
      </c>
      <c r="S241" s="173" t="str">
        <f>IF(R241&gt;=0, IF(R241&lt;=DATI!$C$8/6, "SI", "NO"),IF(R241&gt; -DATI!$C$8/6, "SI", "NO"))</f>
        <v>NO</v>
      </c>
      <c r="T241" s="174">
        <f t="shared" si="22"/>
        <v>-295.86922117253602</v>
      </c>
      <c r="U241" s="173" t="str">
        <f t="shared" si="23"/>
        <v/>
      </c>
    </row>
    <row r="242" spans="1:21" ht="18.75" x14ac:dyDescent="0.25">
      <c r="A242" s="122"/>
      <c r="B242" s="172">
        <f>DATI!$I$13*10^-3</f>
        <v>-4.0000000000000001E-3</v>
      </c>
      <c r="C242" s="172">
        <f>C241-(DATI!$D$24*10^-3/100)</f>
        <v>2.0000000000000546E-4</v>
      </c>
      <c r="D242" s="172">
        <f>(DATI!$I$13*(F242-DATI!$C$10))/(F242*1000)</f>
        <v>-3.5972602739726025E-3</v>
      </c>
      <c r="E242" s="173" t="s">
        <v>37</v>
      </c>
      <c r="F242" s="174">
        <f>(-DATI!$I$13*10^-3/(-DATI!$I$13*10^-3+C242))*DATI!$C$13</f>
        <v>347.61904761904714</v>
      </c>
      <c r="G242" s="175">
        <f t="shared" si="28"/>
        <v>46.169941388342075</v>
      </c>
      <c r="H242" s="175">
        <f t="shared" si="26"/>
        <v>104.21206925040394</v>
      </c>
      <c r="I242" s="175">
        <f>G242/(Foglio1!$P$3*(-DATI!$I$13))</f>
        <v>0.86174367388639628</v>
      </c>
      <c r="J242" s="175">
        <f t="shared" si="27"/>
        <v>0.43571474147074873</v>
      </c>
      <c r="K242" s="174">
        <f>IF(D242&gt;=(DATI!$D$26*10^-3),DATI!$D$30*DATI!$I$29,IF(D242&gt;=(-DATI!$D$26*10^-3),DATI!$D$32*D242*DATI!$I$29,-DATI!$D$30*DATI!$I$29))</f>
        <v>-352404.7411418116</v>
      </c>
      <c r="L242" s="174">
        <f>-DATI!$I$16*DATI!$C$6*I242*DATI!$I$11*F242</f>
        <v>-1596758.1772898871</v>
      </c>
      <c r="M242" s="174">
        <f>IF(C242&gt;=(DATI!$D$26*10^-3),DATI!$D$30*DATI!$I$28,IF(C242&gt;=(-DATI!$D$26*10^-3),DATI!$I$28*DATI!$D$32*C242,-DATI!$D$30*DATI!$I$28))</f>
        <v>37690.34664618408</v>
      </c>
      <c r="N242" s="174">
        <f t="shared" si="20"/>
        <v>-1911472.5717855147</v>
      </c>
      <c r="O242" s="174">
        <f>-L242*(DATI!$C$8/2-(J242*F242))-K242*(DATI!$C$13/2)+M242*(DATI!$C$13/2)</f>
        <v>148694614.79895747</v>
      </c>
      <c r="P242" s="176">
        <f>-N242/(DATI!$C$6*DATI!$C$13*DATI!$I$11*DATI!$I$16)</f>
        <v>0.98246644504683089</v>
      </c>
      <c r="Q242" s="176">
        <f>O242/(DATI!$C$6*DATI!$C$13^2*DATI!$I$11)</f>
        <v>0.17797989955407928</v>
      </c>
      <c r="R242" s="177">
        <f t="shared" si="21"/>
        <v>-77.790608661499746</v>
      </c>
      <c r="S242" s="173" t="str">
        <f>IF(R242&gt;=0, IF(R242&lt;=DATI!$C$8/6, "SI", "NO"),IF(R242&gt; -DATI!$C$8/6, "SI", "NO"))</f>
        <v>NO</v>
      </c>
      <c r="T242" s="174">
        <f t="shared" si="22"/>
        <v>-314.71439449562752</v>
      </c>
      <c r="U242" s="173" t="str">
        <f t="shared" si="23"/>
        <v/>
      </c>
    </row>
    <row r="243" spans="1:21" ht="18.75" x14ac:dyDescent="0.25">
      <c r="A243" s="122"/>
      <c r="B243" s="172">
        <f>DATI!$I$13*10^-3</f>
        <v>-4.0000000000000001E-3</v>
      </c>
      <c r="C243" s="172">
        <f>C242-(DATI!$D$24*10^-3/100)</f>
        <v>1.0000000000000545E-4</v>
      </c>
      <c r="D243" s="172">
        <f>(DATI!$I$13*(F243-DATI!$C$10))/(F243*1000)</f>
        <v>-3.6068493150684922E-3</v>
      </c>
      <c r="E243" s="173" t="s">
        <v>37</v>
      </c>
      <c r="F243" s="174">
        <f>(-DATI!$I$13*10^-3/(-DATI!$I$13*10^-3+C243))*DATI!$C$13</f>
        <v>356.09756097560927</v>
      </c>
      <c r="G243" s="175">
        <f t="shared" si="28"/>
        <v>46.169941388342075</v>
      </c>
      <c r="H243" s="175">
        <f t="shared" si="26"/>
        <v>104.21206925040394</v>
      </c>
      <c r="I243" s="175">
        <f>G243/(Foglio1!$P$3*(-DATI!$I$13))</f>
        <v>0.86174367388639628</v>
      </c>
      <c r="J243" s="175">
        <f t="shared" si="27"/>
        <v>0.43571474147074873</v>
      </c>
      <c r="K243" s="174">
        <f>IF(D243&gt;=(DATI!$D$26*10^-3),DATI!$D$30*DATI!$I$29,IF(D243&gt;=(-DATI!$D$26*10^-3),DATI!$D$32*D243*DATI!$I$29,-DATI!$D$30*DATI!$I$29))</f>
        <v>-352404.7411418116</v>
      </c>
      <c r="L243" s="174">
        <f>-DATI!$I$16*DATI!$C$6*I243*DATI!$I$11*F243</f>
        <v>-1635703.4986872014</v>
      </c>
      <c r="M243" s="174">
        <f>IF(C243&gt;=(DATI!$D$26*10^-3),DATI!$D$30*DATI!$I$28,IF(C243&gt;=(-DATI!$D$26*10^-3),DATI!$I$28*DATI!$D$32*C243,-DATI!$D$30*DATI!$I$28))</f>
        <v>18845.173323092553</v>
      </c>
      <c r="N243" s="174">
        <f t="shared" si="20"/>
        <v>-1969263.0665059206</v>
      </c>
      <c r="O243" s="174">
        <f>-L243*(DATI!$C$8/2-(J243*F243))-K243*(DATI!$C$13/2)+M243*(DATI!$C$13/2)</f>
        <v>141103032.17660075</v>
      </c>
      <c r="P243" s="176">
        <f>-N243/(DATI!$C$6*DATI!$C$13*DATI!$I$11*DATI!$I$16)</f>
        <v>1.0121698385160969</v>
      </c>
      <c r="Q243" s="176">
        <f>O243/(DATI!$C$6*DATI!$C$13^2*DATI!$I$11)</f>
        <v>0.16889316084191838</v>
      </c>
      <c r="R243" s="177">
        <f t="shared" si="21"/>
        <v>-71.65270835397375</v>
      </c>
      <c r="S243" s="173" t="str">
        <f>IF(R243&gt;=0, IF(R243&lt;=DATI!$C$8/6, "SI", "NO"),IF(R243&gt; -DATI!$C$8/6, "SI", "NO"))</f>
        <v>NO</v>
      </c>
      <c r="T243" s="174">
        <f t="shared" si="22"/>
        <v>-333.55956781871902</v>
      </c>
      <c r="U243" s="173" t="str">
        <f t="shared" si="23"/>
        <v/>
      </c>
    </row>
    <row r="244" spans="1:21" ht="18.75" x14ac:dyDescent="0.25">
      <c r="A244" s="122"/>
      <c r="B244" s="172">
        <f>DATI!$I$13*10^-3</f>
        <v>-4.0000000000000001E-3</v>
      </c>
      <c r="C244" s="172">
        <f>C243-(DATI!$D$24*10^-3/100)</f>
        <v>5.4481159167396598E-18</v>
      </c>
      <c r="D244" s="172">
        <f>(DATI!$I$13*(F244-DATI!$C$10))/(F244*1000)</f>
        <v>-3.6164383561643832E-3</v>
      </c>
      <c r="E244" s="173" t="s">
        <v>37</v>
      </c>
      <c r="F244" s="174">
        <f>(-DATI!$I$13*10^-3/(-DATI!$I$13*10^-3+C244))*DATI!$C$13</f>
        <v>364.99999999999949</v>
      </c>
      <c r="G244" s="175">
        <f t="shared" si="28"/>
        <v>46.169941388342075</v>
      </c>
      <c r="H244" s="175">
        <f t="shared" si="26"/>
        <v>104.21206925040394</v>
      </c>
      <c r="I244" s="175">
        <f>G244/(Foglio1!$P$3*(-DATI!$I$13))</f>
        <v>0.86174367388639628</v>
      </c>
      <c r="J244" s="175">
        <f t="shared" si="27"/>
        <v>0.43571474147074873</v>
      </c>
      <c r="K244" s="174">
        <f>IF(D244&gt;=(DATI!$D$26*10^-3),DATI!$D$30*DATI!$I$29,IF(D244&gt;=(-DATI!$D$26*10^-3),DATI!$D$32*D244*DATI!$I$29,-DATI!$D$30*DATI!$I$29))</f>
        <v>-352404.7411418116</v>
      </c>
      <c r="L244" s="174">
        <f>-DATI!$I$16*DATI!$C$6*I244*DATI!$I$11*F244</f>
        <v>-1676596.0861543815</v>
      </c>
      <c r="M244" s="174">
        <f>IF(C244&gt;=(DATI!$D$26*10^-3),DATI!$D$30*DATI!$I$28,IF(C244&gt;=(-DATI!$D$26*10^-3),DATI!$I$28*DATI!$D$32*C244,-DATI!$D$30*DATI!$I$28))</f>
        <v>1.0267068873525256E-9</v>
      </c>
      <c r="N244" s="174">
        <f t="shared" si="20"/>
        <v>-2029000.8272961923</v>
      </c>
      <c r="O244" s="174">
        <f>-L244*(DATI!$C$8/2-(J244*F244))-K244*(DATI!$C$13/2)+M244*(DATI!$C$13/2)</f>
        <v>132994147.45544417</v>
      </c>
      <c r="P244" s="176">
        <f>-N244/(DATI!$C$6*DATI!$C$13*DATI!$I$11*DATI!$I$16)</f>
        <v>1.0428740957180995</v>
      </c>
      <c r="Q244" s="176">
        <f>O244/(DATI!$C$6*DATI!$C$13^2*DATI!$I$11)</f>
        <v>0.15918723779878491</v>
      </c>
      <c r="R244" s="177">
        <f t="shared" si="21"/>
        <v>-65.546620615561622</v>
      </c>
      <c r="S244" s="173" t="str">
        <f>IF(R244&gt;=0, IF(R244&lt;=DATI!$C$8/6, "SI", "NO"),IF(R244&gt; -DATI!$C$8/6, "SI", "NO"))</f>
        <v>SI</v>
      </c>
      <c r="T244" s="174">
        <f t="shared" si="22"/>
        <v>-352.40474114181058</v>
      </c>
      <c r="U244" s="173" t="str">
        <f t="shared" si="23"/>
        <v/>
      </c>
    </row>
    <row r="245" spans="1:21" ht="26.25" x14ac:dyDescent="0.25">
      <c r="A245" s="178"/>
      <c r="B245" s="172">
        <f>DATI!$I$13*10^-3</f>
        <v>-4.0000000000000001E-3</v>
      </c>
      <c r="C245" s="172">
        <f>$C$244</f>
        <v>5.4481159167396598E-18</v>
      </c>
      <c r="D245" s="172">
        <f>((DATI!$C$13+F245-DATI!$C$8)/F245*B245)</f>
        <v>-3.616438356164384E-3</v>
      </c>
      <c r="E245" s="179" t="str">
        <f>IF(((F245-DATI!$C$8)/F245*B245)&gt;0,"&gt;0,0000",(F245-DATI!$C$8)/F245*B245)</f>
        <v>&gt;0,0000</v>
      </c>
      <c r="F245" s="174">
        <f>(-DATI!$I$13*10^-3/(-DATI!$I$13*10^-3+C245))*DATI!$C$13</f>
        <v>364.99999999999949</v>
      </c>
      <c r="G245" s="175">
        <f t="shared" si="28"/>
        <v>46.169941388342075</v>
      </c>
      <c r="H245" s="175">
        <f>H244</f>
        <v>104.21206925040394</v>
      </c>
      <c r="I245" s="175">
        <f>G245/(Foglio1!$P$3*(-DATI!$I$13))</f>
        <v>0.86174367388639628</v>
      </c>
      <c r="J245" s="175">
        <f t="shared" si="27"/>
        <v>0.43571474147074873</v>
      </c>
      <c r="K245" s="174">
        <f>IF(D245&gt;=(DATI!$D$26*10^-3),DATI!$D$30*DATI!$I$29,IF(D245&gt;=(-DATI!$D$26*10^-3),DATI!$D$32*D245*DATI!$I$29,-DATI!$D$30*DATI!$I$29))</f>
        <v>-352404.7411418116</v>
      </c>
      <c r="L245" s="174">
        <f>IF(F245&lt;DATI!$C$8,( -DATI!$I$16*DATI!$C$6*I245*DATI!$I$11*F245),( -DATI!$I$16*DATI!$C$6*I245*Foglio1!L3*DATI!$C$8))</f>
        <v>-1676596.0861543815</v>
      </c>
      <c r="M245" s="174">
        <f>IF(C245&gt;=(DATI!$D$26*10^-3),DATI!$D$30*DATI!$I$28,IF(C245&gt;=(-DATI!$D$26*10^-3),DATI!$I$28*DATI!$D$32*C245,-DATI!$D$30*DATI!$I$28))</f>
        <v>1.0267068873525256E-9</v>
      </c>
      <c r="N245" s="174">
        <f t="shared" si="20"/>
        <v>-2029000.8272961923</v>
      </c>
      <c r="O245" s="174">
        <f>IF(F245&lt;=DATI!$C$8,-L245*(DATI!$C$8/2-(J245*F245))-K245*(DATI!$C$13/2)+M245*(DATI!$C$13/2),-L245*(DATI!$C$8/2-(J245*DATI!$C$8))-K245*(DATI!$C$13/2)+M245*(DATI!$C$13/2))</f>
        <v>132994147.45544417</v>
      </c>
      <c r="P245" s="176">
        <f>-N245/(DATI!$C$6*DATI!$C$13*DATI!$I$11*DATI!$I$16)</f>
        <v>1.0428740957180995</v>
      </c>
      <c r="Q245" s="176">
        <f>O245/(DATI!$C$6*DATI!$C$13^2*DATI!$I$11)</f>
        <v>0.15918723779878491</v>
      </c>
      <c r="R245" s="175">
        <f t="shared" si="21"/>
        <v>-65.546620615561622</v>
      </c>
      <c r="S245" s="173" t="str">
        <f>IF(R245&gt;=0, IF(R245&lt;=DATI!$C$8/6, "SI", "NO"),IF(R245&gt; -DATI!$C$8/6, "SI", "NO"))</f>
        <v>SI</v>
      </c>
      <c r="T245" s="174">
        <f t="shared" si="22"/>
        <v>-352.40474114181058</v>
      </c>
      <c r="U245" s="173" t="str">
        <f t="shared" si="23"/>
        <v/>
      </c>
    </row>
    <row r="246" spans="1:21" ht="18.75" x14ac:dyDescent="0.25">
      <c r="A246" s="122"/>
      <c r="B246" s="172">
        <f>DATI!$I$13*10^-3</f>
        <v>-4.0000000000000001E-3</v>
      </c>
      <c r="C246" s="172">
        <f>C245-0.0001</f>
        <v>-9.9999999999994557E-5</v>
      </c>
      <c r="D246" s="172">
        <f>((DATI!$C$13+F246-DATI!$C$8)/F246*B246)</f>
        <v>-3.6260273972602741E-3</v>
      </c>
      <c r="E246" s="179" t="str">
        <f>IF(((F246-DATI!$C$8)/F246*B246)&gt;0,"&gt;0,0000",(F246-DATI!$C$8)/F246*B246)</f>
        <v>&gt;0,0000</v>
      </c>
      <c r="F246" s="174">
        <f>(-DATI!$I$13*10^-3/(-DATI!$I$13*10^-3+C246))*DATI!$C$13</f>
        <v>374.35897435897385</v>
      </c>
      <c r="G246" s="175">
        <f t="shared" si="28"/>
        <v>46.169941388342075</v>
      </c>
      <c r="H246" s="175">
        <f>H245</f>
        <v>104.21206925040394</v>
      </c>
      <c r="I246" s="175">
        <f>G246/(Foglio1!$P$3*(-DATI!$I$13))</f>
        <v>0.86174367388639628</v>
      </c>
      <c r="J246" s="175">
        <f t="shared" si="27"/>
        <v>0.43571474147074873</v>
      </c>
      <c r="K246" s="174">
        <f>IF(D246&gt;=(DATI!$D$26*10^-3),DATI!$D$30*DATI!$I$29,IF(D246&gt;=(-DATI!$D$26*10^-3),DATI!$D$32*D246*DATI!$I$29,-DATI!$D$30*DATI!$I$29))</f>
        <v>-352404.7411418116</v>
      </c>
      <c r="L246" s="174">
        <f>IF(F246&lt;DATI!$C$8,( -DATI!$I$16*DATI!$C$6*I246*DATI!$I$11*F246),( -DATI!$I$16*DATI!$C$6*I246*Foglio1!L4*DATI!$C$8))</f>
        <v>-1719585.7293891092</v>
      </c>
      <c r="M246" s="174">
        <f>IF(C246&gt;=(DATI!$D$26*10^-3),DATI!$D$30*DATI!$I$28,IF(C246&gt;=(-DATI!$D$26*10^-3),DATI!$I$28*DATI!$D$32*C246,-DATI!$D$30*DATI!$I$28))</f>
        <v>-18845.173323090497</v>
      </c>
      <c r="N246" s="174">
        <f t="shared" si="20"/>
        <v>-2090835.6438540111</v>
      </c>
      <c r="O246" s="174">
        <f>IF(F246&lt;=DATI!$C$8,-L246*(DATI!$C$8/2-(J246*F246))-K246*(DATI!$C$13/2)+M246*(DATI!$C$13/2),-L246*(DATI!$C$8/2-(J246*DATI!$C$8))-K246*(DATI!$C$13/2)+M246*(DATI!$C$13/2))</f>
        <v>124303735.41098385</v>
      </c>
      <c r="P246" s="176">
        <f>-N246/(DATI!$C$6*DATI!$C$13*DATI!$I$11*DATI!$I$16)</f>
        <v>1.0746562061707416</v>
      </c>
      <c r="Q246" s="176">
        <f>O246/(DATI!$C$6*DATI!$C$13^2*DATI!$I$11)</f>
        <v>0.14878525609388019</v>
      </c>
      <c r="R246" s="175">
        <f t="shared" si="21"/>
        <v>-59.451700938987408</v>
      </c>
      <c r="S246" s="173" t="str">
        <f>IF(R246&gt;=0, IF(R246&lt;=DATI!$C$8/6, "SI", "NO"),IF(R246&gt; -DATI!$C$8/6, "SI", "NO"))</f>
        <v>SI</v>
      </c>
      <c r="T246" s="174">
        <f t="shared" si="22"/>
        <v>-371.24991446490208</v>
      </c>
      <c r="U246" s="173" t="str">
        <f t="shared" si="23"/>
        <v/>
      </c>
    </row>
    <row r="247" spans="1:21" ht="18.75" x14ac:dyDescent="0.25">
      <c r="A247" s="122"/>
      <c r="B247" s="180">
        <f>DATI!$I$13*10^-3</f>
        <v>-4.0000000000000001E-3</v>
      </c>
      <c r="C247" s="180">
        <f>C246-0.0001</f>
        <v>-1.9999999999999456E-4</v>
      </c>
      <c r="D247" s="180">
        <f>((DATI!$C$13+F247-DATI!$C$8)/F247*B247)</f>
        <v>-3.6356164383561642E-3</v>
      </c>
      <c r="E247" s="181" t="str">
        <f>IF(((F247-DATI!$C$8)/F247*B247)&gt;0,"&gt;0,0000",(F247-DATI!$C$8)/F247*B247)</f>
        <v>&gt;0,0000</v>
      </c>
      <c r="F247" s="182">
        <f>(-DATI!$I$13*10^-3/(-DATI!$I$13*10^-3+C247))*DATI!$C$13</f>
        <v>384.21052631578891</v>
      </c>
      <c r="G247" s="183">
        <f t="shared" si="28"/>
        <v>46.169941388342075</v>
      </c>
      <c r="H247" s="183">
        <f>H246</f>
        <v>104.21206925040394</v>
      </c>
      <c r="I247" s="183">
        <f>G247/(Foglio1!$P$3*(-DATI!$I$13))</f>
        <v>0.86174367388639628</v>
      </c>
      <c r="J247" s="183">
        <f t="shared" si="27"/>
        <v>0.43571474147074873</v>
      </c>
      <c r="K247" s="182">
        <f>IF(D247&gt;=(DATI!$D$26*10^-3),DATI!$D$30*DATI!$I$29,IF(D247&gt;=(-DATI!$D$26*10^-3),DATI!$D$32*D247*DATI!$I$29,-DATI!$D$30*DATI!$I$29))</f>
        <v>-352404.7411418116</v>
      </c>
      <c r="L247" s="182">
        <f>IF(F247&lt;DATI!$C$8,( -DATI!$I$16*DATI!$C$6*I247*DATI!$I$11*F247),( -DATI!$I$16*DATI!$C$6*I247*Foglio1!L5*DATI!$C$8))</f>
        <v>-1764837.9854256646</v>
      </c>
      <c r="M247" s="182">
        <f>IF(C247&gt;=(DATI!$D$26*10^-3),DATI!$D$30*DATI!$I$28,IF(C247&gt;=(-DATI!$D$26*10^-3),DATI!$I$28*DATI!$D$32*C247,-DATI!$D$30*DATI!$I$28))</f>
        <v>-37690.346646182028</v>
      </c>
      <c r="N247" s="182">
        <f t="shared" si="20"/>
        <v>-2154933.0732136583</v>
      </c>
      <c r="O247" s="182">
        <f>IF(F247&lt;=DATI!$C$8,-L247*(DATI!$C$8/2-(J247*F247))-K247*(DATI!$C$13/2)+M247*(DATI!$C$13/2),-L247*(DATI!$C$8/2-(J247*DATI!$C$8))-K247*(DATI!$C$13/2)+M247*(DATI!$C$13/2))</f>
        <v>114958170.71901979</v>
      </c>
      <c r="P247" s="184">
        <f>-N247/(DATI!$C$6*DATI!$C$13*DATI!$I$11*DATI!$I$16)</f>
        <v>1.1076012635517059</v>
      </c>
      <c r="Q247" s="184">
        <f>O247/(DATI!$C$6*DATI!$C$13^2*DATI!$I$11)</f>
        <v>0.13759908995463696</v>
      </c>
      <c r="R247" s="183">
        <f t="shared" si="21"/>
        <v>-53.3465155591038</v>
      </c>
      <c r="S247" s="185" t="str">
        <f>IF(R247&gt;=0, IF(R247&lt;=DATI!$C$8/6, "SI", "NO"),IF(R247&gt; -DATI!$C$8/6, "SI", "NO"))</f>
        <v>SI</v>
      </c>
      <c r="T247" s="182">
        <f t="shared" si="22"/>
        <v>-390.09508778799358</v>
      </c>
      <c r="U247" s="185" t="str">
        <f t="shared" si="23"/>
        <v/>
      </c>
    </row>
    <row r="248" spans="1:21" ht="18.75" customHeight="1" x14ac:dyDescent="0.25">
      <c r="A248" s="251" t="s">
        <v>55</v>
      </c>
      <c r="B248" s="186">
        <f>DATI!$I$13*10^-3</f>
        <v>-4.0000000000000001E-3</v>
      </c>
      <c r="C248" s="186">
        <f>(F248-DATI!$C$13)/(F248-DATI!$C$8+(DATI!$I$14*10^-3)*DATI!$C$8/(DATI!$I$13*10^-3))*(DATI!$I$14*10^-3)</f>
        <v>-3.5E-4</v>
      </c>
      <c r="D248" s="186">
        <f>(F248-DATI!$C$10)/(F248-DATI!$C$8+(DATI!$I$14*10^-3)*DATI!$C$8/(DATI!$I$13*10^-3))*(DATI!$I$14*10^-3)</f>
        <v>-3.65E-3</v>
      </c>
      <c r="E248" s="186">
        <f>(F248-DATI!$C$8)/(F248-DATI!$C$8+(DATI!$I$14*10^-3)*DATI!$C$8/(DATI!$I$13*10^-3))*(DATI!$I$14*10^-3)</f>
        <v>0</v>
      </c>
      <c r="F248" s="187">
        <f>(DATI!$C$8*(DATI!$I$14*10^-3)*B248/((DATI!$I$14*10^-3)-B248))*(1/(DATI!$I$13*10^-3)-1/(DATI!$I$14*10^-3))</f>
        <v>400</v>
      </c>
      <c r="G248" s="188">
        <f>$G$247-((2*DATI!$I$10/(-DATI!$I$14)+DATI!$D$49)*(-E248*10^3)^2/2-(DATI!$I$10/(-DATI!$I$14)^2)*(-E248*10^3)^3/3)+(DATI!$I$10*((-E248*10^3))+DATI!$D$49/2*((-E248*10^3))^2)</f>
        <v>46.169941388342075</v>
      </c>
      <c r="H248" s="188">
        <f>$H$247-((2*DATI!$I$10/(-DATI!$I$14)+DATI!$D$49)*(-E248*10^3)^3/3-((DATI!$I$10/(-DATI!$I$14)^2)*(-E248*10^3)^4/4))+(DATI!$I$10/2*((-E248*10^3)^2)+DATI!$D$49/4*((-E248*10^3)^3))</f>
        <v>104.21206925040394</v>
      </c>
      <c r="I248" s="188">
        <f>G248/(Foglio1!$P$3*(-DATI!$I$13))</f>
        <v>0.86174367388639628</v>
      </c>
      <c r="J248" s="188">
        <f>1-(H248/G248)/(-DATI!$I$13)</f>
        <v>0.43571474147074873</v>
      </c>
      <c r="K248" s="187">
        <f>IF(D248&gt;=(DATI!$D$26*10^-3),DATI!$D$30*DATI!$I$29,IF(D248&gt;=(-DATI!$D$26*10^-3),DATI!$D$32*D248*DATI!$I$29,-DATI!$D$30*DATI!$I$29))</f>
        <v>-352404.7411418116</v>
      </c>
      <c r="L248" s="187">
        <f>IF(F248&lt;DATI!$C$8,( -DATI!$I$16*DATI!$C$6*I248*DATI!$I$11*F248),( -DATI!$I$16*DATI!$C$6*I248*Foglio1!L6*DATI!$C$8))</f>
        <v>-1837365.5738678179</v>
      </c>
      <c r="M248" s="187">
        <f>IF(C248&gt;=(DATI!$D$26*10^-3),DATI!$D$30*DATI!$I$28,IF(C248&gt;=(-DATI!$D$26*10^-3),DATI!$I$28*DATI!$D$32*C248,-DATI!$D$30*DATI!$I$28))</f>
        <v>-65958.10663082033</v>
      </c>
      <c r="N248" s="187">
        <f t="shared" si="20"/>
        <v>-2255728.4216404497</v>
      </c>
      <c r="O248" s="187">
        <f>IF(F248&lt;=DATI!$C$8,-L248*(DATI!$C$8/2-(J248*F248))-K248*(DATI!$C$13/2)+M248*(DATI!$C$13/2),-L248*(DATI!$C$8/2-(J248*DATI!$C$8))-K248*(DATI!$C$13/2)+M248*(DATI!$C$13/2))</f>
        <v>99522719.169791415</v>
      </c>
      <c r="P248" s="189">
        <f>-N248/(DATI!$C$6*DATI!$C$13*DATI!$I$11*DATI!$I$16)</f>
        <v>1.1594084665991573</v>
      </c>
      <c r="Q248" s="189">
        <f>O248/(DATI!$C$6*DATI!$C$13^2*DATI!$I$11)</f>
        <v>0.1191236386410983</v>
      </c>
      <c r="R248" s="188">
        <f t="shared" si="21"/>
        <v>-44.119991668773139</v>
      </c>
      <c r="S248" s="190" t="str">
        <f>IF(R248&gt;=0, IF(R248&lt;=DATI!$C$8/6, "SI", "NO"),IF(R248&gt; -DATI!$C$8/6, "SI", "NO"))</f>
        <v>SI</v>
      </c>
      <c r="T248" s="187">
        <f t="shared" si="22"/>
        <v>-418.36284777263194</v>
      </c>
      <c r="U248" s="190" t="str">
        <f t="shared" si="23"/>
        <v/>
      </c>
    </row>
    <row r="249" spans="1:21" ht="18.75" customHeight="1" x14ac:dyDescent="0.25">
      <c r="A249" s="251"/>
      <c r="B249" s="137">
        <f t="shared" ref="B249:B268" si="29">B248+0.0001</f>
        <v>-3.9000000000000003E-3</v>
      </c>
      <c r="C249" s="137">
        <f>(F249-DATI!$C$13)/(F249-DATI!$C$8+(DATI!$I$14*10^-3)*DATI!$C$8/(DATI!$I$13*10^-3))*(DATI!$I$14*10^-3)</f>
        <v>-4.325000000000001E-4</v>
      </c>
      <c r="D249" s="137">
        <f>(F249-DATI!$C$10)/(F249-DATI!$C$8+(DATI!$I$14*10^-3)*DATI!$C$8/(DATI!$I$13*10^-3))*(DATI!$I$14*10^-3)</f>
        <v>-3.5674999999999999E-3</v>
      </c>
      <c r="E249" s="137">
        <f>(F249-DATI!$C$8)/(F249-DATI!$C$8+(DATI!$I$14*10^-3)*DATI!$C$8/(DATI!$I$13*10^-3))*(DATI!$I$14*10^-3)</f>
        <v>-1.0000000000000013E-4</v>
      </c>
      <c r="F249" s="138">
        <f>(DATI!$C$8*(DATI!$I$14*10^-3)*B249/((DATI!$I$14*10^-3)-B249))*(1/(DATI!$I$13*10^-3)-1/(DATI!$I$14*10^-3))</f>
        <v>410.5263157894737</v>
      </c>
      <c r="G249" s="139">
        <f>$G$247-((2*DATI!$I$10/(-DATI!$I$14)+DATI!$D$49)*(-E249*10^3)^2/2-(DATI!$I$10/(-DATI!$I$14)^2)*(-E249*10^3)^3/3)+(DATI!$I$10*((-E249*10^3))+DATI!$D$49/2*((-E249*10^3))^2)</f>
        <v>47.226422869823558</v>
      </c>
      <c r="H249" s="139">
        <f>$H$247-((2*DATI!$I$10/(-DATI!$I$14)+DATI!$D$49)*(-E249*10^3)^3/3-((DATI!$I$10/(-DATI!$I$14)^2)*(-E249*10^3)^4/4))+(DATI!$I$10/2*((-E249*10^3)^2)+DATI!$D$49/4*((-E249*10^3)^3))</f>
        <v>104.26389541227991</v>
      </c>
      <c r="I249" s="139">
        <f>G249/(Foglio1!$P$3*(-DATI!$I$13))</f>
        <v>0.8814624823983489</v>
      </c>
      <c r="J249" s="139">
        <f>1-(H249/G249)/(-DATI!$I$13)</f>
        <v>0.44806376877369958</v>
      </c>
      <c r="K249" s="138">
        <f>IF(D249&gt;=(DATI!$D$26*10^-3),DATI!$D$30*DATI!$I$29,IF(D249&gt;=(-DATI!$D$26*10^-3),DATI!$D$32*D249*DATI!$I$29,-DATI!$D$30*DATI!$I$29))</f>
        <v>-352404.7411418116</v>
      </c>
      <c r="L249" s="138">
        <f>IF(F249&lt;DATI!$C$8,( -DATI!$I$16*DATI!$C$6*I249*DATI!$I$11*F249),( -DATI!$I$16*DATI!$C$6*I249*Foglio1!L7*DATI!$C$8))</f>
        <v>-1865723.472648561</v>
      </c>
      <c r="M249" s="138">
        <f>IF(C249&gt;=(DATI!$D$26*10^-3),DATI!$D$30*DATI!$I$28,IF(C249&gt;=(-DATI!$D$26*10^-3),DATI!$I$28*DATI!$D$32*C249,-DATI!$D$30*DATI!$I$28))</f>
        <v>-81505.374622370859</v>
      </c>
      <c r="N249" s="138">
        <f t="shared" si="20"/>
        <v>-2299633.5884127435</v>
      </c>
      <c r="O249" s="138">
        <f>IF(F249&lt;=DATI!$C$8,-L249*(DATI!$C$8/2-(J249*F249))-K249*(DATI!$C$13/2)+M249*(DATI!$C$13/2),-L249*(DATI!$C$8/2-(J249*DATI!$C$8))-K249*(DATI!$C$13/2)+M249*(DATI!$C$13/2))</f>
        <v>88198592.661722675</v>
      </c>
      <c r="P249" s="140">
        <f>-N249/(DATI!$C$6*DATI!$C$13*DATI!$I$11*DATI!$I$16)</f>
        <v>1.1819750227478918</v>
      </c>
      <c r="Q249" s="140">
        <f>O249/(DATI!$C$6*DATI!$C$13^2*DATI!$I$11)</f>
        <v>0.1055692345278843</v>
      </c>
      <c r="R249" s="139">
        <f t="shared" si="21"/>
        <v>-38.353324245276497</v>
      </c>
      <c r="S249" s="136" t="str">
        <f>IF(R249&gt;=0, IF(R249&lt;=DATI!$C$8/6, "SI", "NO"),IF(R249&gt; -DATI!$C$8/6, "SI", "NO"))</f>
        <v>SI</v>
      </c>
      <c r="T249" s="138">
        <f t="shared" si="22"/>
        <v>-433.91011576418248</v>
      </c>
      <c r="U249" s="136" t="str">
        <f t="shared" si="23"/>
        <v/>
      </c>
    </row>
    <row r="250" spans="1:21" ht="18.75" x14ac:dyDescent="0.25">
      <c r="A250" s="251"/>
      <c r="B250" s="137">
        <f t="shared" si="29"/>
        <v>-3.8000000000000004E-3</v>
      </c>
      <c r="C250" s="137">
        <f>(F250-DATI!$C$13)/(F250-DATI!$C$8+(DATI!$I$14*10^-3)*DATI!$C$8/(DATI!$I$13*10^-3))*(DATI!$I$14*10^-3)</f>
        <v>-5.1500000000000005E-4</v>
      </c>
      <c r="D250" s="137">
        <f>(F250-DATI!$C$10)/(F250-DATI!$C$8+(DATI!$I$14*10^-3)*DATI!$C$8/(DATI!$I$13*10^-3))*(DATI!$I$14*10^-3)</f>
        <v>-3.4849999999999998E-3</v>
      </c>
      <c r="E250" s="137">
        <f>(F250-DATI!$C$8)/(F250-DATI!$C$8+(DATI!$I$14*10^-3)*DATI!$C$8/(DATI!$I$13*10^-3))*(DATI!$I$14*10^-3)</f>
        <v>-2.0000000000000004E-4</v>
      </c>
      <c r="F250" s="138">
        <f>(DATI!$C$8*(DATI!$I$14*10^-3)*B250/((DATI!$I$14*10^-3)-B250))*(1/(DATI!$I$13*10^-3)-1/(DATI!$I$14*10^-3))</f>
        <v>422.22222222222223</v>
      </c>
      <c r="G250" s="139">
        <f>$G$247-((2*DATI!$I$10/(-DATI!$I$14)+DATI!$D$49)*(-E250*10^3)^2/2-(DATI!$I$10/(-DATI!$I$14)^2)*(-E250*10^3)^3/3)+(DATI!$I$10*((-E250*10^3))+DATI!$D$49/2*((-E250*10^3))^2)</f>
        <v>48.177348795749481</v>
      </c>
      <c r="H250" s="139">
        <f>$H$247-((2*DATI!$I$10/(-DATI!$I$14)+DATI!$D$49)*(-E250*10^3)^3/3-((DATI!$I$10/(-DATI!$I$14)^2)*(-E250*10^3)^4/4))+(DATI!$I$10/2*((-E250*10^3)^2)+DATI!$D$49/4*((-E250*10^3)^3))</f>
        <v>104.40501187874504</v>
      </c>
      <c r="I250" s="139">
        <f>G250/(Foglio1!$P$3*(-DATI!$I$13))</f>
        <v>0.89921113826318266</v>
      </c>
      <c r="J250" s="139">
        <f>1-(H250/G250)/(-DATI!$I$13)</f>
        <v>0.45822562631364461</v>
      </c>
      <c r="K250" s="138">
        <f>IF(D250&gt;=(DATI!$D$26*10^-3),DATI!$D$30*DATI!$I$29,IF(D250&gt;=(-DATI!$D$26*10^-3),DATI!$D$32*D250*DATI!$I$29,-DATI!$D$30*DATI!$I$29))</f>
        <v>-352404.7411418116</v>
      </c>
      <c r="L250" s="138">
        <f>IF(F250&lt;DATI!$C$8,( -DATI!$I$16*DATI!$C$6*I250*DATI!$I$11*F250),( -DATI!$I$16*DATI!$C$6*I250*Foglio1!L8*DATI!$C$8))</f>
        <v>-1889329.5841674882</v>
      </c>
      <c r="M250" s="138">
        <f>IF(C250&gt;=(DATI!$D$26*10^-3),DATI!$D$30*DATI!$I$28,IF(C250&gt;=(-DATI!$D$26*10^-3),DATI!$I$28*DATI!$D$32*C250,-DATI!$D$30*DATI!$I$28))</f>
        <v>-97052.642613921358</v>
      </c>
      <c r="N250" s="138">
        <f t="shared" si="20"/>
        <v>-2338786.9679232212</v>
      </c>
      <c r="O250" s="138">
        <f>IF(F250&lt;=DATI!$C$8,-L250*(DATI!$C$8/2-(J250*F250))-K250*(DATI!$C$13/2)+M250*(DATI!$C$13/2),-L250*(DATI!$C$8/2-(J250*DATI!$C$8))-K250*(DATI!$C$13/2)+M250*(DATI!$C$13/2))</f>
        <v>78171982.00761959</v>
      </c>
      <c r="P250" s="140">
        <f>-N250/(DATI!$C$6*DATI!$C$13*DATI!$I$11*DATI!$I$16)</f>
        <v>1.2020992359576563</v>
      </c>
      <c r="Q250" s="140">
        <f>O250/(DATI!$C$6*DATI!$C$13^2*DATI!$I$11)</f>
        <v>9.3567890972181836E-2</v>
      </c>
      <c r="R250" s="139">
        <f t="shared" si="21"/>
        <v>-33.42415665888295</v>
      </c>
      <c r="S250" s="136" t="str">
        <f>IF(R250&gt;=0, IF(R250&lt;=DATI!$C$8/6, "SI", "NO"),IF(R250&gt; -DATI!$C$8/6, "SI", "NO"))</f>
        <v>SI</v>
      </c>
      <c r="T250" s="138">
        <f t="shared" si="22"/>
        <v>-449.45738375573296</v>
      </c>
      <c r="U250" s="136" t="str">
        <f t="shared" si="23"/>
        <v/>
      </c>
    </row>
    <row r="251" spans="1:21" ht="18.75" x14ac:dyDescent="0.25">
      <c r="A251" s="122"/>
      <c r="B251" s="137">
        <f t="shared" si="29"/>
        <v>-3.7000000000000006E-3</v>
      </c>
      <c r="C251" s="137">
        <f>(F251-DATI!$C$13)/(F251-DATI!$C$8+(DATI!$I$14*10^-3)*DATI!$C$8/(DATI!$I$13*10^-3))*(DATI!$I$14*10^-3)</f>
        <v>-5.9749999999999983E-4</v>
      </c>
      <c r="D251" s="137">
        <f>(F251-DATI!$C$10)/(F251-DATI!$C$8+(DATI!$I$14*10^-3)*DATI!$C$8/(DATI!$I$13*10^-3))*(DATI!$I$14*10^-3)</f>
        <v>-3.4025000000000006E-3</v>
      </c>
      <c r="E251" s="137">
        <f>(F251-DATI!$C$8)/(F251-DATI!$C$8+(DATI!$I$14*10^-3)*DATI!$C$8/(DATI!$I$13*10^-3))*(DATI!$I$14*10^-3)</f>
        <v>-2.999999999999997E-4</v>
      </c>
      <c r="F251" s="138">
        <f>(DATI!$C$8*(DATI!$I$14*10^-3)*B251/((DATI!$I$14*10^-3)-B251))*(1/(DATI!$I$13*10^-3)-1/(DATI!$I$14*10^-3))</f>
        <v>435.29411764705878</v>
      </c>
      <c r="G251" s="139">
        <f>$G$247-((2*DATI!$I$10/(-DATI!$I$14)+DATI!$D$49)*(-E251*10^3)^2/2-(DATI!$I$10/(-DATI!$I$14)^2)*(-E251*10^3)^3/3)+(DATI!$I$10*((-E251*10^3))+DATI!$D$49/2*((-E251*10^3))^2)</f>
        <v>49.028274721675409</v>
      </c>
      <c r="H251" s="139">
        <f>$H$247-((2*DATI!$I$10/(-DATI!$I$14)+DATI!$D$49)*(-E251*10^3)^3/3-((DATI!$I$10/(-DATI!$I$14)^2)*(-E251*10^3)^4/4))+(DATI!$I$10/2*((-E251*10^3)^2)+DATI!$D$49/4*((-E251*10^3)^3))</f>
        <v>104.61512562105514</v>
      </c>
      <c r="I251" s="139">
        <f>G251/(Foglio1!$P$3*(-DATI!$I$13))</f>
        <v>0.91509333372548285</v>
      </c>
      <c r="J251" s="139">
        <f>1-(H251/G251)/(-DATI!$I$13)</f>
        <v>0.46655717432983224</v>
      </c>
      <c r="K251" s="138">
        <f>IF(D251&gt;=(DATI!$D$26*10^-3),DATI!$D$30*DATI!$I$29,IF(D251&gt;=(-DATI!$D$26*10^-3),DATI!$D$32*D251*DATI!$I$29,-DATI!$D$30*DATI!$I$29))</f>
        <v>-352404.7411418116</v>
      </c>
      <c r="L251" s="138">
        <f>IF(F251&lt;DATI!$C$8,( -DATI!$I$16*DATI!$C$6*I251*DATI!$I$11*F251),( -DATI!$I$16*DATI!$C$6*I251*Foglio1!L9*DATI!$C$8))</f>
        <v>-1908491.9313415408</v>
      </c>
      <c r="M251" s="138">
        <f>IF(C251&gt;=(DATI!$D$26*10^-3),DATI!$D$30*DATI!$I$28,IF(C251&gt;=(-DATI!$D$26*10^-3),DATI!$I$28*DATI!$D$32*C251,-DATI!$D$30*DATI!$I$28))</f>
        <v>-112599.91060547183</v>
      </c>
      <c r="N251" s="138">
        <f t="shared" si="20"/>
        <v>-2373496.5830888245</v>
      </c>
      <c r="O251" s="138">
        <f>IF(F251&lt;=DATI!$C$8,-L251*(DATI!$C$8/2-(J251*F251))-K251*(DATI!$C$13/2)+M251*(DATI!$C$13/2),-L251*(DATI!$C$8/2-(J251*DATI!$C$8))-K251*(DATI!$C$13/2)+M251*(DATI!$C$13/2))</f>
        <v>69294526.753992781</v>
      </c>
      <c r="P251" s="140">
        <f>-N251/(DATI!$C$6*DATI!$C$13*DATI!$I$11*DATI!$I$16)</f>
        <v>1.2199394250998106</v>
      </c>
      <c r="Q251" s="140">
        <f>O251/(DATI!$C$6*DATI!$C$13^2*DATI!$I$11)</f>
        <v>8.2942028048547486E-2</v>
      </c>
      <c r="R251" s="139">
        <f t="shared" si="21"/>
        <v>-29.195123872398486</v>
      </c>
      <c r="S251" s="136" t="str">
        <f>IF(R251&gt;=0, IF(R251&lt;=DATI!$C$8/6, "SI", "NO"),IF(R251&gt; -DATI!$C$8/6, "SI", "NO"))</f>
        <v>SI</v>
      </c>
      <c r="T251" s="138">
        <f t="shared" si="22"/>
        <v>-465.00465174728339</v>
      </c>
      <c r="U251" s="136" t="str">
        <f t="shared" si="23"/>
        <v/>
      </c>
    </row>
    <row r="252" spans="1:21" ht="18.75" x14ac:dyDescent="0.25">
      <c r="A252" s="122"/>
      <c r="B252" s="137">
        <f t="shared" si="29"/>
        <v>-3.6000000000000008E-3</v>
      </c>
      <c r="C252" s="137">
        <f>(F252-DATI!$C$13)/(F252-DATI!$C$8+(DATI!$I$14*10^-3)*DATI!$C$8/(DATI!$I$13*10^-3))*(DATI!$I$14*10^-3)</f>
        <v>-6.799999999999994E-4</v>
      </c>
      <c r="D252" s="137">
        <f>(F252-DATI!$C$10)/(F252-DATI!$C$8+(DATI!$I$14*10^-3)*DATI!$C$8/(DATI!$I$13*10^-3))*(DATI!$I$14*10^-3)</f>
        <v>-3.3200000000000009E-3</v>
      </c>
      <c r="E252" s="137">
        <f>(F252-DATI!$C$8)/(F252-DATI!$C$8+(DATI!$I$14*10^-3)*DATI!$C$8/(DATI!$I$13*10^-3))*(DATI!$I$14*10^-3)</f>
        <v>-3.9999999999999926E-4</v>
      </c>
      <c r="F252" s="138">
        <f>(DATI!$C$8*(DATI!$I$14*10^-3)*B252/((DATI!$I$14*10^-3)-B252))*(1/(DATI!$I$13*10^-3)-1/(DATI!$I$14*10^-3))</f>
        <v>449.99999999999989</v>
      </c>
      <c r="G252" s="139">
        <f>$G$247-((2*DATI!$I$10/(-DATI!$I$14)+DATI!$D$49)*(-E252*10^3)^2/2-(DATI!$I$10/(-DATI!$I$14)^2)*(-E252*10^3)^3/3)+(DATI!$I$10*((-E252*10^3))+DATI!$D$49/2*((-E252*10^3))^2)</f>
        <v>49.784756203156881</v>
      </c>
      <c r="H252" s="139">
        <f>$H$247-((2*DATI!$I$10/(-DATI!$I$14)+DATI!$D$49)*(-E252*10^3)^3/3-((DATI!$I$10/(-DATI!$I$14)^2)*(-E252*10^3)^4/4))+(DATI!$I$10/2*((-E252*10^3)^2)+DATI!$D$49/4*((-E252*10^3)^3))</f>
        <v>104.87561027713269</v>
      </c>
      <c r="I252" s="139">
        <f>G252/(Foglio1!$P$3*(-DATI!$I$13))</f>
        <v>0.92921276102983441</v>
      </c>
      <c r="J252" s="139">
        <f>1-(H252/G252)/(-DATI!$I$13)</f>
        <v>0.473354806393114</v>
      </c>
      <c r="K252" s="138">
        <f>IF(D252&gt;=(DATI!$D$26*10^-3),DATI!$D$30*DATI!$I$29,IF(D252&gt;=(-DATI!$D$26*10^-3),DATI!$D$32*D252*DATI!$I$29,-DATI!$D$30*DATI!$I$29))</f>
        <v>-352404.7411418116</v>
      </c>
      <c r="L252" s="138">
        <f>IF(F252&lt;DATI!$C$8,( -DATI!$I$16*DATI!$C$6*I252*DATI!$I$11*F252),( -DATI!$I$16*DATI!$C$6*I252*Foglio1!L10*DATI!$C$8))</f>
        <v>-1923512.0974104682</v>
      </c>
      <c r="M252" s="138">
        <f>IF(C252&gt;=(DATI!$D$26*10^-3),DATI!$D$30*DATI!$I$28,IF(C252&gt;=(-DATI!$D$26*10^-3),DATI!$I$28*DATI!$D$32*C252,-DATI!$D$30*DATI!$I$28))</f>
        <v>-128147.17859702226</v>
      </c>
      <c r="N252" s="138">
        <f t="shared" si="20"/>
        <v>-2404064.0171493022</v>
      </c>
      <c r="O252" s="138">
        <f>IF(F252&lt;=DATI!$C$8,-L252*(DATI!$C$8/2-(J252*F252))-K252*(DATI!$C$13/2)+M252*(DATI!$C$13/2),-L252*(DATI!$C$8/2-(J252*DATI!$C$8))-K252*(DATI!$C$13/2)+M252*(DATI!$C$13/2))</f>
        <v>61427946.060699776</v>
      </c>
      <c r="P252" s="140">
        <f>-N252/(DATI!$C$6*DATI!$C$13*DATI!$I$11*DATI!$I$16)</f>
        <v>1.2356505991542457</v>
      </c>
      <c r="Q252" s="140">
        <f>O252/(DATI!$C$6*DATI!$C$13^2*DATI!$I$11)</f>
        <v>7.3526130616624052E-2</v>
      </c>
      <c r="R252" s="139">
        <f t="shared" si="21"/>
        <v>-25.55170978081523</v>
      </c>
      <c r="S252" s="136" t="str">
        <f>IF(R252&gt;=0, IF(R252&lt;=DATI!$C$8/6, "SI", "NO"),IF(R252&gt; -DATI!$C$8/6, "SI", "NO"))</f>
        <v>SI</v>
      </c>
      <c r="T252" s="138">
        <f t="shared" si="22"/>
        <v>-480.55191973883387</v>
      </c>
      <c r="U252" s="136" t="str">
        <f t="shared" si="23"/>
        <v/>
      </c>
    </row>
    <row r="253" spans="1:21" ht="18.75" x14ac:dyDescent="0.25">
      <c r="A253" s="122"/>
      <c r="B253" s="137">
        <f t="shared" si="29"/>
        <v>-3.5000000000000009E-3</v>
      </c>
      <c r="C253" s="137">
        <f>(F253-DATI!$C$13)/(F253-DATI!$C$8+(DATI!$I$14*10^-3)*DATI!$C$8/(DATI!$I$13*10^-3))*(DATI!$I$14*10^-3)</f>
        <v>-7.6249999999999929E-4</v>
      </c>
      <c r="D253" s="137">
        <f>(F253-DATI!$C$10)/(F253-DATI!$C$8+(DATI!$I$14*10^-3)*DATI!$C$8/(DATI!$I$13*10^-3))*(DATI!$I$14*10^-3)</f>
        <v>-3.2375000000000008E-3</v>
      </c>
      <c r="E253" s="137">
        <f>(F253-DATI!$C$8)/(F253-DATI!$C$8+(DATI!$I$14*10^-3)*DATI!$C$8/(DATI!$I$13*10^-3))*(DATI!$I$14*10^-3)</f>
        <v>-4.9999999999999914E-4</v>
      </c>
      <c r="F253" s="138">
        <f>(DATI!$C$8*(DATI!$I$14*10^-3)*B253/((DATI!$I$14*10^-3)-B253))*(1/(DATI!$I$13*10^-3)-1/(DATI!$I$14*10^-3))</f>
        <v>466.66666666666652</v>
      </c>
      <c r="G253" s="139">
        <f>$G$247-((2*DATI!$I$10/(-DATI!$I$14)+DATI!$D$49)*(-E253*10^3)^2/2-(DATI!$I$10/(-DATI!$I$14)^2)*(-E253*10^3)^3/3)+(DATI!$I$10*((-E253*10^3))+DATI!$D$49/2*((-E253*10^3))^2)</f>
        <v>50.452348795749472</v>
      </c>
      <c r="H253" s="139">
        <f>$H$247-((2*DATI!$I$10/(-DATI!$I$14)+DATI!$D$49)*(-E253*10^3)^3/3-((DATI!$I$10/(-DATI!$I$14)^2)*(-E253*10^3)^4/4))+(DATI!$I$10/2*((-E253*10^3)^2)+DATI!$D$49/4*((-E253*10^3)^3))</f>
        <v>105.16950615156688</v>
      </c>
      <c r="I253" s="139">
        <f>G253/(Foglio1!$P$3*(-DATI!$I$13))</f>
        <v>0.94167311242082286</v>
      </c>
      <c r="J253" s="139">
        <f>1-(H253/G253)/(-DATI!$I$13)</f>
        <v>0.47886714562421306</v>
      </c>
      <c r="K253" s="138">
        <f>IF(D253&gt;=(DATI!$D$26*10^-3),DATI!$D$30*DATI!$I$29,IF(D253&gt;=(-DATI!$D$26*10^-3),DATI!$D$32*D253*DATI!$I$29,-DATI!$D$30*DATI!$I$29))</f>
        <v>-352404.7411418116</v>
      </c>
      <c r="L253" s="138">
        <f>IF(F253&lt;DATI!$C$8,( -DATI!$I$16*DATI!$C$6*I253*DATI!$I$11*F253),( -DATI!$I$16*DATI!$C$6*I253*Foglio1!L11*DATI!$C$8))</f>
        <v>-1934685.2259368279</v>
      </c>
      <c r="M253" s="138">
        <f>IF(C253&gt;=(DATI!$D$26*10^-3),DATI!$D$30*DATI!$I$28,IF(C253&gt;=(-DATI!$D$26*10^-3),DATI!$I$28*DATI!$D$32*C253,-DATI!$D$30*DATI!$I$28))</f>
        <v>-143694.44658857275</v>
      </c>
      <c r="N253" s="138">
        <f t="shared" si="20"/>
        <v>-2430784.4136672122</v>
      </c>
      <c r="O253" s="138">
        <f>IF(F253&lt;=DATI!$C$8,-L253*(DATI!$C$8/2-(J253*F253))-K253*(DATI!$C$13/2)+M253*(DATI!$C$13/2),-L253*(DATI!$C$8/2-(J253*DATI!$C$8))-K253*(DATI!$C$13/2)+M253*(DATI!$C$13/2))</f>
        <v>54443797.213049889</v>
      </c>
      <c r="P253" s="140">
        <f>-N253/(DATI!$C$6*DATI!$C$13*DATI!$I$11*DATI!$I$16)</f>
        <v>1.2493844572093842</v>
      </c>
      <c r="Q253" s="140">
        <f>O253/(DATI!$C$6*DATI!$C$13^2*DATI!$I$11)</f>
        <v>6.5166459272398738E-2</v>
      </c>
      <c r="R253" s="139">
        <f t="shared" si="21"/>
        <v>-22.397624777802918</v>
      </c>
      <c r="S253" s="136" t="str">
        <f>IF(R253&gt;=0, IF(R253&lt;=DATI!$C$8/6, "SI", "NO"),IF(R253&gt; -DATI!$C$8/6, "SI", "NO"))</f>
        <v>SI</v>
      </c>
      <c r="T253" s="138">
        <f t="shared" si="22"/>
        <v>-496.09918773038436</v>
      </c>
      <c r="U253" s="136" t="str">
        <f t="shared" si="23"/>
        <v/>
      </c>
    </row>
    <row r="254" spans="1:21" ht="18.75" x14ac:dyDescent="0.25">
      <c r="A254" s="122"/>
      <c r="B254" s="137">
        <f t="shared" si="29"/>
        <v>-3.4000000000000011E-3</v>
      </c>
      <c r="C254" s="137">
        <f>(F254-DATI!$C$13)/(F254-DATI!$C$8+(DATI!$I$14*10^-3)*DATI!$C$8/(DATI!$I$13*10^-3))*(DATI!$I$14*10^-3)</f>
        <v>-8.4499999999999929E-4</v>
      </c>
      <c r="D254" s="137">
        <f>(F254-DATI!$C$10)/(F254-DATI!$C$8+(DATI!$I$14*10^-3)*DATI!$C$8/(DATI!$I$13*10^-3))*(DATI!$I$14*10^-3)</f>
        <v>-3.1550000000000007E-3</v>
      </c>
      <c r="E254" s="137">
        <f>(F254-DATI!$C$8)/(F254-DATI!$C$8+(DATI!$I$14*10^-3)*DATI!$C$8/(DATI!$I$13*10^-3))*(DATI!$I$14*10^-3)</f>
        <v>-5.9999999999999919E-4</v>
      </c>
      <c r="F254" s="138">
        <f>(DATI!$C$8*(DATI!$I$14*10^-3)*B254/((DATI!$I$14*10^-3)-B254))*(1/(DATI!$I$13*10^-3)-1/(DATI!$I$14*10^-3))</f>
        <v>485.71428571428555</v>
      </c>
      <c r="G254" s="139">
        <f>$G$247-((2*DATI!$I$10/(-DATI!$I$14)+DATI!$D$49)*(-E254*10^3)^2/2-(DATI!$I$10/(-DATI!$I$14)^2)*(-E254*10^3)^3/3)+(DATI!$I$10*((-E254*10^3))+DATI!$D$49/2*((-E254*10^3))^2)</f>
        <v>51.036608055008742</v>
      </c>
      <c r="H254" s="139">
        <f>$H$247-((2*DATI!$I$10/(-DATI!$I$14)+DATI!$D$49)*(-E254*10^3)^3/3-((DATI!$I$10/(-DATI!$I$14)^2)*(-E254*10^3)^4/4))+(DATI!$I$10/2*((-E254*10^3)^2)+DATI!$D$49/4*((-E254*10^3)^3))</f>
        <v>105.4815202156135</v>
      </c>
      <c r="I254" s="139">
        <f>G254/(Foglio1!$P$3*(-DATI!$I$13))</f>
        <v>0.95257808014303347</v>
      </c>
      <c r="J254" s="139">
        <f>1-(H254/G254)/(-DATI!$I$13)</f>
        <v>0.48330461096708055</v>
      </c>
      <c r="K254" s="138">
        <f>IF(D254&gt;=(DATI!$D$26*10^-3),DATI!$D$30*DATI!$I$29,IF(D254&gt;=(-DATI!$D$26*10^-3),DATI!$D$32*D254*DATI!$I$29,-DATI!$D$30*DATI!$I$29))</f>
        <v>-352404.7411418116</v>
      </c>
      <c r="L254" s="138">
        <f>IF(F254&lt;DATI!$C$8,( -DATI!$I$16*DATI!$C$6*I254*DATI!$I$11*F254),( -DATI!$I$16*DATI!$C$6*I254*Foglio1!L12*DATI!$C$8))</f>
        <v>-1942300.0208059854</v>
      </c>
      <c r="M254" s="138">
        <f>IF(C254&gt;=(DATI!$D$26*10^-3),DATI!$D$30*DATI!$I$28,IF(C254&gt;=(-DATI!$D$26*10^-3),DATI!$I$28*DATI!$D$32*C254,-DATI!$D$30*DATI!$I$28))</f>
        <v>-159241.71458012325</v>
      </c>
      <c r="N254" s="138">
        <f t="shared" si="20"/>
        <v>-2453946.4765279205</v>
      </c>
      <c r="O254" s="138">
        <f>IF(F254&lt;=DATI!$C$8,-L254*(DATI!$C$8/2-(J254*F254))-K254*(DATI!$C$13/2)+M254*(DATI!$C$13/2),-L254*(DATI!$C$8/2-(J254*DATI!$C$8))-K254*(DATI!$C$13/2)+M254*(DATI!$C$13/2))</f>
        <v>48223234.133909494</v>
      </c>
      <c r="P254" s="140">
        <f>-N254/(DATI!$C$6*DATI!$C$13*DATI!$I$11*DATI!$I$16)</f>
        <v>1.2612893884621801</v>
      </c>
      <c r="Q254" s="140">
        <f>O254/(DATI!$C$6*DATI!$C$13^2*DATI!$I$11)</f>
        <v>5.7720761299461902E-2</v>
      </c>
      <c r="R254" s="139">
        <f t="shared" si="21"/>
        <v>-19.651298263905236</v>
      </c>
      <c r="S254" s="136" t="str">
        <f>IF(R254&gt;=0, IF(R254&lt;=DATI!$C$8/6, "SI", "NO"),IF(R254&gt; -DATI!$C$8/6, "SI", "NO"))</f>
        <v>SI</v>
      </c>
      <c r="T254" s="138">
        <f t="shared" si="22"/>
        <v>-511.64645572193484</v>
      </c>
      <c r="U254" s="136" t="str">
        <f t="shared" si="23"/>
        <v/>
      </c>
    </row>
    <row r="255" spans="1:21" ht="18.75" x14ac:dyDescent="0.25">
      <c r="A255" s="122"/>
      <c r="B255" s="137">
        <f t="shared" si="29"/>
        <v>-3.3000000000000013E-3</v>
      </c>
      <c r="C255" s="137">
        <f>(F255-DATI!$C$13)/(F255-DATI!$C$8+(DATI!$I$14*10^-3)*DATI!$C$8/(DATI!$I$13*10^-3))*(DATI!$I$14*10^-3)</f>
        <v>-9.2749999999999918E-4</v>
      </c>
      <c r="D255" s="137">
        <f>(F255-DATI!$C$10)/(F255-DATI!$C$8+(DATI!$I$14*10^-3)*DATI!$C$8/(DATI!$I$13*10^-3))*(DATI!$I$14*10^-3)</f>
        <v>-3.0725000000000006E-3</v>
      </c>
      <c r="E255" s="137">
        <f>(F255-DATI!$C$8)/(F255-DATI!$C$8+(DATI!$I$14*10^-3)*DATI!$C$8/(DATI!$I$13*10^-3))*(DATI!$I$14*10^-3)</f>
        <v>-6.9999999999999902E-4</v>
      </c>
      <c r="F255" s="138">
        <f>(DATI!$C$8*(DATI!$I$14*10^-3)*B255/((DATI!$I$14*10^-3)-B255))*(1/(DATI!$I$13*10^-3)-1/(DATI!$I$14*10^-3))</f>
        <v>507.69230769230745</v>
      </c>
      <c r="G255" s="139">
        <f>$G$247-((2*DATI!$I$10/(-DATI!$I$14)+DATI!$D$49)*(-E255*10^3)^2/2-(DATI!$I$10/(-DATI!$I$14)^2)*(-E255*10^3)^3/3)+(DATI!$I$10*((-E255*10^3))+DATI!$D$49/2*((-E255*10^3))^2)</f>
        <v>51.543089536490221</v>
      </c>
      <c r="H255" s="139">
        <f>$H$247-((2*DATI!$I$10/(-DATI!$I$14)+DATI!$D$49)*(-E255*10^3)^3/3-((DATI!$I$10/(-DATI!$I$14)^2)*(-E255*10^3)^4/4))+(DATI!$I$10/2*((-E255*10^3)^2)+DATI!$D$49/4*((-E255*10^3)^3))</f>
        <v>105.79802610719504</v>
      </c>
      <c r="I255" s="139">
        <f>G255/(Foglio1!$P$3*(-DATI!$I$13))</f>
        <v>0.96203135644105109</v>
      </c>
      <c r="J255" s="139">
        <f>1-(H255/G255)/(-DATI!$I$13)</f>
        <v>0.48684669924425694</v>
      </c>
      <c r="K255" s="138">
        <f>IF(D255&gt;=(DATI!$D$26*10^-3),DATI!$D$30*DATI!$I$29,IF(D255&gt;=(-DATI!$D$26*10^-3),DATI!$D$32*D255*DATI!$I$29,-DATI!$D$30*DATI!$I$29))</f>
        <v>-352404.7411418116</v>
      </c>
      <c r="L255" s="138">
        <f>IF(F255&lt;DATI!$C$8,( -DATI!$I$16*DATI!$C$6*I255*DATI!$I$11*F255),( -DATI!$I$16*DATI!$C$6*I255*Foglio1!L13*DATI!$C$8))</f>
        <v>-1946638.7462261138</v>
      </c>
      <c r="M255" s="138">
        <f>IF(C255&gt;=(DATI!$D$26*10^-3),DATI!$D$30*DATI!$I$28,IF(C255&gt;=(-DATI!$D$26*10^-3),DATI!$I$28*DATI!$D$32*C255,-DATI!$D$30*DATI!$I$28))</f>
        <v>-174788.98257167373</v>
      </c>
      <c r="N255" s="138">
        <f t="shared" si="20"/>
        <v>-2473832.4699395988</v>
      </c>
      <c r="O255" s="138">
        <f>IF(F255&lt;=DATI!$C$8,-L255*(DATI!$C$8/2-(J255*F255))-K255*(DATI!$C$13/2)+M255*(DATI!$C$13/2),-L255*(DATI!$C$8/2-(J255*DATI!$C$8))-K255*(DATI!$C$13/2)+M255*(DATI!$C$13/2))</f>
        <v>42656765.895808041</v>
      </c>
      <c r="P255" s="140">
        <f>-N255/(DATI!$C$6*DATI!$C$13*DATI!$I$11*DATI!$I$16)</f>
        <v>1.2715104722181172</v>
      </c>
      <c r="Q255" s="140">
        <f>O255/(DATI!$C$6*DATI!$C$13^2*DATI!$I$11)</f>
        <v>5.1057981620266583E-2</v>
      </c>
      <c r="R255" s="139">
        <f t="shared" si="21"/>
        <v>-17.243191046340154</v>
      </c>
      <c r="S255" s="136" t="str">
        <f>IF(R255&gt;=0, IF(R255&lt;=DATI!$C$8/6, "SI", "NO"),IF(R255&gt; -DATI!$C$8/6, "SI", "NO"))</f>
        <v>SI</v>
      </c>
      <c r="T255" s="138">
        <f t="shared" si="22"/>
        <v>-527.19372371348527</v>
      </c>
      <c r="U255" s="136" t="str">
        <f t="shared" si="23"/>
        <v/>
      </c>
    </row>
    <row r="256" spans="1:21" ht="18.75" x14ac:dyDescent="0.25">
      <c r="A256" s="122"/>
      <c r="B256" s="137">
        <f t="shared" si="29"/>
        <v>-3.2000000000000015E-3</v>
      </c>
      <c r="C256" s="137">
        <f>(F256-DATI!$C$13)/(F256-DATI!$C$8+(DATI!$I$14*10^-3)*DATI!$C$8/(DATI!$I$13*10^-3))*(DATI!$I$14*10^-3)</f>
        <v>-1.0099999999999992E-3</v>
      </c>
      <c r="D256" s="137">
        <f>(F256-DATI!$C$10)/(F256-DATI!$C$8+(DATI!$I$14*10^-3)*DATI!$C$8/(DATI!$I$13*10^-3))*(DATI!$I$14*10^-3)</f>
        <v>-2.9900000000000013E-3</v>
      </c>
      <c r="E256" s="137">
        <f>(F256-DATI!$C$8)/(F256-DATI!$C$8+(DATI!$I$14*10^-3)*DATI!$C$8/(DATI!$I$13*10^-3))*(DATI!$I$14*10^-3)</f>
        <v>-7.9999999999999895E-4</v>
      </c>
      <c r="F256" s="138">
        <f>(DATI!$C$8*(DATI!$I$14*10^-3)*B256/((DATI!$I$14*10^-3)-B256))*(1/(DATI!$I$13*10^-3)-1/(DATI!$I$14*10^-3))</f>
        <v>533.33333333333303</v>
      </c>
      <c r="G256" s="139">
        <f>$G$247-((2*DATI!$I$10/(-DATI!$I$14)+DATI!$D$49)*(-E256*10^3)^2/2-(DATI!$I$10/(-DATI!$I$14)^2)*(-E256*10^3)^3/3)+(DATI!$I$10*((-E256*10^3))+DATI!$D$49/2*((-E256*10^3))^2)</f>
        <v>51.977348795749478</v>
      </c>
      <c r="H256" s="139">
        <f>$H$247-((2*DATI!$I$10/(-DATI!$I$14)+DATI!$D$49)*(-E256*10^3)^3/3-((DATI!$I$10/(-DATI!$I$14)^2)*(-E256*10^3)^4/4))+(DATI!$I$10/2*((-E256*10^3)^2)+DATI!$D$49/4*((-E256*10^3)^3))</f>
        <v>106.10706413090068</v>
      </c>
      <c r="I256" s="139">
        <f>G256/(Foglio1!$P$3*(-DATI!$I$13))</f>
        <v>0.970136633559461</v>
      </c>
      <c r="J256" s="139">
        <f>1-(H256/G256)/(-DATI!$I$13)</f>
        <v>0.48964757442775853</v>
      </c>
      <c r="K256" s="138">
        <f>IF(D256&gt;=(DATI!$D$26*10^-3),DATI!$D$30*DATI!$I$29,IF(D256&gt;=(-DATI!$D$26*10^-3),DATI!$D$32*D256*DATI!$I$29,-DATI!$D$30*DATI!$I$29))</f>
        <v>-352404.7411418116</v>
      </c>
      <c r="L256" s="138">
        <f>IF(F256&lt;DATI!$C$8,( -DATI!$I$16*DATI!$C$6*I256*DATI!$I$11*F256),( -DATI!$I$16*DATI!$C$6*I256*Foglio1!L14*DATI!$C$8))</f>
        <v>-1947977.2267281937</v>
      </c>
      <c r="M256" s="138">
        <f>IF(C256&gt;=(DATI!$D$26*10^-3),DATI!$D$30*DATI!$I$28,IF(C256&gt;=(-DATI!$D$26*10^-3),DATI!$I$28*DATI!$D$32*C256,-DATI!$D$30*DATI!$I$28))</f>
        <v>-190336.25056322425</v>
      </c>
      <c r="N256" s="138">
        <f t="shared" si="20"/>
        <v>-2490718.2184332297</v>
      </c>
      <c r="O256" s="138">
        <f>IF(F256&lt;=DATI!$C$8,-L256*(DATI!$C$8/2-(J256*F256))-K256*(DATI!$C$13/2)+M256*(DATI!$C$13/2),-L256*(DATI!$C$8/2-(J256*DATI!$C$8))-K256*(DATI!$C$13/2)+M256*(DATI!$C$13/2))</f>
        <v>37644015.233042158</v>
      </c>
      <c r="P256" s="140">
        <f>-N256/(DATI!$C$6*DATI!$C$13*DATI!$I$11*DATI!$I$16)</f>
        <v>1.2801894778912124</v>
      </c>
      <c r="Q256" s="140">
        <f>O256/(DATI!$C$6*DATI!$C$13^2*DATI!$I$11)</f>
        <v>4.5057973747385828E-2</v>
      </c>
      <c r="R256" s="139">
        <f t="shared" si="21"/>
        <v>-15.113718988542141</v>
      </c>
      <c r="S256" s="136" t="str">
        <f>IF(R256&gt;=0, IF(R256&lt;=DATI!$C$8/6, "SI", "NO"),IF(R256&gt; -DATI!$C$8/6, "SI", "NO"))</f>
        <v>SI</v>
      </c>
      <c r="T256" s="138">
        <f t="shared" si="22"/>
        <v>-542.74099170503575</v>
      </c>
      <c r="U256" s="136" t="str">
        <f t="shared" si="23"/>
        <v/>
      </c>
    </row>
    <row r="257" spans="1:21" ht="18.75" x14ac:dyDescent="0.25">
      <c r="A257" s="122"/>
      <c r="B257" s="137">
        <f t="shared" si="29"/>
        <v>-3.1000000000000016E-3</v>
      </c>
      <c r="C257" s="137">
        <f>(F257-DATI!$C$13)/(F257-DATI!$C$8+(DATI!$I$14*10^-3)*DATI!$C$8/(DATI!$I$13*10^-3))*(DATI!$I$14*10^-3)</f>
        <v>-1.0924999999999989E-3</v>
      </c>
      <c r="D257" s="137">
        <f>(F257-DATI!$C$10)/(F257-DATI!$C$8+(DATI!$I$14*10^-3)*DATI!$C$8/(DATI!$I$13*10^-3))*(DATI!$I$14*10^-3)</f>
        <v>-2.9075000000000012E-3</v>
      </c>
      <c r="E257" s="137">
        <f>(F257-DATI!$C$8)/(F257-DATI!$C$8+(DATI!$I$14*10^-3)*DATI!$C$8/(DATI!$I$13*10^-3))*(DATI!$I$14*10^-3)</f>
        <v>-8.9999999999999857E-4</v>
      </c>
      <c r="F257" s="138">
        <f>(DATI!$C$8*(DATI!$I$14*10^-3)*B257/((DATI!$I$14*10^-3)-B257))*(1/(DATI!$I$13*10^-3)-1/(DATI!$I$14*10^-3))</f>
        <v>563.63636363636317</v>
      </c>
      <c r="G257" s="139">
        <f>$G$247-((2*DATI!$I$10/(-DATI!$I$14)+DATI!$D$49)*(-E257*10^3)^2/2-(DATI!$I$10/(-DATI!$I$14)^2)*(-E257*10^3)^3/3)+(DATI!$I$10*((-E257*10^3))+DATI!$D$49/2*((-E257*10^3))^2)</f>
        <v>52.344941388342072</v>
      </c>
      <c r="H257" s="139">
        <f>$H$247-((2*DATI!$I$10/(-DATI!$I$14)+DATI!$D$49)*(-E257*10^3)^3/3-((DATI!$I$10/(-DATI!$I$14)^2)*(-E257*10^3)^4/4))+(DATI!$I$10/2*((-E257*10^3)^2)+DATI!$D$49/4*((-E257*10^3)^3))</f>
        <v>106.3983412579862</v>
      </c>
      <c r="I257" s="139">
        <f>G257/(Foglio1!$P$3*(-DATI!$I$13))</f>
        <v>0.97699760374284861</v>
      </c>
      <c r="J257" s="139">
        <f>1-(H257/G257)/(-DATI!$I$13)</f>
        <v>0.49184038401806984</v>
      </c>
      <c r="K257" s="138">
        <f>IF(D257&gt;=(DATI!$D$26*10^-3),DATI!$D$30*DATI!$I$29,IF(D257&gt;=(-DATI!$D$26*10^-3),DATI!$D$32*D257*DATI!$I$29,-DATI!$D$30*DATI!$I$29))</f>
        <v>-352404.7411418116</v>
      </c>
      <c r="L257" s="138">
        <f>IF(F257&lt;DATI!$C$8,( -DATI!$I$16*DATI!$C$6*I257*DATI!$I$11*F257),( -DATI!$I$16*DATI!$C$6*I257*Foglio1!L15*DATI!$C$8))</f>
        <v>-1946584.8471660155</v>
      </c>
      <c r="M257" s="138">
        <f>IF(C257&gt;=(DATI!$D$26*10^-3),DATI!$D$30*DATI!$I$28,IF(C257&gt;=(-DATI!$D$26*10^-3),DATI!$I$28*DATI!$D$32*C257,-DATI!$D$30*DATI!$I$28))</f>
        <v>-205883.5185547747</v>
      </c>
      <c r="N257" s="138">
        <f t="shared" si="20"/>
        <v>-2504873.1068626018</v>
      </c>
      <c r="O257" s="138">
        <f>IF(F257&lt;=DATI!$C$8,-L257*(DATI!$C$8/2-(J257*F257))-K257*(DATI!$C$13/2)+M257*(DATI!$C$13/2),-L257*(DATI!$C$8/2-(J257*DATI!$C$8))-K257*(DATI!$C$13/2)+M257*(DATI!$C$13/2))</f>
        <v>33093477.053781763</v>
      </c>
      <c r="P257" s="140">
        <f>-N257/(DATI!$C$6*DATI!$C$13*DATI!$I$11*DATI!$I$16)</f>
        <v>1.2874648650040128</v>
      </c>
      <c r="Q257" s="140">
        <f>O257/(DATI!$C$6*DATI!$C$13^2*DATI!$I$11)</f>
        <v>3.9611210734772362E-2</v>
      </c>
      <c r="R257" s="191">
        <f t="shared" si="21"/>
        <v>-13.211638131734318</v>
      </c>
      <c r="S257" s="136" t="str">
        <f>IF(R257&gt;=0, IF(R257&lt;=DATI!$C$8/6, "SI", "NO"),IF(R257&gt; -DATI!$C$8/6, "SI", "NO"))</f>
        <v>SI</v>
      </c>
      <c r="T257" s="138">
        <f t="shared" si="22"/>
        <v>-558.28825969658624</v>
      </c>
      <c r="U257" s="136" t="str">
        <f t="shared" si="23"/>
        <v/>
      </c>
    </row>
    <row r="258" spans="1:21" ht="18.75" x14ac:dyDescent="0.25">
      <c r="A258" s="122"/>
      <c r="B258" s="137">
        <f t="shared" si="29"/>
        <v>-3.0000000000000018E-3</v>
      </c>
      <c r="C258" s="137">
        <f>(F258-DATI!$C$13)/(F258-DATI!$C$8+(DATI!$I$14*10^-3)*DATI!$C$8/(DATI!$I$13*10^-3))*(DATI!$I$14*10^-3)</f>
        <v>-1.1749999999999985E-3</v>
      </c>
      <c r="D258" s="137">
        <f>(F258-DATI!$C$10)/(F258-DATI!$C$8+(DATI!$I$14*10^-3)*DATI!$C$8/(DATI!$I$13*10^-3))*(DATI!$I$14*10^-3)</f>
        <v>-2.8250000000000016E-3</v>
      </c>
      <c r="E258" s="137">
        <f>(F258-DATI!$C$8)/(F258-DATI!$C$8+(DATI!$I$14*10^-3)*DATI!$C$8/(DATI!$I$13*10^-3))*(DATI!$I$14*10^-3)</f>
        <v>-9.9999999999999829E-4</v>
      </c>
      <c r="F258" s="138">
        <f>(DATI!$C$8*(DATI!$I$14*10^-3)*B258/((DATI!$I$14*10^-3)-B258))*(1/(DATI!$I$13*10^-3)-1/(DATI!$I$14*10^-3))</f>
        <v>599.99999999999932</v>
      </c>
      <c r="G258" s="139">
        <f>$G$247-((2*DATI!$I$10/(-DATI!$I$14)+DATI!$D$49)*(-E258*10^3)^2/2-(DATI!$I$10/(-DATI!$I$14)^2)*(-E258*10^3)^3/3)+(DATI!$I$10*((-E258*10^3))+DATI!$D$49/2*((-E258*10^3))^2)</f>
        <v>52.651422869823548</v>
      </c>
      <c r="H258" s="139">
        <f>$H$247-((2*DATI!$I$10/(-DATI!$I$14)+DATI!$D$49)*(-E258*10^3)^3/3-((DATI!$I$10/(-DATI!$I$14)^2)*(-E258*10^3)^4/4))+(DATI!$I$10/2*((-E258*10^3)^2)+DATI!$D$49/4*((-E258*10^3)^3))</f>
        <v>106.66323112637413</v>
      </c>
      <c r="I258" s="139">
        <f>G258/(Foglio1!$P$3*(-DATI!$I$13))</f>
        <v>0.98271795923579885</v>
      </c>
      <c r="J258" s="139">
        <f>1-(H258/G258)/(-DATI!$I$13)</f>
        <v>0.49354060482804774</v>
      </c>
      <c r="K258" s="138">
        <f>IF(D258&gt;=(DATI!$D$26*10^-3),DATI!$D$30*DATI!$I$29,IF(D258&gt;=(-DATI!$D$26*10^-3),DATI!$D$32*D258*DATI!$I$29,-DATI!$D$30*DATI!$I$29))</f>
        <v>-352404.7411418116</v>
      </c>
      <c r="L258" s="138">
        <f>IF(F258&lt;DATI!$C$8,( -DATI!$I$16*DATI!$C$6*I258*DATI!$I$11*F258),( -DATI!$I$16*DATI!$C$6*I258*Foglio1!L16*DATI!$C$8))</f>
        <v>-1942724.5527161756</v>
      </c>
      <c r="M258" s="138">
        <f>IF(C258&gt;=(DATI!$D$26*10^-3),DATI!$D$30*DATI!$I$28,IF(C258&gt;=(-DATI!$D$26*10^-3),DATI!$I$28*DATI!$D$32*C258,-DATI!$D$30*DATI!$I$28))</f>
        <v>-221430.78654632514</v>
      </c>
      <c r="N258" s="138">
        <f t="shared" ref="N258:N268" si="30">K258+L258+M258</f>
        <v>-2516560.0804043123</v>
      </c>
      <c r="O258" s="138">
        <f>IF(F258&lt;=DATI!$C$8,-L258*(DATI!$C$8/2-(J258*F258))-K258*(DATI!$C$13/2)+M258*(DATI!$C$13/2),-L258*(DATI!$C$8/2-(J258*DATI!$C$8))-K258*(DATI!$C$13/2)+M258*(DATI!$C$13/2))</f>
        <v>28922276.952175446</v>
      </c>
      <c r="P258" s="140">
        <f>-N258/(DATI!$C$6*DATI!$C$13*DATI!$I$11*DATI!$I$16)</f>
        <v>1.2934717831875968</v>
      </c>
      <c r="Q258" s="140">
        <f>O258/(DATI!$C$6*DATI!$C$13^2*DATI!$I$11)</f>
        <v>3.4618496129017441E-2</v>
      </c>
      <c r="R258" s="191">
        <f t="shared" ref="R258:R268" si="31">O258/N258</f>
        <v>-11.492782221805239</v>
      </c>
      <c r="S258" s="136" t="str">
        <f>IF(R258&gt;=0, IF(R258&lt;=DATI!$C$8/6, "SI", "NO"),IF(R258&gt; -DATI!$C$8/6, "SI", "NO"))</f>
        <v>SI</v>
      </c>
      <c r="T258" s="138">
        <f t="shared" ref="T258:T268" si="32">(K258+M258)/10^3</f>
        <v>-573.83552768813684</v>
      </c>
      <c r="U258" s="136" t="str">
        <f t="shared" ref="U258:U268" si="33">IF(T258&lt;1,IF(T258&gt;-1,"ROTTURA BILANCIATA",""),"")</f>
        <v/>
      </c>
    </row>
    <row r="259" spans="1:21" ht="18.75" x14ac:dyDescent="0.25">
      <c r="A259" s="122"/>
      <c r="B259" s="137">
        <f t="shared" si="29"/>
        <v>-2.900000000000002E-3</v>
      </c>
      <c r="C259" s="137">
        <f>(F259-DATI!$C$13)/(F259-DATI!$C$8+(DATI!$I$14*10^-3)*DATI!$C$8/(DATI!$I$13*10^-3))*(DATI!$I$14*10^-3)</f>
        <v>-1.2574999999999986E-3</v>
      </c>
      <c r="D259" s="137">
        <f>(F259-DATI!$C$10)/(F259-DATI!$C$8+(DATI!$I$14*10^-3)*DATI!$C$8/(DATI!$I$13*10^-3))*(DATI!$I$14*10^-3)</f>
        <v>-2.7425000000000014E-3</v>
      </c>
      <c r="E259" s="137">
        <f>(F259-DATI!$C$8)/(F259-DATI!$C$8+(DATI!$I$14*10^-3)*DATI!$C$8/(DATI!$I$13*10^-3))*(DATI!$I$14*10^-3)</f>
        <v>-1.0999999999999981E-3</v>
      </c>
      <c r="F259" s="138">
        <f>(DATI!$C$8*(DATI!$I$14*10^-3)*B259/((DATI!$I$14*10^-3)-B259))*(1/(DATI!$I$13*10^-3)-1/(DATI!$I$14*10^-3))</f>
        <v>644.44444444444355</v>
      </c>
      <c r="G259" s="139">
        <f>$G$247-((2*DATI!$I$10/(-DATI!$I$14)+DATI!$D$49)*(-E259*10^3)^2/2-(DATI!$I$10/(-DATI!$I$14)^2)*(-E259*10^3)^3/3)+(DATI!$I$10*((-E259*10^3))+DATI!$D$49/2*((-E259*10^3))^2)</f>
        <v>52.902348795749482</v>
      </c>
      <c r="H259" s="139">
        <f>$H$247-((2*DATI!$I$10/(-DATI!$I$14)+DATI!$D$49)*(-E259*10^3)^3/3-((DATI!$I$10/(-DATI!$I$14)^2)*(-E259*10^3)^4/4))+(DATI!$I$10/2*((-E259*10^3)^2)+DATI!$D$49/4*((-E259*10^3)^3))</f>
        <v>106.89477404065362</v>
      </c>
      <c r="I259" s="139">
        <f>G259/(Foglio1!$P$3*(-DATI!$I$13))</f>
        <v>0.98740139228289725</v>
      </c>
      <c r="J259" s="139">
        <f>1-(H259/G259)/(-DATI!$I$13)</f>
        <v>0.49484863869956264</v>
      </c>
      <c r="K259" s="138">
        <f>IF(D259&gt;=(DATI!$D$26*10^-3),DATI!$D$30*DATI!$I$29,IF(D259&gt;=(-DATI!$D$26*10^-3),DATI!$D$32*D259*DATI!$I$29,-DATI!$D$30*DATI!$I$29))</f>
        <v>-352404.7411418116</v>
      </c>
      <c r="L259" s="138">
        <f>IF(F259&lt;DATI!$C$8,( -DATI!$I$16*DATI!$C$6*I259*DATI!$I$11*F259),( -DATI!$I$16*DATI!$C$6*I259*Foglio1!L17*DATI!$C$8))</f>
        <v>-1936652.8488780798</v>
      </c>
      <c r="M259" s="138">
        <f>IF(C259&gt;=(DATI!$D$26*10^-3),DATI!$D$30*DATI!$I$28,IF(C259&gt;=(-DATI!$D$26*10^-3),DATI!$I$28*DATI!$D$32*C259,-DATI!$D$30*DATI!$I$28))</f>
        <v>-236978.05453787567</v>
      </c>
      <c r="N259" s="138">
        <f t="shared" si="30"/>
        <v>-2526035.6445577671</v>
      </c>
      <c r="O259" s="138">
        <f>IF(F259&lt;=DATI!$C$8,-L259*(DATI!$C$8/2-(J259*F259))-K259*(DATI!$C$13/2)+M259*(DATI!$C$13/2),-L259*(DATI!$C$8/2-(J259*DATI!$C$8))-K259*(DATI!$C$13/2)+M259*(DATI!$C$13/2))</f>
        <v>25055929.720455214</v>
      </c>
      <c r="P259" s="140">
        <f>-N259/(DATI!$C$6*DATI!$C$13*DATI!$I$11*DATI!$I$16)</f>
        <v>1.2983420721815748</v>
      </c>
      <c r="Q259" s="140">
        <f>O259/(DATI!$C$6*DATI!$C$13^2*DATI!$I$11)</f>
        <v>2.9990674920608862E-2</v>
      </c>
      <c r="R259" s="191">
        <f t="shared" si="31"/>
        <v>-9.9190721138227467</v>
      </c>
      <c r="S259" s="136" t="str">
        <f>IF(R259&gt;=0, IF(R259&lt;=DATI!$C$8/6, "SI", "NO"),IF(R259&gt; -DATI!$C$8/6, "SI", "NO"))</f>
        <v>SI</v>
      </c>
      <c r="T259" s="138">
        <f t="shared" si="32"/>
        <v>-589.38279567968732</v>
      </c>
      <c r="U259" s="136" t="str">
        <f t="shared" si="33"/>
        <v/>
      </c>
    </row>
    <row r="260" spans="1:21" ht="18.75" x14ac:dyDescent="0.25">
      <c r="A260" s="122"/>
      <c r="B260" s="137">
        <f t="shared" si="29"/>
        <v>-2.8000000000000021E-3</v>
      </c>
      <c r="C260" s="137">
        <f>(F260-DATI!$C$13)/(F260-DATI!$C$8+(DATI!$I$14*10^-3)*DATI!$C$8/(DATI!$I$13*10^-3))*(DATI!$I$14*10^-3)</f>
        <v>-1.3399999999999983E-3</v>
      </c>
      <c r="D260" s="137">
        <f>(F260-DATI!$C$10)/(F260-DATI!$C$8+(DATI!$I$14*10^-3)*DATI!$C$8/(DATI!$I$13*10^-3))*(DATI!$I$14*10^-3)</f>
        <v>-2.6600000000000013E-3</v>
      </c>
      <c r="E260" s="137">
        <f>(F260-DATI!$C$8)/(F260-DATI!$C$8+(DATI!$I$14*10^-3)*DATI!$C$8/(DATI!$I$13*10^-3))*(DATI!$I$14*10^-3)</f>
        <v>-1.1999999999999979E-3</v>
      </c>
      <c r="F260" s="138">
        <f>(DATI!$C$8*(DATI!$I$14*10^-3)*B260/((DATI!$I$14*10^-3)-B260))*(1/(DATI!$I$13*10^-3)-1/(DATI!$I$14*10^-3))</f>
        <v>699.99999999999875</v>
      </c>
      <c r="G260" s="139">
        <f>$G$247-((2*DATI!$I$10/(-DATI!$I$14)+DATI!$D$49)*(-E260*10^3)^2/2-(DATI!$I$10/(-DATI!$I$14)^2)*(-E260*10^3)^3/3)+(DATI!$I$10*((-E260*10^3))+DATI!$D$49/2*((-E260*10^3))^2)</f>
        <v>53.103274721675405</v>
      </c>
      <c r="H260" s="139">
        <f>$H$247-((2*DATI!$I$10/(-DATI!$I$14)+DATI!$D$49)*(-E260*10^3)^3/3-((DATI!$I$10/(-DATI!$I$14)^2)*(-E260*10^3)^4/4))+(DATI!$I$10/2*((-E260*10^3)^2)+DATI!$D$49/4*((-E260*10^3)^3))</f>
        <v>107.08767697208044</v>
      </c>
      <c r="I260" s="139">
        <f>G260/(Foglio1!$P$3*(-DATI!$I$13))</f>
        <v>0.99115159512872875</v>
      </c>
      <c r="J260" s="139">
        <f>1-(H260/G260)/(-DATI!$I$13)</f>
        <v>0.4958518211289803</v>
      </c>
      <c r="K260" s="138">
        <f>IF(D260&gt;=(DATI!$D$26*10^-3),DATI!$D$30*DATI!$I$29,IF(D260&gt;=(-DATI!$D$26*10^-3),DATI!$D$32*D260*DATI!$I$29,-DATI!$D$30*DATI!$I$29))</f>
        <v>-352404.7411418116</v>
      </c>
      <c r="L260" s="138">
        <f>IF(F260&lt;DATI!$C$8,( -DATI!$I$16*DATI!$C$6*I260*DATI!$I$11*F260),( -DATI!$I$16*DATI!$C$6*I260*Foglio1!L18*DATI!$C$8))</f>
        <v>-1928619.8014739403</v>
      </c>
      <c r="M260" s="138">
        <f>IF(C260&gt;=(DATI!$D$26*10^-3),DATI!$D$30*DATI!$I$28,IF(C260&gt;=(-DATI!$D$26*10^-3),DATI!$I$28*DATI!$D$32*C260,-DATI!$D$30*DATI!$I$28))</f>
        <v>-252525.32252942611</v>
      </c>
      <c r="N260" s="138">
        <f t="shared" si="30"/>
        <v>-2533549.865145178</v>
      </c>
      <c r="O260" s="138">
        <f>IF(F260&lt;=DATI!$C$8,-L260*(DATI!$C$8/2-(J260*F260))-K260*(DATI!$C$13/2)+M260*(DATI!$C$13/2),-L260*(DATI!$C$8/2-(J260*DATI!$C$8))-K260*(DATI!$C$13/2)+M260*(DATI!$C$13/2))</f>
        <v>21428097.861042097</v>
      </c>
      <c r="P260" s="140">
        <f>-N260/(DATI!$C$6*DATI!$C$13*DATI!$I$11*DATI!$I$16)</f>
        <v>1.3022042618340874</v>
      </c>
      <c r="Q260" s="140">
        <f>O260/(DATI!$C$6*DATI!$C$13^2*DATI!$I$11)</f>
        <v>2.5648344495190104E-2</v>
      </c>
      <c r="R260" s="191">
        <f t="shared" si="31"/>
        <v>-8.457736773147829</v>
      </c>
      <c r="S260" s="136" t="str">
        <f>IF(R260&gt;=0, IF(R260&lt;=DATI!$C$8/6, "SI", "NO"),IF(R260&gt; -DATI!$C$8/6, "SI", "NO"))</f>
        <v>SI</v>
      </c>
      <c r="T260" s="138">
        <f t="shared" si="32"/>
        <v>-604.93006367123769</v>
      </c>
      <c r="U260" s="136" t="str">
        <f t="shared" si="33"/>
        <v/>
      </c>
    </row>
    <row r="261" spans="1:21" ht="18.75" x14ac:dyDescent="0.25">
      <c r="A261" s="122"/>
      <c r="B261" s="137">
        <f t="shared" si="29"/>
        <v>-2.7000000000000023E-3</v>
      </c>
      <c r="C261" s="137">
        <f>(F261-DATI!$C$13)/(F261-DATI!$C$8+(DATI!$I$14*10^-3)*DATI!$C$8/(DATI!$I$13*10^-3))*(DATI!$I$14*10^-3)</f>
        <v>-1.4224999999999982E-3</v>
      </c>
      <c r="D261" s="137">
        <f>(F261-DATI!$C$10)/(F261-DATI!$C$8+(DATI!$I$14*10^-3)*DATI!$C$8/(DATI!$I$13*10^-3))*(DATI!$I$14*10^-3)</f>
        <v>-2.5775000000000021E-3</v>
      </c>
      <c r="E261" s="137">
        <f>(F261-DATI!$C$8)/(F261-DATI!$C$8+(DATI!$I$14*10^-3)*DATI!$C$8/(DATI!$I$13*10^-3))*(DATI!$I$14*10^-3)</f>
        <v>-1.2999999999999978E-3</v>
      </c>
      <c r="F261" s="138">
        <f>(DATI!$C$8*(DATI!$I$14*10^-3)*B261/((DATI!$I$14*10^-3)-B261))*(1/(DATI!$I$13*10^-3)-1/(DATI!$I$14*10^-3))</f>
        <v>771.42857142856963</v>
      </c>
      <c r="G261" s="139">
        <f>$G$247-((2*DATI!$I$10/(-DATI!$I$14)+DATI!$D$49)*(-E261*10^3)^2/2-(DATI!$I$10/(-DATI!$I$14)^2)*(-E261*10^3)^3/3)+(DATI!$I$10*((-E261*10^3))+DATI!$D$49/2*((-E261*10^3))^2)</f>
        <v>53.259756203156883</v>
      </c>
      <c r="H261" s="139">
        <f>$H$247-((2*DATI!$I$10/(-DATI!$I$14)+DATI!$D$49)*(-E261*10^3)^3/3-((DATI!$I$10/(-DATI!$I$14)^2)*(-E261*10^3)^4/4))+(DATI!$I$10/2*((-E261*10^3)^2)+DATI!$D$49/4*((-E261*10^3)^3))</f>
        <v>107.23831355857713</v>
      </c>
      <c r="I261" s="139">
        <f>G261/(Foglio1!$P$3*(-DATI!$I$13))</f>
        <v>0.99407226001787852</v>
      </c>
      <c r="J261" s="139">
        <f>1-(H261/G261)/(-DATI!$I$13)</f>
        <v>0.49662596487711319</v>
      </c>
      <c r="K261" s="138">
        <f>IF(D261&gt;=(DATI!$D$26*10^-3),DATI!$D$30*DATI!$I$29,IF(D261&gt;=(-DATI!$D$26*10^-3),DATI!$D$32*D261*DATI!$I$29,-DATI!$D$30*DATI!$I$29))</f>
        <v>-352404.7411418116</v>
      </c>
      <c r="L261" s="138">
        <f>IF(F261&lt;DATI!$C$8,( -DATI!$I$16*DATI!$C$6*I261*DATI!$I$11*F261),( -DATI!$I$16*DATI!$C$6*I261*Foglio1!L19*DATI!$C$8))</f>
        <v>-1918869.0366487789</v>
      </c>
      <c r="M261" s="138">
        <f>IF(C261&gt;=(DATI!$D$26*10^-3),DATI!$D$30*DATI!$I$28,IF(C261&gt;=(-DATI!$D$26*10^-3),DATI!$I$28*DATI!$D$32*C261,-DATI!$D$30*DATI!$I$28))</f>
        <v>-268072.59052097658</v>
      </c>
      <c r="N261" s="138">
        <f t="shared" si="30"/>
        <v>-2539346.3683115672</v>
      </c>
      <c r="O261" s="138">
        <f>IF(F261&lt;=DATI!$C$8,-L261*(DATI!$C$8/2-(J261*F261))-K261*(DATI!$C$13/2)+M261*(DATI!$C$13/2),-L261*(DATI!$C$8/2-(J261*DATI!$C$8))-K261*(DATI!$C$13/2)+M261*(DATI!$C$13/2))</f>
        <v>17980350.098651573</v>
      </c>
      <c r="P261" s="140">
        <f>-N261/(DATI!$C$6*DATI!$C$13*DATI!$I$11*DATI!$I$16)</f>
        <v>1.305183572101807</v>
      </c>
      <c r="Q261" s="140">
        <f>O261/(DATI!$C$6*DATI!$C$13^2*DATI!$I$11)</f>
        <v>2.1521565584819172E-2</v>
      </c>
      <c r="R261" s="191">
        <f t="shared" si="31"/>
        <v>-7.0807001057547181</v>
      </c>
      <c r="S261" s="136" t="str">
        <f>IF(R261&gt;=0, IF(R261&lt;=DATI!$C$8/6, "SI", "NO"),IF(R261&gt; -DATI!$C$8/6, "SI", "NO"))</f>
        <v>SI</v>
      </c>
      <c r="T261" s="138">
        <f t="shared" si="32"/>
        <v>-620.47733166278817</v>
      </c>
      <c r="U261" s="136" t="str">
        <f t="shared" si="33"/>
        <v/>
      </c>
    </row>
    <row r="262" spans="1:21" ht="18.75" x14ac:dyDescent="0.25">
      <c r="A262" s="122"/>
      <c r="B262" s="137">
        <f t="shared" si="29"/>
        <v>-2.6000000000000025E-3</v>
      </c>
      <c r="C262" s="137">
        <f>(F262-DATI!$C$13)/(F262-DATI!$C$8+(DATI!$I$14*10^-3)*DATI!$C$8/(DATI!$I$13*10^-3))*(DATI!$I$14*10^-3)</f>
        <v>-1.5049999999999979E-3</v>
      </c>
      <c r="D262" s="137">
        <f>(F262-DATI!$C$10)/(F262-DATI!$C$8+(DATI!$I$14*10^-3)*DATI!$C$8/(DATI!$I$13*10^-3))*(DATI!$I$14*10^-3)</f>
        <v>-2.495000000000002E-3</v>
      </c>
      <c r="E262" s="137">
        <f>(F262-DATI!$C$8)/(F262-DATI!$C$8+(DATI!$I$14*10^-3)*DATI!$C$8/(DATI!$I$13*10^-3))*(DATI!$I$14*10^-3)</f>
        <v>-1.3999999999999976E-3</v>
      </c>
      <c r="F262" s="138">
        <f>(DATI!$C$8*(DATI!$I$14*10^-3)*B262/((DATI!$I$14*10^-3)-B262))*(1/(DATI!$I$13*10^-3)-1/(DATI!$I$14*10^-3))</f>
        <v>866.6666666666639</v>
      </c>
      <c r="G262" s="139">
        <f>$G$247-((2*DATI!$I$10/(-DATI!$I$14)+DATI!$D$49)*(-E262*10^3)^2/2-(DATI!$I$10/(-DATI!$I$14)^2)*(-E262*10^3)^3/3)+(DATI!$I$10*((-E262*10^3))+DATI!$D$49/2*((-E262*10^3))^2)</f>
        <v>53.377348795749484</v>
      </c>
      <c r="H262" s="139">
        <f>$H$247-((2*DATI!$I$10/(-DATI!$I$14)+DATI!$D$49)*(-E262*10^3)^3/3-((DATI!$I$10/(-DATI!$I$14)^2)*(-E262*10^3)^4/4))+(DATI!$I$10/2*((-E262*10^3)^2)+DATI!$D$49/4*((-E262*10^3)^3))</f>
        <v>107.34472410473285</v>
      </c>
      <c r="I262" s="139">
        <f>G262/(Foglio1!$P$3*(-DATI!$I$13))</f>
        <v>0.99626707919493218</v>
      </c>
      <c r="J262" s="139">
        <f>1-(H262/G262)/(-DATI!$I$13)</f>
        <v>0.49723653138201174</v>
      </c>
      <c r="K262" s="138">
        <f>IF(D262&gt;=(DATI!$D$26*10^-3),DATI!$D$30*DATI!$I$29,IF(D262&gt;=(-DATI!$D$26*10^-3),DATI!$D$32*D262*DATI!$I$29,-DATI!$D$30*DATI!$I$29))</f>
        <v>-352404.7411418116</v>
      </c>
      <c r="L262" s="138">
        <f>IF(F262&lt;DATI!$C$8,( -DATI!$I$16*DATI!$C$6*I262*DATI!$I$11*F262),( -DATI!$I$16*DATI!$C$6*I262*Foglio1!L20*DATI!$C$8))</f>
        <v>-1907637.740870425</v>
      </c>
      <c r="M262" s="138">
        <f>IF(C262&gt;=(DATI!$D$26*10^-3),DATI!$D$30*DATI!$I$28,IF(C262&gt;=(-DATI!$D$26*10^-3),DATI!$I$28*DATI!$D$32*C262,-DATI!$D$30*DATI!$I$28))</f>
        <v>-283619.85851252708</v>
      </c>
      <c r="N262" s="138">
        <f t="shared" si="30"/>
        <v>-2543662.3405247638</v>
      </c>
      <c r="O262" s="138">
        <f>IF(F262&lt;=DATI!$C$8,-L262*(DATI!$C$8/2-(J262*F262))-K262*(DATI!$C$13/2)+M262*(DATI!$C$13/2),-L262*(DATI!$C$8/2-(J262*DATI!$C$8))-K262*(DATI!$C$13/2)+M262*(DATI!$C$13/2))</f>
        <v>14661919.892398611</v>
      </c>
      <c r="P262" s="140">
        <f>-N262/(DATI!$C$6*DATI!$C$13*DATI!$I$11*DATI!$I$16)</f>
        <v>1.3074019130499375</v>
      </c>
      <c r="Q262" s="140">
        <f>O262/(DATI!$C$6*DATI!$C$13^2*DATI!$I$11)</f>
        <v>1.7549573219227021E-2</v>
      </c>
      <c r="R262" s="191">
        <f t="shared" si="31"/>
        <v>-5.7640983470210987</v>
      </c>
      <c r="S262" s="136" t="str">
        <f>IF(R262&gt;=0, IF(R262&lt;=DATI!$C$8/6, "SI", "NO"),IF(R262&gt; -DATI!$C$8/6, "SI", "NO"))</f>
        <v>SI</v>
      </c>
      <c r="T262" s="138">
        <f t="shared" si="32"/>
        <v>-636.02459965433866</v>
      </c>
      <c r="U262" s="136" t="str">
        <f t="shared" si="33"/>
        <v/>
      </c>
    </row>
    <row r="263" spans="1:21" ht="18.75" x14ac:dyDescent="0.25">
      <c r="A263" s="122"/>
      <c r="B263" s="137">
        <f t="shared" si="29"/>
        <v>-2.5000000000000027E-3</v>
      </c>
      <c r="C263" s="137">
        <f>(F263-DATI!$C$13)/(F263-DATI!$C$8+(DATI!$I$14*10^-3)*DATI!$C$8/(DATI!$I$13*10^-3))*(DATI!$I$14*10^-3)</f>
        <v>-1.587499999999998E-3</v>
      </c>
      <c r="D263" s="137">
        <f>(F263-DATI!$C$10)/(F263-DATI!$C$8+(DATI!$I$14*10^-3)*DATI!$C$8/(DATI!$I$13*10^-3))*(DATI!$I$14*10^-3)</f>
        <v>-2.4125000000000023E-3</v>
      </c>
      <c r="E263" s="137">
        <f>(F263-DATI!$C$8)/(F263-DATI!$C$8+(DATI!$I$14*10^-3)*DATI!$C$8/(DATI!$I$13*10^-3))*(DATI!$I$14*10^-3)</f>
        <v>-1.4999999999999974E-3</v>
      </c>
      <c r="F263" s="138">
        <f>(DATI!$C$8*(DATI!$I$14*10^-3)*B263/((DATI!$I$14*10^-3)-B263))*(1/(DATI!$I$13*10^-3)-1/(DATI!$I$14*10^-3))</f>
        <v>999.99999999999591</v>
      </c>
      <c r="G263" s="139">
        <f>$G$247-((2*DATI!$I$10/(-DATI!$I$14)+DATI!$D$49)*(-E263*10^3)^2/2-(DATI!$I$10/(-DATI!$I$14)^2)*(-E263*10^3)^3/3)+(DATI!$I$10*((-E263*10^3))+DATI!$D$49/2*((-E263*10^3))^2)</f>
        <v>53.461608055008739</v>
      </c>
      <c r="H263" s="139">
        <f>$H$247-((2*DATI!$I$10/(-DATI!$I$14)+DATI!$D$49)*(-E263*10^3)^3/3-((DATI!$I$10/(-DATI!$I$14)^2)*(-E263*10^3)^4/4))+(DATI!$I$10/2*((-E263*10^3)^2)+DATI!$D$49/4*((-E263*10^3)^3))</f>
        <v>107.40661558180338</v>
      </c>
      <c r="I263" s="139">
        <f>G263/(Foglio1!$P$3*(-DATI!$I$13))</f>
        <v>0.99783974490447425</v>
      </c>
      <c r="J263" s="139">
        <f>1-(H263/G263)/(-DATI!$I$13)</f>
        <v>0.49773950181554349</v>
      </c>
      <c r="K263" s="138">
        <f>IF(D263&gt;=(DATI!$D$26*10^-3),DATI!$D$30*DATI!$I$29,IF(D263&gt;=(-DATI!$D$26*10^-3),DATI!$D$32*D263*DATI!$I$29,-DATI!$D$30*DATI!$I$29))</f>
        <v>-352404.7411418116</v>
      </c>
      <c r="L263" s="138">
        <f>IF(F263&lt;DATI!$C$8,( -DATI!$I$16*DATI!$C$6*I263*DATI!$I$11*F263),( -DATI!$I$16*DATI!$C$6*I263*Foglio1!L21*DATI!$C$8))</f>
        <v>-1895156.660929515</v>
      </c>
      <c r="M263" s="138">
        <f>IF(C263&gt;=(DATI!$D$26*10^-3),DATI!$D$30*DATI!$I$28,IF(C263&gt;=(-DATI!$D$26*10^-3),DATI!$I$28*DATI!$D$32*C263,-DATI!$D$30*DATI!$I$28))</f>
        <v>-299167.12650407758</v>
      </c>
      <c r="N263" s="138">
        <f t="shared" si="30"/>
        <v>-2546728.5285754041</v>
      </c>
      <c r="O263" s="138">
        <f>IF(F263&lt;=DATI!$C$8,-L263*(DATI!$C$8/2-(J263*F263))-K263*(DATI!$C$13/2)+M263*(DATI!$C$13/2),-L263*(DATI!$C$8/2-(J263*DATI!$C$8))-K263*(DATI!$C$13/2)+M263*(DATI!$C$13/2))</f>
        <v>11429463.947903201</v>
      </c>
      <c r="P263" s="140">
        <f>-N263/(DATI!$C$6*DATI!$C$13*DATI!$I$11*DATI!$I$16)</f>
        <v>1.3089778848522133</v>
      </c>
      <c r="Q263" s="140">
        <f>O263/(DATI!$C$6*DATI!$C$13^2*DATI!$I$11)</f>
        <v>1.3680487677076551E-2</v>
      </c>
      <c r="R263" s="191">
        <f t="shared" si="31"/>
        <v>-4.4879003865781666</v>
      </c>
      <c r="S263" s="136" t="str">
        <f>IF(R263&gt;=0, IF(R263&lt;=DATI!$C$8/6, "SI", "NO"),IF(R263&gt; -DATI!$C$8/6, "SI", "NO"))</f>
        <v>SI</v>
      </c>
      <c r="T263" s="138">
        <f t="shared" si="32"/>
        <v>-651.57186764588914</v>
      </c>
      <c r="U263" s="136" t="str">
        <f t="shared" si="33"/>
        <v/>
      </c>
    </row>
    <row r="264" spans="1:21" ht="18.75" x14ac:dyDescent="0.25">
      <c r="A264" s="122"/>
      <c r="B264" s="137">
        <f t="shared" si="29"/>
        <v>-2.4000000000000028E-3</v>
      </c>
      <c r="C264" s="137">
        <f>(F264-DATI!$C$13)/(F264-DATI!$C$8+(DATI!$I$14*10^-3)*DATI!$C$8/(DATI!$I$13*10^-3))*(DATI!$I$14*10^-3)</f>
        <v>-1.6699999999999977E-3</v>
      </c>
      <c r="D264" s="137">
        <f>(F264-DATI!$C$10)/(F264-DATI!$C$8+(DATI!$I$14*10^-3)*DATI!$C$8/(DATI!$I$13*10^-3))*(DATI!$I$14*10^-3)</f>
        <v>-2.3300000000000022E-3</v>
      </c>
      <c r="E264" s="137">
        <f>(F264-DATI!$C$8)/(F264-DATI!$C$8+(DATI!$I$14*10^-3)*DATI!$C$8/(DATI!$I$13*10^-3))*(DATI!$I$14*10^-3)</f>
        <v>-1.5999999999999973E-3</v>
      </c>
      <c r="F264" s="138">
        <f>(DATI!$C$8*(DATI!$I$14*10^-3)*B264/((DATI!$I$14*10^-3)-B264))*(1/(DATI!$I$13*10^-3)-1/(DATI!$I$14*10^-3))</f>
        <v>1199.9999999999932</v>
      </c>
      <c r="G264" s="139">
        <f>$G$247-((2*DATI!$I$10/(-DATI!$I$14)+DATI!$D$49)*(-E264*10^3)^2/2-(DATI!$I$10/(-DATI!$I$14)^2)*(-E264*10^3)^3/3)+(DATI!$I$10*((-E264*10^3))+DATI!$D$49/2*((-E264*10^3))^2)</f>
        <v>53.518089536490223</v>
      </c>
      <c r="H264" s="139">
        <f>$H$247-((2*DATI!$I$10/(-DATI!$I$14)+DATI!$D$49)*(-E264*10^3)^3/3-((DATI!$I$10/(-DATI!$I$14)^2)*(-E264*10^3)^4/4))+(DATI!$I$10/2*((-E264*10^3)^2)+DATI!$D$49/4*((-E264*10^3)^3))</f>
        <v>107.42536162771123</v>
      </c>
      <c r="I264" s="139">
        <f>G264/(Foglio1!$P$3*(-DATI!$I$13))</f>
        <v>0.99889394939109055</v>
      </c>
      <c r="J264" s="139">
        <f>1-(H264/G264)/(-DATI!$I$13)</f>
        <v>0.4981820046357156</v>
      </c>
      <c r="K264" s="138">
        <f>IF(D264&gt;=(DATI!$D$26*10^-3),DATI!$D$30*DATI!$I$29,IF(D264&gt;=(-DATI!$D$26*10^-3),DATI!$D$32*D264*DATI!$I$29,-DATI!$D$30*DATI!$I$29))</f>
        <v>-352404.7411418116</v>
      </c>
      <c r="L264" s="138">
        <f>IF(F264&lt;DATI!$C$8,( -DATI!$I$16*DATI!$C$6*I264*DATI!$I$11*F264),( -DATI!$I$16*DATI!$C$6*I264*Foglio1!L22*DATI!$C$8))</f>
        <v>-1881650.1039394941</v>
      </c>
      <c r="M264" s="138">
        <f>IF(C264&gt;=(DATI!$D$26*10^-3),DATI!$D$30*DATI!$I$28,IF(C264&gt;=(-DATI!$D$26*10^-3),DATI!$I$28*DATI!$D$32*C264,-DATI!$D$30*DATI!$I$28))</f>
        <v>-314714.39449562802</v>
      </c>
      <c r="N264" s="138">
        <f t="shared" si="30"/>
        <v>-2548769.2395769334</v>
      </c>
      <c r="O264" s="138">
        <f>IF(F264&lt;=DATI!$C$8,-L264*(DATI!$C$8/2-(J264*F264))-K264*(DATI!$C$13/2)+M264*(DATI!$C$13/2),-L264*(DATI!$C$8/2-(J264*DATI!$C$8))-K264*(DATI!$C$13/2)+M264*(DATI!$C$13/2))</f>
        <v>8246820.7293954268</v>
      </c>
      <c r="P264" s="140">
        <f>-N264/(DATI!$C$6*DATI!$C$13*DATI!$I$11*DATI!$I$16)</f>
        <v>1.3100267777909007</v>
      </c>
      <c r="Q264" s="140">
        <f>O264/(DATI!$C$6*DATI!$C$13^2*DATI!$I$11)</f>
        <v>9.8710254372210652E-3</v>
      </c>
      <c r="R264" s="191">
        <f t="shared" si="31"/>
        <v>-3.2356090152611481</v>
      </c>
      <c r="S264" s="136" t="str">
        <f>IF(R264&gt;=0, IF(R264&lt;=DATI!$C$8/6, "SI", "NO"),IF(R264&gt; -DATI!$C$8/6, "SI", "NO"))</f>
        <v>SI</v>
      </c>
      <c r="T264" s="138">
        <f t="shared" si="32"/>
        <v>-667.11913563743951</v>
      </c>
      <c r="U264" s="136" t="str">
        <f t="shared" si="33"/>
        <v/>
      </c>
    </row>
    <row r="265" spans="1:21" ht="18.75" x14ac:dyDescent="0.25">
      <c r="A265" s="122"/>
      <c r="B265" s="137">
        <f t="shared" si="29"/>
        <v>-2.300000000000003E-3</v>
      </c>
      <c r="C265" s="137">
        <f>(F265-DATI!$C$13)/(F265-DATI!$C$8+(DATI!$I$14*10^-3)*DATI!$C$8/(DATI!$I$13*10^-3))*(DATI!$I$14*10^-3)</f>
        <v>-1.7524999999999975E-3</v>
      </c>
      <c r="D265" s="137">
        <f>(F265-DATI!$C$10)/(F265-DATI!$C$8+(DATI!$I$14*10^-3)*DATI!$C$8/(DATI!$I$13*10^-3))*(DATI!$I$14*10^-3)</f>
        <v>-2.2475000000000025E-3</v>
      </c>
      <c r="E265" s="137">
        <f>(F265-DATI!$C$8)/(F265-DATI!$C$8+(DATI!$I$14*10^-3)*DATI!$C$8/(DATI!$I$13*10^-3))*(DATI!$I$14*10^-3)</f>
        <v>-1.6999999999999971E-3</v>
      </c>
      <c r="F265" s="138">
        <f>(DATI!$C$8*(DATI!$I$14*10^-3)*B265/((DATI!$I$14*10^-3)-B265))*(1/(DATI!$I$13*10^-3)-1/(DATI!$I$14*10^-3))</f>
        <v>1533.3333333333203</v>
      </c>
      <c r="G265" s="139">
        <f>$G$247-((2*DATI!$I$10/(-DATI!$I$14)+DATI!$D$49)*(-E265*10^3)^2/2-(DATI!$I$10/(-DATI!$I$14)^2)*(-E265*10^3)^3/3)+(DATI!$I$10*((-E265*10^3))+DATI!$D$49/2*((-E265*10^3))^2)</f>
        <v>53.552348795749481</v>
      </c>
      <c r="H265" s="139">
        <f>$H$247-((2*DATI!$I$10/(-DATI!$I$14)+DATI!$D$49)*(-E265*10^3)^3/3-((DATI!$I$10/(-DATI!$I$14)^2)*(-E265*10^3)^4/4))+(DATI!$I$10/2*((-E265*10^3)^2)+DATI!$D$49/4*((-E265*10^3)^3))</f>
        <v>107.40400254704555</v>
      </c>
      <c r="I265" s="139">
        <f>G265/(Foglio1!$P$3*(-DATI!$I$13))</f>
        <v>0.99953338489936594</v>
      </c>
      <c r="J265" s="139">
        <f>1-(H265/G265)/(-DATI!$I$13)</f>
        <v>0.49860274590061326</v>
      </c>
      <c r="K265" s="138">
        <f>IF(D265&gt;=(DATI!$D$26*10^-3),DATI!$D$30*DATI!$I$29,IF(D265&gt;=(-DATI!$D$26*10^-3),DATI!$D$32*D265*DATI!$I$29,-DATI!$D$30*DATI!$I$29))</f>
        <v>-352404.7411418116</v>
      </c>
      <c r="L265" s="138">
        <f>IF(F265&lt;DATI!$C$8,( -DATI!$I$16*DATI!$C$6*I265*DATI!$I$11*F265),( -DATI!$I$16*DATI!$C$6*I265*Foglio1!L23*DATI!$C$8))</f>
        <v>-1867335.9373366155</v>
      </c>
      <c r="M265" s="138">
        <f>IF(C265&gt;=(DATI!$D$26*10^-3),DATI!$D$30*DATI!$I$28,IF(C265&gt;=(-DATI!$D$26*10^-3),DATI!$I$28*DATI!$D$32*C265,-DATI!$D$30*DATI!$I$28))</f>
        <v>-330261.66248717852</v>
      </c>
      <c r="N265" s="138">
        <f t="shared" si="30"/>
        <v>-2550002.3409656058</v>
      </c>
      <c r="O265" s="138">
        <f>IF(F265&lt;=DATI!$C$8,-L265*(DATI!$C$8/2-(J265*F265))-K265*(DATI!$C$13/2)+M265*(DATI!$C$13/2),-L265*(DATI!$C$8/2-(J265*DATI!$C$8))-K265*(DATI!$C$13/2)+M265*(DATI!$C$13/2))</f>
        <v>5084768.9718208686</v>
      </c>
      <c r="P265" s="140">
        <f>-N265/(DATI!$C$6*DATI!$C$13*DATI!$I$11*DATI!$I$16)</f>
        <v>1.3106605722567977</v>
      </c>
      <c r="Q265" s="140">
        <f>O265/(DATI!$C$6*DATI!$C$13^2*DATI!$I$11)</f>
        <v>6.0862101299631079E-3</v>
      </c>
      <c r="R265" s="191">
        <f t="shared" si="31"/>
        <v>-1.9940252172064383</v>
      </c>
      <c r="S265" s="136" t="str">
        <f>IF(R265&gt;=0, IF(R265&lt;=DATI!$C$8/6, "SI", "NO"),IF(R265&gt; -DATI!$C$8/6, "SI", "NO"))</f>
        <v>SI</v>
      </c>
      <c r="T265" s="138">
        <f t="shared" si="32"/>
        <v>-682.66640362899011</v>
      </c>
      <c r="U265" s="136" t="str">
        <f t="shared" si="33"/>
        <v/>
      </c>
    </row>
    <row r="266" spans="1:21" ht="18.75" x14ac:dyDescent="0.25">
      <c r="A266" s="122"/>
      <c r="B266" s="137">
        <f t="shared" si="29"/>
        <v>-2.2000000000000032E-3</v>
      </c>
      <c r="C266" s="137">
        <f>(F266-DATI!$C$13)/(F266-DATI!$C$8+(DATI!$I$14*10^-3)*DATI!$C$8/(DATI!$I$13*10^-3))*(DATI!$I$14*10^-3)</f>
        <v>-1.8349999999999977E-3</v>
      </c>
      <c r="D266" s="137">
        <f>(F266-DATI!$C$10)/(F266-DATI!$C$8+(DATI!$I$14*10^-3)*DATI!$C$8/(DATI!$I$13*10^-3))*(DATI!$I$14*10^-3)</f>
        <v>-2.1650000000000029E-3</v>
      </c>
      <c r="E266" s="137">
        <f>(F266-DATI!$C$8)/(F266-DATI!$C$8+(DATI!$I$14*10^-3)*DATI!$C$8/(DATI!$I$13*10^-3))*(DATI!$I$14*10^-3)</f>
        <v>-1.7999999999999969E-3</v>
      </c>
      <c r="F266" s="138">
        <f>(DATI!$C$8*(DATI!$I$14*10^-3)*B266/((DATI!$I$14*10^-3)-B266))*(1/(DATI!$I$13*10^-3)-1/(DATI!$I$14*10^-3))</f>
        <v>2199.9999999999691</v>
      </c>
      <c r="G266" s="139">
        <f>$G$247-((2*DATI!$I$10/(-DATI!$I$14)+DATI!$D$49)*(-E266*10^3)^2/2-(DATI!$I$10/(-DATI!$I$14)^2)*(-E266*10^3)^3/3)+(DATI!$I$10*((-E266*10^3))+DATI!$D$49/2*((-E266*10^3))^2)</f>
        <v>53.569941388342073</v>
      </c>
      <c r="H266" s="139">
        <f>$H$247-((2*DATI!$I$10/(-DATI!$I$14)+DATI!$D$49)*(-E266*10^3)^3/3-((DATI!$I$10/(-DATI!$I$14)^2)*(-E266*10^3)^4/4))+(DATI!$I$10/2*((-E266*10^3)^2)+DATI!$D$49/4*((-E266*10^3)^3))</f>
        <v>107.34724531106215</v>
      </c>
      <c r="I266" s="139">
        <f>G266/(Foglio1!$P$3*(-DATI!$I$13))</f>
        <v>0.99986174367388581</v>
      </c>
      <c r="J266" s="139">
        <f>1-(H266/G266)/(-DATI!$I$13)</f>
        <v>0.49903228130830501</v>
      </c>
      <c r="K266" s="138">
        <f>IF(D266&gt;=(DATI!$D$26*10^-3),DATI!$D$30*DATI!$I$29,IF(D266&gt;=(-DATI!$D$26*10^-3),DATI!$D$32*D266*DATI!$I$29,-DATI!$D$30*DATI!$I$29))</f>
        <v>-352404.7411418116</v>
      </c>
      <c r="L266" s="138">
        <f>IF(F266&lt;DATI!$C$8,( -DATI!$I$16*DATI!$C$6*I266*DATI!$I$11*F266),( -DATI!$I$16*DATI!$C$6*I266*Foglio1!L24*DATI!$C$8))</f>
        <v>-1852425.5888799401</v>
      </c>
      <c r="M266" s="138">
        <f>IF(C266&gt;=(DATI!$D$26*10^-3),DATI!$D$30*DATI!$I$28,IF(C266&gt;=(-DATI!$D$26*10^-3),DATI!$I$28*DATI!$D$32*C266,-DATI!$D$30*DATI!$I$28))</f>
        <v>-345808.93047872902</v>
      </c>
      <c r="N266" s="138">
        <f t="shared" si="30"/>
        <v>-2550639.2605004804</v>
      </c>
      <c r="O266" s="138">
        <f>IF(F266&lt;=DATI!$C$8,-L266*(DATI!$C$8/2-(J266*F266))-K266*(DATI!$C$13/2)+M266*(DATI!$C$13/2),-L266*(DATI!$C$8/2-(J266*DATI!$C$8))-K266*(DATI!$C$13/2)+M266*(DATI!$C$13/2))</f>
        <v>1920786.1929458752</v>
      </c>
      <c r="P266" s="140">
        <f>-N266/(DATI!$C$6*DATI!$C$13*DATI!$I$11*DATI!$I$16)</f>
        <v>1.3109879387492316</v>
      </c>
      <c r="Q266" s="140">
        <f>O266/(DATI!$C$6*DATI!$C$13^2*DATI!$I$11)</f>
        <v>2.2990834883131633E-3</v>
      </c>
      <c r="R266" s="191">
        <f t="shared" si="31"/>
        <v>-0.75306070234682387</v>
      </c>
      <c r="S266" s="136" t="str">
        <f>IF(R266&gt;=0, IF(R266&lt;=DATI!$C$8/6, "SI", "NO"),IF(R266&gt; -DATI!$C$8/6, "SI", "NO"))</f>
        <v>SI</v>
      </c>
      <c r="T266" s="138">
        <f t="shared" si="32"/>
        <v>-698.21367162054059</v>
      </c>
      <c r="U266" s="136" t="str">
        <f t="shared" si="33"/>
        <v/>
      </c>
    </row>
    <row r="267" spans="1:21" ht="18.75" x14ac:dyDescent="0.25">
      <c r="A267" s="122"/>
      <c r="B267" s="137">
        <f t="shared" si="29"/>
        <v>-2.1000000000000033E-3</v>
      </c>
      <c r="C267" s="137">
        <f>(F267-DATI!$C$13)/(F267-DATI!$C$8+(DATI!$I$14*10^-3)*DATI!$C$8/(DATI!$I$13*10^-3))*(DATI!$I$14*10^-3)</f>
        <v>-1.9174999999999973E-3</v>
      </c>
      <c r="D267" s="137">
        <f>(F267-DATI!$C$10)/(F267-DATI!$C$8+(DATI!$I$14*10^-3)*DATI!$C$8/(DATI!$I$13*10^-3))*(DATI!$I$14*10^-3)</f>
        <v>-2.0825000000000028E-3</v>
      </c>
      <c r="E267" s="137">
        <f>(F267-DATI!$C$8)/(F267-DATI!$C$8+(DATI!$I$14*10^-3)*DATI!$C$8/(DATI!$I$13*10^-3))*(DATI!$I$14*10^-3)</f>
        <v>-1.8999999999999967E-3</v>
      </c>
      <c r="F267" s="138">
        <f>(DATI!$C$8*(DATI!$I$14*10^-3)*B267/((DATI!$I$14*10^-3)-B267))*(1/(DATI!$I$13*10^-3)-1/(DATI!$I$14*10^-3))</f>
        <v>4199.9999999998681</v>
      </c>
      <c r="G267" s="139">
        <f>$G$247-((2*DATI!$I$10/(-DATI!$I$14)+DATI!$D$49)*(-E267*10^3)^2/2-(DATI!$I$10/(-DATI!$I$14)^2)*(-E267*10^3)^3/3)+(DATI!$I$10*((-E267*10^3))+DATI!$D$49/2*((-E267*10^3))^2)</f>
        <v>53.576422869823553</v>
      </c>
      <c r="H267" s="139">
        <f>$H$247-((2*DATI!$I$10/(-DATI!$I$14)+DATI!$D$49)*(-E267*10^3)^3/3-((DATI!$I$10/(-DATI!$I$14)^2)*(-E267*10^3)^4/4))+(DATI!$I$10/2*((-E267*10^3)^2)+DATI!$D$49/4*((-E267*10^3)^3))</f>
        <v>107.26146355768356</v>
      </c>
      <c r="I267" s="139">
        <f>G267/(Foglio1!$P$3*(-DATI!$I$13))</f>
        <v>0.9999827179592351</v>
      </c>
      <c r="J267" s="139">
        <f>1-(H267/G267)/(-DATI!$I$13)</f>
        <v>0.49949316409990474</v>
      </c>
      <c r="K267" s="138">
        <f>IF(D267&gt;=(DATI!$D$26*10^-3),DATI!$D$30*DATI!$I$29,IF(D267&gt;=(-DATI!$D$26*10^-3),DATI!$D$32*D267*DATI!$I$29,-DATI!$D$30*DATI!$I$29))</f>
        <v>-352404.7411418116</v>
      </c>
      <c r="L267" s="138">
        <f>IF(F267&lt;DATI!$C$8,( -DATI!$I$16*DATI!$C$6*I267*DATI!$I$11*F267),( -DATI!$I$16*DATI!$C$6*I267*Foglio1!L25*DATI!$C$8))</f>
        <v>-1837124.0466513366</v>
      </c>
      <c r="M267" s="138">
        <f>IF(C267&gt;=(DATI!$D$26*10^-3),DATI!$D$30*DATI!$I$28,IF(C267&gt;=(-DATI!$D$26*10^-3),DATI!$I$28*DATI!$D$32*C267,-DATI!$D$30*DATI!$I$28))</f>
        <v>-352404.7411418116</v>
      </c>
      <c r="N267" s="138">
        <f t="shared" si="30"/>
        <v>-2541933.5289349598</v>
      </c>
      <c r="O267" s="138">
        <f>IF(F267&lt;=DATI!$C$8,-L267*(DATI!$C$8/2-(J267*F267))-K267*(DATI!$C$13/2)+M267*(DATI!$C$13/2),-L267*(DATI!$C$8/2-(J267*DATI!$C$8))-K267*(DATI!$C$13/2)+M267*(DATI!$C$13/2))</f>
        <v>372448.1679084748</v>
      </c>
      <c r="P267" s="140">
        <f>-N267/(DATI!$C$6*DATI!$C$13*DATI!$I$11*DATI!$I$16)</f>
        <v>1.3065133314391619</v>
      </c>
      <c r="Q267" s="140">
        <f>O267/(DATI!$C$6*DATI!$C$13^2*DATI!$I$11)</f>
        <v>4.4580153493168712E-4</v>
      </c>
      <c r="R267" s="191">
        <f t="shared" si="31"/>
        <v>-0.14652160006108664</v>
      </c>
      <c r="S267" s="136" t="str">
        <f>IF(R267&gt;=0, IF(R267&lt;=DATI!$C$8/6, "SI", "NO"),IF(R267&gt; -DATI!$C$8/6, "SI", "NO"))</f>
        <v>SI</v>
      </c>
      <c r="T267" s="138">
        <f t="shared" si="32"/>
        <v>-704.8094822836232</v>
      </c>
      <c r="U267" s="136" t="str">
        <f t="shared" si="33"/>
        <v/>
      </c>
    </row>
    <row r="268" spans="1:21" ht="19.5" thickBot="1" x14ac:dyDescent="0.3">
      <c r="A268" s="122"/>
      <c r="B268" s="192">
        <f t="shared" si="29"/>
        <v>-2.0000000000000035E-3</v>
      </c>
      <c r="C268" s="192">
        <f>(F268-DATI!$C$13)/(F268-DATI!$C$8+(DATI!$I$14*10^-3)*DATI!$C$8/(DATI!$I$13*10^-3))*(DATI!$I$14*10^-3)</f>
        <v>-1.9999999999999974E-3</v>
      </c>
      <c r="D268" s="192">
        <f>(F268-DATI!$C$10)/(F268-DATI!$C$8+(DATI!$I$14*10^-3)*DATI!$C$8/(DATI!$I$13*10^-3))*(DATI!$I$14*10^-3)</f>
        <v>-2.0000000000000031E-3</v>
      </c>
      <c r="E268" s="192">
        <f>(F268-DATI!$C$8)/(F268-DATI!$C$8+(DATI!$I$14*10^-3)*DATI!$C$8/(DATI!$I$13*10^-3))*(DATI!$I$14*10^-3)</f>
        <v>-1.9999999999999966E-3</v>
      </c>
      <c r="F268" s="193">
        <f>(DATI!$C$8*(DATI!$I$14*10^-3)*B268/((DATI!$I$14*10^-3)-B268))*(1/(DATI!$I$13*10^-3)-1/(DATI!$I$14*10^-3))</f>
        <v>1.1529215046068491E+17</v>
      </c>
      <c r="G268" s="194">
        <f>$G$247-((2*DATI!$I$10/(-DATI!$I$14)+DATI!$D$49)*(-E268*10^3)^2/2-(DATI!$I$10/(-DATI!$I$14)^2)*(-E268*10^3)^3/3)+(DATI!$I$10*((-E268*10^3))+DATI!$D$49/2*((-E268*10^3))^2)</f>
        <v>53.577348795749486</v>
      </c>
      <c r="H268" s="194">
        <f>$H$247-((2*DATI!$I$10/(-DATI!$I$14)+DATI!$D$49)*(-E268*10^3)^3/3-((DATI!$I$10/(-DATI!$I$14)^2)*(-E268*10^3)^4/4))+(DATI!$I$10/2*((-E268*10^3)^2)+DATI!$D$49/4*((-E268*10^3)^3))</f>
        <v>107.1546975914989</v>
      </c>
      <c r="I268" s="194">
        <f>G268/(Foglio1!$P$3*(-DATI!$I$13))</f>
        <v>0.99999999999999944</v>
      </c>
      <c r="J268" s="194">
        <f>1-(H268/G268)/(-DATI!$I$13)</f>
        <v>0.50000000000000033</v>
      </c>
      <c r="K268" s="193">
        <f>IF(D268&gt;=(DATI!$D$26*10^-3),DATI!$D$30*DATI!$I$29,IF(D268&gt;=(-DATI!$D$26*10^-3),DATI!$D$32*D268*DATI!$I$29,-DATI!$D$30*DATI!$I$29))</f>
        <v>-352404.7411418116</v>
      </c>
      <c r="L268" s="193">
        <f>IF(F268&lt;DATI!$C$8,( -DATI!$I$16*DATI!$C$6*I268*DATI!$I$11*F268),( -DATI!$I$16*DATI!$C$6*I268*Foglio1!L26*DATI!$C$8))</f>
        <v>-1821629.859055483</v>
      </c>
      <c r="M268" s="193">
        <f>IF(C268&gt;=(DATI!$D$26*10^-3),DATI!$D$30*DATI!$I$28,IF(C268&gt;=(-DATI!$D$26*10^-3),DATI!$I$28*DATI!$D$32*C268,-DATI!$D$30*DATI!$I$28))</f>
        <v>-352404.7411418116</v>
      </c>
      <c r="N268" s="193">
        <f t="shared" si="30"/>
        <v>-2526439.3413391062</v>
      </c>
      <c r="O268" s="193">
        <f>IF(F268&lt;=DATI!$C$8,-L268*(DATI!$C$8/2-(J268*F268))-K268*(DATI!$C$13/2)+M268*(DATI!$C$13/2),-L268*(DATI!$C$8/2-(J268*DATI!$C$8))-K268*(DATI!$C$13/2)+M268*(DATI!$C$13/2))</f>
        <v>-2.6077032089233398E-7</v>
      </c>
      <c r="P268" s="195">
        <f>-N268/(DATI!$C$6*DATI!$C$13*DATI!$I$11*DATI!$I$16)</f>
        <v>1.2985495658947954</v>
      </c>
      <c r="Q268" s="195">
        <f>O268/(DATI!$C$6*DATI!$C$13^2*DATI!$I$11)</f>
        <v>-3.1212882579408673E-16</v>
      </c>
      <c r="R268" s="196">
        <f t="shared" si="31"/>
        <v>1.0321653745073336E-13</v>
      </c>
      <c r="S268" s="197" t="str">
        <f>IF(R268&gt;=0, IF(R268&lt;=DATI!$C$8/6, "SI", "NO"),IF(R268&gt; -DATI!$C$8/6, "SI", "NO"))</f>
        <v>SI</v>
      </c>
      <c r="T268" s="193">
        <f t="shared" si="32"/>
        <v>-704.8094822836232</v>
      </c>
      <c r="U268" s="197" t="str">
        <f t="shared" si="33"/>
        <v/>
      </c>
    </row>
  </sheetData>
  <sheetProtection algorithmName="SHA-512" hashValue="WOm1k82WtEIBMqUAWRUkw5mSDaJsxWhtsmT5y69OcFjuqLmfCpyc2B3nMJVMpHb+EchSUBy3OYuimkMiFsZSdg==" saltValue="5nTg4mYfAyyKyvZ4Rl9Jjg==" spinCount="100000" sheet="1" objects="1" scenarios="1"/>
  <mergeCells count="4">
    <mergeCell ref="A144:A146"/>
    <mergeCell ref="A248:A250"/>
    <mergeCell ref="A103:A105"/>
    <mergeCell ref="A2:A4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69"/>
  <sheetViews>
    <sheetView workbookViewId="0">
      <selection activeCell="K23" sqref="K23"/>
    </sheetView>
  </sheetViews>
  <sheetFormatPr defaultRowHeight="15" x14ac:dyDescent="0.25"/>
  <sheetData>
    <row r="2" spans="2:18" ht="21" x14ac:dyDescent="0.25">
      <c r="B2" s="16" t="s">
        <v>50</v>
      </c>
      <c r="C2" s="16" t="s">
        <v>30</v>
      </c>
      <c r="D2" s="16" t="s">
        <v>59</v>
      </c>
      <c r="E2" s="16" t="s">
        <v>58</v>
      </c>
      <c r="F2" s="16" t="s">
        <v>58</v>
      </c>
      <c r="K2" s="108" t="s">
        <v>136</v>
      </c>
      <c r="L2" s="108" t="s">
        <v>137</v>
      </c>
      <c r="O2" t="s">
        <v>77</v>
      </c>
      <c r="P2" s="31">
        <f>DATI!I11</f>
        <v>15.677563286763647</v>
      </c>
      <c r="Q2">
        <f>DATI!I13*10^-3</f>
        <v>-4.0000000000000001E-3</v>
      </c>
      <c r="R2" t="s">
        <v>131</v>
      </c>
    </row>
    <row r="3" spans="2:18" ht="18.75" x14ac:dyDescent="0.25">
      <c r="B3" s="12">
        <f>-1*TABULATI!Q2</f>
        <v>0</v>
      </c>
      <c r="C3" s="11">
        <f>TABULATI!R2/DATI!$C$13</f>
        <v>0</v>
      </c>
      <c r="D3" s="14">
        <f>-TABULATI!N2/10^3</f>
        <v>-704.8094822836232</v>
      </c>
      <c r="E3" s="14">
        <f>TABULATI!O2/10^6</f>
        <v>0</v>
      </c>
      <c r="F3" s="14">
        <f>-TABULATI!O2/10^6</f>
        <v>0</v>
      </c>
      <c r="K3" s="3">
        <f>TABULATI!B245</f>
        <v>-4.0000000000000001E-3</v>
      </c>
      <c r="L3" s="31">
        <f t="shared" ref="L3:L23" si="0">$P$5*K3+$P$6</f>
        <v>15.677563286763647</v>
      </c>
      <c r="O3" t="s">
        <v>94</v>
      </c>
      <c r="P3">
        <f>DATI!I10+(DATI!I11-DATI!I10)*(-DATI!I14*10^3)/(-DATI!I13*10^3)</f>
        <v>13.394337198937379</v>
      </c>
      <c r="Q3">
        <f>DATI!I14*10^-3</f>
        <v>-2E-3</v>
      </c>
      <c r="R3" t="s">
        <v>132</v>
      </c>
    </row>
    <row r="4" spans="2:18" ht="18.75" x14ac:dyDescent="0.25">
      <c r="B4" s="12">
        <f>-1*TABULATI!Q3</f>
        <v>0</v>
      </c>
      <c r="C4" s="11">
        <f>TABULATI!R3/DATI!$C$13</f>
        <v>0</v>
      </c>
      <c r="D4" s="14">
        <f>-TABULATI!N3/10^3</f>
        <v>-704.8094822836232</v>
      </c>
      <c r="E4" s="14">
        <f>TABULATI!O3/10^6</f>
        <v>0</v>
      </c>
      <c r="F4" s="14">
        <f>-TABULATI!O3/10^6</f>
        <v>0</v>
      </c>
      <c r="K4" s="3">
        <f>TABULATI!B246</f>
        <v>-4.0000000000000001E-3</v>
      </c>
      <c r="L4" s="31">
        <f t="shared" si="0"/>
        <v>15.677563286763647</v>
      </c>
    </row>
    <row r="5" spans="2:18" ht="18.75" x14ac:dyDescent="0.25">
      <c r="B5" s="12">
        <f>-1*TABULATI!Q4</f>
        <v>0</v>
      </c>
      <c r="C5" s="11">
        <f>TABULATI!R4/DATI!$C$13</f>
        <v>0</v>
      </c>
      <c r="D5" s="14">
        <f>-TABULATI!N4/10^3</f>
        <v>-704.8094822836232</v>
      </c>
      <c r="E5" s="14">
        <f>TABULATI!O4/10^6</f>
        <v>0</v>
      </c>
      <c r="F5" s="14">
        <f>-TABULATI!O4/10^6</f>
        <v>0</v>
      </c>
      <c r="K5" s="3">
        <f>TABULATI!B247</f>
        <v>-4.0000000000000001E-3</v>
      </c>
      <c r="L5" s="31">
        <f t="shared" si="0"/>
        <v>15.677563286763647</v>
      </c>
      <c r="O5" t="s">
        <v>133</v>
      </c>
      <c r="P5">
        <f>(P2-P3)/(Q2-Q3)</f>
        <v>-1141.6130439131339</v>
      </c>
      <c r="R5" t="s">
        <v>135</v>
      </c>
    </row>
    <row r="6" spans="2:18" ht="18.75" x14ac:dyDescent="0.25">
      <c r="B6" s="12">
        <f>-1*TABULATI!Q5</f>
        <v>0</v>
      </c>
      <c r="C6" s="11">
        <f>TABULATI!R5/DATI!$C$13</f>
        <v>0</v>
      </c>
      <c r="D6" s="14">
        <f>-TABULATI!N5/10^3</f>
        <v>-704.8094822836232</v>
      </c>
      <c r="E6" s="14">
        <f>TABULATI!O5/10^6</f>
        <v>0</v>
      </c>
      <c r="F6" s="14">
        <f>-TABULATI!O5/10^6</f>
        <v>0</v>
      </c>
      <c r="K6" s="3">
        <f>TABULATI!B248</f>
        <v>-4.0000000000000001E-3</v>
      </c>
      <c r="L6" s="31">
        <f t="shared" si="0"/>
        <v>15.677563286763647</v>
      </c>
      <c r="O6" t="s">
        <v>134</v>
      </c>
      <c r="P6">
        <f>P2-P5*Q2</f>
        <v>11.111111111111111</v>
      </c>
    </row>
    <row r="7" spans="2:18" ht="18.75" x14ac:dyDescent="0.25">
      <c r="B7" s="12">
        <f>-1*TABULATI!Q6</f>
        <v>0</v>
      </c>
      <c r="C7" s="11">
        <f>TABULATI!R6/DATI!$C$13</f>
        <v>0</v>
      </c>
      <c r="D7" s="14">
        <f>-TABULATI!N6/10^3</f>
        <v>-704.8094822836232</v>
      </c>
      <c r="E7" s="14">
        <f>TABULATI!O6/10^6</f>
        <v>0</v>
      </c>
      <c r="F7" s="14">
        <f>-TABULATI!O6/10^6</f>
        <v>0</v>
      </c>
      <c r="K7" s="3">
        <f>TABULATI!B249</f>
        <v>-3.9000000000000003E-3</v>
      </c>
      <c r="L7" s="31">
        <f t="shared" si="0"/>
        <v>15.563401982372334</v>
      </c>
    </row>
    <row r="8" spans="2:18" ht="18.75" x14ac:dyDescent="0.25">
      <c r="B8" s="12">
        <f>-1*TABULATI!Q7</f>
        <v>0</v>
      </c>
      <c r="C8" s="11">
        <f>TABULATI!R7/DATI!$C$13</f>
        <v>0</v>
      </c>
      <c r="D8" s="14">
        <f>-TABULATI!N7/10^3</f>
        <v>-704.8094822836232</v>
      </c>
      <c r="E8" s="14">
        <f>TABULATI!O7/10^6</f>
        <v>0</v>
      </c>
      <c r="F8" s="14">
        <f>-TABULATI!O7/10^6</f>
        <v>0</v>
      </c>
      <c r="K8" s="3">
        <f>TABULATI!B250</f>
        <v>-3.8000000000000004E-3</v>
      </c>
      <c r="L8" s="31">
        <f t="shared" si="0"/>
        <v>15.44924067798102</v>
      </c>
    </row>
    <row r="9" spans="2:18" ht="18.75" x14ac:dyDescent="0.25">
      <c r="B9" s="12">
        <f>-1*TABULATI!Q8</f>
        <v>0</v>
      </c>
      <c r="C9" s="11">
        <f>TABULATI!R8/DATI!$C$13</f>
        <v>0</v>
      </c>
      <c r="D9" s="14">
        <f>-TABULATI!N8/10^3</f>
        <v>-704.8094822836232</v>
      </c>
      <c r="E9" s="14">
        <f>TABULATI!O8/10^6</f>
        <v>0</v>
      </c>
      <c r="F9" s="14">
        <f>-TABULATI!O8/10^6</f>
        <v>0</v>
      </c>
      <c r="K9" s="3">
        <f>TABULATI!B251</f>
        <v>-3.7000000000000006E-3</v>
      </c>
      <c r="L9" s="31">
        <f t="shared" si="0"/>
        <v>15.335079373589707</v>
      </c>
    </row>
    <row r="10" spans="2:18" ht="18.75" x14ac:dyDescent="0.25">
      <c r="B10" s="12">
        <f>-1*TABULATI!Q9</f>
        <v>0</v>
      </c>
      <c r="C10" s="11">
        <f>TABULATI!R9/DATI!$C$13</f>
        <v>0</v>
      </c>
      <c r="D10" s="14">
        <f>-TABULATI!N9/10^3</f>
        <v>-704.8094822836232</v>
      </c>
      <c r="E10" s="14">
        <f>TABULATI!O9/10^6</f>
        <v>0</v>
      </c>
      <c r="F10" s="14">
        <f>-TABULATI!O9/10^6</f>
        <v>0</v>
      </c>
      <c r="K10" s="3">
        <f>TABULATI!B252</f>
        <v>-3.6000000000000008E-3</v>
      </c>
      <c r="L10" s="31">
        <f t="shared" si="0"/>
        <v>15.220918069198394</v>
      </c>
    </row>
    <row r="11" spans="2:18" ht="18.75" x14ac:dyDescent="0.25">
      <c r="B11" s="12">
        <f>-1*TABULATI!Q10</f>
        <v>0</v>
      </c>
      <c r="C11" s="11">
        <f>TABULATI!R10/DATI!$C$13</f>
        <v>0</v>
      </c>
      <c r="D11" s="14">
        <f>-TABULATI!N10/10^3</f>
        <v>-704.8094822836232</v>
      </c>
      <c r="E11" s="14">
        <f>TABULATI!O10/10^6</f>
        <v>0</v>
      </c>
      <c r="F11" s="14">
        <f>-TABULATI!O10/10^6</f>
        <v>0</v>
      </c>
      <c r="K11" s="3">
        <f>TABULATI!B253</f>
        <v>-3.5000000000000009E-3</v>
      </c>
      <c r="L11" s="31">
        <f t="shared" si="0"/>
        <v>15.106756764807081</v>
      </c>
    </row>
    <row r="12" spans="2:18" ht="18.75" x14ac:dyDescent="0.25">
      <c r="B12" s="12">
        <f>-1*TABULATI!Q11</f>
        <v>0</v>
      </c>
      <c r="C12" s="11">
        <f>TABULATI!R11/DATI!$C$13</f>
        <v>0</v>
      </c>
      <c r="D12" s="14">
        <f>-TABULATI!N11/10^3</f>
        <v>-704.8094822836232</v>
      </c>
      <c r="E12" s="14">
        <f>TABULATI!O11/10^6</f>
        <v>0</v>
      </c>
      <c r="F12" s="14">
        <f>-TABULATI!O11/10^6</f>
        <v>0</v>
      </c>
      <c r="K12" s="3">
        <f>TABULATI!B254</f>
        <v>-3.4000000000000011E-3</v>
      </c>
      <c r="L12" s="31">
        <f t="shared" si="0"/>
        <v>14.992595460415767</v>
      </c>
    </row>
    <row r="13" spans="2:18" ht="18.75" x14ac:dyDescent="0.25">
      <c r="B13" s="12">
        <f>-1*TABULATI!Q12</f>
        <v>0</v>
      </c>
      <c r="C13" s="11">
        <f>TABULATI!R12/DATI!$C$13</f>
        <v>0</v>
      </c>
      <c r="D13" s="14">
        <f>-TABULATI!N12/10^3</f>
        <v>-704.8094822836232</v>
      </c>
      <c r="E13" s="14">
        <f>TABULATI!O12/10^6</f>
        <v>0</v>
      </c>
      <c r="F13" s="14">
        <f>-TABULATI!O12/10^6</f>
        <v>0</v>
      </c>
      <c r="K13" s="3">
        <f>TABULATI!B255</f>
        <v>-3.3000000000000013E-3</v>
      </c>
      <c r="L13" s="31">
        <f t="shared" si="0"/>
        <v>14.878434156024454</v>
      </c>
    </row>
    <row r="14" spans="2:18" ht="18.75" x14ac:dyDescent="0.25">
      <c r="B14" s="12">
        <f>-1*TABULATI!Q13</f>
        <v>0</v>
      </c>
      <c r="C14" s="11">
        <f>TABULATI!R13/DATI!$C$13</f>
        <v>0</v>
      </c>
      <c r="D14" s="14">
        <f>-TABULATI!N13/10^3</f>
        <v>-704.8094822836232</v>
      </c>
      <c r="E14" s="14">
        <f>TABULATI!O13/10^6</f>
        <v>0</v>
      </c>
      <c r="F14" s="14">
        <f>-TABULATI!O13/10^6</f>
        <v>0</v>
      </c>
      <c r="K14" s="3">
        <f>TABULATI!B256</f>
        <v>-3.2000000000000015E-3</v>
      </c>
      <c r="L14" s="31">
        <f t="shared" si="0"/>
        <v>14.764272851633141</v>
      </c>
    </row>
    <row r="15" spans="2:18" ht="18.75" x14ac:dyDescent="0.25">
      <c r="B15" s="12">
        <f>-1*TABULATI!Q14</f>
        <v>0</v>
      </c>
      <c r="C15" s="11">
        <f>TABULATI!R14/DATI!$C$13</f>
        <v>0</v>
      </c>
      <c r="D15" s="14">
        <f>-TABULATI!N14/10^3</f>
        <v>-704.8094822836232</v>
      </c>
      <c r="E15" s="14">
        <f>TABULATI!O14/10^6</f>
        <v>0</v>
      </c>
      <c r="F15" s="14">
        <f>-TABULATI!O14/10^6</f>
        <v>0</v>
      </c>
      <c r="K15" s="3">
        <f>TABULATI!B257</f>
        <v>-3.1000000000000016E-3</v>
      </c>
      <c r="L15" s="31">
        <f t="shared" si="0"/>
        <v>14.650111547241828</v>
      </c>
    </row>
    <row r="16" spans="2:18" ht="18.75" x14ac:dyDescent="0.25">
      <c r="B16" s="12">
        <f>-1*TABULATI!Q15</f>
        <v>0</v>
      </c>
      <c r="C16" s="11">
        <f>TABULATI!R15/DATI!$C$13</f>
        <v>0</v>
      </c>
      <c r="D16" s="14">
        <f>-TABULATI!N15/10^3</f>
        <v>-704.8094822836232</v>
      </c>
      <c r="E16" s="14">
        <f>TABULATI!O15/10^6</f>
        <v>0</v>
      </c>
      <c r="F16" s="14">
        <f>-TABULATI!O15/10^6</f>
        <v>0</v>
      </c>
      <c r="K16" s="3">
        <f>TABULATI!B258</f>
        <v>-3.0000000000000018E-3</v>
      </c>
      <c r="L16" s="31">
        <f t="shared" si="0"/>
        <v>14.535950242850515</v>
      </c>
    </row>
    <row r="17" spans="2:12" ht="18.75" x14ac:dyDescent="0.25">
      <c r="B17" s="12">
        <f>-1*TABULATI!Q16</f>
        <v>0</v>
      </c>
      <c r="C17" s="11">
        <f>TABULATI!R16/DATI!$C$13</f>
        <v>0</v>
      </c>
      <c r="D17" s="14">
        <f>-TABULATI!N16/10^3</f>
        <v>-704.8094822836232</v>
      </c>
      <c r="E17" s="14">
        <f>TABULATI!O16/10^6</f>
        <v>0</v>
      </c>
      <c r="F17" s="14">
        <f>-TABULATI!O16/10^6</f>
        <v>0</v>
      </c>
      <c r="K17" s="3">
        <f>TABULATI!B259</f>
        <v>-2.900000000000002E-3</v>
      </c>
      <c r="L17" s="31">
        <f t="shared" si="0"/>
        <v>14.421788938459201</v>
      </c>
    </row>
    <row r="18" spans="2:12" ht="18.75" x14ac:dyDescent="0.25">
      <c r="B18" s="12">
        <f>-1*TABULATI!Q17</f>
        <v>0</v>
      </c>
      <c r="C18" s="11">
        <f>TABULATI!R17/DATI!$C$13</f>
        <v>0</v>
      </c>
      <c r="D18" s="14">
        <f>-TABULATI!N17/10^3</f>
        <v>-704.8094822836232</v>
      </c>
      <c r="E18" s="14">
        <f>TABULATI!O17/10^6</f>
        <v>0</v>
      </c>
      <c r="F18" s="14">
        <f>-TABULATI!O17/10^6</f>
        <v>0</v>
      </c>
      <c r="K18" s="3">
        <f>TABULATI!B260</f>
        <v>-2.8000000000000021E-3</v>
      </c>
      <c r="L18" s="31">
        <f t="shared" si="0"/>
        <v>14.307627634067888</v>
      </c>
    </row>
    <row r="19" spans="2:12" ht="18.75" x14ac:dyDescent="0.25">
      <c r="B19" s="12">
        <f>-1*TABULATI!Q18</f>
        <v>0</v>
      </c>
      <c r="C19" s="11">
        <f>TABULATI!R18/DATI!$C$13</f>
        <v>0</v>
      </c>
      <c r="D19" s="14">
        <f>-TABULATI!N18/10^3</f>
        <v>-704.8094822836232</v>
      </c>
      <c r="E19" s="14">
        <f>TABULATI!O18/10^6</f>
        <v>0</v>
      </c>
      <c r="F19" s="14">
        <f>-TABULATI!O18/10^6</f>
        <v>0</v>
      </c>
      <c r="K19" s="3">
        <f>TABULATI!B261</f>
        <v>-2.7000000000000023E-3</v>
      </c>
      <c r="L19" s="31">
        <f t="shared" si="0"/>
        <v>14.193466329676575</v>
      </c>
    </row>
    <row r="20" spans="2:12" ht="18.75" x14ac:dyDescent="0.25">
      <c r="B20" s="12">
        <f>-1*TABULATI!Q19</f>
        <v>0</v>
      </c>
      <c r="C20" s="11">
        <f>TABULATI!R19/DATI!$C$13</f>
        <v>0</v>
      </c>
      <c r="D20" s="14">
        <f>-TABULATI!N19/10^3</f>
        <v>-704.8094822836232</v>
      </c>
      <c r="E20" s="14">
        <f>TABULATI!O19/10^6</f>
        <v>0</v>
      </c>
      <c r="F20" s="14">
        <f>-TABULATI!O19/10^6</f>
        <v>0</v>
      </c>
      <c r="K20" s="3">
        <f>TABULATI!B262</f>
        <v>-2.6000000000000025E-3</v>
      </c>
      <c r="L20" s="31">
        <f t="shared" si="0"/>
        <v>14.079305025285262</v>
      </c>
    </row>
    <row r="21" spans="2:12" ht="18.75" x14ac:dyDescent="0.25">
      <c r="B21" s="12">
        <f>-1*TABULATI!Q20</f>
        <v>0</v>
      </c>
      <c r="C21" s="11">
        <f>TABULATI!R20/DATI!$C$13</f>
        <v>0</v>
      </c>
      <c r="D21" s="14">
        <f>-TABULATI!N20/10^3</f>
        <v>-704.8094822836232</v>
      </c>
      <c r="E21" s="14">
        <f>TABULATI!O20/10^6</f>
        <v>0</v>
      </c>
      <c r="F21" s="14">
        <f>-TABULATI!O20/10^6</f>
        <v>0</v>
      </c>
      <c r="K21" s="3">
        <f>TABULATI!B263</f>
        <v>-2.5000000000000027E-3</v>
      </c>
      <c r="L21" s="31">
        <f t="shared" si="0"/>
        <v>13.965143720893948</v>
      </c>
    </row>
    <row r="22" spans="2:12" ht="18.75" x14ac:dyDescent="0.25">
      <c r="B22" s="12">
        <f>-1*TABULATI!Q21</f>
        <v>0</v>
      </c>
      <c r="C22" s="11">
        <f>TABULATI!R21/DATI!$C$13</f>
        <v>0</v>
      </c>
      <c r="D22" s="14">
        <f>-TABULATI!N21/10^3</f>
        <v>-704.8094822836232</v>
      </c>
      <c r="E22" s="14">
        <f>TABULATI!O21/10^6</f>
        <v>0</v>
      </c>
      <c r="F22" s="14">
        <f>-TABULATI!O21/10^6</f>
        <v>0</v>
      </c>
      <c r="K22" s="3">
        <f>TABULATI!B264</f>
        <v>-2.4000000000000028E-3</v>
      </c>
      <c r="L22" s="31">
        <f t="shared" si="0"/>
        <v>13.850982416502635</v>
      </c>
    </row>
    <row r="23" spans="2:12" ht="18.75" x14ac:dyDescent="0.25">
      <c r="B23" s="12">
        <f>-1*TABULATI!Q22</f>
        <v>0</v>
      </c>
      <c r="C23" s="11">
        <f>TABULATI!R22/DATI!$C$13</f>
        <v>0</v>
      </c>
      <c r="D23" s="14">
        <f>-TABULATI!N22/10^3</f>
        <v>-704.8094822836232</v>
      </c>
      <c r="E23" s="14">
        <f>TABULATI!O22/10^6</f>
        <v>0</v>
      </c>
      <c r="F23" s="14">
        <f>-TABULATI!O22/10^6</f>
        <v>0</v>
      </c>
      <c r="K23" s="3">
        <f>TABULATI!B265</f>
        <v>-2.300000000000003E-3</v>
      </c>
      <c r="L23" s="31">
        <f t="shared" si="0"/>
        <v>13.736821112111322</v>
      </c>
    </row>
    <row r="24" spans="2:12" ht="18.75" x14ac:dyDescent="0.25">
      <c r="B24" s="12">
        <f>-1*TABULATI!Q23</f>
        <v>0</v>
      </c>
      <c r="C24" s="11">
        <f>TABULATI!R23/DATI!$C$13</f>
        <v>0</v>
      </c>
      <c r="D24" s="14">
        <f>-TABULATI!N23/10^3</f>
        <v>-704.8094822836232</v>
      </c>
      <c r="E24" s="14">
        <f>TABULATI!O23/10^6</f>
        <v>0</v>
      </c>
      <c r="F24" s="14">
        <f>-TABULATI!O23/10^6</f>
        <v>0</v>
      </c>
      <c r="K24" s="3">
        <f>TABULATI!B266</f>
        <v>-2.2000000000000032E-3</v>
      </c>
      <c r="L24" s="31">
        <f t="shared" ref="L24:L27" si="1">$P$5*K24+$P$6</f>
        <v>13.622659807720009</v>
      </c>
    </row>
    <row r="25" spans="2:12" ht="18.75" x14ac:dyDescent="0.25">
      <c r="B25" s="12">
        <f>-1*TABULATI!Q24</f>
        <v>0</v>
      </c>
      <c r="C25" s="11">
        <f>TABULATI!R24/DATI!$C$13</f>
        <v>0</v>
      </c>
      <c r="D25" s="14">
        <f>-TABULATI!N24/10^3</f>
        <v>-704.8094822836232</v>
      </c>
      <c r="E25" s="14">
        <f>TABULATI!O24/10^6</f>
        <v>0</v>
      </c>
      <c r="F25" s="14">
        <f>-TABULATI!O24/10^6</f>
        <v>0</v>
      </c>
      <c r="K25" s="3">
        <f>TABULATI!B267</f>
        <v>-2.1000000000000033E-3</v>
      </c>
      <c r="L25" s="31">
        <f t="shared" si="1"/>
        <v>13.508498503328696</v>
      </c>
    </row>
    <row r="26" spans="2:12" ht="18.75" x14ac:dyDescent="0.25">
      <c r="B26" s="12">
        <f>-1*TABULATI!Q25</f>
        <v>0</v>
      </c>
      <c r="C26" s="11">
        <f>TABULATI!R25/DATI!$C$13</f>
        <v>0</v>
      </c>
      <c r="D26" s="14">
        <f>-TABULATI!N25/10^3</f>
        <v>-704.8094822836232</v>
      </c>
      <c r="E26" s="14">
        <f>TABULATI!O25/10^6</f>
        <v>0</v>
      </c>
      <c r="F26" s="14">
        <f>-TABULATI!O25/10^6</f>
        <v>0</v>
      </c>
      <c r="K26" s="3">
        <f>TABULATI!B268</f>
        <v>-2.0000000000000035E-3</v>
      </c>
      <c r="L26" s="31">
        <f t="shared" si="1"/>
        <v>13.394337198937382</v>
      </c>
    </row>
    <row r="27" spans="2:12" ht="18.75" x14ac:dyDescent="0.25">
      <c r="B27" s="12">
        <f>-1*TABULATI!Q26</f>
        <v>0</v>
      </c>
      <c r="C27" s="11">
        <f>TABULATI!R26/DATI!$C$13</f>
        <v>0</v>
      </c>
      <c r="D27" s="14">
        <f>-TABULATI!N26/10^3</f>
        <v>-704.8094822836232</v>
      </c>
      <c r="E27" s="14">
        <f>TABULATI!O26/10^6</f>
        <v>0</v>
      </c>
      <c r="F27" s="14">
        <f>-TABULATI!O26/10^6</f>
        <v>0</v>
      </c>
      <c r="K27" s="3">
        <f>TABULATI!B269</f>
        <v>0</v>
      </c>
      <c r="L27" s="31">
        <f t="shared" si="1"/>
        <v>11.111111111111111</v>
      </c>
    </row>
    <row r="28" spans="2:12" ht="18.75" x14ac:dyDescent="0.25">
      <c r="B28" s="12">
        <f>-1*TABULATI!Q27</f>
        <v>0</v>
      </c>
      <c r="C28" s="11">
        <f>TABULATI!R27/DATI!$C$13</f>
        <v>0</v>
      </c>
      <c r="D28" s="14">
        <f>-TABULATI!N27/10^3</f>
        <v>-704.8094822836232</v>
      </c>
      <c r="E28" s="14">
        <f>TABULATI!O27/10^6</f>
        <v>0</v>
      </c>
      <c r="F28" s="14">
        <f>-TABULATI!O27/10^6</f>
        <v>0</v>
      </c>
    </row>
    <row r="29" spans="2:12" ht="18.75" x14ac:dyDescent="0.25">
      <c r="B29" s="12">
        <f>-1*TABULATI!Q28</f>
        <v>0</v>
      </c>
      <c r="C29" s="11">
        <f>TABULATI!R28/DATI!$C$13</f>
        <v>0</v>
      </c>
      <c r="D29" s="14">
        <f>-TABULATI!N28/10^3</f>
        <v>-704.8094822836232</v>
      </c>
      <c r="E29" s="14">
        <f>TABULATI!O28/10^6</f>
        <v>0</v>
      </c>
      <c r="F29" s="14">
        <f>-TABULATI!O28/10^6</f>
        <v>0</v>
      </c>
    </row>
    <row r="30" spans="2:12" ht="18.75" x14ac:dyDescent="0.25">
      <c r="B30" s="12">
        <f>-1*TABULATI!Q29</f>
        <v>0</v>
      </c>
      <c r="C30" s="11">
        <f>TABULATI!R29/DATI!$C$13</f>
        <v>0</v>
      </c>
      <c r="D30" s="14">
        <f>-TABULATI!N29/10^3</f>
        <v>-704.8094822836232</v>
      </c>
      <c r="E30" s="14">
        <f>TABULATI!O29/10^6</f>
        <v>0</v>
      </c>
      <c r="F30" s="14">
        <f>-TABULATI!O29/10^6</f>
        <v>0</v>
      </c>
    </row>
    <row r="31" spans="2:12" ht="18.75" x14ac:dyDescent="0.25">
      <c r="B31" s="12">
        <f>-1*TABULATI!Q30</f>
        <v>0</v>
      </c>
      <c r="C31" s="11">
        <f>TABULATI!R30/DATI!$C$13</f>
        <v>0</v>
      </c>
      <c r="D31" s="14">
        <f>-TABULATI!N30/10^3</f>
        <v>-704.8094822836232</v>
      </c>
      <c r="E31" s="14">
        <f>TABULATI!O30/10^6</f>
        <v>0</v>
      </c>
      <c r="F31" s="14">
        <f>-TABULATI!O30/10^6</f>
        <v>0</v>
      </c>
    </row>
    <row r="32" spans="2:12" ht="18.75" x14ac:dyDescent="0.25">
      <c r="B32" s="12">
        <f>-1*TABULATI!Q31</f>
        <v>0</v>
      </c>
      <c r="C32" s="11">
        <f>TABULATI!R31/DATI!$C$13</f>
        <v>0</v>
      </c>
      <c r="D32" s="14">
        <f>-TABULATI!N31/10^3</f>
        <v>-704.8094822836232</v>
      </c>
      <c r="E32" s="14">
        <f>TABULATI!O31/10^6</f>
        <v>0</v>
      </c>
      <c r="F32" s="14">
        <f>-TABULATI!O31/10^6</f>
        <v>0</v>
      </c>
    </row>
    <row r="33" spans="2:6" ht="18.75" x14ac:dyDescent="0.25">
      <c r="B33" s="12">
        <f>-1*TABULATI!Q32</f>
        <v>0</v>
      </c>
      <c r="C33" s="11">
        <f>TABULATI!R32/DATI!$C$13</f>
        <v>0</v>
      </c>
      <c r="D33" s="14">
        <f>-TABULATI!N32/10^3</f>
        <v>-704.8094822836232</v>
      </c>
      <c r="E33" s="14">
        <f>TABULATI!O32/10^6</f>
        <v>0</v>
      </c>
      <c r="F33" s="14">
        <f>-TABULATI!O32/10^6</f>
        <v>0</v>
      </c>
    </row>
    <row r="34" spans="2:6" ht="18.75" x14ac:dyDescent="0.25">
      <c r="B34" s="12">
        <f>-1*TABULATI!Q33</f>
        <v>0</v>
      </c>
      <c r="C34" s="11">
        <f>TABULATI!R33/DATI!$C$13</f>
        <v>0</v>
      </c>
      <c r="D34" s="14">
        <f>-TABULATI!N33/10^3</f>
        <v>-704.8094822836232</v>
      </c>
      <c r="E34" s="14">
        <f>TABULATI!O33/10^6</f>
        <v>0</v>
      </c>
      <c r="F34" s="14">
        <f>-TABULATI!O33/10^6</f>
        <v>0</v>
      </c>
    </row>
    <row r="35" spans="2:6" ht="18.75" x14ac:dyDescent="0.25">
      <c r="B35" s="12">
        <f>-1*TABULATI!Q34</f>
        <v>0</v>
      </c>
      <c r="C35" s="11">
        <f>TABULATI!R34/DATI!$C$13</f>
        <v>0</v>
      </c>
      <c r="D35" s="14">
        <f>-TABULATI!N34/10^3</f>
        <v>-704.8094822836232</v>
      </c>
      <c r="E35" s="14">
        <f>TABULATI!O34/10^6</f>
        <v>0</v>
      </c>
      <c r="F35" s="14">
        <f>-TABULATI!O34/10^6</f>
        <v>0</v>
      </c>
    </row>
    <row r="36" spans="2:6" ht="18.75" x14ac:dyDescent="0.25">
      <c r="B36" s="12">
        <f>-1*TABULATI!Q35</f>
        <v>0</v>
      </c>
      <c r="C36" s="11">
        <f>TABULATI!R35/DATI!$C$13</f>
        <v>0</v>
      </c>
      <c r="D36" s="14">
        <f>-TABULATI!N35/10^3</f>
        <v>-704.8094822836232</v>
      </c>
      <c r="E36" s="14">
        <f>TABULATI!O35/10^6</f>
        <v>0</v>
      </c>
      <c r="F36" s="14">
        <f>-TABULATI!O35/10^6</f>
        <v>0</v>
      </c>
    </row>
    <row r="37" spans="2:6" ht="18.75" x14ac:dyDescent="0.25">
      <c r="B37" s="12">
        <f>-1*TABULATI!Q36</f>
        <v>0</v>
      </c>
      <c r="C37" s="11">
        <f>TABULATI!R36/DATI!$C$13</f>
        <v>0</v>
      </c>
      <c r="D37" s="14">
        <f>-TABULATI!N36/10^3</f>
        <v>-704.8094822836232</v>
      </c>
      <c r="E37" s="14">
        <f>TABULATI!O36/10^6</f>
        <v>0</v>
      </c>
      <c r="F37" s="14">
        <f>-TABULATI!O36/10^6</f>
        <v>0</v>
      </c>
    </row>
    <row r="38" spans="2:6" ht="18.75" x14ac:dyDescent="0.25">
      <c r="B38" s="12">
        <f>-1*TABULATI!Q37</f>
        <v>0</v>
      </c>
      <c r="C38" s="11">
        <f>TABULATI!R37/DATI!$C$13</f>
        <v>0</v>
      </c>
      <c r="D38" s="14">
        <f>-TABULATI!N37/10^3</f>
        <v>-704.8094822836232</v>
      </c>
      <c r="E38" s="14">
        <f>TABULATI!O37/10^6</f>
        <v>0</v>
      </c>
      <c r="F38" s="14">
        <f>-TABULATI!O37/10^6</f>
        <v>0</v>
      </c>
    </row>
    <row r="39" spans="2:6" ht="18.75" x14ac:dyDescent="0.25">
      <c r="B39" s="12">
        <f>-1*TABULATI!Q38</f>
        <v>0</v>
      </c>
      <c r="C39" s="11">
        <f>TABULATI!R38/DATI!$C$13</f>
        <v>0</v>
      </c>
      <c r="D39" s="14">
        <f>-TABULATI!N38/10^3</f>
        <v>-704.8094822836232</v>
      </c>
      <c r="E39" s="14">
        <f>TABULATI!O38/10^6</f>
        <v>0</v>
      </c>
      <c r="F39" s="14">
        <f>-TABULATI!O38/10^6</f>
        <v>0</v>
      </c>
    </row>
    <row r="40" spans="2:6" ht="18.75" x14ac:dyDescent="0.25">
      <c r="B40" s="12">
        <f>-1*TABULATI!Q39</f>
        <v>0</v>
      </c>
      <c r="C40" s="11">
        <f>TABULATI!R39/DATI!$C$13</f>
        <v>0</v>
      </c>
      <c r="D40" s="14">
        <f>-TABULATI!N39/10^3</f>
        <v>-704.8094822836232</v>
      </c>
      <c r="E40" s="14">
        <f>TABULATI!O39/10^6</f>
        <v>0</v>
      </c>
      <c r="F40" s="14">
        <f>-TABULATI!O39/10^6</f>
        <v>0</v>
      </c>
    </row>
    <row r="41" spans="2:6" ht="18.75" x14ac:dyDescent="0.25">
      <c r="B41" s="12">
        <f>-1*TABULATI!Q40</f>
        <v>0</v>
      </c>
      <c r="C41" s="11">
        <f>TABULATI!R40/DATI!$C$13</f>
        <v>0</v>
      </c>
      <c r="D41" s="14">
        <f>-TABULATI!N40/10^3</f>
        <v>-704.8094822836232</v>
      </c>
      <c r="E41" s="14">
        <f>TABULATI!O40/10^6</f>
        <v>0</v>
      </c>
      <c r="F41" s="14">
        <f>-TABULATI!O40/10^6</f>
        <v>0</v>
      </c>
    </row>
    <row r="42" spans="2:6" ht="18.75" x14ac:dyDescent="0.25">
      <c r="B42" s="12">
        <f>-1*TABULATI!Q41</f>
        <v>0</v>
      </c>
      <c r="C42" s="11">
        <f>TABULATI!R41/DATI!$C$13</f>
        <v>0</v>
      </c>
      <c r="D42" s="14">
        <f>-TABULATI!N41/10^3</f>
        <v>-704.8094822836232</v>
      </c>
      <c r="E42" s="14">
        <f>TABULATI!O41/10^6</f>
        <v>0</v>
      </c>
      <c r="F42" s="14">
        <f>-TABULATI!O41/10^6</f>
        <v>0</v>
      </c>
    </row>
    <row r="43" spans="2:6" ht="18.75" x14ac:dyDescent="0.25">
      <c r="B43" s="12">
        <f>-1*TABULATI!Q42</f>
        <v>0</v>
      </c>
      <c r="C43" s="11">
        <f>TABULATI!R42/DATI!$C$13</f>
        <v>0</v>
      </c>
      <c r="D43" s="14">
        <f>-TABULATI!N42/10^3</f>
        <v>-704.8094822836232</v>
      </c>
      <c r="E43" s="14">
        <f>TABULATI!O42/10^6</f>
        <v>0</v>
      </c>
      <c r="F43" s="14">
        <f>-TABULATI!O42/10^6</f>
        <v>0</v>
      </c>
    </row>
    <row r="44" spans="2:6" ht="18.75" x14ac:dyDescent="0.25">
      <c r="B44" s="12">
        <f>-1*TABULATI!Q43</f>
        <v>0</v>
      </c>
      <c r="C44" s="11">
        <f>TABULATI!R43/DATI!$C$13</f>
        <v>0</v>
      </c>
      <c r="D44" s="14">
        <f>-TABULATI!N43/10^3</f>
        <v>-704.8094822836232</v>
      </c>
      <c r="E44" s="14">
        <f>TABULATI!O43/10^6</f>
        <v>0</v>
      </c>
      <c r="F44" s="14">
        <f>-TABULATI!O43/10^6</f>
        <v>0</v>
      </c>
    </row>
    <row r="45" spans="2:6" ht="18.75" x14ac:dyDescent="0.25">
      <c r="B45" s="12">
        <f>-1*TABULATI!Q44</f>
        <v>0</v>
      </c>
      <c r="C45" s="11">
        <f>TABULATI!R44/DATI!$C$13</f>
        <v>0</v>
      </c>
      <c r="D45" s="14">
        <f>-TABULATI!N44/10^3</f>
        <v>-704.8094822836232</v>
      </c>
      <c r="E45" s="14">
        <f>TABULATI!O44/10^6</f>
        <v>0</v>
      </c>
      <c r="F45" s="14">
        <f>-TABULATI!O44/10^6</f>
        <v>0</v>
      </c>
    </row>
    <row r="46" spans="2:6" ht="18.75" x14ac:dyDescent="0.25">
      <c r="B46" s="12">
        <f>-1*TABULATI!Q45</f>
        <v>0</v>
      </c>
      <c r="C46" s="11">
        <f>TABULATI!R45/DATI!$C$13</f>
        <v>0</v>
      </c>
      <c r="D46" s="14">
        <f>-TABULATI!N45/10^3</f>
        <v>-704.8094822836232</v>
      </c>
      <c r="E46" s="14">
        <f>TABULATI!O45/10^6</f>
        <v>0</v>
      </c>
      <c r="F46" s="14">
        <f>-TABULATI!O45/10^6</f>
        <v>0</v>
      </c>
    </row>
    <row r="47" spans="2:6" ht="18.75" x14ac:dyDescent="0.25">
      <c r="B47" s="12">
        <f>-1*TABULATI!Q46</f>
        <v>0</v>
      </c>
      <c r="C47" s="11">
        <f>TABULATI!R46/DATI!$C$13</f>
        <v>0</v>
      </c>
      <c r="D47" s="14">
        <f>-TABULATI!N46/10^3</f>
        <v>-704.8094822836232</v>
      </c>
      <c r="E47" s="14">
        <f>TABULATI!O46/10^6</f>
        <v>0</v>
      </c>
      <c r="F47" s="14">
        <f>-TABULATI!O46/10^6</f>
        <v>0</v>
      </c>
    </row>
    <row r="48" spans="2:6" ht="18.75" x14ac:dyDescent="0.25">
      <c r="B48" s="12">
        <f>-1*TABULATI!Q47</f>
        <v>0</v>
      </c>
      <c r="C48" s="11">
        <f>TABULATI!R47/DATI!$C$13</f>
        <v>0</v>
      </c>
      <c r="D48" s="14">
        <f>-TABULATI!N47/10^3</f>
        <v>-704.8094822836232</v>
      </c>
      <c r="E48" s="14">
        <f>TABULATI!O47/10^6</f>
        <v>0</v>
      </c>
      <c r="F48" s="14">
        <f>-TABULATI!O47/10^6</f>
        <v>0</v>
      </c>
    </row>
    <row r="49" spans="2:6" ht="18.75" x14ac:dyDescent="0.25">
      <c r="B49" s="12">
        <f>-1*TABULATI!Q48</f>
        <v>0</v>
      </c>
      <c r="C49" s="11">
        <f>TABULATI!R48/DATI!$C$13</f>
        <v>0</v>
      </c>
      <c r="D49" s="14">
        <f>-TABULATI!N48/10^3</f>
        <v>-704.8094822836232</v>
      </c>
      <c r="E49" s="14">
        <f>TABULATI!O48/10^6</f>
        <v>0</v>
      </c>
      <c r="F49" s="14">
        <f>-TABULATI!O48/10^6</f>
        <v>0</v>
      </c>
    </row>
    <row r="50" spans="2:6" ht="18.75" x14ac:dyDescent="0.25">
      <c r="B50" s="12">
        <f>-1*TABULATI!Q49</f>
        <v>0</v>
      </c>
      <c r="C50" s="11">
        <f>TABULATI!R49/DATI!$C$13</f>
        <v>0</v>
      </c>
      <c r="D50" s="14">
        <f>-TABULATI!N49/10^3</f>
        <v>-704.8094822836232</v>
      </c>
      <c r="E50" s="14">
        <f>TABULATI!O49/10^6</f>
        <v>0</v>
      </c>
      <c r="F50" s="14">
        <f>-TABULATI!O49/10^6</f>
        <v>0</v>
      </c>
    </row>
    <row r="51" spans="2:6" ht="18.75" x14ac:dyDescent="0.25">
      <c r="B51" s="12">
        <f>-1*TABULATI!Q50</f>
        <v>0</v>
      </c>
      <c r="C51" s="11">
        <f>TABULATI!R50/DATI!$C$13</f>
        <v>0</v>
      </c>
      <c r="D51" s="14">
        <f>-TABULATI!N50/10^3</f>
        <v>-704.8094822836232</v>
      </c>
      <c r="E51" s="14">
        <f>TABULATI!O50/10^6</f>
        <v>0</v>
      </c>
      <c r="F51" s="14">
        <f>-TABULATI!O50/10^6</f>
        <v>0</v>
      </c>
    </row>
    <row r="52" spans="2:6" ht="18.75" x14ac:dyDescent="0.25">
      <c r="B52" s="12">
        <f>-1*TABULATI!Q51</f>
        <v>0</v>
      </c>
      <c r="C52" s="11">
        <f>TABULATI!R51/DATI!$C$13</f>
        <v>0</v>
      </c>
      <c r="D52" s="14">
        <f>-TABULATI!N51/10^3</f>
        <v>-704.8094822836232</v>
      </c>
      <c r="E52" s="14">
        <f>TABULATI!O51/10^6</f>
        <v>0</v>
      </c>
      <c r="F52" s="14">
        <f>-TABULATI!O51/10^6</f>
        <v>0</v>
      </c>
    </row>
    <row r="53" spans="2:6" ht="18.75" x14ac:dyDescent="0.25">
      <c r="B53" s="12">
        <f>-1*TABULATI!Q52</f>
        <v>0</v>
      </c>
      <c r="C53" s="11">
        <f>TABULATI!R52/DATI!$C$13</f>
        <v>0</v>
      </c>
      <c r="D53" s="14">
        <f>-TABULATI!N52/10^3</f>
        <v>-704.8094822836232</v>
      </c>
      <c r="E53" s="14">
        <f>TABULATI!O52/10^6</f>
        <v>0</v>
      </c>
      <c r="F53" s="14">
        <f>-TABULATI!O52/10^6</f>
        <v>0</v>
      </c>
    </row>
    <row r="54" spans="2:6" ht="18.75" x14ac:dyDescent="0.25">
      <c r="B54" s="12">
        <f>-1*TABULATI!Q53</f>
        <v>0</v>
      </c>
      <c r="C54" s="11">
        <f>TABULATI!R53/DATI!$C$13</f>
        <v>0</v>
      </c>
      <c r="D54" s="14">
        <f>-TABULATI!N53/10^3</f>
        <v>-704.8094822836232</v>
      </c>
      <c r="E54" s="14">
        <f>TABULATI!O53/10^6</f>
        <v>0</v>
      </c>
      <c r="F54" s="14">
        <f>-TABULATI!O53/10^6</f>
        <v>0</v>
      </c>
    </row>
    <row r="55" spans="2:6" ht="18.75" x14ac:dyDescent="0.25">
      <c r="B55" s="12">
        <f>-1*TABULATI!Q54</f>
        <v>0</v>
      </c>
      <c r="C55" s="11">
        <f>TABULATI!R54/DATI!$C$13</f>
        <v>0</v>
      </c>
      <c r="D55" s="14">
        <f>-TABULATI!N54/10^3</f>
        <v>-704.8094822836232</v>
      </c>
      <c r="E55" s="14">
        <f>TABULATI!O54/10^6</f>
        <v>0</v>
      </c>
      <c r="F55" s="14">
        <f>-TABULATI!O54/10^6</f>
        <v>0</v>
      </c>
    </row>
    <row r="56" spans="2:6" ht="18.75" x14ac:dyDescent="0.25">
      <c r="B56" s="12">
        <f>-1*TABULATI!Q55</f>
        <v>0</v>
      </c>
      <c r="C56" s="11">
        <f>TABULATI!R55/DATI!$C$13</f>
        <v>0</v>
      </c>
      <c r="D56" s="14">
        <f>-TABULATI!N55/10^3</f>
        <v>-704.8094822836232</v>
      </c>
      <c r="E56" s="14">
        <f>TABULATI!O55/10^6</f>
        <v>0</v>
      </c>
      <c r="F56" s="14">
        <f>-TABULATI!O55/10^6</f>
        <v>0</v>
      </c>
    </row>
    <row r="57" spans="2:6" ht="18.75" x14ac:dyDescent="0.25">
      <c r="B57" s="12">
        <f>-1*TABULATI!Q56</f>
        <v>0</v>
      </c>
      <c r="C57" s="11">
        <f>TABULATI!R56/DATI!$C$13</f>
        <v>0</v>
      </c>
      <c r="D57" s="14">
        <f>-TABULATI!N56/10^3</f>
        <v>-704.8094822836232</v>
      </c>
      <c r="E57" s="14">
        <f>TABULATI!O56/10^6</f>
        <v>0</v>
      </c>
      <c r="F57" s="14">
        <f>-TABULATI!O56/10^6</f>
        <v>0</v>
      </c>
    </row>
    <row r="58" spans="2:6" ht="18.75" x14ac:dyDescent="0.25">
      <c r="B58" s="12">
        <f>-1*TABULATI!Q57</f>
        <v>0</v>
      </c>
      <c r="C58" s="11">
        <f>TABULATI!R57/DATI!$C$13</f>
        <v>0</v>
      </c>
      <c r="D58" s="14">
        <f>-TABULATI!N57/10^3</f>
        <v>-704.8094822836232</v>
      </c>
      <c r="E58" s="14">
        <f>TABULATI!O57/10^6</f>
        <v>0</v>
      </c>
      <c r="F58" s="14">
        <f>-TABULATI!O57/10^6</f>
        <v>0</v>
      </c>
    </row>
    <row r="59" spans="2:6" ht="18.75" x14ac:dyDescent="0.25">
      <c r="B59" s="12">
        <f>-1*TABULATI!Q58</f>
        <v>0</v>
      </c>
      <c r="C59" s="11">
        <f>TABULATI!R58/DATI!$C$13</f>
        <v>0</v>
      </c>
      <c r="D59" s="14">
        <f>-TABULATI!N58/10^3</f>
        <v>-704.8094822836232</v>
      </c>
      <c r="E59" s="14">
        <f>TABULATI!O58/10^6</f>
        <v>0</v>
      </c>
      <c r="F59" s="14">
        <f>-TABULATI!O58/10^6</f>
        <v>0</v>
      </c>
    </row>
    <row r="60" spans="2:6" ht="18.75" x14ac:dyDescent="0.25">
      <c r="B60" s="12">
        <f>-1*TABULATI!Q59</f>
        <v>0</v>
      </c>
      <c r="C60" s="11">
        <f>TABULATI!R59/DATI!$C$13</f>
        <v>0</v>
      </c>
      <c r="D60" s="14">
        <f>-TABULATI!N59/10^3</f>
        <v>-704.8094822836232</v>
      </c>
      <c r="E60" s="14">
        <f>TABULATI!O59/10^6</f>
        <v>0</v>
      </c>
      <c r="F60" s="14">
        <f>-TABULATI!O59/10^6</f>
        <v>0</v>
      </c>
    </row>
    <row r="61" spans="2:6" ht="18.75" x14ac:dyDescent="0.25">
      <c r="B61" s="12">
        <f>-1*TABULATI!Q60</f>
        <v>0</v>
      </c>
      <c r="C61" s="11">
        <f>TABULATI!R60/DATI!$C$13</f>
        <v>0</v>
      </c>
      <c r="D61" s="14">
        <f>-TABULATI!N60/10^3</f>
        <v>-704.8094822836232</v>
      </c>
      <c r="E61" s="14">
        <f>TABULATI!O60/10^6</f>
        <v>0</v>
      </c>
      <c r="F61" s="14">
        <f>-TABULATI!O60/10^6</f>
        <v>0</v>
      </c>
    </row>
    <row r="62" spans="2:6" ht="18.75" x14ac:dyDescent="0.25">
      <c r="B62" s="12">
        <f>-1*TABULATI!Q61</f>
        <v>0</v>
      </c>
      <c r="C62" s="11">
        <f>TABULATI!R61/DATI!$C$13</f>
        <v>0</v>
      </c>
      <c r="D62" s="14">
        <f>-TABULATI!N61/10^3</f>
        <v>-704.8094822836232</v>
      </c>
      <c r="E62" s="14">
        <f>TABULATI!O61/10^6</f>
        <v>0</v>
      </c>
      <c r="F62" s="14">
        <f>-TABULATI!O61/10^6</f>
        <v>0</v>
      </c>
    </row>
    <row r="63" spans="2:6" ht="18.75" x14ac:dyDescent="0.25">
      <c r="B63" s="12">
        <f>-1*TABULATI!Q62</f>
        <v>0</v>
      </c>
      <c r="C63" s="11">
        <f>TABULATI!R62/DATI!$C$13</f>
        <v>0</v>
      </c>
      <c r="D63" s="14">
        <f>-TABULATI!N62/10^3</f>
        <v>-704.8094822836232</v>
      </c>
      <c r="E63" s="14">
        <f>TABULATI!O62/10^6</f>
        <v>0</v>
      </c>
      <c r="F63" s="14">
        <f>-TABULATI!O62/10^6</f>
        <v>0</v>
      </c>
    </row>
    <row r="64" spans="2:6" ht="18.75" x14ac:dyDescent="0.25">
      <c r="B64" s="12">
        <f>-1*TABULATI!Q63</f>
        <v>0</v>
      </c>
      <c r="C64" s="11">
        <f>TABULATI!R63/DATI!$C$13</f>
        <v>0</v>
      </c>
      <c r="D64" s="14">
        <f>-TABULATI!N63/10^3</f>
        <v>-704.8094822836232</v>
      </c>
      <c r="E64" s="14">
        <f>TABULATI!O63/10^6</f>
        <v>0</v>
      </c>
      <c r="F64" s="14">
        <f>-TABULATI!O63/10^6</f>
        <v>0</v>
      </c>
    </row>
    <row r="65" spans="2:6" ht="18.75" x14ac:dyDescent="0.25">
      <c r="B65" s="12">
        <f>-1*TABULATI!Q64</f>
        <v>0</v>
      </c>
      <c r="C65" s="11">
        <f>TABULATI!R64/DATI!$C$13</f>
        <v>0</v>
      </c>
      <c r="D65" s="14">
        <f>-TABULATI!N64/10^3</f>
        <v>-704.8094822836232</v>
      </c>
      <c r="E65" s="14">
        <f>TABULATI!O64/10^6</f>
        <v>0</v>
      </c>
      <c r="F65" s="14">
        <f>-TABULATI!O64/10^6</f>
        <v>0</v>
      </c>
    </row>
    <row r="66" spans="2:6" ht="18.75" x14ac:dyDescent="0.25">
      <c r="B66" s="12">
        <f>-1*TABULATI!Q65</f>
        <v>0</v>
      </c>
      <c r="C66" s="11">
        <f>TABULATI!R65/DATI!$C$13</f>
        <v>0</v>
      </c>
      <c r="D66" s="14">
        <f>-TABULATI!N65/10^3</f>
        <v>-704.8094822836232</v>
      </c>
      <c r="E66" s="14">
        <f>TABULATI!O65/10^6</f>
        <v>0</v>
      </c>
      <c r="F66" s="14">
        <f>-TABULATI!O65/10^6</f>
        <v>0</v>
      </c>
    </row>
    <row r="67" spans="2:6" ht="18.75" x14ac:dyDescent="0.25">
      <c r="B67" s="12">
        <f>-1*TABULATI!Q66</f>
        <v>0</v>
      </c>
      <c r="C67" s="11">
        <f>TABULATI!R66/DATI!$C$13</f>
        <v>0</v>
      </c>
      <c r="D67" s="14">
        <f>-TABULATI!N66/10^3</f>
        <v>-704.8094822836232</v>
      </c>
      <c r="E67" s="14">
        <f>TABULATI!O66/10^6</f>
        <v>0</v>
      </c>
      <c r="F67" s="14">
        <f>-TABULATI!O66/10^6</f>
        <v>0</v>
      </c>
    </row>
    <row r="68" spans="2:6" ht="18.75" x14ac:dyDescent="0.25">
      <c r="B68" s="12">
        <f>-1*TABULATI!Q67</f>
        <v>0</v>
      </c>
      <c r="C68" s="11">
        <f>TABULATI!R67/DATI!$C$13</f>
        <v>0</v>
      </c>
      <c r="D68" s="14">
        <f>-TABULATI!N67/10^3</f>
        <v>-704.8094822836232</v>
      </c>
      <c r="E68" s="14">
        <f>TABULATI!O67/10^6</f>
        <v>0</v>
      </c>
      <c r="F68" s="14">
        <f>-TABULATI!O67/10^6</f>
        <v>0</v>
      </c>
    </row>
    <row r="69" spans="2:6" ht="18.75" x14ac:dyDescent="0.25">
      <c r="B69" s="12">
        <f>-1*TABULATI!Q68</f>
        <v>0</v>
      </c>
      <c r="C69" s="11">
        <f>TABULATI!R68/DATI!$C$13</f>
        <v>0</v>
      </c>
      <c r="D69" s="14">
        <f>-TABULATI!N68/10^3</f>
        <v>-704.8094822836232</v>
      </c>
      <c r="E69" s="14">
        <f>TABULATI!O68/10^6</f>
        <v>0</v>
      </c>
      <c r="F69" s="14">
        <f>-TABULATI!O68/10^6</f>
        <v>0</v>
      </c>
    </row>
    <row r="70" spans="2:6" ht="18.75" x14ac:dyDescent="0.25">
      <c r="B70" s="12">
        <f>-1*TABULATI!Q69</f>
        <v>0</v>
      </c>
      <c r="C70" s="11">
        <f>TABULATI!R69/DATI!$C$13</f>
        <v>0</v>
      </c>
      <c r="D70" s="14">
        <f>-TABULATI!N69/10^3</f>
        <v>-704.8094822836232</v>
      </c>
      <c r="E70" s="14">
        <f>TABULATI!O69/10^6</f>
        <v>0</v>
      </c>
      <c r="F70" s="14">
        <f>-TABULATI!O69/10^6</f>
        <v>0</v>
      </c>
    </row>
    <row r="71" spans="2:6" ht="18.75" x14ac:dyDescent="0.25">
      <c r="B71" s="12">
        <f>-1*TABULATI!Q70</f>
        <v>0</v>
      </c>
      <c r="C71" s="11">
        <f>TABULATI!R70/DATI!$C$13</f>
        <v>0</v>
      </c>
      <c r="D71" s="14">
        <f>-TABULATI!N70/10^3</f>
        <v>-704.8094822836232</v>
      </c>
      <c r="E71" s="14">
        <f>TABULATI!O70/10^6</f>
        <v>0</v>
      </c>
      <c r="F71" s="14">
        <f>-TABULATI!O70/10^6</f>
        <v>0</v>
      </c>
    </row>
    <row r="72" spans="2:6" ht="18.75" x14ac:dyDescent="0.25">
      <c r="B72" s="12">
        <f>-1*TABULATI!Q71</f>
        <v>0</v>
      </c>
      <c r="C72" s="11">
        <f>TABULATI!R71/DATI!$C$13</f>
        <v>0</v>
      </c>
      <c r="D72" s="14">
        <f>-TABULATI!N71/10^3</f>
        <v>-704.8094822836232</v>
      </c>
      <c r="E72" s="14">
        <f>TABULATI!O71/10^6</f>
        <v>0</v>
      </c>
      <c r="F72" s="14">
        <f>-TABULATI!O71/10^6</f>
        <v>0</v>
      </c>
    </row>
    <row r="73" spans="2:6" ht="18.75" x14ac:dyDescent="0.25">
      <c r="B73" s="12">
        <f>-1*TABULATI!Q72</f>
        <v>0</v>
      </c>
      <c r="C73" s="11">
        <f>TABULATI!R72/DATI!$C$13</f>
        <v>0</v>
      </c>
      <c r="D73" s="14">
        <f>-TABULATI!N72/10^3</f>
        <v>-704.8094822836232</v>
      </c>
      <c r="E73" s="14">
        <f>TABULATI!O72/10^6</f>
        <v>0</v>
      </c>
      <c r="F73" s="14">
        <f>-TABULATI!O72/10^6</f>
        <v>0</v>
      </c>
    </row>
    <row r="74" spans="2:6" ht="18.75" x14ac:dyDescent="0.25">
      <c r="B74" s="12">
        <f>-1*TABULATI!Q73</f>
        <v>0</v>
      </c>
      <c r="C74" s="11">
        <f>TABULATI!R73/DATI!$C$13</f>
        <v>0</v>
      </c>
      <c r="D74" s="14">
        <f>-TABULATI!N73/10^3</f>
        <v>-704.8094822836232</v>
      </c>
      <c r="E74" s="14">
        <f>TABULATI!O73/10^6</f>
        <v>0</v>
      </c>
      <c r="F74" s="14">
        <f>-TABULATI!O73/10^6</f>
        <v>0</v>
      </c>
    </row>
    <row r="75" spans="2:6" ht="18.75" x14ac:dyDescent="0.25">
      <c r="B75" s="12">
        <f>-1*TABULATI!Q74</f>
        <v>0</v>
      </c>
      <c r="C75" s="11">
        <f>TABULATI!R74/DATI!$C$13</f>
        <v>0</v>
      </c>
      <c r="D75" s="14">
        <f>-TABULATI!N74/10^3</f>
        <v>-704.8094822836232</v>
      </c>
      <c r="E75" s="14">
        <f>TABULATI!O74/10^6</f>
        <v>0</v>
      </c>
      <c r="F75" s="14">
        <f>-TABULATI!O74/10^6</f>
        <v>0</v>
      </c>
    </row>
    <row r="76" spans="2:6" ht="18.75" x14ac:dyDescent="0.25">
      <c r="B76" s="12">
        <f>-1*TABULATI!Q75</f>
        <v>0</v>
      </c>
      <c r="C76" s="11">
        <f>TABULATI!R75/DATI!$C$13</f>
        <v>0</v>
      </c>
      <c r="D76" s="14">
        <f>-TABULATI!N75/10^3</f>
        <v>-704.8094822836232</v>
      </c>
      <c r="E76" s="14">
        <f>TABULATI!O75/10^6</f>
        <v>0</v>
      </c>
      <c r="F76" s="14">
        <f>-TABULATI!O75/10^6</f>
        <v>0</v>
      </c>
    </row>
    <row r="77" spans="2:6" ht="18.75" x14ac:dyDescent="0.25">
      <c r="B77" s="12">
        <f>-1*TABULATI!Q76</f>
        <v>0</v>
      </c>
      <c r="C77" s="11">
        <f>TABULATI!R76/DATI!$C$13</f>
        <v>0</v>
      </c>
      <c r="D77" s="14">
        <f>-TABULATI!N76/10^3</f>
        <v>-704.8094822836232</v>
      </c>
      <c r="E77" s="14">
        <f>TABULATI!O76/10^6</f>
        <v>0</v>
      </c>
      <c r="F77" s="14">
        <f>-TABULATI!O76/10^6</f>
        <v>0</v>
      </c>
    </row>
    <row r="78" spans="2:6" ht="18.75" x14ac:dyDescent="0.25">
      <c r="B78" s="12">
        <f>-1*TABULATI!Q77</f>
        <v>0</v>
      </c>
      <c r="C78" s="11">
        <f>TABULATI!R77/DATI!$C$13</f>
        <v>0</v>
      </c>
      <c r="D78" s="14">
        <f>-TABULATI!N77/10^3</f>
        <v>-704.8094822836232</v>
      </c>
      <c r="E78" s="14">
        <f>TABULATI!O77/10^6</f>
        <v>0</v>
      </c>
      <c r="F78" s="14">
        <f>-TABULATI!O77/10^6</f>
        <v>0</v>
      </c>
    </row>
    <row r="79" spans="2:6" ht="18.75" x14ac:dyDescent="0.25">
      <c r="B79" s="12">
        <f>-1*TABULATI!Q78</f>
        <v>0</v>
      </c>
      <c r="C79" s="11">
        <f>TABULATI!R78/DATI!$C$13</f>
        <v>0</v>
      </c>
      <c r="D79" s="14">
        <f>-TABULATI!N78/10^3</f>
        <v>-704.8094822836232</v>
      </c>
      <c r="E79" s="14">
        <f>TABULATI!O78/10^6</f>
        <v>0</v>
      </c>
      <c r="F79" s="14">
        <f>-TABULATI!O78/10^6</f>
        <v>0</v>
      </c>
    </row>
    <row r="80" spans="2:6" ht="18.75" x14ac:dyDescent="0.25">
      <c r="B80" s="12">
        <f>-1*TABULATI!Q79</f>
        <v>0</v>
      </c>
      <c r="C80" s="11">
        <f>TABULATI!R79/DATI!$C$13</f>
        <v>0</v>
      </c>
      <c r="D80" s="14">
        <f>-TABULATI!N79/10^3</f>
        <v>-704.8094822836232</v>
      </c>
      <c r="E80" s="14">
        <f>TABULATI!O79/10^6</f>
        <v>0</v>
      </c>
      <c r="F80" s="14">
        <f>-TABULATI!O79/10^6</f>
        <v>0</v>
      </c>
    </row>
    <row r="81" spans="2:6" ht="18.75" x14ac:dyDescent="0.25">
      <c r="B81" s="12">
        <f>-1*TABULATI!Q80</f>
        <v>0</v>
      </c>
      <c r="C81" s="11">
        <f>TABULATI!R80/DATI!$C$13</f>
        <v>0</v>
      </c>
      <c r="D81" s="14">
        <f>-TABULATI!N80/10^3</f>
        <v>-704.8094822836232</v>
      </c>
      <c r="E81" s="14">
        <f>TABULATI!O80/10^6</f>
        <v>0</v>
      </c>
      <c r="F81" s="14">
        <f>-TABULATI!O80/10^6</f>
        <v>0</v>
      </c>
    </row>
    <row r="82" spans="2:6" ht="18.75" x14ac:dyDescent="0.25">
      <c r="B82" s="12">
        <f>-1*TABULATI!Q81</f>
        <v>0</v>
      </c>
      <c r="C82" s="11">
        <f>TABULATI!R81/DATI!$C$13</f>
        <v>0</v>
      </c>
      <c r="D82" s="14">
        <f>-TABULATI!N81/10^3</f>
        <v>-704.8094822836232</v>
      </c>
      <c r="E82" s="14">
        <f>TABULATI!O81/10^6</f>
        <v>0</v>
      </c>
      <c r="F82" s="14">
        <f>-TABULATI!O81/10^6</f>
        <v>0</v>
      </c>
    </row>
    <row r="83" spans="2:6" ht="18.75" x14ac:dyDescent="0.25">
      <c r="B83" s="12">
        <f>-1*TABULATI!Q82</f>
        <v>0</v>
      </c>
      <c r="C83" s="11">
        <f>TABULATI!R82/DATI!$C$13</f>
        <v>0</v>
      </c>
      <c r="D83" s="14">
        <f>-TABULATI!N82/10^3</f>
        <v>-704.8094822836232</v>
      </c>
      <c r="E83" s="14">
        <f>TABULATI!O82/10^6</f>
        <v>0</v>
      </c>
      <c r="F83" s="14">
        <f>-TABULATI!O82/10^6</f>
        <v>0</v>
      </c>
    </row>
    <row r="84" spans="2:6" ht="18.75" x14ac:dyDescent="0.25">
      <c r="B84" s="12">
        <f>-1*TABULATI!Q83</f>
        <v>0</v>
      </c>
      <c r="C84" s="11">
        <f>TABULATI!R83/DATI!$C$13</f>
        <v>0</v>
      </c>
      <c r="D84" s="14">
        <f>-TABULATI!N83/10^3</f>
        <v>-704.8094822836232</v>
      </c>
      <c r="E84" s="14">
        <f>TABULATI!O83/10^6</f>
        <v>0</v>
      </c>
      <c r="F84" s="14">
        <f>-TABULATI!O83/10^6</f>
        <v>0</v>
      </c>
    </row>
    <row r="85" spans="2:6" ht="18.75" x14ac:dyDescent="0.25">
      <c r="B85" s="12">
        <f>-1*TABULATI!Q84</f>
        <v>0</v>
      </c>
      <c r="C85" s="11">
        <f>TABULATI!R84/DATI!$C$13</f>
        <v>0</v>
      </c>
      <c r="D85" s="14">
        <f>-TABULATI!N84/10^3</f>
        <v>-704.8094822836232</v>
      </c>
      <c r="E85" s="14">
        <f>TABULATI!O84/10^6</f>
        <v>0</v>
      </c>
      <c r="F85" s="14">
        <f>-TABULATI!O84/10^6</f>
        <v>0</v>
      </c>
    </row>
    <row r="86" spans="2:6" ht="18.75" x14ac:dyDescent="0.25">
      <c r="B86" s="12">
        <f>-1*TABULATI!Q85</f>
        <v>0</v>
      </c>
      <c r="C86" s="11">
        <f>TABULATI!R85/DATI!$C$13</f>
        <v>0</v>
      </c>
      <c r="D86" s="14">
        <f>-TABULATI!N85/10^3</f>
        <v>-704.8094822836232</v>
      </c>
      <c r="E86" s="14">
        <f>TABULATI!O85/10^6</f>
        <v>0</v>
      </c>
      <c r="F86" s="14">
        <f>-TABULATI!O85/10^6</f>
        <v>0</v>
      </c>
    </row>
    <row r="87" spans="2:6" ht="18.75" x14ac:dyDescent="0.25">
      <c r="B87" s="12">
        <f>-1*TABULATI!Q86</f>
        <v>0</v>
      </c>
      <c r="C87" s="11">
        <f>TABULATI!R86/DATI!$C$13</f>
        <v>0</v>
      </c>
      <c r="D87" s="14">
        <f>-TABULATI!N86/10^3</f>
        <v>-704.8094822836232</v>
      </c>
      <c r="E87" s="14">
        <f>TABULATI!O86/10^6</f>
        <v>0</v>
      </c>
      <c r="F87" s="14">
        <f>-TABULATI!O86/10^6</f>
        <v>0</v>
      </c>
    </row>
    <row r="88" spans="2:6" ht="18.75" x14ac:dyDescent="0.25">
      <c r="B88" s="12">
        <f>-1*TABULATI!Q87</f>
        <v>0</v>
      </c>
      <c r="C88" s="11">
        <f>TABULATI!R87/DATI!$C$13</f>
        <v>0</v>
      </c>
      <c r="D88" s="14">
        <f>-TABULATI!N87/10^3</f>
        <v>-704.8094822836232</v>
      </c>
      <c r="E88" s="14">
        <f>TABULATI!O87/10^6</f>
        <v>0</v>
      </c>
      <c r="F88" s="14">
        <f>-TABULATI!O87/10^6</f>
        <v>0</v>
      </c>
    </row>
    <row r="89" spans="2:6" ht="18.75" x14ac:dyDescent="0.25">
      <c r="B89" s="12">
        <f>-1*TABULATI!Q88</f>
        <v>0</v>
      </c>
      <c r="C89" s="11">
        <f>TABULATI!R88/DATI!$C$13</f>
        <v>0</v>
      </c>
      <c r="D89" s="14">
        <f>-TABULATI!N88/10^3</f>
        <v>-704.8094822836232</v>
      </c>
      <c r="E89" s="14">
        <f>TABULATI!O88/10^6</f>
        <v>0</v>
      </c>
      <c r="F89" s="14">
        <f>-TABULATI!O88/10^6</f>
        <v>0</v>
      </c>
    </row>
    <row r="90" spans="2:6" ht="18.75" x14ac:dyDescent="0.25">
      <c r="B90" s="12">
        <f>-1*TABULATI!Q89</f>
        <v>0</v>
      </c>
      <c r="C90" s="11">
        <f>TABULATI!R89/DATI!$C$13</f>
        <v>0</v>
      </c>
      <c r="D90" s="14">
        <f>-TABULATI!N89/10^3</f>
        <v>-704.8094822836232</v>
      </c>
      <c r="E90" s="14">
        <f>TABULATI!O89/10^6</f>
        <v>0</v>
      </c>
      <c r="F90" s="14">
        <f>-TABULATI!O89/10^6</f>
        <v>0</v>
      </c>
    </row>
    <row r="91" spans="2:6" ht="18.75" x14ac:dyDescent="0.25">
      <c r="B91" s="12">
        <f>-1*TABULATI!Q90</f>
        <v>0</v>
      </c>
      <c r="C91" s="11">
        <f>TABULATI!R90/DATI!$C$13</f>
        <v>0</v>
      </c>
      <c r="D91" s="14">
        <f>-TABULATI!N90/10^3</f>
        <v>-704.8094822836232</v>
      </c>
      <c r="E91" s="14">
        <f>TABULATI!O90/10^6</f>
        <v>0</v>
      </c>
      <c r="F91" s="14">
        <f>-TABULATI!O90/10^6</f>
        <v>0</v>
      </c>
    </row>
    <row r="92" spans="2:6" ht="18.75" x14ac:dyDescent="0.25">
      <c r="B92" s="12">
        <f>-1*TABULATI!Q91</f>
        <v>0</v>
      </c>
      <c r="C92" s="11">
        <f>TABULATI!R91/DATI!$C$13</f>
        <v>0</v>
      </c>
      <c r="D92" s="14">
        <f>-TABULATI!N91/10^3</f>
        <v>-704.8094822836232</v>
      </c>
      <c r="E92" s="14">
        <f>TABULATI!O91/10^6</f>
        <v>0</v>
      </c>
      <c r="F92" s="14">
        <f>-TABULATI!O91/10^6</f>
        <v>0</v>
      </c>
    </row>
    <row r="93" spans="2:6" ht="18.75" x14ac:dyDescent="0.25">
      <c r="B93" s="12">
        <f>-1*TABULATI!Q92</f>
        <v>-2.8759811685659284E-4</v>
      </c>
      <c r="C93" s="11">
        <f>TABULATI!R92/DATI!$C$13</f>
        <v>9.3574547723189905E-4</v>
      </c>
      <c r="D93" s="14">
        <f>-TABULATI!N92/10^3</f>
        <v>-703.49290168159666</v>
      </c>
      <c r="E93" s="14">
        <f>TABULATI!O92/10^6</f>
        <v>0.24027595986985414</v>
      </c>
      <c r="F93" s="14">
        <f>-TABULATI!O92/10^6</f>
        <v>-0.24027595986985414</v>
      </c>
    </row>
    <row r="94" spans="2:6" ht="18.75" x14ac:dyDescent="0.25">
      <c r="B94" s="12">
        <f>-1*TABULATI!Q93</f>
        <v>-4.0094560996998324E-3</v>
      </c>
      <c r="C94" s="11">
        <f>TABULATI!R93/DATI!$C$13</f>
        <v>1.3369185062616914E-2</v>
      </c>
      <c r="D94" s="14">
        <f>-TABULATI!N93/10^3</f>
        <v>-686.45479977304819</v>
      </c>
      <c r="E94" s="14">
        <f>TABULATI!O93/10^6</f>
        <v>3.3497295581799449</v>
      </c>
      <c r="F94" s="14">
        <f>-TABULATI!O93/10^6</f>
        <v>-3.3497295581799449</v>
      </c>
    </row>
    <row r="95" spans="2:6" ht="18.75" x14ac:dyDescent="0.25">
      <c r="B95" s="12">
        <f>-1*TABULATI!Q94</f>
        <v>-7.7313140825430804E-3</v>
      </c>
      <c r="C95" s="11">
        <f>TABULATI!R94/DATI!$C$13</f>
        <v>2.6435540472795001E-2</v>
      </c>
      <c r="D95" s="14">
        <f>-TABULATI!N94/10^3</f>
        <v>-669.41669786449961</v>
      </c>
      <c r="E95" s="14">
        <f>TABULATI!O94/10^6</f>
        <v>6.4591831564900426</v>
      </c>
      <c r="F95" s="14">
        <f>-TABULATI!O94/10^6</f>
        <v>-6.4591831564900426</v>
      </c>
    </row>
    <row r="96" spans="2:6" ht="18.75" x14ac:dyDescent="0.25">
      <c r="B96" s="12">
        <f>-1*TABULATI!Q95</f>
        <v>-1.1453172065386338E-2</v>
      </c>
      <c r="C96" s="11">
        <f>TABULATI!R95/DATI!$C$13</f>
        <v>4.0184401092162904E-2</v>
      </c>
      <c r="D96" s="14">
        <f>-TABULATI!N95/10^3</f>
        <v>-652.37859595595114</v>
      </c>
      <c r="E96" s="14">
        <f>TABULATI!O95/10^6</f>
        <v>9.5686367548001492</v>
      </c>
      <c r="F96" s="14">
        <f>-TABULATI!O95/10^6</f>
        <v>-9.5686367548001492</v>
      </c>
    </row>
    <row r="97" spans="2:6" ht="18.75" x14ac:dyDescent="0.25">
      <c r="B97" s="12">
        <f>-1*TABULATI!Q96</f>
        <v>-1.5175030048229586E-2</v>
      </c>
      <c r="C97" s="11">
        <f>TABULATI!R96/DATI!$C$13</f>
        <v>5.4670675714113583E-2</v>
      </c>
      <c r="D97" s="14">
        <f>-TABULATI!N96/10^3</f>
        <v>-635.34049404740267</v>
      </c>
      <c r="E97" s="14">
        <f>TABULATI!O96/10^6</f>
        <v>12.678090353110246</v>
      </c>
      <c r="F97" s="14">
        <f>-TABULATI!O96/10^6</f>
        <v>-12.678090353110246</v>
      </c>
    </row>
    <row r="98" spans="2:6" ht="18.75" x14ac:dyDescent="0.25">
      <c r="B98" s="12">
        <f>-1*TABULATI!Q97</f>
        <v>-1.8896888031072825E-2</v>
      </c>
      <c r="C98" s="11">
        <f>TABULATI!R97/DATI!$C$13</f>
        <v>6.9955325456141693E-2</v>
      </c>
      <c r="D98" s="14">
        <f>-TABULATI!N97/10^3</f>
        <v>-618.30239213885409</v>
      </c>
      <c r="E98" s="14">
        <f>TABULATI!O97/10^6</f>
        <v>15.787543951420338</v>
      </c>
      <c r="F98" s="14">
        <f>-TABULATI!O97/10^6</f>
        <v>-15.787543951420338</v>
      </c>
    </row>
    <row r="99" spans="2:6" ht="18.75" x14ac:dyDescent="0.25">
      <c r="B99" s="12">
        <f>-1*TABULATI!Q98</f>
        <v>-2.2618746013916093E-2</v>
      </c>
      <c r="C99" s="11">
        <f>TABULATI!R98/DATI!$C$13</f>
        <v>8.6106221287194723E-2</v>
      </c>
      <c r="D99" s="14">
        <f>-TABULATI!N98/10^3</f>
        <v>-601.26429023030562</v>
      </c>
      <c r="E99" s="14">
        <f>TABULATI!O98/10^6</f>
        <v>18.89699754973045</v>
      </c>
      <c r="F99" s="14">
        <f>-TABULATI!O98/10^6</f>
        <v>-18.89699754973045</v>
      </c>
    </row>
    <row r="100" spans="2:6" ht="18.75" x14ac:dyDescent="0.25">
      <c r="B100" s="12">
        <f>-1*TABULATI!Q99</f>
        <v>-2.6340603996759332E-2</v>
      </c>
      <c r="C100" s="11">
        <f>TABULATI!R99/DATI!$C$13</f>
        <v>0.10319915160620619</v>
      </c>
      <c r="D100" s="14">
        <f>-TABULATI!N99/10^3</f>
        <v>-584.22618832175715</v>
      </c>
      <c r="E100" s="14">
        <f>TABULATI!O99/10^6</f>
        <v>22.00645114804054</v>
      </c>
      <c r="F100" s="14">
        <f>-TABULATI!O99/10^6</f>
        <v>-22.00645114804054</v>
      </c>
    </row>
    <row r="101" spans="2:6" ht="18.75" x14ac:dyDescent="0.25">
      <c r="B101" s="12">
        <f>-1*TABULATI!Q100</f>
        <v>-3.0062461979602589E-2</v>
      </c>
      <c r="C101" s="11">
        <f>TABULATI!R100/DATI!$C$13</f>
        <v>0.1213190114241525</v>
      </c>
      <c r="D101" s="14">
        <f>-TABULATI!N100/10^3</f>
        <v>-567.18808641320868</v>
      </c>
      <c r="E101" s="14">
        <f>TABULATI!O100/10^6</f>
        <v>25.115904746350648</v>
      </c>
      <c r="F101" s="14">
        <f>-TABULATI!O100/10^6</f>
        <v>-25.115904746350648</v>
      </c>
    </row>
    <row r="102" spans="2:6" ht="18.75" x14ac:dyDescent="0.25">
      <c r="B102" s="12">
        <f>-1*TABULATI!Q101</f>
        <v>-3.3784319962445838E-2</v>
      </c>
      <c r="C102" s="11">
        <f>TABULATI!R101/DATI!$C$13</f>
        <v>0.1405612125193588</v>
      </c>
      <c r="D102" s="14">
        <f>-TABULATI!N101/10^3</f>
        <v>-550.14998450466021</v>
      </c>
      <c r="E102" s="14">
        <f>TABULATI!O101/10^6</f>
        <v>28.225358344660744</v>
      </c>
      <c r="F102" s="14">
        <f>-TABULATI!O101/10^6</f>
        <v>-28.225358344660744</v>
      </c>
    </row>
    <row r="103" spans="2:6" ht="19.5" thickBot="1" x14ac:dyDescent="0.3">
      <c r="B103" s="68">
        <f>-1*TABULATI!Q102</f>
        <v>-3.7506177945289085E-2</v>
      </c>
      <c r="C103" s="69">
        <f>TABULATI!R102/DATI!$C$13</f>
        <v>0.161033364001746</v>
      </c>
      <c r="D103" s="67">
        <f>-TABULATI!N102/10^3</f>
        <v>-533.11188259611174</v>
      </c>
      <c r="E103" s="67">
        <f>TABULATI!O102/10^6</f>
        <v>31.334811942970841</v>
      </c>
      <c r="F103" s="67">
        <f>-TABULATI!O102/10^6</f>
        <v>-31.334811942970841</v>
      </c>
    </row>
    <row r="104" spans="2:6" ht="18.75" x14ac:dyDescent="0.25">
      <c r="B104" s="12">
        <f>-1*TABULATI!Q103</f>
        <v>-3.7506177945288606E-2</v>
      </c>
      <c r="C104" s="48">
        <f>TABULATI!R103/DATI!$C$13</f>
        <v>0.16103336400174326</v>
      </c>
      <c r="D104" s="14">
        <f>-TABULATI!N103/10^3</f>
        <v>-533.1118825961139</v>
      </c>
      <c r="E104" s="14">
        <f>TABULATI!O103/10^6</f>
        <v>31.334811942970443</v>
      </c>
      <c r="F104" s="14">
        <f>-TABULATI!O103/10^6</f>
        <v>-31.334811942970443</v>
      </c>
    </row>
    <row r="105" spans="2:6" ht="18.75" x14ac:dyDescent="0.25">
      <c r="B105" s="12">
        <f>-1*TABULATI!Q104</f>
        <v>-4.1233197813697137E-2</v>
      </c>
      <c r="C105" s="11">
        <f>TABULATI!R104/DATI!$C$13</f>
        <v>0.18288786804421631</v>
      </c>
      <c r="D105" s="14">
        <f>-TABULATI!N104/10^3</f>
        <v>-516.0520868459397</v>
      </c>
      <c r="E105" s="14">
        <f>TABULATI!O104/10^6</f>
        <v>34.448578076503274</v>
      </c>
      <c r="F105" s="14">
        <f>-TABULATI!O104/10^6</f>
        <v>-34.448578076503274</v>
      </c>
    </row>
    <row r="106" spans="2:6" ht="18.75" x14ac:dyDescent="0.25">
      <c r="B106" s="12">
        <f>-1*TABULATI!Q105</f>
        <v>-4.4989914624375585E-2</v>
      </c>
      <c r="C106" s="11">
        <f>TABULATI!R105/DATI!$C$13</f>
        <v>0.20642499148013624</v>
      </c>
      <c r="D106" s="14">
        <f>-TABULATI!N105/10^3</f>
        <v>-498.86646667591913</v>
      </c>
      <c r="E106" s="14">
        <f>TABULATI!O105/10^6</f>
        <v>37.587154738655329</v>
      </c>
      <c r="F106" s="14">
        <f>-TABULATI!O105/10^6</f>
        <v>-37.587154738655329</v>
      </c>
    </row>
    <row r="107" spans="2:6" ht="18.75" x14ac:dyDescent="0.25">
      <c r="B107" s="12">
        <f>-1*TABULATI!Q106</f>
        <v>-4.880263846565671E-2</v>
      </c>
      <c r="C107" s="11">
        <f>TABULATI!R106/DATI!$C$13</f>
        <v>0.23202340103304472</v>
      </c>
      <c r="D107" s="14">
        <f>-TABULATI!N106/10^3</f>
        <v>-481.44084457076917</v>
      </c>
      <c r="E107" s="14">
        <f>TABULATI!O106/10^6</f>
        <v>40.772522886038935</v>
      </c>
      <c r="F107" s="14">
        <f>-TABULATI!O106/10^6</f>
        <v>-40.772522886038935</v>
      </c>
    </row>
    <row r="108" spans="2:6" ht="18.75" x14ac:dyDescent="0.25">
      <c r="B108" s="12">
        <f>-1*TABULATI!Q107</f>
        <v>-5.2694212028214289E-2</v>
      </c>
      <c r="C108" s="11">
        <f>TABULATI!R107/DATI!$C$13</f>
        <v>0.26012515028340466</v>
      </c>
      <c r="D108" s="14">
        <f>-TABULATI!N107/10^3</f>
        <v>-463.67319377111261</v>
      </c>
      <c r="E108" s="14">
        <f>TABULATI!O107/10^6</f>
        <v>44.023766612415358</v>
      </c>
      <c r="F108" s="14">
        <f>-TABULATI!O107/10^6</f>
        <v>-44.023766612415358</v>
      </c>
    </row>
    <row r="109" spans="2:6" ht="18.75" x14ac:dyDescent="0.25">
      <c r="B109" s="12">
        <f>-1*TABULATI!Q108</f>
        <v>-5.6684243894900968E-2</v>
      </c>
      <c r="C109" s="11">
        <f>TABULATI!R108/DATI!$C$13</f>
        <v>0.29125429036463513</v>
      </c>
      <c r="D109" s="14">
        <f>-TABULATI!N108/10^3</f>
        <v>-445.47305966605552</v>
      </c>
      <c r="E109" s="14">
        <f>TABULATI!O108/10^6</f>
        <v>47.35726805240391</v>
      </c>
      <c r="F109" s="14">
        <f>-TABULATI!O108/10^6</f>
        <v>-47.35726805240391</v>
      </c>
    </row>
    <row r="110" spans="2:6" ht="18.75" x14ac:dyDescent="0.25">
      <c r="B110" s="12">
        <f>-1*TABULATI!Q109</f>
        <v>-6.0789324802907163E-2</v>
      </c>
      <c r="C110" s="11">
        <f>TABULATI!R109/DATI!$C$13</f>
        <v>0.3260423387386826</v>
      </c>
      <c r="D110" s="14">
        <f>-TABULATI!N109/10^3</f>
        <v>-426.76101393712696</v>
      </c>
      <c r="E110" s="14">
        <f>TABULATI!O109/10^6</f>
        <v>50.786888059291627</v>
      </c>
      <c r="F110" s="14">
        <f>-TABULATI!O109/10^6</f>
        <v>-50.786888059291627</v>
      </c>
    </row>
    <row r="111" spans="2:6" ht="18.75" x14ac:dyDescent="0.25">
      <c r="B111" s="12">
        <f>-1*TABULATI!Q110</f>
        <v>-6.5023228239940153E-2</v>
      </c>
      <c r="C111" s="11">
        <f>TABULATI!R110/DATI!$C$13</f>
        <v>0.36526351121467765</v>
      </c>
      <c r="D111" s="14">
        <f>-TABULATI!N110/10^3</f>
        <v>-407.46813931096773</v>
      </c>
      <c r="E111" s="14">
        <f>TABULATI!O110/10^6</f>
        <v>54.324133794584959</v>
      </c>
      <c r="F111" s="14">
        <f>-TABULATI!O110/10^6</f>
        <v>-54.324133794584959</v>
      </c>
    </row>
    <row r="112" spans="2:6" ht="18.75" x14ac:dyDescent="0.25">
      <c r="B112" s="12">
        <f>-1*TABULATI!Q111</f>
        <v>-6.939709661707423E-2</v>
      </c>
      <c r="C112" s="11">
        <f>TABULATI!R111/DATI!$C$13</f>
        <v>0.4098842016385626</v>
      </c>
      <c r="D112" s="14">
        <f>-TABULATI!N111/10^3</f>
        <v>-387.53554293687421</v>
      </c>
      <c r="E112" s="14">
        <f>TABULATI!O111/10^6</f>
        <v>57.978314267485366</v>
      </c>
      <c r="F112" s="14">
        <f>-TABULATI!O111/10^6</f>
        <v>-57.978314267485366</v>
      </c>
    </row>
    <row r="113" spans="2:6" ht="18.75" x14ac:dyDescent="0.25">
      <c r="B113" s="12">
        <f>-1*TABULATI!Q112</f>
        <v>-7.3919614153194771E-2</v>
      </c>
      <c r="C113" s="11">
        <f>TABULATI!R112/DATI!$C$13</f>
        <v>0.46113379249845621</v>
      </c>
      <c r="D113" s="14">
        <f>-TABULATI!N112/10^3</f>
        <v>-366.91389655089336</v>
      </c>
      <c r="E113" s="14">
        <f>TABULATI!O112/10^6</f>
        <v>61.75668477246839</v>
      </c>
      <c r="F113" s="14">
        <f>-TABULATI!O112/10^6</f>
        <v>-61.75668477246839</v>
      </c>
    </row>
    <row r="114" spans="2:6" ht="18.75" x14ac:dyDescent="0.25">
      <c r="B114" s="12">
        <f>-1*TABULATI!Q113</f>
        <v>-7.8597167508378071E-2</v>
      </c>
      <c r="C114" s="11">
        <f>TABULATI!R113/DATI!$C$13</f>
        <v>0.52060828560472561</v>
      </c>
      <c r="D114" s="14">
        <f>-TABULATI!N113/10^3</f>
        <v>-345.56300172188281</v>
      </c>
      <c r="E114" s="14">
        <f>TABULATI!O113/10^6</f>
        <v>65.664581091621073</v>
      </c>
      <c r="F114" s="14">
        <f>-TABULATI!O113/10^6</f>
        <v>-65.664581091621073</v>
      </c>
    </row>
    <row r="115" spans="2:6" ht="18.75" x14ac:dyDescent="0.25">
      <c r="B115" s="12">
        <f>-1*TABULATI!Q114</f>
        <v>-8.3433995115097345E-2</v>
      </c>
      <c r="C115" s="11">
        <f>TABULATI!R114/DATI!$C$13</f>
        <v>0.59042596966456029</v>
      </c>
      <c r="D115" s="14">
        <f>-TABULATI!N114/10^3</f>
        <v>-323.45137859777867</v>
      </c>
      <c r="E115" s="14">
        <f>TABULATI!O114/10^6</f>
        <v>69.70554425449528</v>
      </c>
      <c r="F115" s="14">
        <f>-TABULATI!O114/10^6</f>
        <v>-69.70554425449528</v>
      </c>
    </row>
    <row r="116" spans="2:6" ht="18.75" x14ac:dyDescent="0.25">
      <c r="B116" s="12">
        <f>-1*TABULATI!Q115</f>
        <v>-8.8432326075883361E-2</v>
      </c>
      <c r="C116" s="11">
        <f>TABULATI!R115/DATI!$C$13</f>
        <v>0.6734684311504322</v>
      </c>
      <c r="D116" s="14">
        <f>-TABULATI!N115/10^3</f>
        <v>-300.55587668331594</v>
      </c>
      <c r="E116" s="14">
        <f>TABULATI!O115/10^6</f>
        <v>73.881436581178789</v>
      </c>
      <c r="F116" s="14">
        <f>-TABULATI!O115/10^6</f>
        <v>-73.881436581178789</v>
      </c>
    </row>
    <row r="117" spans="2:6" ht="18.75" x14ac:dyDescent="0.25">
      <c r="B117" s="12">
        <f>-1*TABULATI!Q116</f>
        <v>-9.3592509423189432E-2</v>
      </c>
      <c r="C117" s="11">
        <f>TABULATI!R116/DATI!$C$13</f>
        <v>0.77376707624391705</v>
      </c>
      <c r="D117" s="14">
        <f>-TABULATI!N116/10^3</f>
        <v>-276.86130628441703</v>
      </c>
      <c r="E117" s="14">
        <f>TABULATI!O116/10^6</f>
        <v>78.192549673399228</v>
      </c>
      <c r="F117" s="14">
        <f>-TABULATI!O116/10^6</f>
        <v>-78.192549673399228</v>
      </c>
    </row>
    <row r="118" spans="2:6" ht="18.75" x14ac:dyDescent="0.25">
      <c r="B118" s="12">
        <f>-1*TABULATI!Q117</f>
        <v>-9.8913134470973538E-2</v>
      </c>
      <c r="C118" s="11">
        <f>TABULATI!R117/DATI!$C$13</f>
        <v>0.89714927473203032</v>
      </c>
      <c r="D118" s="14">
        <f>-TABULATI!N117/10^3</f>
        <v>-252.36008935024671</v>
      </c>
      <c r="E118" s="14">
        <f>TABULATI!O117/10^6</f>
        <v>82.637704963137736</v>
      </c>
      <c r="F118" s="14">
        <f>-TABULATI!O117/10^6</f>
        <v>-82.637704963137736</v>
      </c>
    </row>
    <row r="119" spans="2:6" ht="18.75" x14ac:dyDescent="0.25">
      <c r="B119" s="12">
        <f>-1*TABULATI!Q118</f>
        <v>-0.10439114292726635</v>
      </c>
      <c r="C119" s="11">
        <f>TABULATI!R118/DATI!$C$13</f>
        <v>1.0523734328898484</v>
      </c>
      <c r="D119" s="14">
        <f>-TABULATI!N118/10^3</f>
        <v>-227.05192853220004</v>
      </c>
      <c r="E119" s="14">
        <f>TABULATI!O118/10^6</f>
        <v>87.214347377897539</v>
      </c>
      <c r="F119" s="14">
        <f>-TABULATI!O118/10^6</f>
        <v>-87.214347377897539</v>
      </c>
    </row>
    <row r="120" spans="2:6" ht="18.75" x14ac:dyDescent="0.25">
      <c r="B120" s="12">
        <f>-1*TABULATI!Q119</f>
        <v>-0.11002193338215027</v>
      </c>
      <c r="C120" s="11">
        <f>TABULATI!R119/DATI!$C$13</f>
        <v>1.253247199120088</v>
      </c>
      <c r="D120" s="14">
        <f>-TABULATI!N119/10^3</f>
        <v>-200.94349336053</v>
      </c>
      <c r="E120" s="14">
        <f>TABULATI!O119/10^6</f>
        <v>91.918632635953927</v>
      </c>
      <c r="F120" s="14">
        <f>-TABULATI!O119/10^6</f>
        <v>-91.918632635953927</v>
      </c>
    </row>
    <row r="121" spans="2:6" ht="18.75" x14ac:dyDescent="0.25">
      <c r="B121" s="12">
        <f>-1*TABULATI!Q120</f>
        <v>-0.11579945873561547</v>
      </c>
      <c r="C121" s="11">
        <f>TABULATI!R120/DATI!$C$13</f>
        <v>1.5228902457217099</v>
      </c>
      <c r="D121" s="14">
        <f>-TABULATI!N120/10^3</f>
        <v>-174.04812251448456</v>
      </c>
      <c r="E121" s="14">
        <f>TABULATI!O120/10^6</f>
        <v>96.745508643172272</v>
      </c>
      <c r="F121" s="14">
        <f>-TABULATI!O120/10^6</f>
        <v>-96.745508643172272</v>
      </c>
    </row>
    <row r="122" spans="2:6" ht="18.75" x14ac:dyDescent="0.25">
      <c r="B122" s="12">
        <f>-1*TABULATI!Q121</f>
        <v>-0.12171631708421204</v>
      </c>
      <c r="C122" s="11">
        <f>TABULATI!R121/DATI!$C$13</f>
        <v>1.9031895241713097</v>
      </c>
      <c r="D122" s="14">
        <f>-TABULATI!N121/10^3</f>
        <v>-146.38554123124393</v>
      </c>
      <c r="E122" s="14">
        <f>TABULATI!O121/10^6</f>
        <v>101.68879142492953</v>
      </c>
      <c r="F122" s="14">
        <f>-TABULATI!O121/10^6</f>
        <v>-101.68879142492953</v>
      </c>
    </row>
    <row r="123" spans="2:6" ht="18.75" x14ac:dyDescent="0.25">
      <c r="B123" s="12">
        <f>-1*TABULATI!Q122</f>
        <v>-0.12776383654385556</v>
      </c>
      <c r="C123" s="11">
        <f>TABULATI!R122/DATI!$C$13</f>
        <v>2.4787065092012446</v>
      </c>
      <c r="D123" s="14">
        <f>-TABULATI!N122/10^3</f>
        <v>-117.98159296315303</v>
      </c>
      <c r="E123" s="14">
        <f>TABULATI!O122/10^6</f>
        <v>106.74123599195021</v>
      </c>
      <c r="F123" s="14">
        <f>-TABULATI!O122/10^6</f>
        <v>-106.74123599195021</v>
      </c>
    </row>
    <row r="124" spans="2:6" ht="18.75" x14ac:dyDescent="0.25">
      <c r="B124" s="12">
        <f>-1*TABULATI!Q123</f>
        <v>-0.13393215444820269</v>
      </c>
      <c r="C124" s="11">
        <f>TABULATI!R123/DATI!$C$13</f>
        <v>3.4496175051595208</v>
      </c>
      <c r="D124" s="14">
        <f>-TABULATI!N123/10^3</f>
        <v>-88.867984452088308</v>
      </c>
      <c r="E124" s="14">
        <f>TABULATI!O123/10^6</f>
        <v>111.8946025071713</v>
      </c>
      <c r="F124" s="14">
        <f>-TABULATI!O123/10^6</f>
        <v>-111.8946025071713</v>
      </c>
    </row>
    <row r="125" spans="2:6" ht="18.75" x14ac:dyDescent="0.25">
      <c r="B125" s="12">
        <f>-1*TABULATI!Q124</f>
        <v>-0.14018438450815449</v>
      </c>
      <c r="C125" s="11">
        <f>TABULATI!R124/DATI!$C$13</f>
        <v>5.4314832824185899</v>
      </c>
      <c r="D125" s="14">
        <f>-TABULATI!N124/10^3</f>
        <v>-59.076207928368824</v>
      </c>
      <c r="E125" s="14">
        <f>TABULATI!O124/10^6</f>
        <v>117.11807404934123</v>
      </c>
      <c r="F125" s="14">
        <f>-TABULATI!O124/10^6</f>
        <v>-117.11807404934123</v>
      </c>
    </row>
    <row r="126" spans="2:6" ht="18.75" x14ac:dyDescent="0.25">
      <c r="B126" s="12">
        <f>-1*TABULATI!Q125</f>
        <v>-0.14653867110472477</v>
      </c>
      <c r="C126" s="11">
        <f>TABULATI!R125/DATI!$C$13</f>
        <v>11.720460099800194</v>
      </c>
      <c r="D126" s="14">
        <f>-TABULATI!N125/10^3</f>
        <v>-28.617982017215574</v>
      </c>
      <c r="E126" s="14">
        <f>TABULATI!O125/10^6</f>
        <v>122.42680947489474</v>
      </c>
      <c r="F126" s="14">
        <f>-TABULATI!O125/10^6</f>
        <v>-122.42680947489474</v>
      </c>
    </row>
    <row r="127" spans="2:6" ht="18.75" x14ac:dyDescent="0.25">
      <c r="B127" s="12">
        <f>-1*TABULATI!Q126</f>
        <v>-0.15299150376460488</v>
      </c>
      <c r="C127" s="11">
        <f>TABULATI!R126/DATI!$C$13</f>
        <v>-140.04359443478728</v>
      </c>
      <c r="D127" s="14">
        <f>-TABULATI!N126/10^3</f>
        <v>2.5005496529414666</v>
      </c>
      <c r="E127" s="14">
        <f>TABULATI!O126/10^6</f>
        <v>127.81787593311275</v>
      </c>
      <c r="F127" s="14">
        <f>-TABULATI!O126/10^6</f>
        <v>-127.81787593311275</v>
      </c>
    </row>
    <row r="128" spans="2:6" ht="18.75" x14ac:dyDescent="0.25">
      <c r="B128" s="12">
        <f>-1*TABULATI!Q127</f>
        <v>-0.15953952471173355</v>
      </c>
      <c r="C128" s="11">
        <f>TABULATI!R127/DATI!$C$13</f>
        <v>-10.654718869965656</v>
      </c>
      <c r="D128" s="14">
        <f>-TABULATI!N127/10^3</f>
        <v>34.273441635236956</v>
      </c>
      <c r="E128" s="14">
        <f>TABULATI!O127/10^6</f>
        <v>133.2884681453134</v>
      </c>
      <c r="F128" s="14">
        <f>-TABULATI!O127/10^6</f>
        <v>-133.2884681453134</v>
      </c>
    </row>
    <row r="129" spans="2:6" ht="18.75" x14ac:dyDescent="0.25">
      <c r="B129" s="12">
        <f>-1*TABULATI!Q128</f>
        <v>-0.16617952119378565</v>
      </c>
      <c r="C129" s="11">
        <f>TABULATI!R128/DATI!$C$13</f>
        <v>-5.7031664086141225</v>
      </c>
      <c r="D129" s="14">
        <f>-TABULATI!N128/10^3</f>
        <v>66.694938737104238</v>
      </c>
      <c r="E129" s="14">
        <f>TABULATI!O128/10^6</f>
        <v>138.83590199396082</v>
      </c>
      <c r="F129" s="14">
        <f>-TABULATI!O128/10^6</f>
        <v>-138.83590199396082</v>
      </c>
    </row>
    <row r="130" spans="2:6" ht="18.75" x14ac:dyDescent="0.25">
      <c r="B130" s="12">
        <f>-1*TABULATI!Q129</f>
        <v>-0.17290841824802822</v>
      </c>
      <c r="C130" s="11">
        <f>TABULATI!R129/DATI!$C$13</f>
        <v>-3.9672852699900103</v>
      </c>
      <c r="D130" s="14">
        <f>-TABULATI!N129/10^3</f>
        <v>99.759468470502767</v>
      </c>
      <c r="E130" s="14">
        <f>TABULATI!O129/10^6</f>
        <v>144.45760847884634</v>
      </c>
      <c r="F130" s="14">
        <f>-TABULATI!O129/10^6</f>
        <v>-144.45760847884634</v>
      </c>
    </row>
    <row r="131" spans="2:6" ht="18.75" x14ac:dyDescent="0.25">
      <c r="B131" s="12">
        <f>-1*TABULATI!Q130</f>
        <v>-0.17972327187828199</v>
      </c>
      <c r="C131" s="11">
        <f>TABULATI!R130/DATI!$C$13</f>
        <v>-3.0823311657164627</v>
      </c>
      <c r="D131" s="14">
        <f>-TABULATI!N130/10^3</f>
        <v>133.46163385882485</v>
      </c>
      <c r="E131" s="14">
        <f>TABULATI!O130/10^6</f>
        <v>150.15112801673078</v>
      </c>
      <c r="F131" s="14">
        <f>-TABULATI!O130/10^6</f>
        <v>-150.15112801673078</v>
      </c>
    </row>
    <row r="132" spans="2:6" ht="18.75" x14ac:dyDescent="0.25">
      <c r="B132" s="12">
        <f>-1*TABULATI!Q131</f>
        <v>-0.18662126261674453</v>
      </c>
      <c r="C132" s="11">
        <f>TABULATI!R131/DATI!$C$13</f>
        <v>-2.5457186451469656</v>
      </c>
      <c r="D132" s="14">
        <f>-TABULATI!N131/10^3</f>
        <v>167.79620658098429</v>
      </c>
      <c r="E132" s="14">
        <f>TABULATI!O131/10^6</f>
        <v>155.91410506252245</v>
      </c>
      <c r="F132" s="14">
        <f>-TABULATI!O131/10^6</f>
        <v>-155.91410506252245</v>
      </c>
    </row>
    <row r="133" spans="2:6" ht="18.75" x14ac:dyDescent="0.25">
      <c r="B133" s="12">
        <f>-1*TABULATI!Q132</f>
        <v>-0.19359968944628725</v>
      </c>
      <c r="C133" s="11">
        <f>TABULATI!R132/DATI!$C$13</f>
        <v>-2.1855352626818556</v>
      </c>
      <c r="D133" s="14">
        <f>-TABULATI!N132/10^3</f>
        <v>202.7581204343771</v>
      </c>
      <c r="E133" s="14">
        <f>TABULATI!O132/10^6</f>
        <v>161.74428303161537</v>
      </c>
      <c r="F133" s="14">
        <f>-TABULATI!O132/10^6</f>
        <v>-161.74428303161537</v>
      </c>
    </row>
    <row r="134" spans="2:6" ht="18.75" x14ac:dyDescent="0.25">
      <c r="B134" s="12">
        <f>-1*TABULATI!Q133</f>
        <v>-0.20065596406055855</v>
      </c>
      <c r="C134" s="11">
        <f>TABULATI!R133/DATI!$C$13</f>
        <v>-1.9270015514035528</v>
      </c>
      <c r="D134" s="14">
        <f>-TABULATI!N133/10^3</f>
        <v>238.34246509955673</v>
      </c>
      <c r="E134" s="14">
        <f>TABULATI!O133/10^6</f>
        <v>167.63949950445041</v>
      </c>
      <c r="F134" s="14">
        <f>-TABULATI!O133/10^6</f>
        <v>-167.63949950445041</v>
      </c>
    </row>
    <row r="135" spans="2:6" ht="18.75" x14ac:dyDescent="0.25">
      <c r="B135" s="12">
        <f>-1*TABULATI!Q134</f>
        <v>-0.20778760544080133</v>
      </c>
      <c r="C135" s="11">
        <f>TABULATI!R134/DATI!$C$13</f>
        <v>-1.7323607690363001</v>
      </c>
      <c r="D135" s="14">
        <f>-TABULATI!N134/10^3</f>
        <v>274.54448019049238</v>
      </c>
      <c r="E135" s="14">
        <f>TABULATI!O134/10^6</f>
        <v>173.59768169567752</v>
      </c>
      <c r="F135" s="14">
        <f>-TABULATI!O134/10^6</f>
        <v>-173.59768169567752</v>
      </c>
    </row>
    <row r="136" spans="2:6" ht="18.75" x14ac:dyDescent="0.25">
      <c r="B136" s="12">
        <f>-1*TABULATI!Q135</f>
        <v>-0.21234745989043691</v>
      </c>
      <c r="C136" s="11">
        <f>TABULATI!R135/DATI!$C$13</f>
        <v>-1.6242062553277077</v>
      </c>
      <c r="D136" s="14">
        <f>-TABULATI!N135/10^3</f>
        <v>299.25217109784126</v>
      </c>
      <c r="E136" s="14">
        <f>TABULATI!O135/10^6</f>
        <v>177.40724559939159</v>
      </c>
      <c r="F136" s="14">
        <f>-TABULATI!O135/10^6</f>
        <v>-177.40724559939159</v>
      </c>
    </row>
    <row r="137" spans="2:6" ht="18.75" x14ac:dyDescent="0.25">
      <c r="B137" s="12">
        <f>-1*TABULATI!Q136</f>
        <v>-0.21590093756222994</v>
      </c>
      <c r="C137" s="11">
        <f>TABULATI!R136/DATI!$C$13</f>
        <v>-1.5460656403440913</v>
      </c>
      <c r="D137" s="14">
        <f>-TABULATI!N136/10^3</f>
        <v>319.63771556705808</v>
      </c>
      <c r="E137" s="14">
        <f>TABULATI!O136/10^6</f>
        <v>180.37602462965177</v>
      </c>
      <c r="F137" s="14">
        <f>-TABULATI!O136/10^6</f>
        <v>-180.37602462965177</v>
      </c>
    </row>
    <row r="138" spans="2:6" ht="18.75" x14ac:dyDescent="0.25">
      <c r="B138" s="12">
        <f>-1*TABULATI!Q137</f>
        <v>-0.21952293278537283</v>
      </c>
      <c r="C138" s="11">
        <f>TABULATI!R137/DATI!$C$13</f>
        <v>-1.4751344851072816</v>
      </c>
      <c r="D138" s="14">
        <f>-TABULATI!N137/10^3</f>
        <v>340.62749337915392</v>
      </c>
      <c r="E138" s="14">
        <f>TABULATI!O137/10^6</f>
        <v>183.40204715162341</v>
      </c>
      <c r="F138" s="14">
        <f>-TABULATI!O137/10^6</f>
        <v>-183.40204715162341</v>
      </c>
    </row>
    <row r="139" spans="2:6" ht="18.75" x14ac:dyDescent="0.25">
      <c r="B139" s="38">
        <f>-1*TABULATI!Q138</f>
        <v>-0.22321134513464702</v>
      </c>
      <c r="C139" s="48">
        <f>TABULATI!R138/DATI!$C$13</f>
        <v>-1.4105175903607687</v>
      </c>
      <c r="D139" s="47">
        <f>-TABULATI!N138/10^3</f>
        <v>362.2172895847728</v>
      </c>
      <c r="E139" s="47">
        <f>TABULATI!O138/10^6</f>
        <v>186.4835583496247</v>
      </c>
      <c r="F139" s="47">
        <f>-TABULATI!O138/10^6</f>
        <v>-186.4835583496247</v>
      </c>
    </row>
    <row r="140" spans="2:6" ht="18.75" x14ac:dyDescent="0.25">
      <c r="B140" s="38">
        <f>-1*TABULATI!Q139</f>
        <v>-0.22696415846543508</v>
      </c>
      <c r="C140" s="48">
        <f>TABULATI!R139/DATI!$C$13</f>
        <v>-1.351456013736883</v>
      </c>
      <c r="D140" s="47">
        <f>-TABULATI!N139/10^3</f>
        <v>384.40301320365734</v>
      </c>
      <c r="E140" s="47">
        <f>TABULATI!O139/10^6</f>
        <v>189.61887382082131</v>
      </c>
      <c r="F140" s="47">
        <f>-TABULATI!O139/10^6</f>
        <v>-189.61887382082131</v>
      </c>
    </row>
    <row r="141" spans="2:6" ht="18.75" x14ac:dyDescent="0.25">
      <c r="B141" s="38">
        <f>-1*TABULATI!Q140</f>
        <v>-0.23077943702248999</v>
      </c>
      <c r="C141" s="48">
        <f>TABULATI!R140/DATI!$C$13</f>
        <v>-1.2973027870273903</v>
      </c>
      <c r="D141" s="47">
        <f>-TABULATI!N140/10^3</f>
        <v>407.18069270022926</v>
      </c>
      <c r="E141" s="47">
        <f>TABULATI!O140/10^6</f>
        <v>192.80637632426902</v>
      </c>
      <c r="F141" s="47">
        <f>-TABULATI!O140/10^6</f>
        <v>-192.80637632426902</v>
      </c>
    </row>
    <row r="142" spans="2:6" ht="18.75" x14ac:dyDescent="0.25">
      <c r="B142" s="38">
        <f>-1*TABULATI!Q141</f>
        <v>-0.23465532175307852</v>
      </c>
      <c r="C142" s="48">
        <f>TABULATI!R141/DATI!$C$13</f>
        <v>-1.2475035549793385</v>
      </c>
      <c r="D142" s="47">
        <f>-TABULATI!N141/10^3</f>
        <v>430.54647165588466</v>
      </c>
      <c r="E142" s="47">
        <f>TABULATI!O141/10^6</f>
        <v>196.0445127007024</v>
      </c>
      <c r="F142" s="47">
        <f>-TABULATI!O141/10^6</f>
        <v>-196.0445127007024</v>
      </c>
    </row>
    <row r="143" spans="2:6" ht="18.75" x14ac:dyDescent="0.25">
      <c r="B143" s="38">
        <f>-1*TABULATI!Q142</f>
        <v>-0.23859002681244793</v>
      </c>
      <c r="C143" s="48">
        <f>TABULATI!R142/DATI!$C$13</f>
        <v>-1.2015810243698615</v>
      </c>
      <c r="D143" s="47">
        <f>-TABULATI!N142/10^3</f>
        <v>454.49660462809226</v>
      </c>
      <c r="E143" s="47">
        <f>TABULATI!O142/10^6</f>
        <v>199.33179095300116</v>
      </c>
      <c r="F143" s="47">
        <f>-TABULATI!O142/10^6</f>
        <v>-199.33179095300116</v>
      </c>
    </row>
    <row r="144" spans="2:6" ht="19.5" thickBot="1" x14ac:dyDescent="0.3">
      <c r="B144" s="71">
        <f>-1*TABULATI!Q143</f>
        <v>-0.24258183625035296</v>
      </c>
      <c r="C144" s="72">
        <f>TABULATI!R143/DATI!$C$13</f>
        <v>-1.1591223873515297</v>
      </c>
      <c r="D144" s="70">
        <f>-TABULATI!N143/10^3</f>
        <v>479.02745318696645</v>
      </c>
      <c r="E144" s="70">
        <f>TABULATI!O143/10^6</f>
        <v>202.66677747792488</v>
      </c>
      <c r="F144" s="70">
        <f>-TABULATI!O143/10^6</f>
        <v>-202.66677747792488</v>
      </c>
    </row>
    <row r="145" spans="2:6" ht="18.75" x14ac:dyDescent="0.25">
      <c r="B145" s="12">
        <f>-1*TABULATI!Q144</f>
        <v>-0.24258183625035298</v>
      </c>
      <c r="C145" s="48">
        <f>TABULATI!R144/DATI!$C$13</f>
        <v>-1.1591223873515288</v>
      </c>
      <c r="D145" s="14">
        <f>-TABULATI!N144/10^3</f>
        <v>479.02745318696685</v>
      </c>
      <c r="E145" s="14">
        <f>TABULATI!O144/10^6</f>
        <v>202.66677747792491</v>
      </c>
      <c r="F145" s="14">
        <f>-TABULATI!O144/10^6</f>
        <v>-202.66677747792491</v>
      </c>
    </row>
    <row r="146" spans="2:6" ht="18.75" x14ac:dyDescent="0.25">
      <c r="B146" s="12">
        <f>-1*TABULATI!Q145</f>
        <v>-0.24303061478587792</v>
      </c>
      <c r="C146" s="11">
        <f>TABULATI!R145/DATI!$C$13</f>
        <v>-1.1529720113149544</v>
      </c>
      <c r="D146" s="14">
        <f>-TABULATI!N145/10^3</f>
        <v>482.47369385737659</v>
      </c>
      <c r="E146" s="14">
        <f>TABULATI!O145/10^6</f>
        <v>203.04171280285269</v>
      </c>
      <c r="F146" s="14">
        <f>-TABULATI!O145/10^6</f>
        <v>-203.04171280285269</v>
      </c>
    </row>
    <row r="147" spans="2:6" ht="18.75" x14ac:dyDescent="0.25">
      <c r="B147" s="12">
        <f>-1*TABULATI!Q146</f>
        <v>-0.24348314155461509</v>
      </c>
      <c r="C147" s="11">
        <f>TABULATI!R146/DATI!$C$13</f>
        <v>-1.146808655409113</v>
      </c>
      <c r="D147" s="14">
        <f>-TABULATI!N146/10^3</f>
        <v>485.96988004474889</v>
      </c>
      <c r="E147" s="14">
        <f>TABULATI!O146/10^6</f>
        <v>203.41977961675795</v>
      </c>
      <c r="F147" s="14">
        <f>-TABULATI!O146/10^6</f>
        <v>-203.41977961675795</v>
      </c>
    </row>
    <row r="148" spans="2:6" ht="18.75" x14ac:dyDescent="0.25">
      <c r="B148" s="12">
        <f>-1*TABULATI!Q147</f>
        <v>-0.24393943784811908</v>
      </c>
      <c r="C148" s="11">
        <f>TABULATI!R147/DATI!$C$13</f>
        <v>-1.1406320354032919</v>
      </c>
      <c r="D148" s="14">
        <f>-TABULATI!N147/10^3</f>
        <v>489.51710544653525</v>
      </c>
      <c r="E148" s="14">
        <f>TABULATI!O147/10^6</f>
        <v>203.80099570782644</v>
      </c>
      <c r="F148" s="14">
        <f>-TABULATI!O147/10^6</f>
        <v>-203.80099570782644</v>
      </c>
    </row>
    <row r="149" spans="2:6" ht="18.75" x14ac:dyDescent="0.25">
      <c r="B149" s="12">
        <f>-1*TABULATI!Q148</f>
        <v>-0.24439952378318108</v>
      </c>
      <c r="C149" s="11">
        <f>TABULATI!R148/DATI!$C$13</f>
        <v>-1.1344418587070493</v>
      </c>
      <c r="D149" s="14">
        <f>-TABULATI!N148/10^3</f>
        <v>493.11649592775979</v>
      </c>
      <c r="E149" s="14">
        <f>TABULATI!O148/10^6</f>
        <v>204.18537788277916</v>
      </c>
      <c r="F149" s="14">
        <f>-TABULATI!O148/10^6</f>
        <v>-204.18537788277916</v>
      </c>
    </row>
    <row r="150" spans="2:6" ht="18.75" x14ac:dyDescent="0.25">
      <c r="B150" s="12">
        <f>-1*TABULATI!Q149</f>
        <v>-0.2448634181911222</v>
      </c>
      <c r="C150" s="11">
        <f>TABULATI!R149/DATI!$C$13</f>
        <v>-1.1282378240605984</v>
      </c>
      <c r="D150" s="14">
        <f>-TABULATI!N149/10^3</f>
        <v>496.76921071240992</v>
      </c>
      <c r="E150" s="14">
        <f>TABULATI!O149/10^6</f>
        <v>204.57294187438166</v>
      </c>
      <c r="F150" s="14">
        <f>-TABULATI!O149/10^6</f>
        <v>-204.57294187438166</v>
      </c>
    </row>
    <row r="151" spans="2:6" ht="18.75" x14ac:dyDescent="0.25">
      <c r="B151" s="12">
        <f>-1*TABULATI!Q150</f>
        <v>-0.24533113849909782</v>
      </c>
      <c r="C151" s="11">
        <f>TABULATI!R150/DATI!$C$13</f>
        <v>-1.1220196212113231</v>
      </c>
      <c r="D151" s="14">
        <f>-TABULATI!N150/10^3</f>
        <v>500.47644362817414</v>
      </c>
      <c r="E151" s="14">
        <f>TABULATI!O150/10^6</f>
        <v>204.96370224227903</v>
      </c>
      <c r="F151" s="14">
        <f>-TABULATI!O150/10^6</f>
        <v>-204.96370224227903</v>
      </c>
    </row>
    <row r="152" spans="2:6" ht="18.75" x14ac:dyDescent="0.25">
      <c r="B152" s="12">
        <f>-1*TABULATI!Q151</f>
        <v>-0.24580270060283299</v>
      </c>
      <c r="C152" s="11">
        <f>TABULATI!R151/DATI!$C$13</f>
        <v>-1.1157869305757004</v>
      </c>
      <c r="D152" s="14">
        <f>-TABULATI!N151/10^3</f>
        <v>504.23942440733339</v>
      </c>
      <c r="E152" s="14">
        <f>TABULATI!O151/10^6</f>
        <v>205.35767226667147</v>
      </c>
      <c r="F152" s="14">
        <f>-TABULATI!O151/10^6</f>
        <v>-205.35767226667147</v>
      </c>
    </row>
    <row r="153" spans="2:6" ht="18.75" x14ac:dyDescent="0.25">
      <c r="B153" s="12">
        <f>-1*TABULATI!Q152</f>
        <v>-0.24627811873016178</v>
      </c>
      <c r="C153" s="11">
        <f>TABULATI!R152/DATI!$C$13</f>
        <v>-1.1095394228858591</v>
      </c>
      <c r="D153" s="14">
        <f>-TABULATI!N152/10^3</f>
        <v>508.0594200467828</v>
      </c>
      <c r="E153" s="14">
        <f>TABULATI!O152/10^6</f>
        <v>205.75486383430754</v>
      </c>
      <c r="F153" s="14">
        <f>-TABULATI!O152/10^6</f>
        <v>-205.75486383430754</v>
      </c>
    </row>
    <row r="154" spans="2:6" ht="18.75" x14ac:dyDescent="0.25">
      <c r="B154" s="12">
        <f>-1*TABULATI!Q153</f>
        <v>-0.24675740529469609</v>
      </c>
      <c r="C154" s="11">
        <f>TABULATI!R153/DATI!$C$13</f>
        <v>-1.1032767588199468</v>
      </c>
      <c r="D154" s="14">
        <f>-TABULATI!N153/10^3</f>
        <v>511.93773623034605</v>
      </c>
      <c r="E154" s="14">
        <f>TABULATI!O153/10^6</f>
        <v>206.1552873162305</v>
      </c>
      <c r="F154" s="14">
        <f>-TABULATI!O153/10^6</f>
        <v>-206.1552873162305</v>
      </c>
    </row>
    <row r="155" spans="2:6" ht="18.75" x14ac:dyDescent="0.25">
      <c r="B155" s="12">
        <f>-1*TABULATI!Q154</f>
        <v>-0.24724057073889544</v>
      </c>
      <c r="C155" s="11">
        <f>TABULATI!R154/DATI!$C$13</f>
        <v>-1.0969985886154388</v>
      </c>
      <c r="D155" s="14">
        <f>-TABULATI!N154/10^3</f>
        <v>515.87571881673318</v>
      </c>
      <c r="E155" s="14">
        <f>TABULATI!O154/10^6</f>
        <v>206.55895143666993</v>
      </c>
      <c r="F155" s="14">
        <f>-TABULATI!O154/10^6</f>
        <v>-206.55895143666993</v>
      </c>
    </row>
    <row r="156" spans="2:6" ht="18.75" x14ac:dyDescent="0.25">
      <c r="B156" s="12">
        <f>-1*TABULATI!Q155</f>
        <v>-0.24772762336575332</v>
      </c>
      <c r="C156" s="11">
        <f>TABULATI!R155/DATI!$C$13</f>
        <v>-1.0907045516644607</v>
      </c>
      <c r="D156" s="14">
        <f>-TABULATI!N155/10^3</f>
        <v>519.87475539670777</v>
      </c>
      <c r="E156" s="14">
        <f>TABULATI!O155/10^6</f>
        <v>206.96586313242267</v>
      </c>
      <c r="F156" s="14">
        <f>-TABULATI!O155/10^6</f>
        <v>-206.96586313242267</v>
      </c>
    </row>
    <row r="157" spans="2:6" ht="18.75" x14ac:dyDescent="0.25">
      <c r="B157" s="12">
        <f>-1*TABULATI!Q156</f>
        <v>-0.24821856915825094</v>
      </c>
      <c r="C157" s="11">
        <f>TABULATI!R156/DATI!$C$13</f>
        <v>-1.0843942760901422</v>
      </c>
      <c r="D157" s="14">
        <f>-TABULATI!N156/10^3</f>
        <v>523.93627692324469</v>
      </c>
      <c r="E157" s="14">
        <f>TABULATI!O156/10^6</f>
        <v>207.37602740201436</v>
      </c>
      <c r="F157" s="14">
        <f>-TABULATI!O156/10^6</f>
        <v>-207.37602740201436</v>
      </c>
    </row>
    <row r="158" spans="2:6" ht="18.75" x14ac:dyDescent="0.25">
      <c r="B158" s="12">
        <f>-1*TABULATI!Q157</f>
        <v>-0.24871341158566426</v>
      </c>
      <c r="C158" s="11">
        <f>TABULATI!R157/DATI!$C$13</f>
        <v>-1.0780673783029553</v>
      </c>
      <c r="D158" s="14">
        <f>-TABULATI!N157/10^3</f>
        <v>528.06175941870322</v>
      </c>
      <c r="E158" s="14">
        <f>TABULATI!O157/10^6</f>
        <v>207.78944714387708</v>
      </c>
      <c r="F158" s="14">
        <f>-TABULATI!O157/10^6</f>
        <v>-207.78944714387708</v>
      </c>
    </row>
    <row r="159" spans="2:6" ht="18.75" x14ac:dyDescent="0.25">
      <c r="B159" s="12">
        <f>-1*TABULATI!Q158</f>
        <v>-0.24921215139573494</v>
      </c>
      <c r="C159" s="11">
        <f>TABULATI!R158/DATI!$C$13</f>
        <v>-1.0717234625359275</v>
      </c>
      <c r="D159" s="14">
        <f>-TABULATI!N158/10^3</f>
        <v>532.25272576329598</v>
      </c>
      <c r="E159" s="14">
        <f>TABULATI!O158/10^6</f>
        <v>208.20612298271715</v>
      </c>
      <c r="F159" s="14">
        <f>-TABULATI!O158/10^6</f>
        <v>-208.20612298271715</v>
      </c>
    </row>
    <row r="160" spans="2:6" ht="18.75" x14ac:dyDescent="0.25">
      <c r="B160" s="12">
        <f>-1*TABULATI!Q159</f>
        <v>-0.24971478639163594</v>
      </c>
      <c r="C160" s="11">
        <f>TABULATI!R159/DATI!$C$13</f>
        <v>-1.0653621203575421</v>
      </c>
      <c r="D160" s="14">
        <f>-TABULATI!N159/10^3</f>
        <v>536.5107475694025</v>
      </c>
      <c r="E160" s="14">
        <f>TABULATI!O159/10^6</f>
        <v>208.62605308317924</v>
      </c>
      <c r="F160" s="14">
        <f>-TABULATI!O159/10^6</f>
        <v>-208.62605308317924</v>
      </c>
    </row>
    <row r="161" spans="2:6" ht="18.75" x14ac:dyDescent="0.25">
      <c r="B161" s="12">
        <f>-1*TABULATI!Q160</f>
        <v>-0.25022131119257607</v>
      </c>
      <c r="C161" s="11">
        <f>TABULATI!R160/DATI!$C$13</f>
        <v>-1.0589829301610729</v>
      </c>
      <c r="D161" s="14">
        <f>-TABULATI!N160/10^3</f>
        <v>540.83744714657507</v>
      </c>
      <c r="E161" s="14">
        <f>TABULATI!O160/10^6</f>
        <v>209.04923294984178</v>
      </c>
      <c r="F161" s="14">
        <f>-TABULATI!O160/10^6</f>
        <v>-209.04923294984178</v>
      </c>
    </row>
    <row r="162" spans="2:6" ht="18.75" x14ac:dyDescent="0.25">
      <c r="B162" s="12">
        <f>-1*TABULATI!Q161</f>
        <v>-0.25073171697679297</v>
      </c>
      <c r="C162" s="11">
        <f>TABULATI!R161/DATI!$C$13</f>
        <v>-1.052585456629006</v>
      </c>
      <c r="D162" s="14">
        <f>-TABULATI!N161/10^3</f>
        <v>545.23449956240074</v>
      </c>
      <c r="E162" s="14">
        <f>TABULATI!O161/10^6</f>
        <v>209.47565521249862</v>
      </c>
      <c r="F162" s="14">
        <f>-TABULATI!O161/10^6</f>
        <v>-209.47565521249862</v>
      </c>
    </row>
    <row r="163" spans="2:6" ht="18.75" x14ac:dyDescent="0.25">
      <c r="B163" s="12">
        <f>-1*TABULATI!Q162</f>
        <v>-0.25124599120558089</v>
      </c>
      <c r="C163" s="11">
        <f>TABULATI!R162/DATI!$C$13</f>
        <v>-1.0461692501711211</v>
      </c>
      <c r="D163" s="14">
        <f>-TABULATI!N162/10^3</f>
        <v>549.70363480471553</v>
      </c>
      <c r="E163" s="14">
        <f>TABULATI!O162/10^6</f>
        <v>209.90530939559596</v>
      </c>
      <c r="F163" s="14">
        <f>-TABULATI!O162/10^6</f>
        <v>-209.90530939559596</v>
      </c>
    </row>
    <row r="164" spans="2:6" ht="18.75" x14ac:dyDescent="0.25">
      <c r="B164" s="12">
        <f>-1*TABULATI!Q163</f>
        <v>-0.25176411732688647</v>
      </c>
      <c r="C164" s="11">
        <f>TABULATI!R163/DATI!$C$13</f>
        <v>-1.0397338463347123</v>
      </c>
      <c r="D164" s="14">
        <f>-TABULATI!N163/10^3</f>
        <v>554.24664005103546</v>
      </c>
      <c r="E164" s="14">
        <f>TABULATI!O163/10^6</f>
        <v>210.33818167059917</v>
      </c>
      <c r="F164" s="14">
        <f>-TABULATI!O163/10^6</f>
        <v>-210.33818167059917</v>
      </c>
    </row>
    <row r="165" spans="2:6" ht="18.75" x14ac:dyDescent="0.25">
      <c r="B165" s="12">
        <f>-1*TABULATI!Q164</f>
        <v>-0.25228607445688456</v>
      </c>
      <c r="C165" s="11">
        <f>TABULATI!R164/DATI!$C$13</f>
        <v>-1.0332787651853166</v>
      </c>
      <c r="D165" s="14">
        <f>-TABULATI!N164/10^3</f>
        <v>558.86536205146069</v>
      </c>
      <c r="E165" s="14">
        <f>TABULATI!O164/10^6</f>
        <v>210.77425458996302</v>
      </c>
      <c r="F165" s="14">
        <f>-TABULATI!O164/10^6</f>
        <v>-210.77425458996302</v>
      </c>
    </row>
    <row r="166" spans="2:6" ht="18.75" x14ac:dyDescent="0.25">
      <c r="B166" s="12">
        <f>-1*TABULATI!Q165</f>
        <v>-0.25281183703781118</v>
      </c>
      <c r="C166" s="11">
        <f>TABULATI!R165/DATI!$C$13</f>
        <v>-1.0268035106562199</v>
      </c>
      <c r="D166" s="14">
        <f>-TABULATI!N165/10^3</f>
        <v>563.56170963172497</v>
      </c>
      <c r="E166" s="14">
        <f>TABULATI!O165/10^6</f>
        <v>211.21350680126591</v>
      </c>
      <c r="F166" s="14">
        <f>-TABULATI!O165/10^6</f>
        <v>-211.21350680126591</v>
      </c>
    </row>
    <row r="167" spans="2:6" ht="18.75" x14ac:dyDescent="0.25">
      <c r="B167" s="12">
        <f>-1*TABULATI!Q166</f>
        <v>-0.25334137447018568</v>
      </c>
      <c r="C167" s="11">
        <f>TABULATI!R166/DATI!$C$13</f>
        <v>-1.0203075698648876</v>
      </c>
      <c r="D167" s="14">
        <f>-TABULATI!N166/10^3</f>
        <v>568.33765632351935</v>
      </c>
      <c r="E167" s="14">
        <f>TABULATI!O166/10^6</f>
        <v>211.65591273994679</v>
      </c>
      <c r="F167" s="14">
        <f>-TABULATI!O166/10^6</f>
        <v>-211.65591273994679</v>
      </c>
    </row>
    <row r="168" spans="2:6" ht="18.75" x14ac:dyDescent="0.25">
      <c r="B168" s="12">
        <f>-1*TABULATI!Q167</f>
        <v>-0.25387465071739357</v>
      </c>
      <c r="C168" s="11">
        <f>TABULATI!R167/DATI!$C$13</f>
        <v>-1.0137904123943391</v>
      </c>
      <c r="D168" s="14">
        <f>-TABULATI!N167/10^3</f>
        <v>573.19524312970327</v>
      </c>
      <c r="E168" s="14">
        <f>TABULATI!O167/10^6</f>
        <v>212.10144229895135</v>
      </c>
      <c r="F168" s="14">
        <f>-TABULATI!O167/10^6</f>
        <v>-212.10144229895135</v>
      </c>
    </row>
    <row r="169" spans="2:6" ht="18.75" x14ac:dyDescent="0.25">
      <c r="B169" s="12">
        <f>-1*TABULATI!Q168</f>
        <v>-0.25441162388042876</v>
      </c>
      <c r="C169" s="35">
        <f>TABULATI!R168/DATI!$C$13</f>
        <v>-1.0072514895373532</v>
      </c>
      <c r="D169" s="14">
        <f>-TABULATI!N168/10^3</f>
        <v>578.13658143254554</v>
      </c>
      <c r="E169" s="14">
        <f>TABULATI!O168/10^6</f>
        <v>212.55006047344713</v>
      </c>
      <c r="F169" s="14">
        <f>-TABULATI!O168/10^6</f>
        <v>-212.55006047344713</v>
      </c>
    </row>
    <row r="170" spans="2:6" ht="18.75" x14ac:dyDescent="0.25">
      <c r="B170" s="12">
        <f>-1*TABULATI!Q169</f>
        <v>-0.25495224574040165</v>
      </c>
      <c r="C170" s="35">
        <f>TABULATI!R169/DATI!$C$13</f>
        <v>-1.0006902335012406</v>
      </c>
      <c r="D170" s="14">
        <f>-TABULATI!N169/10^3</f>
        <v>583.16385605369805</v>
      </c>
      <c r="E170" s="14">
        <f>TABULATI!O169/10^6</f>
        <v>213.00172697860853</v>
      </c>
      <c r="F170" s="14">
        <f>-TABULATI!O169/10^6</f>
        <v>-213.00172697860853</v>
      </c>
    </row>
    <row r="171" spans="2:6" ht="18.75" x14ac:dyDescent="0.25">
      <c r="B171" s="12">
        <f>-1*TABULATI!Q170</f>
        <v>-0.25549646126621178</v>
      </c>
      <c r="C171" s="35">
        <f>TABULATI!R170/DATI!$C$13</f>
        <v>-0.99410605657076101</v>
      </c>
      <c r="D171" s="14">
        <f>-TABULATI!N170/10^3</f>
        <v>588.27932847522175</v>
      </c>
      <c r="E171" s="14">
        <f>TABULATI!O170/10^6</f>
        <v>213.45639583829828</v>
      </c>
      <c r="F171" s="14">
        <f>-TABULATI!O170/10^6</f>
        <v>-213.45639583829828</v>
      </c>
    </row>
    <row r="172" spans="2:6" ht="18.75" x14ac:dyDescent="0.25">
      <c r="B172" s="12">
        <f>-1*TABULATI!Q171</f>
        <v>-0.25604420808455469</v>
      </c>
      <c r="C172" s="35">
        <f>TABULATI!R171/DATI!$C$13</f>
        <v>-0.9874983502265946</v>
      </c>
      <c r="D172" s="14">
        <f>-TABULATI!N171/10^3</f>
        <v>593.48534023163973</v>
      </c>
      <c r="E172" s="14">
        <f>TABULATI!O171/10^6</f>
        <v>213.91401494228089</v>
      </c>
      <c r="F172" s="14">
        <f>-TABULATI!O171/10^6</f>
        <v>-213.91401494228089</v>
      </c>
    </row>
    <row r="173" spans="2:6" ht="18.75" x14ac:dyDescent="0.25">
      <c r="B173" s="12">
        <f>-1*TABULATI!Q172</f>
        <v>-0.25659541590918228</v>
      </c>
      <c r="C173" s="35">
        <f>TABULATI!R172/DATI!$C$13</f>
        <v>-0.98086648421658962</v>
      </c>
      <c r="D173" s="14">
        <f>-TABULATI!N172/10^3</f>
        <v>598.78431648370781</v>
      </c>
      <c r="E173" s="14">
        <f>TABULATI!O172/10^6</f>
        <v>214.374525569394</v>
      </c>
      <c r="F173" s="14">
        <f>-TABULATI!O172/10^6</f>
        <v>-214.374525569394</v>
      </c>
    </row>
    <row r="174" spans="2:6" ht="18.75" x14ac:dyDescent="0.25">
      <c r="B174" s="12">
        <f>-1*TABULATI!Q173</f>
        <v>-0.25715000592606124</v>
      </c>
      <c r="C174" s="35">
        <f>TABULATI!R173/DATI!$C$13</f>
        <v>-0.9742098055768037</v>
      </c>
      <c r="D174" s="14">
        <f>-TABULATI!N173/10^3</f>
        <v>604.17876978536299</v>
      </c>
      <c r="E174" s="14">
        <f>TABULATI!O173/10^6</f>
        <v>214.83786187387432</v>
      </c>
      <c r="F174" s="14">
        <f>-TABULATI!O173/10^6</f>
        <v>-214.83786187387432</v>
      </c>
    </row>
    <row r="175" spans="2:6" ht="18.75" x14ac:dyDescent="0.25">
      <c r="B175" s="12">
        <f>-1*TABULATI!Q174</f>
        <v>-0.25770789013077133</v>
      </c>
      <c r="C175" s="35">
        <f>TABULATI!R174/DATI!$C$13</f>
        <v>-0.96752763759915317</v>
      </c>
      <c r="D175" s="14">
        <f>-TABULATI!N174/10^3</f>
        <v>609.67130405613898</v>
      </c>
      <c r="E175" s="14">
        <f>TABULATI!O174/10^6</f>
        <v>215.30395033178235</v>
      </c>
      <c r="F175" s="14">
        <f>-TABULATI!O174/10^6</f>
        <v>-215.30395033178235</v>
      </c>
    </row>
    <row r="176" spans="2:6" ht="18.75" x14ac:dyDescent="0.25">
      <c r="B176" s="12">
        <f>-1*TABULATI!Q175</f>
        <v>-0.25826897061415527</v>
      </c>
      <c r="C176" s="35">
        <f>TABULATI!R175/DATI!$C$13</f>
        <v>-0.96081927874222761</v>
      </c>
      <c r="D176" s="14">
        <f>-TABULATI!N175/10^3</f>
        <v>615.2646187722504</v>
      </c>
      <c r="E176" s="14">
        <f>TABULATI!O175/10^6</f>
        <v>215.7727091441933</v>
      </c>
      <c r="F176" s="14">
        <f>-TABULATI!O175/10^6</f>
        <v>-215.7727091441933</v>
      </c>
    </row>
    <row r="177" spans="2:6" ht="18.75" x14ac:dyDescent="0.25">
      <c r="B177" s="12">
        <f>-1*TABULATI!Q176</f>
        <v>-0.25883313879186715</v>
      </c>
      <c r="C177" s="35">
        <f>TABULATI!R176/DATI!$C$13</f>
        <v>-0.95408400148160333</v>
      </c>
      <c r="D177" s="14">
        <f>-TABULATI!N176/10^3</f>
        <v>620.96151339051187</v>
      </c>
      <c r="E177" s="14">
        <f>TABULATI!O176/10^6</f>
        <v>216.24404759351748</v>
      </c>
      <c r="F177" s="14">
        <f>-TABULATI!O176/10^6</f>
        <v>-216.24404759351748</v>
      </c>
    </row>
    <row r="178" spans="2:6" ht="18.75" x14ac:dyDescent="0.25">
      <c r="B178" s="12">
        <f>-1*TABULATI!Q177</f>
        <v>-0.25940027457306425</v>
      </c>
      <c r="C178" s="11">
        <f>TABULATI!R177/DATI!$C$13</f>
        <v>-0.94732105109568121</v>
      </c>
      <c r="D178" s="14">
        <f>-TABULATI!N177/10^3</f>
        <v>626.76489202032985</v>
      </c>
      <c r="E178" s="14">
        <f>TABULATI!O177/10^6</f>
        <v>216.71786534897805</v>
      </c>
      <c r="F178" s="14">
        <f>-TABULATI!O177/10^6</f>
        <v>-216.71786534897805</v>
      </c>
    </row>
    <row r="179" spans="2:6" ht="18.75" x14ac:dyDescent="0.25">
      <c r="B179" s="12">
        <f>-1*TABULATI!Q178</f>
        <v>-0.25997024546304737</v>
      </c>
      <c r="C179" s="11">
        <f>TABULATI!R178/DATI!$C$13</f>
        <v>-0.94052964438280173</v>
      </c>
      <c r="D179" s="14">
        <f>-TABULATI!N178/10^3</f>
        <v>632.67776836014434</v>
      </c>
      <c r="E179" s="14">
        <f>TABULATI!O178/10^6</f>
        <v>217.19405171690497</v>
      </c>
      <c r="F179" s="14">
        <f>-TABULATI!O178/10^6</f>
        <v>-217.19405171690497</v>
      </c>
    </row>
    <row r="180" spans="2:6" ht="18.75" x14ac:dyDescent="0.25">
      <c r="B180" s="12">
        <f>-1*TABULATI!Q179</f>
        <v>-0.26054290559416798</v>
      </c>
      <c r="C180" s="11">
        <f>TABULATI!R179/DATI!$C$13</f>
        <v>-0.93370896830505234</v>
      </c>
      <c r="D180" s="14">
        <f>-TABULATI!N179/10^3</f>
        <v>638.70327091595516</v>
      </c>
      <c r="E180" s="14">
        <f>TABULATI!O179/10^6</f>
        <v>217.67248483109958</v>
      </c>
      <c r="F180" s="14">
        <f>-TABULATI!O179/10^6</f>
        <v>-217.67248483109958</v>
      </c>
    </row>
    <row r="181" spans="2:6" ht="18.75" x14ac:dyDescent="0.25">
      <c r="B181" s="12">
        <f>-1*TABULATI!Q180</f>
        <v>-0.26111809467878305</v>
      </c>
      <c r="C181" s="11">
        <f>TABULATI!R180/DATI!$C$13</f>
        <v>-0.92685817855383046</v>
      </c>
      <c r="D181" s="14">
        <f>-TABULATI!N180/10^3</f>
        <v>644.84464852091628</v>
      </c>
      <c r="E181" s="14">
        <f>TABULATI!O180/10^6</f>
        <v>218.15303077807272</v>
      </c>
      <c r="F181" s="14">
        <f>-TABULATI!O180/10^6</f>
        <v>-218.15303077807272</v>
      </c>
    </row>
    <row r="182" spans="2:6" ht="18.75" x14ac:dyDescent="0.25">
      <c r="B182" s="12">
        <f>-1*TABULATI!Q181</f>
        <v>-0.26169563687744807</v>
      </c>
      <c r="C182" s="11">
        <f>TABULATI!R181/DATI!$C$13</f>
        <v>-0.91997639803185061</v>
      </c>
      <c r="D182" s="14">
        <f>-TABULATI!N181/10^3</f>
        <v>651.10527617645914</v>
      </c>
      <c r="E182" s="14">
        <f>TABULATI!O181/10^6</f>
        <v>218.63554265146854</v>
      </c>
      <c r="F182" s="14">
        <f>-TABULATI!O181/10^6</f>
        <v>-218.63554265146854</v>
      </c>
    </row>
    <row r="183" spans="2:6" ht="18.75" x14ac:dyDescent="0.25">
      <c r="B183" s="12">
        <f>-1*TABULATI!Q182</f>
        <v>-0.26227533957488369</v>
      </c>
      <c r="C183" s="11">
        <f>TABULATI!R182/DATI!$C$13</f>
        <v>-0.91306271524585514</v>
      </c>
      <c r="D183" s="14">
        <f>-TABULATI!N182/10^3</f>
        <v>657.48866123701282</v>
      </c>
      <c r="E183" s="14">
        <f>TABULATI!O182/10^6</f>
        <v>219.11985952943664</v>
      </c>
      <c r="F183" s="14">
        <f>-TABULATI!O182/10^6</f>
        <v>-219.11985952943664</v>
      </c>
    </row>
    <row r="184" spans="2:6" ht="18.75" x14ac:dyDescent="0.25">
      <c r="B184" s="12">
        <f>-1*TABULATI!Q183</f>
        <v>-0.26285699205552859</v>
      </c>
      <c r="C184" s="11">
        <f>TABULATI!R183/DATI!$C$13</f>
        <v>-0.90611618260384397</v>
      </c>
      <c r="D184" s="14">
        <f>-TABULATI!N183/10^3</f>
        <v>663.99844996213164</v>
      </c>
      <c r="E184" s="14">
        <f>TABULATI!O183/10^6</f>
        <v>219.60580536811304</v>
      </c>
      <c r="F184" s="14">
        <f>-TABULATI!O183/10^6</f>
        <v>-219.60580536811304</v>
      </c>
    </row>
    <row r="185" spans="2:6" ht="18.75" x14ac:dyDescent="0.25">
      <c r="B185" s="12">
        <f>-1*TABULATI!Q184</f>
        <v>-0.26344036406969179</v>
      </c>
      <c r="C185" s="11">
        <f>TABULATI!R184/DATI!$C$13</f>
        <v>-0.89913581461013647</v>
      </c>
      <c r="D185" s="14">
        <f>-TABULATI!N184/10^3</f>
        <v>670.63843446175292</v>
      </c>
      <c r="E185" s="14">
        <f>TABULATI!O184/10^6</f>
        <v>220.09318780370171</v>
      </c>
      <c r="F185" s="14">
        <f>-TABULATI!O184/10^6</f>
        <v>-220.09318780370171</v>
      </c>
    </row>
    <row r="186" spans="2:6" ht="18.75" x14ac:dyDescent="0.25">
      <c r="B186" s="12">
        <f>-1*TABULATI!Q185</f>
        <v>-0.26402520428043086</v>
      </c>
      <c r="C186" s="11">
        <f>TABULATI!R185/DATI!$C$13</f>
        <v>-0.89212058595104449</v>
      </c>
      <c r="D186" s="14">
        <f>-TABULATI!N185/10^3</f>
        <v>677.41256006237677</v>
      </c>
      <c r="E186" s="14">
        <f>TABULATI!O185/10^6</f>
        <v>220.58179685490731</v>
      </c>
      <c r="F186" s="14">
        <f>-TABULATI!O185/10^6</f>
        <v>-220.58179685490731</v>
      </c>
    </row>
    <row r="187" spans="2:6" ht="18.75" x14ac:dyDescent="0.25">
      <c r="B187" s="12">
        <f>-1*TABULATI!Q186</f>
        <v>-0.26461123858030006</v>
      </c>
      <c r="C187" s="11">
        <f>TABULATI!R186/DATI!$C$13</f>
        <v>-0.88506942946334222</v>
      </c>
      <c r="D187" s="14">
        <f>-TABULATI!N186/10^3</f>
        <v>684.32493312423776</v>
      </c>
      <c r="E187" s="14">
        <f>TABULATI!O186/10^6</f>
        <v>221.07140351665029</v>
      </c>
      <c r="F187" s="14">
        <f>-TABULATI!O186/10^6</f>
        <v>-221.07140351665029</v>
      </c>
    </row>
    <row r="188" spans="2:6" ht="18.75" x14ac:dyDescent="0.25">
      <c r="B188" s="12">
        <f>-1*TABULATI!Q187</f>
        <v>-0.26519816826602344</v>
      </c>
      <c r="C188" s="11">
        <f>TABULATI!R187/DATI!$C$13</f>
        <v>-0.87798123397707284</v>
      </c>
      <c r="D188" s="14">
        <f>-TABULATI!N187/10^3</f>
        <v>691.37982934201341</v>
      </c>
      <c r="E188" s="14">
        <f>TABULATI!O187/10^6</f>
        <v>221.56175823508406</v>
      </c>
      <c r="F188" s="14">
        <f>-TABULATI!O187/10^6</f>
        <v>-221.56175823508406</v>
      </c>
    </row>
    <row r="189" spans="2:6" ht="18.75" x14ac:dyDescent="0.25">
      <c r="B189" s="12">
        <f>-1*TABULATI!Q188</f>
        <v>-0.26578566805793635</v>
      </c>
      <c r="C189" s="11">
        <f>TABULATI!R188/DATI!$C$13</f>
        <v>-0.87085484202353136</v>
      </c>
      <c r="D189" s="14">
        <f>-TABULATI!N188/10^3</f>
        <v>698.58170256432595</v>
      </c>
      <c r="E189" s="14">
        <f>TABULATI!O188/10^6</f>
        <v>222.05258925292279</v>
      </c>
      <c r="F189" s="14">
        <f>-TABULATI!O188/10^6</f>
        <v>-222.05258925292279</v>
      </c>
    </row>
    <row r="190" spans="2:6" ht="18.75" x14ac:dyDescent="0.25">
      <c r="B190" s="12">
        <f>-1*TABULATI!Q189</f>
        <v>-0.26637338394969323</v>
      </c>
      <c r="C190" s="11">
        <f>TABULATI!R189/DATI!$C$13</f>
        <v>-0.86368904739848729</v>
      </c>
      <c r="D190" s="14">
        <f>-TABULATI!N189/10^3</f>
        <v>705.9351941702663</v>
      </c>
      <c r="E190" s="14">
        <f>TABULATI!O189/10^6</f>
        <v>222.54360081296394</v>
      </c>
      <c r="F190" s="14">
        <f>-TABULATI!O189/10^6</f>
        <v>-222.54360081296394</v>
      </c>
    </row>
    <row r="191" spans="2:6" ht="18.75" x14ac:dyDescent="0.25">
      <c r="B191" s="12">
        <f>-1*TABULATI!Q190</f>
        <v>-0.26696093087224271</v>
      </c>
      <c r="C191" s="11">
        <f>TABULATI!R190/DATI!$C$13</f>
        <v>-0.85648259256987169</v>
      </c>
      <c r="D191" s="14">
        <f>-TABULATI!N190/10^3</f>
        <v>713.44514304441827</v>
      </c>
      <c r="E191" s="14">
        <f>TABULATI!O190/10^6</f>
        <v>223.03447120643924</v>
      </c>
      <c r="F191" s="14">
        <f>-TABULATI!O190/10^6</f>
        <v>-223.03447120643924</v>
      </c>
    </row>
    <row r="192" spans="2:6" ht="18.75" x14ac:dyDescent="0.25">
      <c r="B192" s="12">
        <f>-1*TABULATI!Q191</f>
        <v>-0.26754789015439989</v>
      </c>
      <c r="C192" s="11">
        <f>TABULATI!R191/DATI!$C$13</f>
        <v>-0.8492341659182151</v>
      </c>
      <c r="D192" s="14">
        <f>-TABULATI!N191/10^3</f>
        <v>721.11659619543343</v>
      </c>
      <c r="E192" s="14">
        <f>TABULATI!O191/10^6</f>
        <v>223.52485065143108</v>
      </c>
      <c r="F192" s="14">
        <f>-TABULATI!O191/10^6</f>
        <v>-223.52485065143108</v>
      </c>
    </row>
    <row r="193" spans="2:6" ht="18.75" x14ac:dyDescent="0.25">
      <c r="B193" s="12">
        <f>-1*TABULATI!Q192</f>
        <v>-0.26813380676048992</v>
      </c>
      <c r="C193" s="11">
        <f>TABULATI!R192/DATI!$C$13</f>
        <v>-0.8419423987971133</v>
      </c>
      <c r="D193" s="14">
        <f>-TABULATI!N192/10^3</f>
        <v>728.95482006712291</v>
      </c>
      <c r="E193" s="14">
        <f>TABULATI!O192/10^6</f>
        <v>224.01435898504153</v>
      </c>
      <c r="F193" s="14">
        <f>-TABULATI!O192/10^6</f>
        <v>-224.01435898504153</v>
      </c>
    </row>
    <row r="194" spans="2:6" ht="18.75" x14ac:dyDescent="0.25">
      <c r="B194" s="12">
        <f>-1*TABULATI!Q193</f>
        <v>-0.26871818628345401</v>
      </c>
      <c r="C194" s="11">
        <f>TABULATI!R193/DATI!$C$13</f>
        <v>-0.83460586239988177</v>
      </c>
      <c r="D194" s="14">
        <f>-TABULATI!N193/10^3</f>
        <v>736.96531259533288</v>
      </c>
      <c r="E194" s="14">
        <f>TABULATI!O193/10^6</f>
        <v>224.50258315126058</v>
      </c>
      <c r="F194" s="14">
        <f>-TABULATI!O193/10^6</f>
        <v>-224.50258315126058</v>
      </c>
    </row>
    <row r="195" spans="2:6" ht="18.75" x14ac:dyDescent="0.25">
      <c r="B195" s="12">
        <f>-1*TABULATI!Q194</f>
        <v>-0.26930049166949299</v>
      </c>
      <c r="C195" s="11">
        <f>TABULATI!R194/DATI!$C$13</f>
        <v>-0.82722306441731563</v>
      </c>
      <c r="D195" s="14">
        <f>-TABULATI!N194/10^3</f>
        <v>745.15381606861467</v>
      </c>
      <c r="E195" s="14">
        <f>TABULATI!O194/10^6</f>
        <v>224.98907446454572</v>
      </c>
      <c r="F195" s="14">
        <f>-TABULATI!O194/10^6</f>
        <v>-224.98907446454572</v>
      </c>
    </row>
    <row r="196" spans="2:6" ht="18.75" x14ac:dyDescent="0.25">
      <c r="B196" s="12">
        <f>-1*TABULATI!Q195</f>
        <v>-0.26988013964772339</v>
      </c>
      <c r="C196" s="11">
        <f>TABULATI!R195/DATI!$C$13</f>
        <v>-0.81979244547013463</v>
      </c>
      <c r="D196" s="14">
        <f>-TABULATI!N195/10^3</f>
        <v>753.52633085590242</v>
      </c>
      <c r="E196" s="14">
        <f>TABULATI!O195/10^6</f>
        <v>225.47334562695178</v>
      </c>
      <c r="F196" s="14">
        <f>-TABULATI!O195/10^6</f>
        <v>-225.47334562695178</v>
      </c>
    </row>
    <row r="197" spans="2:6" ht="18.75" x14ac:dyDescent="0.25">
      <c r="B197" s="12">
        <f>-1*TABULATI!Q196</f>
        <v>-0.27045649683541512</v>
      </c>
      <c r="C197" s="11">
        <f>TABULATI!R196/DATI!$C$13</f>
        <v>-0.8123123752981809</v>
      </c>
      <c r="D197" s="14">
        <f>-TABULATI!N196/10^3</f>
        <v>762.08913007017395</v>
      </c>
      <c r="E197" s="14">
        <f>TABULATI!O196/10^6</f>
        <v>225.95486747422302</v>
      </c>
      <c r="F197" s="14">
        <f>-TABULATI!O196/10^6</f>
        <v>-225.95486747422302</v>
      </c>
    </row>
    <row r="198" spans="2:6" ht="18.75" x14ac:dyDescent="0.25">
      <c r="B198" s="12">
        <f>-1*TABULATI!Q197</f>
        <v>-0.27102887548611526</v>
      </c>
      <c r="C198" s="11">
        <f>TABULATI!R197/DATI!$C$13</f>
        <v>-0.80478114868680761</v>
      </c>
      <c r="D198" s="14">
        <f>-TABULATI!N197/10^3</f>
        <v>770.84877524339447</v>
      </c>
      <c r="E198" s="14">
        <f>TABULATI!O197/10^6</f>
        <v>226.43306542353216</v>
      </c>
      <c r="F198" s="14">
        <f>-TABULATI!O197/10^6</f>
        <v>-226.43306542353216</v>
      </c>
    </row>
    <row r="199" spans="2:6" ht="18.75" x14ac:dyDescent="0.25">
      <c r="B199" s="12">
        <f>-1*TABULATI!Q198</f>
        <v>-0.27159652884430396</v>
      </c>
      <c r="C199" s="11">
        <f>TABULATI!R198/DATI!$C$13</f>
        <v>-0.79719698110905757</v>
      </c>
      <c r="D199" s="14">
        <f>-TABULATI!N198/10^3</f>
        <v>779.81213309506199</v>
      </c>
      <c r="E199" s="14">
        <f>TABULATI!O198/10^6</f>
        <v>226.90731559249326</v>
      </c>
      <c r="F199" s="14">
        <f>-TABULATI!O198/10^6</f>
        <v>-226.90731559249326</v>
      </c>
    </row>
    <row r="200" spans="2:6" ht="18.75" x14ac:dyDescent="0.25">
      <c r="B200" s="12">
        <f>-1*TABULATI!Q199</f>
        <v>-0.27215864606611095</v>
      </c>
      <c r="C200" s="11">
        <f>TABULATI!R199/DATI!$C$13</f>
        <v>-0.78955800406023569</v>
      </c>
      <c r="D200" s="14">
        <f>-TABULATI!N199/10^3</f>
        <v>788.98639348441566</v>
      </c>
      <c r="E200" s="14">
        <f>TABULATI!O199/10^6</f>
        <v>227.37694055563722</v>
      </c>
      <c r="F200" s="14">
        <f>-TABULATI!O199/10^6</f>
        <v>-227.37694055563722</v>
      </c>
    </row>
    <row r="201" spans="2:6" ht="18.75" x14ac:dyDescent="0.25">
      <c r="B201" s="12">
        <f>-1*TABULATI!Q200</f>
        <v>-0.27271434666098993</v>
      </c>
      <c r="C201" s="11">
        <f>TABULATI!R200/DATI!$C$13</f>
        <v>-0.78186226005923221</v>
      </c>
      <c r="D201" s="14">
        <f>-TABULATI!N200/10^3</f>
        <v>798.3790886449442</v>
      </c>
      <c r="E201" s="14">
        <f>TABULATI!O200/10^6</f>
        <v>227.84120470066767</v>
      </c>
      <c r="F201" s="14">
        <f>-TABULATI!O200/10^6</f>
        <v>-227.84120470066767</v>
      </c>
    </row>
    <row r="202" spans="2:6" ht="18.75" x14ac:dyDescent="0.25">
      <c r="B202" s="12">
        <f>-1*TABULATI!Q201</f>
        <v>-0.27326267440402846</v>
      </c>
      <c r="C202" s="11">
        <f>TABULATI!R201/DATI!$C$13</f>
        <v>-0.77410769728849815</v>
      </c>
      <c r="D202" s="14">
        <f>-TABULATI!N201/10^3</f>
        <v>807.99811380934125</v>
      </c>
      <c r="E202" s="14">
        <f>TABULATI!O201/10^6</f>
        <v>228.29930914245563</v>
      </c>
      <c r="F202" s="14">
        <f>-TABULATI!O201/10^6</f>
        <v>-228.29930914245563</v>
      </c>
    </row>
    <row r="203" spans="2:6" ht="18.75" x14ac:dyDescent="0.25">
      <c r="B203" s="12">
        <f>-1*TABULATI!Q202</f>
        <v>-0.27380259066268198</v>
      </c>
      <c r="C203" s="11">
        <f>TABULATI!R202/DATI!$C$13</f>
        <v>-0.76629216384182397</v>
      </c>
      <c r="D203" s="14">
        <f>-TABULATI!N202/10^3</f>
        <v>817.85174934360168</v>
      </c>
      <c r="E203" s="14">
        <f>TABULATI!O202/10^6</f>
        <v>228.75038614781027</v>
      </c>
      <c r="F203" s="14">
        <f>-TABULATI!O202/10^6</f>
        <v>-228.75038614781027</v>
      </c>
    </row>
    <row r="204" spans="2:6" ht="18.75" x14ac:dyDescent="0.25">
      <c r="B204" s="12">
        <f>-1*TABULATI!Q203</f>
        <v>-0.2743329670750661</v>
      </c>
      <c r="C204" s="11">
        <f>TABULATI!R203/DATI!$C$13</f>
        <v>-0.75841340154602688</v>
      </c>
      <c r="D204" s="14">
        <f>-TABULATI!N203/10^3</f>
        <v>827.94868452068317</v>
      </c>
      <c r="E204" s="14">
        <f>TABULATI!O203/10^6</f>
        <v>229.19349301850468</v>
      </c>
      <c r="F204" s="14">
        <f>-TABULATI!O203/10^6</f>
        <v>-229.19349301850468</v>
      </c>
    </row>
    <row r="205" spans="2:6" ht="18.75" x14ac:dyDescent="0.25">
      <c r="B205" s="12">
        <f>-1*TABULATI!Q204</f>
        <v>-0.27485257750941527</v>
      </c>
      <c r="C205" s="11">
        <f>TABULATI!R204/DATI!$C$13</f>
        <v>-0.75046903931926445</v>
      </c>
      <c r="D205" s="14">
        <f>-TABULATI!N204/10^3</f>
        <v>838.29804307719166</v>
      </c>
      <c r="E205" s="14">
        <f>TABULATI!O204/10^6</f>
        <v>229.62760537374618</v>
      </c>
      <c r="F205" s="14">
        <f>-TABULATI!O204/10^6</f>
        <v>-229.62760537374618</v>
      </c>
    </row>
    <row r="206" spans="2:6" ht="18.75" x14ac:dyDescent="0.25">
      <c r="B206" s="12">
        <f>-1*TABULATI!Q205</f>
        <v>-0.27536008922578442</v>
      </c>
      <c r="C206" s="11">
        <f>TABULATI!R205/DATI!$C$13</f>
        <v>-0.74245658602491804</v>
      </c>
      <c r="D206" s="14">
        <f>-TABULATI!N205/10^3</f>
        <v>848.90941071108023</v>
      </c>
      <c r="E206" s="14">
        <f>TABULATI!O205/10^6</f>
        <v>230.05160976615534</v>
      </c>
      <c r="F206" s="14">
        <f>-TABULATI!O205/10^6</f>
        <v>-230.05160976615534</v>
      </c>
    </row>
    <row r="207" spans="2:6" ht="18.75" x14ac:dyDescent="0.25">
      <c r="B207" s="12">
        <f>-1*TABULATI!Q206</f>
        <v>-0.27585405315139666</v>
      </c>
      <c r="C207" s="11">
        <f>TABULATI!R206/DATI!$C$13</f>
        <v>-0.73437342277577256</v>
      </c>
      <c r="D207" s="14">
        <f>-TABULATI!N206/10^3</f>
        <v>859.79286469455565</v>
      </c>
      <c r="E207" s="14">
        <f>TABULATI!O206/10^6</f>
        <v>230.46429555723356</v>
      </c>
      <c r="F207" s="14">
        <f>-TABULATI!O206/10^6</f>
        <v>-230.46429555723356</v>
      </c>
    </row>
    <row r="208" spans="2:6" ht="18.75" x14ac:dyDescent="0.25">
      <c r="B208" s="12">
        <f>-1*TABULATI!Q207</f>
        <v>-0.27633289317004356</v>
      </c>
      <c r="C208" s="11">
        <f>TABULATI!R207/DATI!$C$13</f>
        <v>-0.72621679463852495</v>
      </c>
      <c r="D208" s="14">
        <f>-TABULATI!N207/10^3</f>
        <v>870.95900579448448</v>
      </c>
      <c r="E208" s="14">
        <f>TABULATI!O207/10^6</f>
        <v>230.86434596911383</v>
      </c>
      <c r="F208" s="14">
        <f>-TABULATI!O207/10^6</f>
        <v>-230.86434596911383</v>
      </c>
    </row>
    <row r="209" spans="2:6" ht="18.75" x14ac:dyDescent="0.25">
      <c r="B209" s="12">
        <f>-1*TABULATI!Q208</f>
        <v>-0.27679489431343363</v>
      </c>
      <c r="C209" s="11">
        <f>TABULATI!R208/DATI!$C$13</f>
        <v>-0.71798380168338027</v>
      </c>
      <c r="D209" s="14">
        <f>-TABULATI!N208/10^3</f>
        <v>882.4189927128333</v>
      </c>
      <c r="E209" s="14">
        <f>TABULATI!O208/10^6</f>
        <v>231.25032821893635</v>
      </c>
      <c r="F209" s="14">
        <f>-TABULATI!O208/10^6</f>
        <v>-231.25032821893635</v>
      </c>
    </row>
    <row r="210" spans="2:6" ht="18.75" x14ac:dyDescent="0.25">
      <c r="B210" s="12">
        <f>-1*TABULATI!Q209</f>
        <v>-0.27723818972812642</v>
      </c>
      <c r="C210" s="11">
        <f>TABULATI!R209/DATI!$C$13</f>
        <v>-0.70967138931762375</v>
      </c>
      <c r="D210" s="14">
        <f>-TABULATI!N209/10^3</f>
        <v>894.18457928233772</v>
      </c>
      <c r="E210" s="14">
        <f>TABULATI!O209/10^6</f>
        <v>231.6206826302774</v>
      </c>
      <c r="F210" s="14">
        <f>-TABULATI!O209/10^6</f>
        <v>-231.6206826302774</v>
      </c>
    </row>
    <row r="211" spans="2:6" ht="18.75" x14ac:dyDescent="0.25">
      <c r="B211" s="12">
        <f>-1*TABULATI!Q210</f>
        <v>-0.27766074627540971</v>
      </c>
      <c r="C211" s="11">
        <f>TABULATI!R210/DATI!$C$13</f>
        <v>-0.70127633783541965</v>
      </c>
      <c r="D211" s="14">
        <f>-TABULATI!N210/10^3</f>
        <v>906.26815467804477</v>
      </c>
      <c r="E211" s="14">
        <f>TABULATI!O210/10^6</f>
        <v>231.97371060246124</v>
      </c>
      <c r="F211" s="14">
        <f>-TABULATI!O210/10^6</f>
        <v>-231.97371060246124</v>
      </c>
    </row>
    <row r="212" spans="2:6" ht="18.75" x14ac:dyDescent="0.25">
      <c r="B212" s="12">
        <f>-1*TABULATI!Q211</f>
        <v>-0.27806034860286916</v>
      </c>
      <c r="C212" s="11">
        <f>TABULATI!R211/DATI!$C$13</f>
        <v>-0.69279525110869467</v>
      </c>
      <c r="D212" s="14">
        <f>-TABULATI!N211/10^3</f>
        <v>918.68278693390812</v>
      </c>
      <c r="E212" s="14">
        <f>TABULATI!O211/10^6</f>
        <v>232.30756130303598</v>
      </c>
      <c r="F212" s="14">
        <f>-TABULATI!O211/10^6</f>
        <v>-232.30756130303598</v>
      </c>
    </row>
    <row r="213" spans="2:6" ht="18.75" x14ac:dyDescent="0.25">
      <c r="B213" s="12">
        <f>-1*TABULATI!Q212</f>
        <v>-0.27843458150508293</v>
      </c>
      <c r="C213" s="11">
        <f>TABULATI!R212/DATI!$C$13</f>
        <v>-0.68422454433559332</v>
      </c>
      <c r="D213" s="14">
        <f>-TABULATI!N212/10^3</f>
        <v>931.4422700857682</v>
      </c>
      <c r="E213" s="14">
        <f>TABULATI!O212/10^6</f>
        <v>232.62021693088607</v>
      </c>
      <c r="F213" s="14">
        <f>-TABULATI!O212/10^6</f>
        <v>-232.62021693088607</v>
      </c>
    </row>
    <row r="214" spans="2:6" ht="18.75" x14ac:dyDescent="0.25">
      <c r="B214" s="12">
        <f>-1*TABULATI!Q213</f>
        <v>-0.27878081036642016</v>
      </c>
      <c r="C214" s="11">
        <f>TABULATI!R213/DATI!$C$13</f>
        <v>-0.67556043075359318</v>
      </c>
      <c r="D214" s="14">
        <f>-TABULATI!N213/10^3</f>
        <v>944.56117529824382</v>
      </c>
      <c r="E214" s="14">
        <f>TABULATI!O213/10^6</f>
        <v>232.90947637702467</v>
      </c>
      <c r="F214" s="14">
        <f>-TABULATI!O213/10^6</f>
        <v>-232.90947637702467</v>
      </c>
    </row>
    <row r="215" spans="2:6" ht="18.75" x14ac:dyDescent="0.25">
      <c r="B215" s="12">
        <f>-1*TABULATI!Q214</f>
        <v>-0.27909615945081878</v>
      </c>
      <c r="C215" s="11">
        <f>TABULATI!R214/DATI!$C$13</f>
        <v>-0.66679890721374158</v>
      </c>
      <c r="D215" s="14">
        <f>-TABULATI!N214/10^3</f>
        <v>958.05490637393279</v>
      </c>
      <c r="E215" s="14">
        <f>TABULATI!O214/10^6</f>
        <v>233.17293708662919</v>
      </c>
      <c r="F215" s="14">
        <f>-TABULATI!O214/10^6</f>
        <v>-233.17293708662919</v>
      </c>
    </row>
    <row r="216" spans="2:6" ht="18.75" x14ac:dyDescent="0.25">
      <c r="B216" s="12">
        <f>-1*TABULATI!Q215</f>
        <v>-0.27937748777105942</v>
      </c>
      <c r="C216" s="11">
        <f>TABULATI!R215/DATI!$C$13</f>
        <v>-0.65793573850047915</v>
      </c>
      <c r="D216" s="14">
        <f>-TABULATI!N215/10^3</f>
        <v>971.93976008949721</v>
      </c>
      <c r="E216" s="14">
        <f>TABULATI!O215/10^6</f>
        <v>233.40797489884861</v>
      </c>
      <c r="F216" s="14">
        <f>-TABULATI!O215/10^6</f>
        <v>-233.40797489884861</v>
      </c>
    </row>
    <row r="217" spans="2:6" ht="18.75" x14ac:dyDescent="0.25">
      <c r="B217" s="12">
        <f>-1*TABULATI!Q216</f>
        <v>-0.27962136223272699</v>
      </c>
      <c r="C217" s="11">
        <f>TABULATI!R216/DATI!$C$13</f>
        <v>-0.64896644026792061</v>
      </c>
      <c r="D217" s="14">
        <f>-TABULATI!N216/10^3</f>
        <v>986.23299185551923</v>
      </c>
      <c r="E217" s="14">
        <f>TABULATI!O216/10^6</f>
        <v>233.61172160972896</v>
      </c>
      <c r="F217" s="14">
        <f>-TABULATI!O216/10^6</f>
        <v>-233.61172160972896</v>
      </c>
    </row>
    <row r="218" spans="2:6" ht="18.75" x14ac:dyDescent="0.25">
      <c r="B218" s="12">
        <f>-1*TABULATI!Q217</f>
        <v>-0.2798240277049141</v>
      </c>
      <c r="C218" s="11">
        <f>TABULATI!R217/DATI!$C$13</f>
        <v>-0.63988626044803765</v>
      </c>
      <c r="D218" s="14">
        <f>-TABULATI!N217/10^3</f>
        <v>1000.9528872563479</v>
      </c>
      <c r="E218" s="14">
        <f>TABULATI!O217/10^6</f>
        <v>233.78103996756269</v>
      </c>
      <c r="F218" s="14">
        <f>-TABULATI!O217/10^6</f>
        <v>-233.78103996756269</v>
      </c>
    </row>
    <row r="219" spans="2:6" ht="18.75" x14ac:dyDescent="0.25">
      <c r="B219" s="12">
        <f>-1*TABULATI!Q218</f>
        <v>-0.27998137361976649</v>
      </c>
      <c r="C219" s="11">
        <f>TABULATI!R218/DATI!$C$13</f>
        <v>-0.6306901589686793</v>
      </c>
      <c r="D219" s="14">
        <f>-TABULATI!N218/10^3</f>
        <v>1016.118840093565</v>
      </c>
      <c r="E219" s="14">
        <f>TABULATI!O218/10^6</f>
        <v>233.91249576823338</v>
      </c>
      <c r="F219" s="14">
        <f>-TABULATI!O218/10^6</f>
        <v>-233.91249576823338</v>
      </c>
    </row>
    <row r="220" spans="2:6" ht="18.75" x14ac:dyDescent="0.25">
      <c r="B220" s="12">
        <f>-1*TABULATI!Q219</f>
        <v>-0.28008889664500841</v>
      </c>
      <c r="C220" s="11">
        <f>TABULATI!R219/DATI!$C$13</f>
        <v>-0.6213727855994079</v>
      </c>
      <c r="D220" s="14">
        <f>-TABULATI!N219/10^3</f>
        <v>1031.7514376334661</v>
      </c>
      <c r="E220" s="14">
        <f>TABULATI!O219/10^6</f>
        <v>234.00232666970271</v>
      </c>
      <c r="F220" s="14">
        <f>-TABULATI!O219/10^6</f>
        <v>-234.00232666970271</v>
      </c>
    </row>
    <row r="221" spans="2:6" ht="18.75" x14ac:dyDescent="0.25">
      <c r="B221" s="12">
        <f>-1*TABULATI!Q220</f>
        <v>-0.28014165890618453</v>
      </c>
      <c r="C221" s="11">
        <f>TABULATI!R220/DATI!$C$13</f>
        <v>-0.6119284557203839</v>
      </c>
      <c r="D221" s="14">
        <f>-TABULATI!N220/10^3</f>
        <v>1047.8725538464892</v>
      </c>
      <c r="E221" s="14">
        <f>TABULATI!O220/10^6</f>
        <v>234.04640728847576</v>
      </c>
      <c r="F221" s="14">
        <f>-TABULATI!O220/10^6</f>
        <v>-234.04640728847576</v>
      </c>
    </row>
    <row r="222" spans="2:6" ht="18.75" x14ac:dyDescent="0.25">
      <c r="B222" s="12">
        <f>-1*TABULATI!Q221</f>
        <v>-0.28013424115681962</v>
      </c>
      <c r="C222" s="11">
        <f>TABULATI!R221/DATI!$C$13</f>
        <v>-0.60235112378352396</v>
      </c>
      <c r="D222" s="14">
        <f>-TABULATI!N221/10^3</f>
        <v>1064.505451526592</v>
      </c>
      <c r="E222" s="14">
        <f>TABULATI!O221/10^6</f>
        <v>234.04021007526654</v>
      </c>
      <c r="F222" s="14">
        <f>-TABULATI!O221/10^6</f>
        <v>-234.04021007526654</v>
      </c>
    </row>
    <row r="223" spans="2:6" ht="18.75" x14ac:dyDescent="0.25">
      <c r="B223" s="12">
        <f>-1*TABULATI!Q222</f>
        <v>-0.28006069020296992</v>
      </c>
      <c r="C223" s="11">
        <f>TABULATI!R222/DATI!$C$13</f>
        <v>-0.59263435420538435</v>
      </c>
      <c r="D223" s="14">
        <f>-TABULATI!N222/10^3</f>
        <v>1081.6748942931499</v>
      </c>
      <c r="E223" s="14">
        <f>TABULATI!O222/10^6</f>
        <v>233.97876139045337</v>
      </c>
      <c r="F223" s="14">
        <f>-TABULATI!O222/10^6</f>
        <v>-233.97876139045337</v>
      </c>
    </row>
    <row r="224" spans="2:6" ht="18.75" x14ac:dyDescent="0.25">
      <c r="B224" s="12">
        <f>-1*TABULATI!Q223</f>
        <v>-0.27991445978127638</v>
      </c>
      <c r="C224" s="11">
        <f>TABULATI!R223/DATI!$C$13</f>
        <v>-0.58277128939704981</v>
      </c>
      <c r="D224" s="14">
        <f>-TABULATI!N223/10^3</f>
        <v>1099.4072696094308</v>
      </c>
      <c r="E224" s="14">
        <f>TABULATI!O223/10^6</f>
        <v>233.85659211021394</v>
      </c>
      <c r="F224" s="14">
        <f>-TABULATI!O223/10^6</f>
        <v>-233.85659211021394</v>
      </c>
    </row>
    <row r="225" spans="2:6" ht="18.75" x14ac:dyDescent="0.25">
      <c r="B225" s="12">
        <f>-1*TABULATI!Q224</f>
        <v>-0.27968834396365455</v>
      </c>
      <c r="C225" s="11">
        <f>TABULATI!R224/DATI!$C$13</f>
        <v>-0.57275461459701016</v>
      </c>
      <c r="D225" s="14">
        <f>-TABULATI!N224/10^3</f>
        <v>1117.7307241029214</v>
      </c>
      <c r="E225" s="14">
        <f>TABULATI!O224/10^6</f>
        <v>233.6676819889841</v>
      </c>
      <c r="F225" s="14">
        <f>-TABULATI!O224/10^6</f>
        <v>-233.6676819889841</v>
      </c>
    </row>
    <row r="226" spans="2:6" ht="18.75" x14ac:dyDescent="0.25">
      <c r="B226" s="12">
        <f>-1*TABULATI!Q225</f>
        <v>-0.27937440201358726</v>
      </c>
      <c r="C226" s="11">
        <f>TABULATI!R225/DATI!$C$13</f>
        <v>-0.56257651912772144</v>
      </c>
      <c r="D226" s="14">
        <f>-TABULATI!N225/10^3</f>
        <v>1136.6753126470387</v>
      </c>
      <c r="E226" s="14">
        <f>TABULATI!O225/10^6</f>
        <v>233.40539688009568</v>
      </c>
      <c r="F226" s="14">
        <f>-TABULATI!O225/10^6</f>
        <v>-233.40539688009568</v>
      </c>
    </row>
    <row r="227" spans="2:6" ht="18.75" x14ac:dyDescent="0.25">
      <c r="B227" s="12">
        <f>-1*TABULATI!Q226</f>
        <v>-0.27608225309695589</v>
      </c>
      <c r="C227" s="11">
        <f>TABULATI!R226/DATI!$C$13</f>
        <v>-0.54035946174118277</v>
      </c>
      <c r="D227" s="14">
        <f>-TABULATI!N226/10^3</f>
        <v>1169.464784191254</v>
      </c>
      <c r="E227" s="14">
        <f>TABULATI!O226/10^6</f>
        <v>230.65494687846189</v>
      </c>
      <c r="F227" s="14">
        <f>-TABULATI!O226/10^6</f>
        <v>-230.65494687846189</v>
      </c>
    </row>
    <row r="228" spans="2:6" ht="18.75" x14ac:dyDescent="0.25">
      <c r="B228" s="12">
        <f>-1*TABULATI!Q227</f>
        <v>-0.27144886097888504</v>
      </c>
      <c r="C228" s="11">
        <f>TABULATI!R227/DATI!$C$13</f>
        <v>-0.5140892073990545</v>
      </c>
      <c r="D228" s="14">
        <f>-TABULATI!N227/10^3</f>
        <v>1208.595451599698</v>
      </c>
      <c r="E228" s="14">
        <f>TABULATI!O227/10^6</f>
        <v>226.78394538933176</v>
      </c>
      <c r="F228" s="14">
        <f>-TABULATI!O227/10^6</f>
        <v>-226.78394538933176</v>
      </c>
    </row>
    <row r="229" spans="2:6" ht="18.75" x14ac:dyDescent="0.25">
      <c r="B229" s="12">
        <f>-1*TABULATI!Q228</f>
        <v>-0.26669850427652747</v>
      </c>
      <c r="C229" s="11">
        <f>TABULATI!R228/DATI!$C$13</f>
        <v>-0.48896822246345534</v>
      </c>
      <c r="D229" s="14">
        <f>-TABULATI!N228/10^3</f>
        <v>1248.4506009397617</v>
      </c>
      <c r="E229" s="14">
        <f>TABULATI!O228/10^6</f>
        <v>222.81522497885598</v>
      </c>
      <c r="F229" s="14">
        <f>-TABULATI!O228/10^6</f>
        <v>-222.81522497885598</v>
      </c>
    </row>
    <row r="230" spans="2:6" ht="18.75" x14ac:dyDescent="0.25">
      <c r="B230" s="12">
        <f>-1*TABULATI!Q229</f>
        <v>-0.26181933226035059</v>
      </c>
      <c r="C230" s="11">
        <f>TABULATI!R229/DATI!$C$13</f>
        <v>-0.46489696647678586</v>
      </c>
      <c r="D230" s="14">
        <f>-TABULATI!N229/10^3</f>
        <v>1289.0697494077153</v>
      </c>
      <c r="E230" s="14">
        <f>TABULATI!O229/10^6</f>
        <v>218.73888486797267</v>
      </c>
      <c r="F230" s="14">
        <f>-TABULATI!O229/10^6</f>
        <v>-218.73888486797267</v>
      </c>
    </row>
    <row r="231" spans="2:6" ht="18.75" x14ac:dyDescent="0.25">
      <c r="B231" s="12">
        <f>-1*TABULATI!Q230</f>
        <v>-0.25679820361678041</v>
      </c>
      <c r="C231" s="11">
        <f>TABULATI!R230/DATI!$C$13</f>
        <v>-0.44178405945756749</v>
      </c>
      <c r="D231" s="14">
        <f>-TABULATI!N230/10^3</f>
        <v>1330.4953413995529</v>
      </c>
      <c r="E231" s="14">
        <f>TABULATI!O230/10^6</f>
        <v>214.5439460497</v>
      </c>
      <c r="F231" s="14">
        <f>-TABULATI!O230/10^6</f>
        <v>-214.5439460497</v>
      </c>
    </row>
    <row r="232" spans="2:6" ht="18.75" x14ac:dyDescent="0.25">
      <c r="B232" s="12">
        <f>-1*TABULATI!Q231</f>
        <v>-0.25162052502140497</v>
      </c>
      <c r="C232" s="11">
        <f>TABULATI!R231/DATI!$C$13</f>
        <v>-0.41954518964380372</v>
      </c>
      <c r="D232" s="14">
        <f>-TABULATI!N231/10^3</f>
        <v>1372.7730246619092</v>
      </c>
      <c r="E232" s="14">
        <f>TABULATI!O231/10^6</f>
        <v>210.21821642393274</v>
      </c>
      <c r="F232" s="14">
        <f>-TABULATI!O231/10^6</f>
        <v>-210.21821642393274</v>
      </c>
    </row>
    <row r="233" spans="2:6" ht="18.75" x14ac:dyDescent="0.25">
      <c r="B233" s="12">
        <f>-1*TABULATI!Q232</f>
        <v>-0.2462700664202544</v>
      </c>
      <c r="C233" s="11">
        <f>TABULATI!R232/DATI!$C$13</f>
        <v>-0.39810215401465032</v>
      </c>
      <c r="D233" s="14">
        <f>-TABULATI!N232/10^3</f>
        <v>1415.9519583065444</v>
      </c>
      <c r="E233" s="14">
        <f>TABULATI!O232/10^6</f>
        <v>205.74813647283065</v>
      </c>
      <c r="F233" s="14">
        <f>-TABULATI!O232/10^6</f>
        <v>-205.74813647283065</v>
      </c>
    </row>
    <row r="234" spans="2:6" ht="18.75" x14ac:dyDescent="0.25">
      <c r="B234" s="12">
        <f>-1*TABULATI!Q233</f>
        <v>-0.24072874916927295</v>
      </c>
      <c r="C234" s="11">
        <f>TABULATI!R233/DATI!$C$13</f>
        <v>-0.37738200853664128</v>
      </c>
      <c r="D234" s="14">
        <f>-TABULATI!N233/10^3</f>
        <v>1460.0851570618288</v>
      </c>
      <c r="E234" s="14">
        <f>TABULATI!O233/10^6</f>
        <v>201.11860226038357</v>
      </c>
      <c r="F234" s="14">
        <f>-TABULATI!O233/10^6</f>
        <v>-201.11860226038357</v>
      </c>
    </row>
    <row r="235" spans="2:6" ht="18.75" x14ac:dyDescent="0.25">
      <c r="B235" s="12">
        <f>-1*TABULATI!Q234</f>
        <v>-0.23497640245955301</v>
      </c>
      <c r="C235" s="11">
        <f>TABULATI!R234/DATI!$C$13</f>
        <v>-0.35731630873395265</v>
      </c>
      <c r="D235" s="14">
        <f>-TABULATI!N234/10^3</f>
        <v>1505.229876834401</v>
      </c>
      <c r="E235" s="14">
        <f>TABULATI!O234/10^6</f>
        <v>196.31276193608358</v>
      </c>
      <c r="F235" s="14">
        <f>-TABULATI!O234/10^6</f>
        <v>-196.31276193608358</v>
      </c>
    </row>
    <row r="236" spans="2:6" ht="18.75" x14ac:dyDescent="0.25">
      <c r="B236" s="12">
        <f>-1*TABULATI!Q235</f>
        <v>-0.22899048258067534</v>
      </c>
      <c r="C236" s="11">
        <f>TABULATI!R235/DATI!$C$13</f>
        <v>-0.33784042406601278</v>
      </c>
      <c r="D236" s="14">
        <f>-TABULATI!N235/10^3</f>
        <v>1551.4480474824622</v>
      </c>
      <c r="E236" s="14">
        <f>TABULATI!O235/10^6</f>
        <v>191.31178119141984</v>
      </c>
      <c r="F236" s="14">
        <f>-TABULATI!O235/10^6</f>
        <v>-191.31178119141984</v>
      </c>
    </row>
    <row r="237" spans="2:6" ht="18.75" x14ac:dyDescent="0.25">
      <c r="B237" s="12">
        <f>-1*TABULATI!Q236</f>
        <v>-0.22274574851052908</v>
      </c>
      <c r="C237" s="11">
        <f>TABULATI!R236/DATI!$C$13</f>
        <v>-0.31889291185721336</v>
      </c>
      <c r="D237" s="14">
        <f>-TABULATI!N236/10^3</f>
        <v>1598.8067596857302</v>
      </c>
      <c r="E237" s="14">
        <f>TABULATI!O236/10^6</f>
        <v>186.09457222901014</v>
      </c>
      <c r="F237" s="14">
        <f>-TABULATI!O236/10^6</f>
        <v>-186.09457222901014</v>
      </c>
    </row>
    <row r="238" spans="2:6" ht="18.75" x14ac:dyDescent="0.25">
      <c r="B238" s="12">
        <f>-1*TABULATI!Q237</f>
        <v>-0.21621388602176447</v>
      </c>
      <c r="C238" s="11">
        <f>TABULATI!R237/DATI!$C$13</f>
        <v>-0.30041493827325333</v>
      </c>
      <c r="D238" s="14">
        <f>-TABULATI!N237/10^3</f>
        <v>1647.378813969005</v>
      </c>
      <c r="E238" s="14">
        <f>TABULATI!O237/10^6</f>
        <v>180.63747971957483</v>
      </c>
      <c r="F238" s="14">
        <f>-TABULATI!O237/10^6</f>
        <v>-180.63747971957483</v>
      </c>
    </row>
    <row r="239" spans="2:6" ht="18.75" x14ac:dyDescent="0.25">
      <c r="B239" s="12">
        <f>-1*TABULATI!Q238</f>
        <v>-0.20936307090485864</v>
      </c>
      <c r="C239" s="11">
        <f>TABULATI!R238/DATI!$C$13</f>
        <v>-0.28234973515912148</v>
      </c>
      <c r="D239" s="14">
        <f>-TABULATI!N238/10^3</f>
        <v>1697.243341337507</v>
      </c>
      <c r="E239" s="14">
        <f>TABULATI!O238/10^6</f>
        <v>174.91391589343803</v>
      </c>
      <c r="F239" s="14">
        <f>-TABULATI!O238/10^6</f>
        <v>-174.91391589343803</v>
      </c>
    </row>
    <row r="240" spans="2:6" ht="18.75" x14ac:dyDescent="0.25">
      <c r="B240" s="12">
        <f>-1*TABULATI!Q239</f>
        <v>-0.2021574599521439</v>
      </c>
      <c r="C240" s="11">
        <f>TABULATI!R239/DATI!$C$13</f>
        <v>-0.26464208250452037</v>
      </c>
      <c r="D240" s="14">
        <f>-TABULATI!N239/10^3</f>
        <v>1748.4865066635812</v>
      </c>
      <c r="E240" s="14">
        <f>TABULATI!O239/10^6</f>
        <v>168.89393527939396</v>
      </c>
      <c r="F240" s="14">
        <f>-TABULATI!O239/10^6</f>
        <v>-168.89393527939396</v>
      </c>
    </row>
    <row r="241" spans="2:6" ht="18.75" x14ac:dyDescent="0.25">
      <c r="B241" s="12">
        <f>-1*TABULATI!Q240</f>
        <v>-0.19455659593198968</v>
      </c>
      <c r="C241" s="11">
        <f>TABULATI!R240/DATI!$C$13</f>
        <v>-0.24723780692455133</v>
      </c>
      <c r="D241" s="14">
        <f>-TABULATI!N240/10^3</f>
        <v>1801.2023079897917</v>
      </c>
      <c r="E241" s="14">
        <f>TABULATI!O240/10^6</f>
        <v>162.54373758601528</v>
      </c>
      <c r="F241" s="14">
        <f>-TABULATI!O240/10^6</f>
        <v>-162.54373758601528</v>
      </c>
    </row>
    <row r="242" spans="2:6" ht="18.75" x14ac:dyDescent="0.25">
      <c r="B242" s="12">
        <f>-1*TABULATI!Q241</f>
        <v>-0.18651470978660128</v>
      </c>
      <c r="C242" s="11">
        <f>TABULATI!R241/DATI!$C$13</f>
        <v>-0.23008328686144325</v>
      </c>
      <c r="D242" s="14">
        <f>-TABULATI!N241/10^3</f>
        <v>1855.4934873626587</v>
      </c>
      <c r="E242" s="14">
        <f>TABULATI!O241/10^6</f>
        <v>155.82508471767684</v>
      </c>
      <c r="F242" s="14">
        <f>-TABULATI!O241/10^6</f>
        <v>-155.82508471767684</v>
      </c>
    </row>
    <row r="243" spans="2:6" ht="18.75" x14ac:dyDescent="0.25">
      <c r="B243" s="12">
        <f>-1*TABULATI!Q242</f>
        <v>-0.17797989955407928</v>
      </c>
      <c r="C243" s="11">
        <f>TABULATI!R242/DATI!$C$13</f>
        <v>-0.2131249552369856</v>
      </c>
      <c r="D243" s="14">
        <f>-TABULATI!N242/10^3</f>
        <v>1911.4725717855147</v>
      </c>
      <c r="E243" s="14">
        <f>TABULATI!O242/10^6</f>
        <v>148.69461479895747</v>
      </c>
      <c r="F243" s="14">
        <f>-TABULATI!O242/10^6</f>
        <v>-148.69461479895747</v>
      </c>
    </row>
    <row r="244" spans="2:6" ht="18.75" x14ac:dyDescent="0.25">
      <c r="B244" s="12">
        <f>-1*TABULATI!Q243</f>
        <v>-0.16889316084191838</v>
      </c>
      <c r="C244" s="11">
        <f>TABULATI!R243/DATI!$C$13</f>
        <v>-0.196308790010887</v>
      </c>
      <c r="D244" s="14">
        <f>-TABULATI!N243/10^3</f>
        <v>1969.2630665059205</v>
      </c>
      <c r="E244" s="14">
        <f>TABULATI!O243/10^6</f>
        <v>141.10303217660075</v>
      </c>
      <c r="F244" s="14">
        <f>-TABULATI!O243/10^6</f>
        <v>-141.10303217660075</v>
      </c>
    </row>
    <row r="245" spans="2:6" ht="18.75" x14ac:dyDescent="0.25">
      <c r="B245" s="38">
        <f>-1*TABULATI!Q244</f>
        <v>-0.15918723779878491</v>
      </c>
      <c r="C245" s="48">
        <f>TABULATI!R244/DATI!$C$13</f>
        <v>-0.17957978250838799</v>
      </c>
      <c r="D245" s="47">
        <f>-TABULATI!N244/10^3</f>
        <v>2029.0008272961923</v>
      </c>
      <c r="E245" s="47">
        <f>TABULATI!O244/10^6</f>
        <v>132.99414745544416</v>
      </c>
      <c r="F245" s="47">
        <f>-TABULATI!O244/10^6</f>
        <v>-132.99414745544416</v>
      </c>
    </row>
    <row r="246" spans="2:6" ht="18.75" x14ac:dyDescent="0.25">
      <c r="B246" s="38">
        <f>-1*TABULATI!Q245</f>
        <v>-0.15918723779878491</v>
      </c>
      <c r="C246" s="48">
        <f>TABULATI!R245/DATI!$C$13</f>
        <v>-0.17957978250838799</v>
      </c>
      <c r="D246" s="47">
        <f>-TABULATI!N245/10^3</f>
        <v>2029.0008272961923</v>
      </c>
      <c r="E246" s="47">
        <f>TABULATI!O245/10^6</f>
        <v>132.99414745544416</v>
      </c>
      <c r="F246" s="47">
        <f>-TABULATI!O245/10^6</f>
        <v>-132.99414745544416</v>
      </c>
    </row>
    <row r="247" spans="2:6" ht="18.75" x14ac:dyDescent="0.25">
      <c r="B247" s="38">
        <f>-1*TABULATI!Q246</f>
        <v>-0.14878525609388019</v>
      </c>
      <c r="C247" s="48">
        <f>TABULATI!R246/DATI!$C$13</f>
        <v>-0.16288137243558193</v>
      </c>
      <c r="D247" s="47">
        <f>-TABULATI!N246/10^3</f>
        <v>2090.8356438540109</v>
      </c>
      <c r="E247" s="47">
        <f>TABULATI!O246/10^6</f>
        <v>124.30373541098385</v>
      </c>
      <c r="F247" s="47">
        <f>-TABULATI!O246/10^6</f>
        <v>-124.30373541098385</v>
      </c>
    </row>
    <row r="248" spans="2:6" ht="18.75" x14ac:dyDescent="0.25">
      <c r="B248" s="74">
        <f>-1*TABULATI!Q247</f>
        <v>-0.13759908995463696</v>
      </c>
      <c r="C248" s="75">
        <f>TABULATI!R247/DATI!$C$13</f>
        <v>-0.14615483714822958</v>
      </c>
      <c r="D248" s="73">
        <f>-TABULATI!N247/10^3</f>
        <v>2154.9330732136582</v>
      </c>
      <c r="E248" s="73">
        <f>TABULATI!O247/10^6</f>
        <v>114.95817071901979</v>
      </c>
      <c r="F248" s="73">
        <f>-TABULATI!O247/10^6</f>
        <v>-114.95817071901979</v>
      </c>
    </row>
    <row r="249" spans="2:6" ht="18.75" x14ac:dyDescent="0.25">
      <c r="B249" s="38">
        <f>-1*TABULATI!Q248</f>
        <v>-0.1191236386410983</v>
      </c>
      <c r="C249" s="48">
        <f>TABULATI!R248/DATI!$C$13</f>
        <v>-0.12087668950348805</v>
      </c>
      <c r="D249" s="14">
        <f>-TABULATI!N248/10^3</f>
        <v>2255.7284216404496</v>
      </c>
      <c r="E249" s="14">
        <f>TABULATI!O248/10^6</f>
        <v>99.522719169791415</v>
      </c>
      <c r="F249" s="14">
        <f>-TABULATI!O248/10^6</f>
        <v>-99.522719169791415</v>
      </c>
    </row>
    <row r="250" spans="2:6" ht="18.75" x14ac:dyDescent="0.25">
      <c r="B250" s="38">
        <f>-1*TABULATI!Q249</f>
        <v>-0.1055692345278843</v>
      </c>
      <c r="C250" s="48">
        <f>TABULATI!R249/DATI!$C$13</f>
        <v>-0.1050776006719904</v>
      </c>
      <c r="D250" s="14">
        <f>-TABULATI!N249/10^3</f>
        <v>2299.6335884127434</v>
      </c>
      <c r="E250" s="14">
        <f>TABULATI!O249/10^6</f>
        <v>88.198592661722671</v>
      </c>
      <c r="F250" s="14">
        <f>-TABULATI!O249/10^6</f>
        <v>-88.198592661722671</v>
      </c>
    </row>
    <row r="251" spans="2:6" ht="18.75" x14ac:dyDescent="0.25">
      <c r="B251" s="12">
        <f>-1*TABULATI!Q250</f>
        <v>-9.3567890972181836E-2</v>
      </c>
      <c r="C251" s="11">
        <f>TABULATI!R250/DATI!$C$13</f>
        <v>-9.1573031942145069E-2</v>
      </c>
      <c r="D251" s="14">
        <f>-TABULATI!N250/10^3</f>
        <v>2338.7869679232213</v>
      </c>
      <c r="E251" s="14">
        <f>TABULATI!O250/10^6</f>
        <v>78.17198200761959</v>
      </c>
      <c r="F251" s="14">
        <f>-TABULATI!O250/10^6</f>
        <v>-78.17198200761959</v>
      </c>
    </row>
    <row r="252" spans="2:6" ht="18.75" x14ac:dyDescent="0.25">
      <c r="B252" s="12">
        <f>-1*TABULATI!Q251</f>
        <v>-8.2942028048547486E-2</v>
      </c>
      <c r="C252" s="11">
        <f>TABULATI!R251/DATI!$C$13</f>
        <v>-7.998664074629723E-2</v>
      </c>
      <c r="D252" s="14">
        <f>-TABULATI!N251/10^3</f>
        <v>2373.4965830888245</v>
      </c>
      <c r="E252" s="14">
        <f>TABULATI!O251/10^6</f>
        <v>69.294526753992784</v>
      </c>
      <c r="F252" s="14">
        <f>-TABULATI!O251/10^6</f>
        <v>-69.294526753992784</v>
      </c>
    </row>
    <row r="253" spans="2:6" ht="18.75" x14ac:dyDescent="0.25">
      <c r="B253" s="12">
        <f>-1*TABULATI!Q252</f>
        <v>-7.3526130616624052E-2</v>
      </c>
      <c r="C253" s="11">
        <f>TABULATI!R252/DATI!$C$13</f>
        <v>-7.0004684331000627E-2</v>
      </c>
      <c r="D253" s="14">
        <f>-TABULATI!N252/10^3</f>
        <v>2404.0640171493023</v>
      </c>
      <c r="E253" s="14">
        <f>TABULATI!O252/10^6</f>
        <v>61.427946060699774</v>
      </c>
      <c r="F253" s="14">
        <f>-TABULATI!O252/10^6</f>
        <v>-61.427946060699774</v>
      </c>
    </row>
    <row r="254" spans="2:6" ht="18.75" x14ac:dyDescent="0.25">
      <c r="B254" s="12">
        <f>-1*TABULATI!Q253</f>
        <v>-6.5166459272398738E-2</v>
      </c>
      <c r="C254" s="11">
        <f>TABULATI!R253/DATI!$C$13</f>
        <v>-6.136335555562443E-2</v>
      </c>
      <c r="D254" s="14">
        <f>-TABULATI!N253/10^3</f>
        <v>2430.7844136672124</v>
      </c>
      <c r="E254" s="14">
        <f>TABULATI!O253/10^6</f>
        <v>54.443797213049891</v>
      </c>
      <c r="F254" s="14">
        <f>-TABULATI!O253/10^6</f>
        <v>-54.443797213049891</v>
      </c>
    </row>
    <row r="255" spans="2:6" ht="18.75" x14ac:dyDescent="0.25">
      <c r="B255" s="12">
        <f>-1*TABULATI!Q254</f>
        <v>-5.7720761299461902E-2</v>
      </c>
      <c r="C255" s="11">
        <f>TABULATI!R254/DATI!$C$13</f>
        <v>-5.3839173325767771E-2</v>
      </c>
      <c r="D255" s="14">
        <f>-TABULATI!N254/10^3</f>
        <v>2453.9464765279204</v>
      </c>
      <c r="E255" s="14">
        <f>TABULATI!O254/10^6</f>
        <v>48.223234133909493</v>
      </c>
      <c r="F255" s="14">
        <f>-TABULATI!O254/10^6</f>
        <v>-48.223234133909493</v>
      </c>
    </row>
    <row r="256" spans="2:6" ht="18.75" x14ac:dyDescent="0.25">
      <c r="B256" s="12">
        <f>-1*TABULATI!Q255</f>
        <v>-5.1057981620266583E-2</v>
      </c>
      <c r="C256" s="11">
        <f>TABULATI!R255/DATI!$C$13</f>
        <v>-4.7241619305041518E-2</v>
      </c>
      <c r="D256" s="14">
        <f>-TABULATI!N255/10^3</f>
        <v>2473.8324699395989</v>
      </c>
      <c r="E256" s="14">
        <f>TABULATI!O255/10^6</f>
        <v>42.656765895808043</v>
      </c>
      <c r="F256" s="14">
        <f>-TABULATI!O255/10^6</f>
        <v>-42.656765895808043</v>
      </c>
    </row>
    <row r="257" spans="2:6" ht="18.75" x14ac:dyDescent="0.25">
      <c r="B257" s="12">
        <f>-1*TABULATI!Q256</f>
        <v>-4.5057973747385828E-2</v>
      </c>
      <c r="C257" s="11">
        <f>TABULATI!R256/DATI!$C$13</f>
        <v>-4.1407449283677102E-2</v>
      </c>
      <c r="D257" s="14">
        <f>-TABULATI!N256/10^3</f>
        <v>2490.7182184332296</v>
      </c>
      <c r="E257" s="14">
        <f>TABULATI!O256/10^6</f>
        <v>37.644015233042161</v>
      </c>
      <c r="F257" s="14">
        <f>-TABULATI!O256/10^6</f>
        <v>-37.644015233042161</v>
      </c>
    </row>
    <row r="258" spans="2:6" ht="18.75" x14ac:dyDescent="0.25">
      <c r="B258" s="12">
        <f>-1*TABULATI!Q257</f>
        <v>-3.9611210734772362E-2</v>
      </c>
      <c r="C258" s="11">
        <f>TABULATI!R257/DATI!$C$13</f>
        <v>-3.6196268854066627E-2</v>
      </c>
      <c r="D258" s="14">
        <f>-TABULATI!N257/10^3</f>
        <v>2504.8731068626016</v>
      </c>
      <c r="E258" s="14">
        <f>TABULATI!O257/10^6</f>
        <v>33.093477053781761</v>
      </c>
      <c r="F258" s="14">
        <f>-TABULATI!O257/10^6</f>
        <v>-33.093477053781761</v>
      </c>
    </row>
    <row r="259" spans="2:6" ht="18.75" x14ac:dyDescent="0.25">
      <c r="B259" s="12">
        <f>-1*TABULATI!Q258</f>
        <v>-3.4618496129017441E-2</v>
      </c>
      <c r="C259" s="11">
        <f>TABULATI!R258/DATI!$C$13</f>
        <v>-3.1487074580288328E-2</v>
      </c>
      <c r="D259" s="14">
        <f>-TABULATI!N258/10^3</f>
        <v>2516.5600804043124</v>
      </c>
      <c r="E259" s="14">
        <f>TABULATI!O258/10^6</f>
        <v>28.922276952175444</v>
      </c>
      <c r="F259" s="14">
        <f>-TABULATI!O258/10^6</f>
        <v>-28.922276952175444</v>
      </c>
    </row>
    <row r="260" spans="2:6" ht="18.75" x14ac:dyDescent="0.25">
      <c r="B260" s="12">
        <f>-1*TABULATI!Q259</f>
        <v>-2.9990674920608862E-2</v>
      </c>
      <c r="C260" s="11">
        <f>TABULATI!R259/DATI!$C$13</f>
        <v>-2.7175540037870538E-2</v>
      </c>
      <c r="D260" s="14">
        <f>-TABULATI!N259/10^3</f>
        <v>2526.0356445577672</v>
      </c>
      <c r="E260" s="14">
        <f>TABULATI!O259/10^6</f>
        <v>25.055929720455214</v>
      </c>
      <c r="F260" s="14">
        <f>-TABULATI!O259/10^6</f>
        <v>-25.055929720455214</v>
      </c>
    </row>
    <row r="261" spans="2:6" ht="18.75" x14ac:dyDescent="0.25">
      <c r="B261" s="12">
        <f>-1*TABULATI!Q260</f>
        <v>-2.5648344495190104E-2</v>
      </c>
      <c r="C261" s="11">
        <f>TABULATI!R260/DATI!$C$13</f>
        <v>-2.3171881570268026E-2</v>
      </c>
      <c r="D261" s="14">
        <f>-TABULATI!N260/10^3</f>
        <v>2533.549865145178</v>
      </c>
      <c r="E261" s="14">
        <f>TABULATI!O260/10^6</f>
        <v>21.428097861042097</v>
      </c>
      <c r="F261" s="14">
        <f>-TABULATI!O260/10^6</f>
        <v>-21.428097861042097</v>
      </c>
    </row>
    <row r="262" spans="2:6" ht="18.75" x14ac:dyDescent="0.25">
      <c r="B262" s="12">
        <f>-1*TABULATI!Q261</f>
        <v>-2.1521565584819172E-2</v>
      </c>
      <c r="C262" s="11">
        <f>TABULATI!R261/DATI!$C$13</f>
        <v>-1.9399178371930736E-2</v>
      </c>
      <c r="D262" s="14">
        <f>-TABULATI!N261/10^3</f>
        <v>2539.3463683115674</v>
      </c>
      <c r="E262" s="14">
        <f>TABULATI!O261/10^6</f>
        <v>17.980350098651574</v>
      </c>
      <c r="F262" s="14">
        <f>-TABULATI!O261/10^6</f>
        <v>-17.980350098651574</v>
      </c>
    </row>
    <row r="263" spans="2:6" ht="18.75" x14ac:dyDescent="0.25">
      <c r="B263" s="12">
        <f>-1*TABULATI!Q262</f>
        <v>-1.7549573219227021E-2</v>
      </c>
      <c r="C263" s="11">
        <f>TABULATI!R262/DATI!$C$13</f>
        <v>-1.5792050265811229E-2</v>
      </c>
      <c r="D263" s="14">
        <f>-TABULATI!N262/10^3</f>
        <v>2543.6623405247637</v>
      </c>
      <c r="E263" s="14">
        <f>TABULATI!O262/10^6</f>
        <v>14.661919892398611</v>
      </c>
      <c r="F263" s="14">
        <f>-TABULATI!O262/10^6</f>
        <v>-14.661919892398611</v>
      </c>
    </row>
    <row r="264" spans="2:6" ht="18.75" x14ac:dyDescent="0.25">
      <c r="B264" s="38">
        <f>-1*TABULATI!Q263</f>
        <v>-1.3680487677076551E-2</v>
      </c>
      <c r="C264" s="48">
        <f>TABULATI!R263/DATI!$C$13</f>
        <v>-1.229561749747443E-2</v>
      </c>
      <c r="D264" s="47">
        <f>-TABULATI!N263/10^3</f>
        <v>2546.7285285754042</v>
      </c>
      <c r="E264" s="47">
        <f>TABULATI!O263/10^6</f>
        <v>11.429463947903201</v>
      </c>
      <c r="F264" s="47">
        <f>-TABULATI!O263/10^6</f>
        <v>-11.429463947903201</v>
      </c>
    </row>
    <row r="265" spans="2:6" ht="18.75" x14ac:dyDescent="0.25">
      <c r="B265" s="38">
        <f>-1*TABULATI!Q264</f>
        <v>-9.8710254372210652E-3</v>
      </c>
      <c r="C265" s="48">
        <f>TABULATI!R264/DATI!$C$13</f>
        <v>-8.864682233592186E-3</v>
      </c>
      <c r="D265" s="47">
        <f>-TABULATI!N264/10^3</f>
        <v>2548.7692395769336</v>
      </c>
      <c r="E265" s="47">
        <f>TABULATI!O264/10^6</f>
        <v>8.2468207293954272</v>
      </c>
      <c r="F265" s="47">
        <f>-TABULATI!O264/10^6</f>
        <v>-8.2468207293954272</v>
      </c>
    </row>
    <row r="266" spans="2:6" ht="18.75" x14ac:dyDescent="0.25">
      <c r="B266" s="38">
        <f>-1*TABULATI!Q265</f>
        <v>-6.0862101299631079E-3</v>
      </c>
      <c r="C266" s="48">
        <f>TABULATI!R265/DATI!$C$13</f>
        <v>-5.4630827868669546E-3</v>
      </c>
      <c r="D266" s="47">
        <f>-TABULATI!N265/10^3</f>
        <v>2550.002340965606</v>
      </c>
      <c r="E266" s="47">
        <f>TABULATI!O265/10^6</f>
        <v>5.0847689718208686</v>
      </c>
      <c r="F266" s="47">
        <f>-TABULATI!O265/10^6</f>
        <v>-5.0847689718208686</v>
      </c>
    </row>
    <row r="267" spans="2:6" ht="18.75" x14ac:dyDescent="0.25">
      <c r="B267" s="38">
        <f>-1*TABULATI!Q266</f>
        <v>-2.2990834883131633E-3</v>
      </c>
      <c r="C267" s="48">
        <f>TABULATI!R266/DATI!$C$13</f>
        <v>-2.0631800064296545E-3</v>
      </c>
      <c r="D267" s="47">
        <f>-TABULATI!N266/10^3</f>
        <v>2550.6392605004803</v>
      </c>
      <c r="E267" s="47">
        <f>TABULATI!O266/10^6</f>
        <v>1.9207861929458752</v>
      </c>
      <c r="F267" s="47">
        <f>-TABULATI!O266/10^6</f>
        <v>-1.9207861929458752</v>
      </c>
    </row>
    <row r="268" spans="2:6" ht="18.75" x14ac:dyDescent="0.25">
      <c r="B268" s="38">
        <f>-1*TABULATI!Q267</f>
        <v>-4.4580153493168712E-4</v>
      </c>
      <c r="C268" s="48">
        <f>TABULATI!R267/DATI!$C$13</f>
        <v>-4.0142904126325108E-4</v>
      </c>
      <c r="D268" s="47">
        <f>-TABULATI!N267/10^3</f>
        <v>2541.9335289349597</v>
      </c>
      <c r="E268" s="47">
        <f>TABULATI!O267/10^6</f>
        <v>0.37244816790847479</v>
      </c>
      <c r="F268" s="47">
        <f>-TABULATI!O267/10^6</f>
        <v>-0.37244816790847479</v>
      </c>
    </row>
    <row r="269" spans="2:6" ht="19.5" thickBot="1" x14ac:dyDescent="0.3">
      <c r="B269" s="110">
        <f>-1*TABULATI!Q268</f>
        <v>3.1212882579408673E-16</v>
      </c>
      <c r="C269" s="111">
        <f>TABULATI!R268/DATI!$C$13</f>
        <v>2.8278503411159827E-16</v>
      </c>
      <c r="D269" s="109">
        <f>-TABULATI!N268/10^3</f>
        <v>2526.4393413391062</v>
      </c>
      <c r="E269" s="109">
        <f>TABULATI!O268/10^6</f>
        <v>-2.6077032089233396E-13</v>
      </c>
      <c r="F269" s="109">
        <f>-TABULATI!O268/10^6</f>
        <v>2.6077032089233396E-13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B298"/>
  <sheetViews>
    <sheetView showGridLines="0" showRowColHeaders="0" zoomScale="70" zoomScaleNormal="70" workbookViewId="0">
      <selection activeCell="B3" sqref="B3:I3"/>
    </sheetView>
  </sheetViews>
  <sheetFormatPr defaultRowHeight="15" x14ac:dyDescent="0.25"/>
  <cols>
    <col min="2" max="2" width="31" customWidth="1"/>
    <col min="3" max="3" width="16.28515625" customWidth="1"/>
    <col min="4" max="4" width="23.7109375" customWidth="1"/>
    <col min="5" max="5" width="16.42578125" customWidth="1"/>
    <col min="6" max="6" width="7.7109375" customWidth="1"/>
    <col min="7" max="7" width="18.5703125" customWidth="1"/>
    <col min="8" max="8" width="15.7109375" customWidth="1"/>
    <col min="9" max="9" width="15.85546875" customWidth="1"/>
    <col min="10" max="15" width="15.7109375" customWidth="1"/>
    <col min="16" max="16" width="5.7109375" customWidth="1"/>
    <col min="17" max="17" width="5.5703125" customWidth="1"/>
    <col min="18" max="18" width="18.28515625" customWidth="1"/>
    <col min="19" max="19" width="11.42578125" customWidth="1"/>
    <col min="20" max="20" width="12" customWidth="1"/>
    <col min="23" max="23" width="11.140625" customWidth="1"/>
    <col min="24" max="24" width="18.28515625" customWidth="1"/>
    <col min="25" max="25" width="16.42578125" customWidth="1"/>
    <col min="26" max="26" width="16.7109375" customWidth="1"/>
    <col min="27" max="27" width="4.85546875" customWidth="1"/>
  </cols>
  <sheetData>
    <row r="2" spans="2:28" ht="37.5" x14ac:dyDescent="0.25">
      <c r="B2" s="255" t="s">
        <v>64</v>
      </c>
      <c r="C2" s="255"/>
      <c r="D2" s="255"/>
      <c r="E2" s="255"/>
      <c r="F2" s="255"/>
      <c r="G2" s="256"/>
      <c r="H2" s="256"/>
      <c r="I2" s="256"/>
    </row>
    <row r="3" spans="2:28" ht="21" x14ac:dyDescent="0.35">
      <c r="B3" s="276" t="s">
        <v>76</v>
      </c>
      <c r="C3" s="276"/>
      <c r="D3" s="276"/>
      <c r="E3" s="276"/>
      <c r="F3" s="276"/>
      <c r="G3" s="276"/>
      <c r="H3" s="276"/>
      <c r="I3" s="276"/>
    </row>
    <row r="5" spans="2:28" ht="15.75" thickBot="1" x14ac:dyDescent="0.3"/>
    <row r="6" spans="2:28" ht="26.25" x14ac:dyDescent="0.3">
      <c r="B6" s="260"/>
      <c r="C6" s="261"/>
      <c r="D6" s="262"/>
      <c r="E6" s="83"/>
      <c r="F6" s="257" t="s">
        <v>66</v>
      </c>
      <c r="G6" s="269">
        <f>0.0035+0.15*(C17/C13)^(1/2)</f>
        <v>4.1103417397890842E-2</v>
      </c>
      <c r="H6" s="272" t="s">
        <v>141</v>
      </c>
      <c r="I6" s="273">
        <f>'M-X'!B7/'M-X'!B4</f>
        <v>17.700469709813476</v>
      </c>
      <c r="J6" s="85"/>
      <c r="K6" s="85"/>
      <c r="M6" s="79"/>
    </row>
    <row r="7" spans="2:28" ht="26.25" x14ac:dyDescent="0.25">
      <c r="B7" s="263"/>
      <c r="C7" s="264"/>
      <c r="D7" s="265"/>
      <c r="E7" s="83"/>
      <c r="F7" s="258"/>
      <c r="G7" s="270"/>
      <c r="H7" s="270"/>
      <c r="I7" s="274"/>
      <c r="J7" s="85"/>
      <c r="K7" s="85"/>
    </row>
    <row r="8" spans="2:28" ht="27" thickBot="1" x14ac:dyDescent="0.3">
      <c r="B8" s="266"/>
      <c r="C8" s="267"/>
      <c r="D8" s="268"/>
      <c r="E8" s="83"/>
      <c r="F8" s="259"/>
      <c r="G8" s="271"/>
      <c r="H8" s="271"/>
      <c r="I8" s="275"/>
      <c r="J8" s="85"/>
      <c r="K8" s="85"/>
    </row>
    <row r="9" spans="2:28" ht="18.75" x14ac:dyDescent="0.25">
      <c r="B9" s="76"/>
      <c r="C9" s="77"/>
      <c r="D9" s="77"/>
      <c r="E9" s="77"/>
      <c r="F9" s="77"/>
      <c r="G9" s="77"/>
    </row>
    <row r="10" spans="2:28" x14ac:dyDescent="0.25">
      <c r="G10" s="77"/>
    </row>
    <row r="11" spans="2:28" ht="21" x14ac:dyDescent="0.25">
      <c r="B11" s="254" t="s">
        <v>65</v>
      </c>
      <c r="C11" s="254"/>
      <c r="D11" s="254"/>
      <c r="E11" s="200"/>
      <c r="F11" s="102"/>
      <c r="G11" s="98"/>
      <c r="H11" s="98"/>
      <c r="I11" s="98"/>
      <c r="J11" s="98"/>
      <c r="K11" s="98"/>
      <c r="L11" s="102"/>
      <c r="M11" s="99"/>
      <c r="N11" s="99"/>
      <c r="O11" s="99"/>
      <c r="P11" s="120"/>
    </row>
    <row r="12" spans="2:28" ht="18.75" x14ac:dyDescent="0.3">
      <c r="B12" s="79"/>
      <c r="C12" s="10"/>
      <c r="D12" s="79"/>
      <c r="E12" s="6"/>
    </row>
    <row r="13" spans="2:28" ht="18.75" x14ac:dyDescent="0.25">
      <c r="B13" s="80" t="s">
        <v>57</v>
      </c>
      <c r="C13" s="11">
        <f>DATI!I10</f>
        <v>11.111111111111111</v>
      </c>
      <c r="D13" s="76" t="s">
        <v>13</v>
      </c>
      <c r="E13" s="6"/>
    </row>
    <row r="14" spans="2:28" ht="18.75" x14ac:dyDescent="0.3">
      <c r="B14" s="79"/>
      <c r="C14" s="11"/>
      <c r="D14" s="6"/>
      <c r="E14" s="6"/>
      <c r="AB14" s="6"/>
    </row>
    <row r="15" spans="2:28" ht="18.75" x14ac:dyDescent="0.25">
      <c r="B15" s="80" t="s">
        <v>77</v>
      </c>
      <c r="C15" s="11">
        <f>C13+2.6*C13*(C17/C13)^(2/3)</f>
        <v>15.677563286763647</v>
      </c>
      <c r="D15" s="76" t="s">
        <v>13</v>
      </c>
      <c r="E15" s="6"/>
      <c r="AB15" s="6"/>
    </row>
    <row r="16" spans="2:28" ht="18.75" x14ac:dyDescent="0.3">
      <c r="B16" s="79"/>
      <c r="C16" s="11"/>
      <c r="D16" s="6"/>
      <c r="E16" s="6"/>
      <c r="AB16" s="6"/>
    </row>
    <row r="17" spans="2:28" ht="18.75" x14ac:dyDescent="0.25">
      <c r="B17" s="82" t="s">
        <v>78</v>
      </c>
      <c r="C17" s="11">
        <f>C21*C19</f>
        <v>0.6982799999999999</v>
      </c>
      <c r="D17" s="76" t="s">
        <v>13</v>
      </c>
      <c r="E17" s="6"/>
      <c r="AB17" s="6"/>
    </row>
    <row r="18" spans="2:28" ht="18.75" x14ac:dyDescent="0.3">
      <c r="B18" s="79"/>
      <c r="C18" s="11"/>
      <c r="D18" s="6"/>
      <c r="E18" s="6"/>
      <c r="AB18" s="6"/>
    </row>
    <row r="19" spans="2:28" ht="18.75" x14ac:dyDescent="0.25">
      <c r="B19" s="80" t="s">
        <v>79</v>
      </c>
      <c r="C19" s="11">
        <f>0.5*C23*DATI!D38*'Calcolo Duttilità'!C25</f>
        <v>1.518</v>
      </c>
      <c r="D19" s="76" t="s">
        <v>13</v>
      </c>
      <c r="E19" s="6"/>
      <c r="AB19" s="90"/>
    </row>
    <row r="20" spans="2:28" ht="18.75" x14ac:dyDescent="0.3">
      <c r="B20" s="79"/>
      <c r="C20" s="11"/>
      <c r="D20" s="105"/>
      <c r="E20" s="6"/>
      <c r="AB20" s="6"/>
    </row>
    <row r="21" spans="2:28" ht="18.75" x14ac:dyDescent="0.25">
      <c r="B21" s="80" t="s">
        <v>80</v>
      </c>
      <c r="C21" s="11">
        <f>1-((DATI!C6-2*DATI!D39)^2+(DATI!C8-2*DATI!D39)^2)/(3*DATI!C6*DATI!C8)</f>
        <v>0.45999999999999996</v>
      </c>
      <c r="D21" s="76" t="s">
        <v>42</v>
      </c>
      <c r="E21" s="6"/>
      <c r="AB21" s="6"/>
    </row>
    <row r="22" spans="2:28" ht="18.75" x14ac:dyDescent="0.3">
      <c r="B22" s="79"/>
      <c r="C22" s="11"/>
      <c r="D22" s="105"/>
      <c r="E22" s="6"/>
      <c r="AB22" s="6"/>
    </row>
    <row r="23" spans="2:28" ht="18.75" x14ac:dyDescent="0.25">
      <c r="B23" s="82" t="s">
        <v>103</v>
      </c>
      <c r="C23" s="13">
        <f>2*DATI!D47*(DATI!C6+DATI!C8)/(DATI!C6*DATI!C8)</f>
        <v>3.3E-3</v>
      </c>
      <c r="D23" s="76" t="s">
        <v>42</v>
      </c>
      <c r="E23" s="6"/>
      <c r="AB23" s="6"/>
    </row>
    <row r="24" spans="2:28" ht="18.75" x14ac:dyDescent="0.3">
      <c r="B24" s="79"/>
      <c r="C24" s="11"/>
      <c r="D24" s="6"/>
      <c r="E24" s="6"/>
      <c r="AB24" s="6"/>
    </row>
    <row r="25" spans="2:28" ht="21" x14ac:dyDescent="0.25">
      <c r="B25" s="82" t="s">
        <v>82</v>
      </c>
      <c r="C25" s="11">
        <f>MIN(DATI!D45*DATI!D42*10^-3/DATI!D43,0.004)</f>
        <v>4.0000000000000001E-3</v>
      </c>
      <c r="D25" s="19" t="s">
        <v>15</v>
      </c>
      <c r="E25" s="6"/>
      <c r="AB25" s="6"/>
    </row>
    <row r="26" spans="2:28" ht="18.75" x14ac:dyDescent="0.3">
      <c r="B26" s="79"/>
      <c r="C26" s="11"/>
      <c r="D26" s="6"/>
      <c r="E26" s="6"/>
      <c r="F26" s="6"/>
      <c r="G26" s="56"/>
      <c r="H26" s="92"/>
      <c r="I26" s="91"/>
      <c r="J26" s="93"/>
      <c r="K26" s="93"/>
      <c r="L26" s="94"/>
      <c r="M26" s="90"/>
      <c r="N26" s="6"/>
      <c r="O26" s="6"/>
      <c r="P26" s="6"/>
      <c r="AB26" s="6"/>
    </row>
    <row r="27" spans="2:28" ht="18.75" x14ac:dyDescent="0.25">
      <c r="B27" s="80" t="s">
        <v>90</v>
      </c>
      <c r="C27" s="11">
        <f>(0.24/(DATI!D44*(DATI!I8)^(1/2)))*((DATI!D38/DATI!D47)*C33*(C29*C31)^(1/2))^(1/2)</f>
        <v>304.13817546146294</v>
      </c>
      <c r="D27" s="76" t="s">
        <v>13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AB27" s="6"/>
    </row>
    <row r="28" spans="2:28" ht="18.75" x14ac:dyDescent="0.3">
      <c r="B28" s="79"/>
      <c r="C28" s="11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AB28" s="6"/>
    </row>
    <row r="29" spans="2:28" ht="18.75" x14ac:dyDescent="0.25">
      <c r="B29" s="80" t="s">
        <v>94</v>
      </c>
      <c r="C29" s="11">
        <f>0.83*DATI!I6</f>
        <v>12.45</v>
      </c>
      <c r="D29" s="76" t="s">
        <v>13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AB29" s="6"/>
    </row>
    <row r="30" spans="2:28" ht="18.75" x14ac:dyDescent="0.3">
      <c r="B30" s="79"/>
      <c r="C30" s="11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AB30" s="6"/>
    </row>
    <row r="31" spans="2:28" ht="18.75" x14ac:dyDescent="0.25">
      <c r="B31" s="80" t="s">
        <v>95</v>
      </c>
      <c r="C31" s="11">
        <f>0.3*C29^(2/3)</f>
        <v>1.6115142704455061</v>
      </c>
      <c r="D31" s="76" t="s">
        <v>13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AB31" s="6"/>
    </row>
    <row r="32" spans="2:28" ht="18.75" x14ac:dyDescent="0.3">
      <c r="B32" s="79"/>
      <c r="C32" s="11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AB32" s="6"/>
    </row>
    <row r="33" spans="2:28" ht="21" x14ac:dyDescent="0.25">
      <c r="B33" s="80" t="s">
        <v>96</v>
      </c>
      <c r="C33" s="11">
        <f>IF((1/(1+DATI!C6/400))^(1/2)&gt;=1,(1/(1+DATI!C6/400))^(1/2),1)</f>
        <v>1</v>
      </c>
      <c r="D33" s="19" t="s">
        <v>42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AB33" s="6"/>
    </row>
    <row r="34" spans="2:28" ht="18.75" x14ac:dyDescent="0.3">
      <c r="B34" s="79"/>
      <c r="C34" s="1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AB34" s="6"/>
    </row>
    <row r="35" spans="2:28" ht="21" x14ac:dyDescent="0.25">
      <c r="B35" s="80" t="s">
        <v>97</v>
      </c>
      <c r="C35" s="14">
        <f>(DATI!D38*DATI!D47/(2*'Calcolo Duttilità'!C31))^(1/2)</f>
        <v>153.45774505309063</v>
      </c>
      <c r="D35" s="19" t="s">
        <v>17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AB35" s="6"/>
    </row>
    <row r="36" spans="2:28" ht="18.75" x14ac:dyDescent="0.3">
      <c r="B36" s="81"/>
      <c r="C36" s="11"/>
      <c r="D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2:28" ht="18.75" x14ac:dyDescent="0.25">
      <c r="B37" s="80" t="s">
        <v>98</v>
      </c>
      <c r="C37" s="11">
        <f>C27*DATI!D46</f>
        <v>912.41452638438886</v>
      </c>
      <c r="D37" s="76" t="s">
        <v>13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2:28" ht="18.75" x14ac:dyDescent="0.3">
      <c r="B38" s="79"/>
      <c r="C38" s="11"/>
      <c r="D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8" ht="21" x14ac:dyDescent="0.3">
      <c r="B39" s="82" t="s">
        <v>100</v>
      </c>
      <c r="C39" s="13">
        <f>C37/DATI!D38</f>
        <v>3.9670196799321258E-3</v>
      </c>
      <c r="D39" s="19" t="s">
        <v>15</v>
      </c>
      <c r="E39" s="87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2:28" ht="18.75" x14ac:dyDescent="0.3">
      <c r="B40" s="79"/>
      <c r="C40" s="13"/>
      <c r="D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2:28" ht="21" x14ac:dyDescent="0.25">
      <c r="B41" s="82" t="s">
        <v>81</v>
      </c>
      <c r="C41" s="13">
        <f>MIN(DATI!D45*DATI!D42*10^-3/DATI!D43,'Calcolo Duttilità'!C39)</f>
        <v>3.9670196799321258E-3</v>
      </c>
      <c r="D41" s="19" t="s">
        <v>15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2:28" ht="18.75" x14ac:dyDescent="0.3">
      <c r="B42" s="79"/>
      <c r="C42" s="11"/>
      <c r="D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2:28" ht="18.75" x14ac:dyDescent="0.25">
      <c r="B43" s="80" t="s">
        <v>83</v>
      </c>
      <c r="C43" s="12">
        <f>(C15-C13)/(-DATI!I13)</f>
        <v>1.141613043913134</v>
      </c>
      <c r="D43" s="76" t="s">
        <v>102</v>
      </c>
      <c r="E43" s="88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2:28" x14ac:dyDescent="0.25">
      <c r="C44" s="100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2:28" ht="21" x14ac:dyDescent="0.25">
      <c r="B45" s="103"/>
      <c r="C45" s="84"/>
    </row>
    <row r="70" ht="15" customHeight="1" x14ac:dyDescent="0.25"/>
    <row r="144" spans="2:8" ht="18.75" x14ac:dyDescent="0.25">
      <c r="B144" s="44"/>
      <c r="C144" s="84"/>
      <c r="D144" s="86"/>
      <c r="E144" s="88"/>
      <c r="F144" s="88"/>
      <c r="G144" s="30"/>
      <c r="H144" s="26"/>
    </row>
    <row r="145" spans="2:8" ht="18.75" x14ac:dyDescent="0.25">
      <c r="B145" s="44"/>
      <c r="C145" s="84"/>
      <c r="D145" s="86"/>
      <c r="E145" s="88"/>
      <c r="F145" s="88"/>
      <c r="G145" s="30"/>
      <c r="H145" s="26"/>
    </row>
    <row r="146" spans="2:8" ht="18.75" x14ac:dyDescent="0.25">
      <c r="B146" s="44"/>
      <c r="C146" s="84"/>
      <c r="D146" s="86"/>
      <c r="E146" s="88"/>
      <c r="F146" s="88"/>
      <c r="G146" s="30"/>
      <c r="H146" s="26"/>
    </row>
    <row r="147" spans="2:8" ht="18.75" x14ac:dyDescent="0.25">
      <c r="B147" s="44"/>
      <c r="C147" s="84"/>
      <c r="D147" s="86"/>
      <c r="E147" s="88"/>
      <c r="F147" s="88"/>
      <c r="G147" s="30"/>
      <c r="H147" s="26"/>
    </row>
    <row r="148" spans="2:8" ht="18.75" x14ac:dyDescent="0.25">
      <c r="B148" s="44"/>
      <c r="C148" s="84"/>
      <c r="D148" s="86"/>
      <c r="E148" s="88"/>
      <c r="F148" s="88"/>
      <c r="G148" s="30"/>
      <c r="H148" s="26"/>
    </row>
    <row r="149" spans="2:8" ht="18.75" x14ac:dyDescent="0.25">
      <c r="B149" s="44"/>
      <c r="C149" s="84"/>
      <c r="D149" s="86"/>
      <c r="E149" s="88"/>
      <c r="F149" s="88"/>
      <c r="G149" s="30"/>
      <c r="H149" s="26"/>
    </row>
    <row r="150" spans="2:8" ht="18.75" x14ac:dyDescent="0.25">
      <c r="B150" s="44"/>
      <c r="C150" s="84"/>
      <c r="D150" s="86"/>
      <c r="E150" s="88"/>
      <c r="F150" s="88"/>
      <c r="G150" s="30"/>
      <c r="H150" s="26"/>
    </row>
    <row r="151" spans="2:8" ht="18.75" x14ac:dyDescent="0.25">
      <c r="B151" s="44"/>
      <c r="C151" s="84"/>
      <c r="D151" s="86"/>
      <c r="E151" s="88"/>
      <c r="F151" s="88"/>
      <c r="G151" s="30"/>
      <c r="H151" s="26"/>
    </row>
    <row r="152" spans="2:8" ht="18.75" x14ac:dyDescent="0.25">
      <c r="B152" s="44"/>
      <c r="C152" s="84"/>
      <c r="D152" s="86"/>
      <c r="E152" s="88"/>
      <c r="F152" s="88"/>
      <c r="G152" s="30"/>
      <c r="H152" s="26"/>
    </row>
    <row r="153" spans="2:8" ht="18.75" x14ac:dyDescent="0.25">
      <c r="B153" s="44"/>
      <c r="C153" s="84"/>
      <c r="D153" s="86"/>
      <c r="E153" s="88"/>
      <c r="F153" s="88"/>
      <c r="G153" s="30"/>
      <c r="H153" s="26"/>
    </row>
    <row r="154" spans="2:8" ht="18.75" x14ac:dyDescent="0.25">
      <c r="B154" s="44"/>
      <c r="C154" s="84"/>
      <c r="D154" s="86"/>
      <c r="E154" s="88"/>
      <c r="F154" s="88"/>
      <c r="G154" s="30"/>
      <c r="H154" s="26"/>
    </row>
    <row r="155" spans="2:8" ht="18.75" x14ac:dyDescent="0.25">
      <c r="B155" s="44"/>
      <c r="C155" s="84"/>
      <c r="D155" s="86"/>
      <c r="E155" s="88"/>
      <c r="F155" s="88"/>
      <c r="G155" s="30"/>
      <c r="H155" s="26"/>
    </row>
    <row r="156" spans="2:8" ht="18.75" x14ac:dyDescent="0.25">
      <c r="B156" s="44"/>
      <c r="C156" s="84"/>
      <c r="D156" s="86"/>
      <c r="E156" s="88"/>
      <c r="F156" s="88"/>
      <c r="G156" s="30"/>
      <c r="H156" s="26"/>
    </row>
    <row r="157" spans="2:8" ht="18.75" x14ac:dyDescent="0.25">
      <c r="B157" s="44"/>
      <c r="C157" s="84"/>
      <c r="D157" s="86"/>
      <c r="E157" s="88"/>
      <c r="F157" s="88"/>
      <c r="G157" s="30"/>
      <c r="H157" s="26"/>
    </row>
    <row r="158" spans="2:8" ht="18.75" x14ac:dyDescent="0.25">
      <c r="B158" s="44"/>
      <c r="C158" s="84"/>
      <c r="D158" s="86"/>
      <c r="E158" s="88"/>
      <c r="F158" s="88"/>
      <c r="G158" s="30"/>
      <c r="H158" s="26"/>
    </row>
    <row r="159" spans="2:8" ht="18.75" x14ac:dyDescent="0.25">
      <c r="B159" s="44"/>
      <c r="C159" s="84"/>
      <c r="D159" s="86"/>
      <c r="E159" s="88"/>
      <c r="F159" s="88"/>
      <c r="G159" s="30"/>
      <c r="H159" s="26"/>
    </row>
    <row r="160" spans="2:8" ht="18.75" x14ac:dyDescent="0.25">
      <c r="B160" s="44"/>
      <c r="C160" s="84"/>
      <c r="D160" s="86"/>
      <c r="E160" s="88"/>
      <c r="F160" s="88"/>
      <c r="G160" s="30"/>
      <c r="H160" s="26"/>
    </row>
    <row r="161" spans="2:8" ht="18.75" x14ac:dyDescent="0.25">
      <c r="B161" s="44"/>
      <c r="C161" s="84"/>
      <c r="D161" s="86"/>
      <c r="E161" s="88"/>
      <c r="F161" s="88"/>
      <c r="G161" s="30"/>
      <c r="H161" s="26"/>
    </row>
    <row r="162" spans="2:8" ht="18.75" x14ac:dyDescent="0.25">
      <c r="B162" s="44"/>
      <c r="C162" s="84"/>
      <c r="D162" s="86"/>
      <c r="E162" s="88"/>
      <c r="F162" s="88"/>
      <c r="G162" s="30"/>
      <c r="H162" s="26"/>
    </row>
    <row r="163" spans="2:8" ht="18.75" x14ac:dyDescent="0.25">
      <c r="B163" s="44"/>
      <c r="C163" s="84"/>
      <c r="D163" s="86"/>
      <c r="E163" s="88"/>
      <c r="F163" s="88"/>
      <c r="G163" s="30"/>
      <c r="H163" s="26"/>
    </row>
    <row r="164" spans="2:8" ht="18.75" x14ac:dyDescent="0.25">
      <c r="B164" s="44"/>
      <c r="C164" s="84"/>
      <c r="D164" s="86"/>
      <c r="E164" s="88"/>
      <c r="F164" s="88"/>
      <c r="G164" s="30"/>
      <c r="H164" s="26"/>
    </row>
    <row r="165" spans="2:8" ht="18.75" x14ac:dyDescent="0.25">
      <c r="B165" s="44"/>
      <c r="C165" s="84"/>
      <c r="D165" s="86"/>
      <c r="E165" s="88"/>
      <c r="F165" s="88"/>
      <c r="G165" s="30"/>
      <c r="H165" s="26"/>
    </row>
    <row r="166" spans="2:8" ht="18.75" x14ac:dyDescent="0.25">
      <c r="B166" s="44"/>
      <c r="C166" s="84"/>
      <c r="D166" s="86"/>
      <c r="E166" s="88"/>
      <c r="F166" s="88"/>
      <c r="G166" s="30"/>
      <c r="H166" s="26"/>
    </row>
    <row r="167" spans="2:8" ht="18.75" x14ac:dyDescent="0.25">
      <c r="B167" s="44"/>
      <c r="C167" s="84"/>
      <c r="D167" s="86"/>
      <c r="E167" s="88"/>
      <c r="F167" s="88"/>
      <c r="G167" s="30"/>
      <c r="H167" s="26"/>
    </row>
    <row r="168" spans="2:8" ht="18.75" x14ac:dyDescent="0.25">
      <c r="B168" s="44"/>
      <c r="C168" s="84"/>
      <c r="D168" s="86"/>
      <c r="E168" s="88"/>
      <c r="F168" s="88"/>
      <c r="G168" s="30"/>
      <c r="H168" s="26"/>
    </row>
    <row r="169" spans="2:8" ht="18.75" x14ac:dyDescent="0.25">
      <c r="B169" s="44"/>
      <c r="C169" s="84"/>
      <c r="D169" s="86"/>
      <c r="E169" s="88"/>
      <c r="F169" s="88"/>
      <c r="G169" s="30"/>
      <c r="H169" s="26"/>
    </row>
    <row r="170" spans="2:8" ht="18.75" x14ac:dyDescent="0.25">
      <c r="B170" s="44"/>
      <c r="C170" s="84"/>
      <c r="D170" s="86"/>
      <c r="E170" s="88"/>
      <c r="F170" s="88"/>
      <c r="G170" s="30"/>
      <c r="H170" s="26"/>
    </row>
    <row r="171" spans="2:8" ht="18.75" x14ac:dyDescent="0.25">
      <c r="B171" s="44"/>
      <c r="C171" s="84"/>
      <c r="D171" s="86"/>
      <c r="E171" s="88"/>
      <c r="F171" s="88"/>
      <c r="G171" s="30"/>
      <c r="H171" s="26"/>
    </row>
    <row r="172" spans="2:8" ht="18.75" x14ac:dyDescent="0.25">
      <c r="B172" s="44"/>
      <c r="C172" s="84"/>
      <c r="D172" s="86"/>
      <c r="E172" s="88"/>
      <c r="F172" s="88"/>
      <c r="G172" s="30"/>
      <c r="H172" s="26"/>
    </row>
    <row r="173" spans="2:8" ht="18.75" x14ac:dyDescent="0.25">
      <c r="B173" s="44"/>
      <c r="C173" s="84"/>
      <c r="D173" s="86"/>
      <c r="E173" s="88"/>
      <c r="F173" s="88"/>
      <c r="G173" s="30"/>
      <c r="H173" s="26"/>
    </row>
    <row r="174" spans="2:8" ht="18.75" x14ac:dyDescent="0.25">
      <c r="B174" s="44"/>
      <c r="C174" s="84"/>
      <c r="D174" s="86"/>
      <c r="E174" s="88"/>
      <c r="F174" s="88"/>
      <c r="G174" s="30"/>
      <c r="H174" s="26"/>
    </row>
    <row r="175" spans="2:8" ht="18.75" x14ac:dyDescent="0.25">
      <c r="B175" s="44"/>
      <c r="C175" s="84"/>
      <c r="D175" s="86"/>
      <c r="E175" s="88"/>
      <c r="F175" s="88"/>
      <c r="G175" s="30"/>
      <c r="H175" s="26"/>
    </row>
    <row r="176" spans="2:8" ht="18.75" x14ac:dyDescent="0.25">
      <c r="B176" s="44"/>
      <c r="C176" s="84"/>
      <c r="D176" s="86"/>
      <c r="E176" s="88"/>
      <c r="F176" s="88"/>
      <c r="G176" s="30"/>
      <c r="H176" s="26"/>
    </row>
    <row r="177" spans="2:8" ht="18.75" x14ac:dyDescent="0.25">
      <c r="B177" s="44"/>
      <c r="C177" s="84"/>
      <c r="D177" s="86"/>
      <c r="E177" s="88"/>
      <c r="F177" s="88"/>
      <c r="G177" s="30"/>
      <c r="H177" s="26"/>
    </row>
    <row r="178" spans="2:8" ht="18.75" x14ac:dyDescent="0.25">
      <c r="B178" s="44"/>
      <c r="C178" s="84"/>
      <c r="D178" s="86"/>
      <c r="E178" s="88"/>
      <c r="F178" s="88"/>
      <c r="G178" s="30"/>
      <c r="H178" s="26"/>
    </row>
    <row r="179" spans="2:8" ht="18.75" x14ac:dyDescent="0.25">
      <c r="B179" s="44"/>
      <c r="C179" s="84"/>
      <c r="D179" s="86"/>
      <c r="E179" s="88"/>
      <c r="F179" s="88"/>
      <c r="G179" s="30"/>
      <c r="H179" s="26"/>
    </row>
    <row r="180" spans="2:8" ht="18.75" x14ac:dyDescent="0.25">
      <c r="B180" s="44"/>
      <c r="C180" s="84"/>
      <c r="D180" s="86"/>
      <c r="E180" s="88"/>
      <c r="F180" s="88"/>
      <c r="G180" s="30"/>
      <c r="H180" s="26"/>
    </row>
    <row r="181" spans="2:8" ht="18.75" x14ac:dyDescent="0.25">
      <c r="B181" s="44"/>
      <c r="C181" s="84"/>
      <c r="D181" s="86"/>
      <c r="E181" s="88"/>
      <c r="F181" s="88"/>
      <c r="G181" s="30"/>
      <c r="H181" s="26"/>
    </row>
    <row r="182" spans="2:8" ht="18.75" x14ac:dyDescent="0.25">
      <c r="B182" s="44"/>
      <c r="C182" s="84"/>
      <c r="D182" s="86"/>
      <c r="E182" s="88"/>
      <c r="F182" s="88"/>
      <c r="G182" s="30"/>
      <c r="H182" s="26"/>
    </row>
    <row r="183" spans="2:8" ht="18.75" x14ac:dyDescent="0.25">
      <c r="B183" s="44"/>
      <c r="C183" s="84"/>
      <c r="D183" s="86"/>
      <c r="E183" s="88"/>
      <c r="F183" s="88"/>
      <c r="G183" s="30"/>
      <c r="H183" s="26"/>
    </row>
    <row r="184" spans="2:8" ht="18.75" x14ac:dyDescent="0.25">
      <c r="B184" s="44"/>
      <c r="C184" s="84"/>
      <c r="D184" s="86"/>
      <c r="E184" s="88"/>
      <c r="F184" s="88"/>
      <c r="G184" s="30"/>
      <c r="H184" s="26"/>
    </row>
    <row r="185" spans="2:8" ht="18.75" x14ac:dyDescent="0.25">
      <c r="B185" s="44"/>
      <c r="C185" s="84"/>
      <c r="D185" s="86"/>
      <c r="E185" s="88"/>
      <c r="F185" s="88"/>
      <c r="G185" s="30"/>
      <c r="H185" s="26"/>
    </row>
    <row r="186" spans="2:8" ht="18.75" x14ac:dyDescent="0.25">
      <c r="B186" s="44"/>
      <c r="C186" s="84"/>
      <c r="D186" s="86"/>
      <c r="E186" s="88"/>
      <c r="F186" s="88"/>
      <c r="G186" s="30"/>
      <c r="H186" s="26"/>
    </row>
    <row r="187" spans="2:8" ht="18.75" x14ac:dyDescent="0.25">
      <c r="B187" s="44"/>
      <c r="C187" s="84"/>
      <c r="D187" s="86"/>
      <c r="E187" s="88"/>
      <c r="F187" s="88"/>
      <c r="G187" s="30"/>
      <c r="H187" s="26"/>
    </row>
    <row r="188" spans="2:8" ht="18.75" x14ac:dyDescent="0.25">
      <c r="B188" s="44"/>
      <c r="C188" s="84"/>
      <c r="D188" s="86"/>
      <c r="E188" s="88"/>
      <c r="F188" s="88"/>
      <c r="G188" s="30"/>
      <c r="H188" s="26"/>
    </row>
    <row r="189" spans="2:8" ht="18.75" x14ac:dyDescent="0.25">
      <c r="B189" s="44"/>
      <c r="C189" s="84"/>
      <c r="D189" s="86"/>
      <c r="E189" s="88"/>
      <c r="F189" s="88"/>
      <c r="G189" s="30"/>
      <c r="H189" s="26"/>
    </row>
    <row r="190" spans="2:8" ht="18.75" x14ac:dyDescent="0.25">
      <c r="B190" s="44"/>
      <c r="C190" s="84"/>
      <c r="D190" s="86"/>
      <c r="E190" s="88"/>
      <c r="F190" s="88"/>
      <c r="G190" s="30"/>
      <c r="H190" s="26"/>
    </row>
    <row r="191" spans="2:8" ht="18.75" x14ac:dyDescent="0.25">
      <c r="B191" s="44"/>
      <c r="C191" s="84"/>
      <c r="D191" s="86"/>
      <c r="E191" s="88"/>
      <c r="F191" s="88"/>
      <c r="G191" s="30"/>
      <c r="H191" s="26"/>
    </row>
    <row r="192" spans="2:8" ht="18.75" x14ac:dyDescent="0.25">
      <c r="B192" s="44"/>
      <c r="C192" s="84"/>
      <c r="D192" s="86"/>
      <c r="E192" s="88"/>
      <c r="F192" s="88"/>
      <c r="G192" s="30"/>
      <c r="H192" s="26"/>
    </row>
    <row r="193" spans="2:8" ht="18.75" x14ac:dyDescent="0.25">
      <c r="B193" s="44"/>
      <c r="C193" s="84"/>
      <c r="D193" s="86"/>
      <c r="E193" s="88"/>
      <c r="F193" s="88"/>
      <c r="G193" s="30"/>
      <c r="H193" s="26"/>
    </row>
    <row r="194" spans="2:8" ht="18.75" x14ac:dyDescent="0.25">
      <c r="B194" s="44"/>
      <c r="C194" s="84"/>
      <c r="D194" s="86"/>
      <c r="E194" s="88"/>
      <c r="F194" s="88"/>
      <c r="G194" s="30"/>
      <c r="H194" s="26"/>
    </row>
    <row r="195" spans="2:8" ht="18.75" x14ac:dyDescent="0.25">
      <c r="B195" s="44"/>
      <c r="C195" s="84"/>
      <c r="D195" s="86"/>
      <c r="E195" s="88"/>
      <c r="F195" s="88"/>
      <c r="G195" s="30"/>
      <c r="H195" s="26"/>
    </row>
    <row r="196" spans="2:8" ht="18.75" x14ac:dyDescent="0.25">
      <c r="B196" s="44"/>
      <c r="C196" s="84"/>
      <c r="D196" s="86"/>
      <c r="E196" s="88"/>
      <c r="F196" s="88"/>
      <c r="G196" s="30"/>
      <c r="H196" s="26"/>
    </row>
    <row r="197" spans="2:8" ht="18.75" x14ac:dyDescent="0.25">
      <c r="B197" s="44"/>
      <c r="C197" s="84"/>
      <c r="D197" s="86"/>
      <c r="E197" s="88"/>
      <c r="F197" s="88"/>
      <c r="G197" s="30"/>
      <c r="H197" s="26"/>
    </row>
    <row r="198" spans="2:8" ht="18.75" x14ac:dyDescent="0.25">
      <c r="B198" s="44"/>
      <c r="C198" s="84"/>
      <c r="D198" s="86"/>
      <c r="E198" s="88"/>
      <c r="F198" s="88"/>
      <c r="G198" s="30"/>
      <c r="H198" s="26"/>
    </row>
    <row r="199" spans="2:8" ht="18.75" x14ac:dyDescent="0.25">
      <c r="B199" s="44"/>
      <c r="C199" s="84"/>
      <c r="D199" s="86"/>
      <c r="E199" s="88"/>
      <c r="F199" s="88"/>
      <c r="G199" s="30"/>
      <c r="H199" s="26"/>
    </row>
    <row r="200" spans="2:8" ht="18.75" x14ac:dyDescent="0.25">
      <c r="B200" s="44"/>
      <c r="C200" s="84"/>
      <c r="D200" s="86"/>
      <c r="E200" s="88"/>
      <c r="F200" s="88"/>
      <c r="G200" s="30"/>
      <c r="H200" s="26"/>
    </row>
    <row r="201" spans="2:8" ht="18.75" x14ac:dyDescent="0.25">
      <c r="B201" s="44"/>
      <c r="C201" s="84"/>
      <c r="D201" s="86"/>
      <c r="E201" s="88"/>
      <c r="F201" s="88"/>
      <c r="G201" s="30"/>
      <c r="H201" s="26"/>
    </row>
    <row r="202" spans="2:8" ht="18.75" x14ac:dyDescent="0.25">
      <c r="B202" s="44"/>
      <c r="C202" s="84"/>
      <c r="D202" s="86"/>
      <c r="E202" s="88"/>
      <c r="F202" s="88"/>
      <c r="G202" s="30"/>
      <c r="H202" s="26"/>
    </row>
    <row r="203" spans="2:8" ht="18.75" x14ac:dyDescent="0.25">
      <c r="B203" s="44"/>
      <c r="C203" s="84"/>
      <c r="D203" s="86"/>
      <c r="E203" s="88"/>
      <c r="F203" s="88"/>
      <c r="G203" s="30"/>
      <c r="H203" s="26"/>
    </row>
    <row r="204" spans="2:8" ht="18.75" x14ac:dyDescent="0.25">
      <c r="B204" s="44"/>
      <c r="C204" s="84"/>
      <c r="D204" s="86"/>
      <c r="E204" s="88"/>
      <c r="F204" s="88"/>
      <c r="G204" s="30"/>
      <c r="H204" s="26"/>
    </row>
    <row r="205" spans="2:8" ht="18.75" x14ac:dyDescent="0.25">
      <c r="B205" s="44"/>
      <c r="C205" s="84"/>
      <c r="D205" s="86"/>
      <c r="E205" s="88"/>
      <c r="F205" s="88"/>
      <c r="G205" s="30"/>
      <c r="H205" s="26"/>
    </row>
    <row r="206" spans="2:8" ht="18.75" x14ac:dyDescent="0.25">
      <c r="B206" s="44"/>
      <c r="C206" s="84"/>
      <c r="D206" s="86"/>
      <c r="E206" s="88"/>
      <c r="F206" s="88"/>
      <c r="G206" s="30"/>
      <c r="H206" s="26"/>
    </row>
    <row r="207" spans="2:8" ht="18.75" x14ac:dyDescent="0.25">
      <c r="B207" s="44"/>
      <c r="C207" s="84"/>
      <c r="D207" s="86"/>
      <c r="E207" s="88"/>
      <c r="F207" s="88"/>
      <c r="G207" s="30"/>
      <c r="H207" s="26"/>
    </row>
    <row r="208" spans="2:8" ht="18.75" x14ac:dyDescent="0.25">
      <c r="B208" s="44"/>
      <c r="C208" s="84"/>
      <c r="D208" s="86"/>
      <c r="E208" s="88"/>
      <c r="F208" s="88"/>
      <c r="G208" s="30"/>
      <c r="H208" s="26"/>
    </row>
    <row r="209" spans="2:8" ht="18.75" x14ac:dyDescent="0.25">
      <c r="B209" s="44"/>
      <c r="C209" s="84"/>
      <c r="D209" s="86"/>
      <c r="E209" s="88"/>
      <c r="F209" s="88"/>
      <c r="G209" s="30"/>
      <c r="H209" s="26"/>
    </row>
    <row r="210" spans="2:8" ht="18.75" x14ac:dyDescent="0.25">
      <c r="B210" s="44"/>
      <c r="C210" s="84"/>
      <c r="D210" s="86"/>
      <c r="E210" s="88"/>
      <c r="F210" s="88"/>
      <c r="G210" s="30"/>
      <c r="H210" s="26"/>
    </row>
    <row r="211" spans="2:8" ht="18.75" x14ac:dyDescent="0.25">
      <c r="B211" s="44"/>
      <c r="C211" s="84"/>
      <c r="D211" s="86"/>
      <c r="E211" s="88"/>
      <c r="F211" s="88"/>
      <c r="G211" s="30"/>
      <c r="H211" s="26"/>
    </row>
    <row r="212" spans="2:8" ht="18.75" x14ac:dyDescent="0.25">
      <c r="B212" s="44"/>
      <c r="C212" s="84"/>
      <c r="D212" s="86"/>
      <c r="E212" s="88"/>
      <c r="F212" s="88"/>
      <c r="G212" s="30"/>
      <c r="H212" s="26"/>
    </row>
    <row r="213" spans="2:8" ht="18.75" x14ac:dyDescent="0.25">
      <c r="B213" s="44"/>
      <c r="C213" s="84"/>
      <c r="D213" s="86"/>
      <c r="E213" s="88"/>
      <c r="F213" s="88"/>
      <c r="G213" s="30"/>
      <c r="H213" s="26"/>
    </row>
    <row r="214" spans="2:8" ht="18.75" x14ac:dyDescent="0.25">
      <c r="B214" s="44"/>
      <c r="C214" s="84"/>
      <c r="D214" s="86"/>
      <c r="E214" s="88"/>
      <c r="F214" s="88"/>
      <c r="G214" s="30"/>
      <c r="H214" s="26"/>
    </row>
    <row r="215" spans="2:8" ht="18.75" x14ac:dyDescent="0.25">
      <c r="B215" s="44"/>
      <c r="C215" s="84"/>
      <c r="D215" s="86"/>
      <c r="E215" s="88"/>
      <c r="F215" s="88"/>
      <c r="G215" s="30"/>
      <c r="H215" s="26"/>
    </row>
    <row r="216" spans="2:8" ht="18.75" x14ac:dyDescent="0.25">
      <c r="B216" s="44"/>
      <c r="C216" s="84"/>
      <c r="D216" s="86"/>
      <c r="E216" s="88"/>
      <c r="F216" s="88"/>
      <c r="G216" s="30"/>
      <c r="H216" s="26"/>
    </row>
    <row r="217" spans="2:8" ht="18.75" x14ac:dyDescent="0.25">
      <c r="B217" s="44"/>
      <c r="C217" s="84"/>
      <c r="D217" s="86"/>
      <c r="E217" s="88"/>
      <c r="F217" s="88"/>
      <c r="G217" s="30"/>
      <c r="H217" s="26"/>
    </row>
    <row r="218" spans="2:8" ht="18.75" x14ac:dyDescent="0.25">
      <c r="B218" s="44"/>
      <c r="C218" s="84"/>
      <c r="D218" s="86"/>
      <c r="E218" s="88"/>
      <c r="F218" s="88"/>
      <c r="G218" s="30"/>
      <c r="H218" s="26"/>
    </row>
    <row r="219" spans="2:8" ht="18.75" x14ac:dyDescent="0.25">
      <c r="B219" s="44"/>
      <c r="C219" s="84"/>
      <c r="D219" s="86"/>
      <c r="E219" s="88"/>
      <c r="F219" s="88"/>
      <c r="G219" s="30"/>
      <c r="H219" s="26"/>
    </row>
    <row r="220" spans="2:8" ht="18.75" x14ac:dyDescent="0.25">
      <c r="B220" s="44"/>
      <c r="C220" s="84"/>
      <c r="D220" s="86"/>
      <c r="E220" s="88"/>
      <c r="F220" s="88"/>
      <c r="G220" s="30"/>
      <c r="H220" s="26"/>
    </row>
    <row r="221" spans="2:8" ht="18.75" x14ac:dyDescent="0.25">
      <c r="B221" s="44"/>
      <c r="C221" s="84"/>
      <c r="D221" s="86"/>
      <c r="E221" s="88"/>
      <c r="F221" s="88"/>
      <c r="G221" s="30"/>
      <c r="H221" s="26"/>
    </row>
    <row r="222" spans="2:8" ht="18.75" x14ac:dyDescent="0.25">
      <c r="B222" s="44"/>
      <c r="C222" s="84"/>
      <c r="D222" s="86"/>
      <c r="E222" s="88"/>
      <c r="F222" s="88"/>
      <c r="G222" s="30"/>
      <c r="H222" s="26"/>
    </row>
    <row r="223" spans="2:8" ht="18.75" x14ac:dyDescent="0.25">
      <c r="B223" s="44"/>
      <c r="C223" s="84"/>
      <c r="D223" s="86"/>
      <c r="E223" s="88"/>
      <c r="F223" s="88"/>
      <c r="G223" s="30"/>
      <c r="H223" s="26"/>
    </row>
    <row r="224" spans="2:8" ht="18.75" x14ac:dyDescent="0.25">
      <c r="B224" s="44"/>
      <c r="C224" s="84"/>
      <c r="D224" s="86"/>
      <c r="E224" s="88"/>
      <c r="F224" s="88"/>
      <c r="G224" s="30"/>
      <c r="H224" s="26"/>
    </row>
    <row r="225" spans="2:8" ht="18.75" x14ac:dyDescent="0.25">
      <c r="B225" s="44"/>
      <c r="C225" s="84"/>
      <c r="D225" s="86"/>
      <c r="E225" s="88"/>
      <c r="F225" s="88"/>
      <c r="G225" s="30"/>
      <c r="H225" s="26"/>
    </row>
    <row r="226" spans="2:8" ht="18.75" x14ac:dyDescent="0.25">
      <c r="B226" s="44"/>
      <c r="C226" s="84"/>
      <c r="D226" s="86"/>
      <c r="E226" s="88"/>
      <c r="F226" s="88"/>
      <c r="G226" s="30"/>
      <c r="H226" s="26"/>
    </row>
    <row r="227" spans="2:8" ht="18.75" x14ac:dyDescent="0.25">
      <c r="B227" s="44"/>
      <c r="C227" s="84"/>
      <c r="D227" s="86"/>
      <c r="E227" s="88"/>
      <c r="F227" s="88"/>
      <c r="G227" s="30"/>
      <c r="H227" s="26"/>
    </row>
    <row r="228" spans="2:8" ht="18.75" x14ac:dyDescent="0.25">
      <c r="B228" s="44"/>
      <c r="C228" s="84"/>
      <c r="D228" s="86"/>
      <c r="E228" s="88"/>
      <c r="F228" s="88"/>
      <c r="G228" s="30"/>
      <c r="H228" s="26"/>
    </row>
    <row r="229" spans="2:8" ht="18.75" x14ac:dyDescent="0.25">
      <c r="B229" s="44"/>
      <c r="C229" s="84"/>
      <c r="D229" s="86"/>
      <c r="E229" s="88"/>
      <c r="F229" s="88"/>
      <c r="G229" s="30"/>
      <c r="H229" s="26"/>
    </row>
    <row r="230" spans="2:8" ht="18.75" x14ac:dyDescent="0.25">
      <c r="B230" s="44"/>
      <c r="C230" s="84"/>
      <c r="D230" s="86"/>
      <c r="E230" s="88"/>
      <c r="F230" s="88"/>
      <c r="G230" s="30"/>
      <c r="H230" s="26"/>
    </row>
    <row r="231" spans="2:8" ht="18.75" x14ac:dyDescent="0.25">
      <c r="B231" s="44"/>
      <c r="C231" s="84"/>
      <c r="D231" s="86"/>
      <c r="E231" s="88"/>
      <c r="F231" s="88"/>
      <c r="G231" s="30"/>
      <c r="H231" s="26"/>
    </row>
    <row r="232" spans="2:8" ht="18.75" x14ac:dyDescent="0.25">
      <c r="B232" s="44"/>
      <c r="C232" s="84"/>
      <c r="D232" s="86"/>
      <c r="E232" s="88"/>
      <c r="F232" s="88"/>
      <c r="G232" s="30"/>
      <c r="H232" s="26"/>
    </row>
    <row r="233" spans="2:8" ht="18.75" x14ac:dyDescent="0.25">
      <c r="B233" s="44"/>
      <c r="C233" s="84"/>
      <c r="D233" s="86"/>
      <c r="E233" s="88"/>
      <c r="F233" s="88"/>
      <c r="G233" s="30"/>
      <c r="H233" s="26"/>
    </row>
    <row r="234" spans="2:8" ht="18.75" x14ac:dyDescent="0.25">
      <c r="B234" s="44"/>
      <c r="C234" s="84"/>
      <c r="D234" s="86"/>
      <c r="E234" s="88"/>
      <c r="F234" s="88"/>
      <c r="G234" s="30"/>
      <c r="H234" s="26"/>
    </row>
    <row r="235" spans="2:8" ht="18.75" x14ac:dyDescent="0.25">
      <c r="B235" s="44"/>
      <c r="C235" s="84"/>
      <c r="D235" s="86"/>
      <c r="E235" s="88"/>
      <c r="F235" s="88"/>
      <c r="G235" s="30"/>
      <c r="H235" s="26"/>
    </row>
    <row r="236" spans="2:8" ht="18.75" x14ac:dyDescent="0.25">
      <c r="B236" s="44"/>
      <c r="C236" s="84"/>
      <c r="D236" s="86"/>
      <c r="E236" s="88"/>
      <c r="F236" s="88"/>
      <c r="G236" s="30"/>
      <c r="H236" s="26"/>
    </row>
    <row r="237" spans="2:8" ht="18.75" x14ac:dyDescent="0.25">
      <c r="B237" s="44"/>
      <c r="C237" s="84"/>
      <c r="D237" s="86"/>
      <c r="E237" s="88"/>
      <c r="F237" s="88"/>
      <c r="G237" s="30"/>
      <c r="H237" s="26"/>
    </row>
    <row r="238" spans="2:8" ht="18.75" x14ac:dyDescent="0.25">
      <c r="B238" s="44"/>
      <c r="C238" s="84"/>
      <c r="D238" s="86"/>
      <c r="E238" s="88"/>
      <c r="F238" s="88"/>
      <c r="G238" s="30"/>
      <c r="H238" s="26"/>
    </row>
    <row r="239" spans="2:8" ht="18.75" x14ac:dyDescent="0.25">
      <c r="B239" s="44"/>
      <c r="C239" s="84"/>
      <c r="D239" s="86"/>
      <c r="E239" s="88"/>
      <c r="F239" s="88"/>
      <c r="G239" s="30"/>
      <c r="H239" s="26"/>
    </row>
    <row r="240" spans="2:8" ht="18.75" x14ac:dyDescent="0.25">
      <c r="B240" s="44"/>
      <c r="C240" s="84"/>
      <c r="D240" s="86"/>
      <c r="E240" s="88"/>
      <c r="F240" s="88"/>
      <c r="G240" s="30"/>
      <c r="H240" s="26"/>
    </row>
    <row r="241" spans="2:8" ht="18.75" x14ac:dyDescent="0.25">
      <c r="B241" s="44"/>
      <c r="C241" s="84"/>
      <c r="D241" s="86"/>
      <c r="E241" s="88"/>
      <c r="F241" s="88"/>
      <c r="G241" s="30"/>
      <c r="H241" s="26"/>
    </row>
    <row r="242" spans="2:8" ht="18.75" x14ac:dyDescent="0.25">
      <c r="B242" s="44"/>
      <c r="C242" s="84"/>
      <c r="D242" s="86"/>
      <c r="E242" s="88"/>
      <c r="F242" s="88"/>
      <c r="G242" s="30"/>
      <c r="H242" s="26"/>
    </row>
    <row r="243" spans="2:8" ht="18.75" x14ac:dyDescent="0.25">
      <c r="B243" s="44"/>
      <c r="C243" s="84"/>
      <c r="D243" s="86"/>
      <c r="E243" s="88"/>
      <c r="F243" s="88"/>
      <c r="G243" s="30"/>
      <c r="H243" s="26"/>
    </row>
    <row r="244" spans="2:8" ht="18.75" x14ac:dyDescent="0.25">
      <c r="B244" s="44"/>
      <c r="C244" s="84"/>
      <c r="D244" s="86"/>
      <c r="E244" s="88"/>
      <c r="F244" s="88"/>
      <c r="G244" s="30"/>
      <c r="H244" s="26"/>
    </row>
    <row r="245" spans="2:8" ht="18.75" x14ac:dyDescent="0.25">
      <c r="B245" s="44"/>
      <c r="C245" s="84"/>
      <c r="D245" s="86"/>
      <c r="E245" s="88"/>
      <c r="F245" s="88"/>
      <c r="G245" s="30"/>
      <c r="H245" s="26"/>
    </row>
    <row r="246" spans="2:8" ht="18.75" x14ac:dyDescent="0.25">
      <c r="B246" s="44"/>
      <c r="C246" s="84"/>
      <c r="D246" s="86"/>
      <c r="E246" s="88"/>
      <c r="F246" s="88"/>
      <c r="G246" s="30"/>
      <c r="H246" s="26"/>
    </row>
    <row r="247" spans="2:8" ht="18.75" x14ac:dyDescent="0.25">
      <c r="B247" s="44"/>
      <c r="C247" s="84"/>
      <c r="D247" s="86"/>
      <c r="E247" s="88"/>
      <c r="F247" s="88"/>
      <c r="G247" s="30"/>
      <c r="H247" s="26"/>
    </row>
    <row r="248" spans="2:8" ht="18.75" x14ac:dyDescent="0.25">
      <c r="B248" s="44"/>
      <c r="C248" s="84"/>
      <c r="D248" s="86"/>
      <c r="E248" s="88"/>
      <c r="F248" s="88"/>
      <c r="G248" s="30"/>
      <c r="H248" s="26"/>
    </row>
    <row r="249" spans="2:8" ht="18.75" x14ac:dyDescent="0.25">
      <c r="B249" s="44"/>
      <c r="C249" s="84"/>
      <c r="D249" s="86"/>
      <c r="E249" s="88"/>
      <c r="F249" s="88"/>
      <c r="G249" s="30"/>
      <c r="H249" s="26"/>
    </row>
    <row r="250" spans="2:8" ht="18.75" x14ac:dyDescent="0.25">
      <c r="B250" s="44"/>
      <c r="C250" s="84"/>
      <c r="D250" s="86"/>
      <c r="E250" s="88"/>
      <c r="F250" s="88"/>
      <c r="G250" s="30"/>
      <c r="H250" s="26"/>
    </row>
    <row r="251" spans="2:8" ht="18.75" x14ac:dyDescent="0.25">
      <c r="B251" s="44"/>
      <c r="C251" s="84"/>
      <c r="D251" s="86"/>
      <c r="E251" s="88"/>
      <c r="F251" s="88"/>
      <c r="G251" s="30"/>
      <c r="H251" s="26"/>
    </row>
    <row r="252" spans="2:8" ht="18.75" x14ac:dyDescent="0.25">
      <c r="B252" s="44"/>
      <c r="C252" s="84"/>
      <c r="D252" s="86"/>
      <c r="E252" s="88"/>
      <c r="F252" s="88"/>
      <c r="G252" s="30"/>
      <c r="H252" s="26"/>
    </row>
    <row r="253" spans="2:8" ht="18.75" x14ac:dyDescent="0.25">
      <c r="B253" s="44"/>
      <c r="C253" s="84"/>
      <c r="D253" s="86"/>
      <c r="E253" s="88"/>
      <c r="F253" s="88"/>
      <c r="G253" s="30"/>
      <c r="H253" s="26"/>
    </row>
    <row r="254" spans="2:8" ht="18.75" x14ac:dyDescent="0.25">
      <c r="B254" s="44"/>
      <c r="C254" s="84"/>
      <c r="D254" s="86"/>
      <c r="E254" s="88"/>
      <c r="F254" s="88"/>
      <c r="G254" s="30"/>
      <c r="H254" s="26"/>
    </row>
    <row r="255" spans="2:8" ht="18.75" x14ac:dyDescent="0.25">
      <c r="B255" s="44"/>
      <c r="C255" s="84"/>
      <c r="D255" s="86"/>
      <c r="E255" s="88"/>
      <c r="F255" s="88"/>
      <c r="G255" s="30"/>
      <c r="H255" s="26"/>
    </row>
    <row r="256" spans="2:8" ht="18.75" x14ac:dyDescent="0.25">
      <c r="B256" s="44"/>
      <c r="C256" s="84"/>
      <c r="D256" s="86"/>
      <c r="E256" s="88"/>
      <c r="F256" s="88"/>
      <c r="G256" s="30"/>
      <c r="H256" s="26"/>
    </row>
    <row r="257" spans="2:8" ht="18.75" x14ac:dyDescent="0.25">
      <c r="B257" s="44"/>
      <c r="C257" s="84"/>
      <c r="D257" s="86"/>
      <c r="E257" s="88"/>
      <c r="F257" s="88"/>
      <c r="G257" s="30"/>
      <c r="H257" s="26"/>
    </row>
    <row r="258" spans="2:8" ht="18.75" x14ac:dyDescent="0.25">
      <c r="B258" s="44"/>
      <c r="C258" s="84"/>
      <c r="D258" s="86"/>
      <c r="E258" s="88"/>
      <c r="F258" s="88"/>
      <c r="G258" s="30"/>
      <c r="H258" s="26"/>
    </row>
    <row r="259" spans="2:8" ht="18.75" x14ac:dyDescent="0.25">
      <c r="B259" s="44"/>
      <c r="C259" s="84"/>
      <c r="D259" s="86"/>
      <c r="E259" s="88"/>
      <c r="F259" s="88"/>
      <c r="G259" s="30"/>
      <c r="H259" s="26"/>
    </row>
    <row r="260" spans="2:8" ht="18.75" x14ac:dyDescent="0.25">
      <c r="B260" s="44"/>
      <c r="C260" s="84"/>
      <c r="D260" s="86"/>
      <c r="E260" s="88"/>
      <c r="F260" s="88"/>
      <c r="G260" s="30"/>
      <c r="H260" s="26"/>
    </row>
    <row r="261" spans="2:8" ht="18.75" x14ac:dyDescent="0.25">
      <c r="B261" s="44"/>
      <c r="C261" s="84"/>
      <c r="D261" s="86"/>
      <c r="E261" s="88"/>
      <c r="F261" s="88"/>
      <c r="G261" s="30"/>
      <c r="H261" s="26"/>
    </row>
    <row r="262" spans="2:8" ht="18.75" x14ac:dyDescent="0.25">
      <c r="B262" s="44"/>
      <c r="C262" s="84"/>
      <c r="D262" s="86"/>
      <c r="E262" s="88"/>
      <c r="F262" s="88"/>
      <c r="G262" s="30"/>
      <c r="H262" s="26"/>
    </row>
    <row r="263" spans="2:8" ht="18.75" x14ac:dyDescent="0.25">
      <c r="B263" s="44"/>
      <c r="C263" s="84"/>
      <c r="D263" s="86"/>
      <c r="E263" s="88"/>
      <c r="F263" s="88"/>
      <c r="G263" s="30"/>
      <c r="H263" s="26"/>
    </row>
    <row r="264" spans="2:8" ht="18.75" x14ac:dyDescent="0.25">
      <c r="B264" s="44"/>
      <c r="C264" s="84"/>
      <c r="D264" s="86"/>
      <c r="E264" s="88"/>
      <c r="F264" s="88"/>
      <c r="G264" s="30"/>
      <c r="H264" s="26"/>
    </row>
    <row r="265" spans="2:8" ht="18.75" x14ac:dyDescent="0.25">
      <c r="B265" s="44"/>
      <c r="C265" s="84"/>
      <c r="D265" s="86"/>
      <c r="E265" s="88"/>
      <c r="F265" s="88"/>
      <c r="G265" s="30"/>
      <c r="H265" s="26"/>
    </row>
    <row r="266" spans="2:8" ht="18.75" x14ac:dyDescent="0.25">
      <c r="B266" s="44"/>
      <c r="C266" s="84"/>
      <c r="D266" s="86"/>
      <c r="E266" s="88"/>
      <c r="F266" s="88"/>
      <c r="G266" s="30"/>
      <c r="H266" s="26"/>
    </row>
    <row r="267" spans="2:8" ht="18.75" x14ac:dyDescent="0.25">
      <c r="B267" s="44"/>
      <c r="C267" s="84"/>
      <c r="D267" s="86"/>
      <c r="E267" s="88"/>
      <c r="F267" s="88"/>
      <c r="G267" s="30"/>
      <c r="H267" s="26"/>
    </row>
    <row r="268" spans="2:8" ht="18.75" x14ac:dyDescent="0.25">
      <c r="B268" s="44"/>
      <c r="C268" s="84"/>
      <c r="D268" s="86"/>
      <c r="E268" s="88"/>
      <c r="F268" s="88"/>
      <c r="G268" s="30"/>
      <c r="H268" s="26"/>
    </row>
    <row r="269" spans="2:8" ht="18.75" x14ac:dyDescent="0.25">
      <c r="B269" s="44"/>
      <c r="C269" s="84"/>
      <c r="D269" s="86"/>
      <c r="E269" s="88"/>
      <c r="F269" s="88"/>
      <c r="G269" s="30"/>
      <c r="H269" s="26"/>
    </row>
    <row r="270" spans="2:8" ht="18.75" x14ac:dyDescent="0.25">
      <c r="B270" s="44"/>
      <c r="C270" s="84"/>
      <c r="D270" s="86"/>
      <c r="E270" s="88"/>
      <c r="F270" s="88"/>
      <c r="G270" s="30"/>
      <c r="H270" s="26"/>
    </row>
    <row r="271" spans="2:8" ht="18.75" x14ac:dyDescent="0.25">
      <c r="B271" s="44"/>
      <c r="C271" s="84"/>
      <c r="D271" s="86"/>
      <c r="E271" s="88"/>
      <c r="F271" s="88"/>
      <c r="G271" s="30"/>
      <c r="H271" s="26"/>
    </row>
    <row r="272" spans="2:8" ht="18.75" x14ac:dyDescent="0.25">
      <c r="B272" s="44"/>
      <c r="C272" s="84"/>
      <c r="D272" s="86"/>
      <c r="E272" s="88"/>
      <c r="F272" s="88"/>
      <c r="G272" s="30"/>
      <c r="H272" s="26"/>
    </row>
    <row r="273" spans="2:8" ht="18.75" x14ac:dyDescent="0.25">
      <c r="B273" s="44"/>
      <c r="C273" s="84"/>
      <c r="D273" s="86"/>
      <c r="E273" s="88"/>
      <c r="F273" s="88"/>
      <c r="G273" s="30"/>
      <c r="H273" s="26"/>
    </row>
    <row r="274" spans="2:8" ht="18.75" x14ac:dyDescent="0.25">
      <c r="B274" s="44"/>
      <c r="C274" s="84"/>
      <c r="D274" s="86"/>
      <c r="E274" s="88"/>
      <c r="F274" s="88"/>
      <c r="G274" s="30"/>
      <c r="H274" s="26"/>
    </row>
    <row r="275" spans="2:8" ht="18.75" x14ac:dyDescent="0.25">
      <c r="B275" s="44"/>
      <c r="C275" s="84"/>
      <c r="D275" s="86"/>
      <c r="E275" s="88"/>
      <c r="F275" s="88"/>
      <c r="G275" s="30"/>
      <c r="H275" s="26"/>
    </row>
    <row r="276" spans="2:8" ht="18.75" x14ac:dyDescent="0.25">
      <c r="B276" s="44"/>
      <c r="C276" s="84"/>
      <c r="D276" s="86"/>
      <c r="E276" s="88"/>
      <c r="F276" s="88"/>
      <c r="G276" s="30"/>
      <c r="H276" s="26"/>
    </row>
    <row r="277" spans="2:8" ht="18.75" x14ac:dyDescent="0.25">
      <c r="B277" s="44"/>
      <c r="C277" s="84"/>
      <c r="D277" s="86"/>
      <c r="E277" s="88"/>
      <c r="F277" s="88"/>
      <c r="G277" s="30"/>
      <c r="H277" s="26"/>
    </row>
    <row r="278" spans="2:8" ht="18.75" x14ac:dyDescent="0.25">
      <c r="B278" s="44"/>
      <c r="C278" s="84"/>
      <c r="D278" s="86"/>
      <c r="E278" s="88"/>
      <c r="F278" s="88"/>
      <c r="G278" s="30"/>
      <c r="H278" s="26"/>
    </row>
    <row r="279" spans="2:8" ht="18.75" x14ac:dyDescent="0.25">
      <c r="B279" s="44"/>
      <c r="C279" s="84"/>
      <c r="D279" s="86"/>
      <c r="E279" s="88"/>
      <c r="F279" s="88"/>
      <c r="G279" s="30"/>
      <c r="H279" s="26"/>
    </row>
    <row r="280" spans="2:8" ht="18.75" x14ac:dyDescent="0.25">
      <c r="B280" s="44"/>
      <c r="C280" s="84"/>
      <c r="D280" s="86"/>
      <c r="E280" s="88"/>
      <c r="F280" s="88"/>
      <c r="G280" s="30"/>
      <c r="H280" s="26"/>
    </row>
    <row r="281" spans="2:8" ht="18.75" x14ac:dyDescent="0.25">
      <c r="B281" s="44"/>
      <c r="C281" s="84"/>
      <c r="D281" s="86"/>
      <c r="E281" s="88"/>
      <c r="F281" s="88"/>
      <c r="G281" s="30"/>
      <c r="H281" s="26"/>
    </row>
    <row r="282" spans="2:8" ht="18.75" x14ac:dyDescent="0.25">
      <c r="B282" s="44"/>
      <c r="C282" s="84"/>
      <c r="D282" s="86"/>
      <c r="E282" s="88"/>
      <c r="F282" s="88"/>
      <c r="G282" s="30"/>
      <c r="H282" s="26"/>
    </row>
    <row r="283" spans="2:8" ht="18.75" x14ac:dyDescent="0.25">
      <c r="B283" s="44"/>
      <c r="C283" s="84"/>
      <c r="D283" s="86"/>
      <c r="E283" s="88"/>
      <c r="F283" s="88"/>
      <c r="G283" s="30"/>
      <c r="H283" s="26"/>
    </row>
    <row r="284" spans="2:8" ht="18.75" x14ac:dyDescent="0.25">
      <c r="B284" s="44"/>
      <c r="C284" s="84"/>
      <c r="D284" s="86"/>
      <c r="E284" s="88"/>
      <c r="F284" s="88"/>
      <c r="G284" s="30"/>
      <c r="H284" s="26"/>
    </row>
    <row r="285" spans="2:8" ht="18.75" x14ac:dyDescent="0.25">
      <c r="B285" s="44"/>
      <c r="C285" s="84"/>
      <c r="D285" s="86"/>
      <c r="E285" s="88"/>
      <c r="F285" s="88"/>
      <c r="G285" s="30"/>
      <c r="H285" s="26"/>
    </row>
    <row r="286" spans="2:8" ht="18.75" x14ac:dyDescent="0.25">
      <c r="B286" s="44"/>
      <c r="C286" s="84"/>
      <c r="D286" s="86"/>
      <c r="E286" s="88"/>
      <c r="F286" s="88"/>
      <c r="G286" s="30"/>
      <c r="H286" s="26"/>
    </row>
    <row r="287" spans="2:8" ht="18.75" x14ac:dyDescent="0.25">
      <c r="B287" s="44"/>
      <c r="C287" s="84"/>
      <c r="D287" s="86"/>
      <c r="E287" s="88"/>
      <c r="F287" s="88"/>
      <c r="G287" s="30"/>
      <c r="H287" s="26"/>
    </row>
    <row r="288" spans="2:8" ht="18.75" x14ac:dyDescent="0.25">
      <c r="B288" s="44"/>
      <c r="C288" s="84"/>
      <c r="D288" s="86"/>
      <c r="E288" s="88"/>
      <c r="F288" s="88"/>
      <c r="G288" s="30"/>
      <c r="H288" s="26"/>
    </row>
    <row r="289" spans="2:8" ht="18.75" x14ac:dyDescent="0.25">
      <c r="B289" s="44"/>
      <c r="C289" s="84"/>
      <c r="D289" s="86"/>
      <c r="E289" s="88"/>
      <c r="F289" s="88"/>
      <c r="G289" s="30"/>
      <c r="H289" s="26"/>
    </row>
    <row r="290" spans="2:8" ht="18.75" x14ac:dyDescent="0.25">
      <c r="B290" s="44"/>
      <c r="C290" s="84"/>
      <c r="D290" s="86"/>
      <c r="E290" s="88"/>
      <c r="F290" s="88"/>
      <c r="G290" s="30"/>
      <c r="H290" s="26"/>
    </row>
    <row r="291" spans="2:8" ht="18.75" x14ac:dyDescent="0.25">
      <c r="B291" s="44"/>
      <c r="C291" s="84"/>
      <c r="D291" s="86"/>
      <c r="E291" s="88"/>
      <c r="F291" s="88"/>
      <c r="G291" s="30"/>
      <c r="H291" s="26"/>
    </row>
    <row r="292" spans="2:8" ht="18.75" x14ac:dyDescent="0.25">
      <c r="B292" s="44"/>
      <c r="C292" s="84"/>
      <c r="D292" s="86"/>
      <c r="E292" s="88"/>
      <c r="F292" s="88"/>
      <c r="G292" s="30"/>
      <c r="H292" s="26"/>
    </row>
    <row r="293" spans="2:8" ht="18.75" x14ac:dyDescent="0.25">
      <c r="B293" s="44"/>
      <c r="C293" s="84"/>
      <c r="D293" s="86"/>
      <c r="E293" s="88"/>
      <c r="F293" s="88"/>
      <c r="G293" s="30"/>
      <c r="H293" s="26"/>
    </row>
    <row r="294" spans="2:8" ht="18.75" x14ac:dyDescent="0.25">
      <c r="B294" s="44"/>
      <c r="C294" s="84"/>
      <c r="D294" s="86"/>
      <c r="E294" s="88"/>
      <c r="F294" s="88"/>
      <c r="G294" s="30"/>
      <c r="H294" s="26"/>
    </row>
    <row r="295" spans="2:8" ht="18.75" x14ac:dyDescent="0.25">
      <c r="B295" s="44"/>
      <c r="C295" s="84"/>
      <c r="D295" s="86"/>
      <c r="E295" s="88"/>
      <c r="F295" s="88"/>
      <c r="G295" s="30"/>
      <c r="H295" s="26"/>
    </row>
    <row r="296" spans="2:8" ht="18.75" x14ac:dyDescent="0.25">
      <c r="B296" s="44"/>
      <c r="C296" s="84"/>
      <c r="D296" s="86"/>
      <c r="E296" s="88"/>
      <c r="F296" s="88"/>
      <c r="G296" s="30"/>
      <c r="H296" s="26"/>
    </row>
    <row r="297" spans="2:8" ht="18.75" x14ac:dyDescent="0.25">
      <c r="B297" s="44"/>
      <c r="C297" s="84"/>
      <c r="D297" s="86"/>
      <c r="E297" s="88"/>
      <c r="F297" s="88"/>
      <c r="G297" s="30"/>
      <c r="H297" s="26"/>
    </row>
    <row r="298" spans="2:8" ht="18.75" x14ac:dyDescent="0.25">
      <c r="B298" s="44"/>
      <c r="C298" s="84"/>
      <c r="D298" s="86"/>
      <c r="E298" s="88"/>
      <c r="F298" s="88"/>
      <c r="G298" s="30"/>
      <c r="H298" s="26"/>
    </row>
  </sheetData>
  <sheetProtection algorithmName="SHA-512" hashValue="jZgFGl6jMR/d9mkrwjY80sCnZHv82aBbcd34jsKlTL30Z1ZQwWX/tu/FBCCAovh8IVpsir4qI4X8sOZGjVX/qg==" saltValue="fD5FrSCTh8nKaUUkIpPQqg==" spinCount="100000" sheet="1" objects="1" scenarios="1" selectLockedCells="1" selectUnlockedCells="1"/>
  <mergeCells count="8">
    <mergeCell ref="B11:D11"/>
    <mergeCell ref="B2:I2"/>
    <mergeCell ref="F6:F8"/>
    <mergeCell ref="B6:D8"/>
    <mergeCell ref="G6:G8"/>
    <mergeCell ref="H6:H8"/>
    <mergeCell ref="I6:I8"/>
    <mergeCell ref="B3:I3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1</xdr:col>
                <xdr:colOff>723900</xdr:colOff>
                <xdr:row>5</xdr:row>
                <xdr:rowOff>47625</xdr:rowOff>
              </from>
              <to>
                <xdr:col>3</xdr:col>
                <xdr:colOff>409575</xdr:colOff>
                <xdr:row>7</xdr:row>
                <xdr:rowOff>314325</xdr:rowOff>
              </to>
            </anchor>
          </objectPr>
        </oleObject>
      </mc:Choice>
      <mc:Fallback>
        <oleObject progId="Equation.3" shapeId="204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7"/>
  <sheetViews>
    <sheetView showGridLines="0" zoomScale="70" zoomScaleNormal="70" workbookViewId="0">
      <selection activeCell="B7" sqref="B7"/>
    </sheetView>
  </sheetViews>
  <sheetFormatPr defaultRowHeight="15" x14ac:dyDescent="0.25"/>
  <cols>
    <col min="1" max="1" width="22.140625" customWidth="1"/>
    <col min="2" max="7" width="20.7109375" customWidth="1"/>
    <col min="8" max="8" width="32.42578125" customWidth="1"/>
    <col min="9" max="14" width="20.7109375" customWidth="1"/>
    <col min="15" max="19" width="18.7109375" customWidth="1"/>
  </cols>
  <sheetData>
    <row r="1" spans="1:14" ht="37.5" x14ac:dyDescent="0.25">
      <c r="A1" s="279" t="s">
        <v>120</v>
      </c>
      <c r="B1" s="279"/>
      <c r="C1" s="279"/>
      <c r="D1" s="279"/>
      <c r="E1" s="279"/>
      <c r="F1" s="279"/>
      <c r="G1" s="279"/>
      <c r="H1" s="279"/>
      <c r="J1" s="6"/>
      <c r="K1" s="6"/>
      <c r="L1" s="6"/>
      <c r="M1" s="6"/>
      <c r="N1" s="6"/>
    </row>
    <row r="2" spans="1:14" ht="21" x14ac:dyDescent="0.35">
      <c r="A2" s="276" t="s">
        <v>146</v>
      </c>
      <c r="B2" s="276"/>
      <c r="C2" s="276"/>
      <c r="D2" s="276"/>
      <c r="E2" s="276"/>
      <c r="F2" s="276"/>
      <c r="G2" s="276"/>
      <c r="H2" s="276"/>
    </row>
    <row r="4" spans="1:14" ht="36.75" thickBot="1" x14ac:dyDescent="0.3">
      <c r="A4" s="277" t="s">
        <v>46</v>
      </c>
      <c r="B4" s="278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26.25" x14ac:dyDescent="0.25">
      <c r="A5" s="232" t="s">
        <v>143</v>
      </c>
      <c r="B5" s="233"/>
      <c r="C5" s="234"/>
      <c r="D5" s="213"/>
      <c r="E5" s="283" t="s">
        <v>110</v>
      </c>
      <c r="F5" s="286">
        <f>I5/10^3</f>
        <v>193.97407549014042</v>
      </c>
      <c r="G5" s="207"/>
      <c r="H5" s="80" t="s">
        <v>144</v>
      </c>
      <c r="I5" s="14">
        <f>1/B13*0.9*DATI!C13*I7*2*DATI!D47*B11</f>
        <v>193974.07549014041</v>
      </c>
      <c r="J5" s="36" t="s">
        <v>113</v>
      </c>
    </row>
    <row r="6" spans="1:14" ht="19.5" thickBot="1" x14ac:dyDescent="0.35">
      <c r="A6" s="112"/>
      <c r="B6" s="207"/>
      <c r="C6" s="113"/>
      <c r="D6" s="207"/>
      <c r="E6" s="284"/>
      <c r="F6" s="270"/>
      <c r="G6" s="6"/>
      <c r="H6" s="81"/>
      <c r="I6" s="10"/>
      <c r="J6" s="79"/>
    </row>
    <row r="7" spans="1:14" ht="20.25" thickTop="1" thickBot="1" x14ac:dyDescent="0.3">
      <c r="A7" s="214" t="s">
        <v>108</v>
      </c>
      <c r="B7" s="116">
        <v>3700</v>
      </c>
      <c r="C7" s="215" t="s">
        <v>109</v>
      </c>
      <c r="D7" s="207"/>
      <c r="E7" s="285"/>
      <c r="F7" s="271"/>
      <c r="G7" s="6"/>
      <c r="H7" s="115" t="s">
        <v>114</v>
      </c>
      <c r="I7" s="14">
        <f>'Calcolo Duttilità'!C27*(1-1/6*('Calcolo Duttilità'!C35/(0.9*DATI!C13)))+0.5*('Rinforzo a taglio'!I9*'Rinforzo a taglio'!I11-'Calcolo Duttilità'!C27)*(1-'Calcolo Duttilità'!C35/(0.9*DATI!C13))</f>
        <v>429.44308950356253</v>
      </c>
      <c r="J7" s="36" t="s">
        <v>109</v>
      </c>
    </row>
    <row r="8" spans="1:14" ht="20.25" thickTop="1" thickBot="1" x14ac:dyDescent="0.35">
      <c r="A8" s="112"/>
      <c r="B8" s="207"/>
      <c r="C8" s="113"/>
      <c r="D8" s="207"/>
      <c r="E8" s="6"/>
      <c r="F8" s="6"/>
      <c r="G8" s="6"/>
      <c r="I8" s="10"/>
      <c r="J8" s="79"/>
    </row>
    <row r="9" spans="1:14" ht="20.25" thickTop="1" thickBot="1" x14ac:dyDescent="0.3">
      <c r="A9" s="216" t="s">
        <v>118</v>
      </c>
      <c r="B9" s="101" t="s">
        <v>119</v>
      </c>
      <c r="C9" s="3"/>
      <c r="D9" s="207"/>
      <c r="E9" s="6"/>
      <c r="F9" s="6"/>
      <c r="G9" s="6"/>
      <c r="H9" s="115" t="s">
        <v>115</v>
      </c>
      <c r="I9" s="12">
        <f>0.2+1.6*DATI!D39/DATI!C6</f>
        <v>0.28000000000000003</v>
      </c>
      <c r="J9" s="36" t="s">
        <v>42</v>
      </c>
    </row>
    <row r="10" spans="1:14" ht="20.25" thickTop="1" thickBot="1" x14ac:dyDescent="0.35">
      <c r="A10" s="5"/>
      <c r="B10" s="6"/>
      <c r="C10" s="3"/>
      <c r="D10" s="207"/>
      <c r="E10" s="6"/>
      <c r="F10" s="6"/>
      <c r="G10" s="6"/>
      <c r="H10" s="81"/>
      <c r="I10" s="79"/>
      <c r="J10" s="79"/>
    </row>
    <row r="11" spans="1:14" ht="20.25" thickTop="1" thickBot="1" x14ac:dyDescent="0.3">
      <c r="A11" s="217" t="s">
        <v>111</v>
      </c>
      <c r="B11" s="101">
        <v>2.5</v>
      </c>
      <c r="C11" s="215" t="s">
        <v>42</v>
      </c>
      <c r="D11" s="207"/>
      <c r="E11" s="6"/>
      <c r="F11" s="6"/>
      <c r="G11" s="6"/>
      <c r="H11" s="115" t="s">
        <v>116</v>
      </c>
      <c r="I11" s="14">
        <f>B7/B13</f>
        <v>3083.3333333333335</v>
      </c>
      <c r="J11" s="36" t="s">
        <v>109</v>
      </c>
    </row>
    <row r="12" spans="1:14" ht="20.25" thickTop="1" thickBot="1" x14ac:dyDescent="0.3">
      <c r="A12" s="5"/>
      <c r="B12" s="6"/>
      <c r="C12" s="3"/>
      <c r="D12" s="207"/>
      <c r="E12" s="6"/>
      <c r="F12" s="6"/>
      <c r="G12" s="6"/>
      <c r="H12" s="44"/>
      <c r="I12" s="14"/>
      <c r="J12" s="14"/>
    </row>
    <row r="13" spans="1:14" ht="20.25" thickTop="1" thickBot="1" x14ac:dyDescent="0.3">
      <c r="A13" s="217" t="s">
        <v>112</v>
      </c>
      <c r="B13" s="101">
        <v>1.2</v>
      </c>
      <c r="C13" s="215" t="s">
        <v>42</v>
      </c>
      <c r="D13" s="207"/>
      <c r="E13" s="6"/>
      <c r="F13" s="6"/>
      <c r="G13" s="6"/>
      <c r="H13" s="115" t="s">
        <v>117</v>
      </c>
      <c r="I13" s="14">
        <f>I5+B17</f>
        <v>193974.07549014041</v>
      </c>
      <c r="J13" s="36" t="s">
        <v>113</v>
      </c>
    </row>
    <row r="14" spans="1:14" ht="19.5" thickTop="1" x14ac:dyDescent="0.25">
      <c r="A14" s="5"/>
      <c r="B14" s="6"/>
      <c r="C14" s="3"/>
      <c r="D14" s="6"/>
      <c r="E14" s="6"/>
      <c r="F14" s="6"/>
      <c r="G14" s="6"/>
      <c r="H14" s="115"/>
      <c r="I14" s="12"/>
      <c r="J14" s="14"/>
    </row>
    <row r="15" spans="1:14" ht="18.75" x14ac:dyDescent="0.25">
      <c r="A15" s="280" t="s">
        <v>145</v>
      </c>
      <c r="B15" s="281"/>
      <c r="C15" s="282"/>
      <c r="D15" s="207"/>
    </row>
    <row r="16" spans="1:14" ht="18.75" x14ac:dyDescent="0.3">
      <c r="A16" s="81"/>
      <c r="B16" s="10"/>
      <c r="C16" s="79"/>
      <c r="D16" s="79"/>
      <c r="E16" s="79"/>
      <c r="F16" s="79"/>
      <c r="G16" s="26"/>
    </row>
    <row r="17" spans="1:7" ht="18.75" x14ac:dyDescent="0.3">
      <c r="A17" s="80"/>
      <c r="B17" s="14"/>
      <c r="C17" s="36"/>
      <c r="D17" s="79"/>
      <c r="E17" s="79"/>
      <c r="F17" s="79"/>
      <c r="G17" s="26"/>
    </row>
    <row r="18" spans="1:7" ht="18.75" x14ac:dyDescent="0.3">
      <c r="A18" s="81"/>
      <c r="B18" s="10"/>
      <c r="C18" s="79"/>
      <c r="D18" s="79"/>
      <c r="E18" s="79"/>
      <c r="F18" s="79"/>
      <c r="G18" s="26"/>
    </row>
    <row r="19" spans="1:7" ht="18.75" x14ac:dyDescent="0.3">
      <c r="D19" s="79"/>
      <c r="F19" s="36"/>
      <c r="G19" s="26"/>
    </row>
    <row r="20" spans="1:7" ht="18.75" x14ac:dyDescent="0.3">
      <c r="D20" s="79"/>
      <c r="E20" s="79"/>
      <c r="F20" s="79"/>
      <c r="G20" s="26"/>
    </row>
    <row r="21" spans="1:7" ht="18.75" x14ac:dyDescent="0.3">
      <c r="D21" s="79"/>
      <c r="F21" s="36"/>
      <c r="G21" s="26"/>
    </row>
    <row r="22" spans="1:7" ht="18.75" x14ac:dyDescent="0.3">
      <c r="D22" s="79"/>
      <c r="E22" s="79"/>
      <c r="F22" s="79"/>
      <c r="G22" s="26"/>
    </row>
    <row r="23" spans="1:7" ht="18.75" x14ac:dyDescent="0.3">
      <c r="D23" s="79"/>
      <c r="E23" s="79"/>
      <c r="F23" s="79"/>
      <c r="G23" s="26"/>
    </row>
    <row r="24" spans="1:7" ht="18.75" x14ac:dyDescent="0.3">
      <c r="D24" s="79"/>
      <c r="E24" s="79"/>
      <c r="F24" s="79"/>
      <c r="G24" s="26"/>
    </row>
    <row r="25" spans="1:7" ht="18.75" x14ac:dyDescent="0.3">
      <c r="D25" s="79"/>
      <c r="E25" s="79"/>
      <c r="F25" s="79"/>
      <c r="G25" s="26"/>
    </row>
    <row r="26" spans="1:7" ht="18.75" x14ac:dyDescent="0.3">
      <c r="D26" s="114"/>
      <c r="E26" s="79"/>
      <c r="F26" s="79"/>
      <c r="G26" s="26"/>
    </row>
    <row r="27" spans="1:7" ht="18.75" x14ac:dyDescent="0.3">
      <c r="D27" s="114"/>
      <c r="E27" s="79"/>
      <c r="F27" s="79"/>
      <c r="G27" s="26"/>
    </row>
    <row r="28" spans="1:7" ht="18.75" x14ac:dyDescent="0.25">
      <c r="D28" s="114"/>
      <c r="E28" s="114"/>
      <c r="F28" s="11"/>
      <c r="G28" s="26"/>
    </row>
    <row r="29" spans="1:7" ht="18.75" x14ac:dyDescent="0.25">
      <c r="D29" s="114"/>
      <c r="E29" s="14"/>
      <c r="F29" s="36"/>
      <c r="G29" s="26"/>
    </row>
    <row r="30" spans="1:7" ht="18.75" x14ac:dyDescent="0.25">
      <c r="A30" s="44"/>
      <c r="B30" s="84"/>
      <c r="C30" s="86"/>
      <c r="D30" s="88"/>
      <c r="E30" s="88"/>
      <c r="F30" s="30"/>
      <c r="G30" s="26"/>
    </row>
    <row r="31" spans="1:7" ht="18.75" x14ac:dyDescent="0.25">
      <c r="A31" s="44"/>
      <c r="B31" s="84"/>
      <c r="C31" s="86"/>
      <c r="D31" s="88"/>
      <c r="E31" s="88"/>
      <c r="F31" s="30"/>
      <c r="G31" s="26"/>
    </row>
    <row r="32" spans="1:7" ht="18.75" x14ac:dyDescent="0.25">
      <c r="A32" s="44"/>
      <c r="B32" s="84"/>
      <c r="C32" s="86"/>
      <c r="D32" s="88"/>
      <c r="E32" s="88"/>
      <c r="F32" s="30"/>
      <c r="G32" s="26"/>
    </row>
    <row r="33" spans="1:7" ht="18.75" x14ac:dyDescent="0.25">
      <c r="A33" s="44"/>
      <c r="B33" s="84"/>
      <c r="C33" s="86"/>
      <c r="D33" s="88"/>
      <c r="E33" s="88"/>
      <c r="F33" s="30"/>
      <c r="G33" s="26"/>
    </row>
    <row r="34" spans="1:7" ht="18.75" x14ac:dyDescent="0.25">
      <c r="A34" s="44"/>
      <c r="B34" s="84"/>
      <c r="C34" s="86"/>
      <c r="D34" s="88"/>
      <c r="E34" s="88"/>
      <c r="F34" s="30"/>
      <c r="G34" s="26"/>
    </row>
    <row r="35" spans="1:7" ht="18.75" x14ac:dyDescent="0.25">
      <c r="A35" s="44"/>
      <c r="B35" s="84"/>
      <c r="C35" s="86"/>
      <c r="D35" s="88"/>
      <c r="E35" s="88"/>
      <c r="F35" s="30"/>
      <c r="G35" s="26"/>
    </row>
    <row r="36" spans="1:7" ht="18.75" x14ac:dyDescent="0.25">
      <c r="A36" s="44"/>
      <c r="B36" s="84"/>
      <c r="C36" s="86"/>
      <c r="D36" s="88"/>
      <c r="E36" s="88"/>
      <c r="F36" s="30"/>
      <c r="G36" s="26"/>
    </row>
    <row r="37" spans="1:7" ht="18.75" x14ac:dyDescent="0.25">
      <c r="A37" s="44"/>
      <c r="B37" s="84"/>
      <c r="C37" s="86"/>
      <c r="D37" s="88"/>
      <c r="E37" s="88"/>
      <c r="F37" s="30"/>
      <c r="G37" s="26"/>
    </row>
    <row r="38" spans="1:7" ht="18.75" x14ac:dyDescent="0.25">
      <c r="A38" s="44"/>
      <c r="B38" s="84"/>
      <c r="C38" s="86"/>
      <c r="D38" s="88"/>
      <c r="E38" s="88"/>
      <c r="F38" s="30"/>
      <c r="G38" s="26"/>
    </row>
    <row r="39" spans="1:7" ht="18.75" x14ac:dyDescent="0.25">
      <c r="A39" s="44"/>
      <c r="B39" s="84"/>
      <c r="C39" s="86"/>
      <c r="D39" s="88"/>
      <c r="E39" s="88"/>
      <c r="F39" s="30"/>
      <c r="G39" s="26"/>
    </row>
    <row r="40" spans="1:7" ht="18.75" x14ac:dyDescent="0.25">
      <c r="A40" s="44"/>
      <c r="B40" s="84"/>
      <c r="C40" s="86"/>
      <c r="D40" s="88"/>
      <c r="E40" s="88"/>
      <c r="F40" s="30"/>
      <c r="G40" s="26"/>
    </row>
    <row r="41" spans="1:7" ht="18.75" x14ac:dyDescent="0.25">
      <c r="A41" s="44"/>
      <c r="B41" s="84"/>
      <c r="C41" s="86"/>
      <c r="D41" s="88"/>
      <c r="E41" s="88"/>
      <c r="F41" s="30"/>
      <c r="G41" s="26"/>
    </row>
    <row r="42" spans="1:7" ht="18.75" x14ac:dyDescent="0.25">
      <c r="A42" s="44"/>
      <c r="B42" s="84"/>
      <c r="C42" s="86"/>
      <c r="D42" s="88"/>
      <c r="E42" s="88"/>
      <c r="F42" s="30"/>
      <c r="G42" s="26"/>
    </row>
    <row r="43" spans="1:7" ht="18.75" x14ac:dyDescent="0.25">
      <c r="A43" s="44"/>
      <c r="B43" s="84"/>
      <c r="C43" s="86"/>
      <c r="D43" s="88"/>
      <c r="E43" s="88"/>
      <c r="F43" s="30"/>
      <c r="G43" s="26"/>
    </row>
    <row r="44" spans="1:7" ht="18.75" x14ac:dyDescent="0.25">
      <c r="A44" s="44"/>
      <c r="B44" s="84"/>
      <c r="C44" s="86"/>
      <c r="D44" s="88"/>
      <c r="E44" s="88"/>
      <c r="F44" s="30"/>
      <c r="G44" s="26"/>
    </row>
    <row r="45" spans="1:7" ht="18.75" x14ac:dyDescent="0.25">
      <c r="A45" s="44"/>
      <c r="B45" s="84"/>
      <c r="C45" s="86"/>
      <c r="D45" s="88"/>
      <c r="E45" s="88"/>
      <c r="F45" s="30"/>
      <c r="G45" s="26"/>
    </row>
    <row r="46" spans="1:7" ht="18.75" x14ac:dyDescent="0.25">
      <c r="A46" s="44"/>
      <c r="B46" s="84"/>
      <c r="C46" s="86"/>
      <c r="D46" s="88"/>
      <c r="E46" s="88"/>
      <c r="F46" s="30"/>
      <c r="G46" s="26"/>
    </row>
    <row r="47" spans="1:7" ht="18.75" x14ac:dyDescent="0.25">
      <c r="A47" s="44"/>
      <c r="B47" s="84"/>
      <c r="C47" s="86"/>
      <c r="D47" s="88"/>
      <c r="E47" s="88"/>
      <c r="F47" s="30"/>
      <c r="G47" s="26"/>
    </row>
    <row r="48" spans="1:7" ht="18.75" x14ac:dyDescent="0.25">
      <c r="A48" s="44"/>
      <c r="B48" s="84"/>
      <c r="C48" s="86"/>
      <c r="D48" s="88"/>
      <c r="E48" s="88"/>
      <c r="F48" s="30"/>
      <c r="G48" s="26"/>
    </row>
    <row r="49" spans="1:7" ht="18.75" x14ac:dyDescent="0.25">
      <c r="A49" s="44"/>
      <c r="B49" s="84"/>
      <c r="C49" s="86"/>
      <c r="D49" s="88"/>
      <c r="E49" s="88"/>
      <c r="F49" s="30"/>
      <c r="G49" s="26"/>
    </row>
    <row r="50" spans="1:7" ht="18.75" x14ac:dyDescent="0.25">
      <c r="A50" s="44"/>
      <c r="B50" s="84"/>
      <c r="C50" s="86"/>
      <c r="D50" s="88"/>
      <c r="E50" s="88"/>
      <c r="F50" s="30"/>
      <c r="G50" s="26"/>
    </row>
    <row r="51" spans="1:7" ht="18.75" x14ac:dyDescent="0.25">
      <c r="A51" s="44"/>
      <c r="B51" s="84"/>
      <c r="C51" s="86"/>
      <c r="D51" s="88"/>
      <c r="E51" s="88"/>
      <c r="F51" s="30"/>
      <c r="G51" s="26"/>
    </row>
    <row r="52" spans="1:7" ht="18.75" x14ac:dyDescent="0.25">
      <c r="A52" s="44"/>
      <c r="B52" s="84"/>
      <c r="C52" s="86"/>
      <c r="D52" s="88"/>
      <c r="E52" s="88"/>
      <c r="F52" s="30"/>
      <c r="G52" s="26"/>
    </row>
    <row r="53" spans="1:7" ht="18.75" x14ac:dyDescent="0.25">
      <c r="A53" s="44"/>
      <c r="B53" s="84"/>
      <c r="C53" s="86"/>
      <c r="D53" s="88"/>
      <c r="E53" s="88"/>
      <c r="F53" s="30"/>
      <c r="G53" s="26"/>
    </row>
    <row r="54" spans="1:7" ht="18.75" x14ac:dyDescent="0.25">
      <c r="A54" s="44"/>
      <c r="B54" s="84"/>
      <c r="C54" s="86"/>
      <c r="D54" s="88"/>
      <c r="E54" s="88"/>
      <c r="F54" s="30"/>
      <c r="G54" s="26"/>
    </row>
    <row r="55" spans="1:7" ht="18.75" x14ac:dyDescent="0.25">
      <c r="A55" s="44"/>
      <c r="B55" s="84"/>
      <c r="C55" s="86"/>
      <c r="D55" s="88"/>
      <c r="E55" s="88"/>
      <c r="F55" s="30"/>
      <c r="G55" s="26"/>
    </row>
    <row r="56" spans="1:7" ht="18.75" x14ac:dyDescent="0.25">
      <c r="A56" s="44"/>
      <c r="B56" s="84"/>
      <c r="C56" s="86"/>
      <c r="D56" s="88"/>
      <c r="E56" s="88"/>
      <c r="F56" s="30"/>
      <c r="G56" s="26"/>
    </row>
    <row r="57" spans="1:7" ht="18.75" x14ac:dyDescent="0.25">
      <c r="A57" s="44"/>
      <c r="B57" s="84"/>
      <c r="C57" s="86"/>
      <c r="D57" s="88"/>
      <c r="E57" s="88"/>
      <c r="F57" s="30"/>
      <c r="G57" s="26"/>
    </row>
    <row r="58" spans="1:7" ht="18.75" x14ac:dyDescent="0.25">
      <c r="A58" s="44"/>
      <c r="B58" s="84"/>
      <c r="C58" s="86"/>
      <c r="D58" s="88"/>
      <c r="E58" s="88"/>
      <c r="F58" s="30"/>
      <c r="G58" s="26"/>
    </row>
    <row r="59" spans="1:7" ht="18.75" x14ac:dyDescent="0.25">
      <c r="A59" s="44"/>
      <c r="B59" s="84"/>
      <c r="C59" s="86"/>
      <c r="D59" s="88"/>
      <c r="E59" s="88"/>
      <c r="F59" s="30"/>
      <c r="G59" s="26"/>
    </row>
    <row r="60" spans="1:7" ht="18.75" x14ac:dyDescent="0.25">
      <c r="A60" s="44"/>
      <c r="B60" s="84"/>
      <c r="C60" s="86"/>
      <c r="D60" s="88"/>
      <c r="E60" s="88"/>
      <c r="F60" s="30"/>
      <c r="G60" s="26"/>
    </row>
    <row r="61" spans="1:7" ht="18.75" x14ac:dyDescent="0.25">
      <c r="A61" s="44"/>
      <c r="B61" s="84"/>
      <c r="C61" s="86"/>
      <c r="D61" s="88"/>
      <c r="E61" s="88"/>
      <c r="F61" s="30"/>
      <c r="G61" s="26"/>
    </row>
    <row r="62" spans="1:7" ht="18.75" x14ac:dyDescent="0.25">
      <c r="A62" s="44"/>
      <c r="B62" s="84"/>
      <c r="C62" s="86"/>
      <c r="D62" s="88"/>
      <c r="E62" s="88"/>
      <c r="F62" s="30"/>
      <c r="G62" s="26"/>
    </row>
    <row r="63" spans="1:7" ht="18.75" x14ac:dyDescent="0.25">
      <c r="A63" s="44"/>
      <c r="B63" s="84"/>
      <c r="C63" s="86"/>
      <c r="D63" s="88"/>
      <c r="E63" s="88"/>
      <c r="F63" s="30"/>
      <c r="G63" s="26"/>
    </row>
    <row r="64" spans="1:7" ht="18.75" x14ac:dyDescent="0.25">
      <c r="A64" s="44"/>
      <c r="B64" s="84"/>
      <c r="C64" s="86"/>
      <c r="D64" s="88"/>
      <c r="E64" s="88"/>
      <c r="F64" s="30"/>
      <c r="G64" s="26"/>
    </row>
    <row r="65" spans="1:7" ht="18.75" x14ac:dyDescent="0.25">
      <c r="A65" s="44"/>
      <c r="B65" s="84"/>
      <c r="C65" s="86"/>
      <c r="D65" s="88"/>
      <c r="E65" s="88"/>
      <c r="F65" s="30"/>
      <c r="G65" s="26"/>
    </row>
    <row r="66" spans="1:7" ht="18.75" x14ac:dyDescent="0.25">
      <c r="A66" s="44"/>
      <c r="B66" s="84"/>
      <c r="C66" s="86"/>
      <c r="D66" s="88"/>
      <c r="E66" s="88"/>
      <c r="F66" s="30"/>
      <c r="G66" s="26"/>
    </row>
    <row r="67" spans="1:7" ht="18.75" x14ac:dyDescent="0.25">
      <c r="A67" s="44"/>
      <c r="B67" s="84"/>
      <c r="C67" s="86"/>
      <c r="D67" s="88"/>
      <c r="E67" s="88"/>
      <c r="F67" s="30"/>
      <c r="G67" s="26"/>
    </row>
    <row r="68" spans="1:7" ht="18.75" x14ac:dyDescent="0.25">
      <c r="A68" s="44"/>
      <c r="B68" s="84"/>
      <c r="C68" s="86"/>
      <c r="D68" s="88"/>
      <c r="E68" s="88"/>
      <c r="F68" s="30"/>
      <c r="G68" s="26"/>
    </row>
    <row r="69" spans="1:7" ht="18.75" x14ac:dyDescent="0.25">
      <c r="A69" s="44"/>
      <c r="B69" s="84"/>
      <c r="C69" s="86"/>
      <c r="D69" s="88"/>
      <c r="E69" s="88"/>
      <c r="F69" s="30"/>
      <c r="G69" s="26"/>
    </row>
    <row r="70" spans="1:7" ht="18.75" x14ac:dyDescent="0.25">
      <c r="A70" s="44"/>
      <c r="B70" s="84"/>
      <c r="C70" s="86"/>
      <c r="D70" s="88"/>
      <c r="E70" s="88"/>
      <c r="F70" s="30"/>
      <c r="G70" s="26"/>
    </row>
    <row r="71" spans="1:7" ht="18.75" x14ac:dyDescent="0.25">
      <c r="A71" s="44"/>
      <c r="B71" s="84"/>
      <c r="C71" s="86"/>
      <c r="D71" s="88"/>
      <c r="E71" s="88"/>
      <c r="F71" s="30"/>
      <c r="G71" s="26"/>
    </row>
    <row r="72" spans="1:7" ht="18.75" x14ac:dyDescent="0.25">
      <c r="A72" s="44"/>
      <c r="B72" s="84"/>
      <c r="C72" s="86"/>
      <c r="D72" s="88"/>
      <c r="E72" s="88"/>
      <c r="F72" s="30"/>
      <c r="G72" s="26"/>
    </row>
    <row r="73" spans="1:7" ht="18.75" x14ac:dyDescent="0.25">
      <c r="A73" s="44"/>
      <c r="B73" s="84"/>
      <c r="C73" s="86"/>
      <c r="D73" s="88"/>
      <c r="E73" s="88"/>
      <c r="F73" s="30"/>
      <c r="G73" s="26"/>
    </row>
    <row r="74" spans="1:7" ht="18.75" x14ac:dyDescent="0.25">
      <c r="A74" s="44"/>
      <c r="B74" s="84"/>
      <c r="C74" s="86"/>
      <c r="D74" s="88"/>
      <c r="E74" s="88"/>
      <c r="F74" s="30"/>
      <c r="G74" s="26"/>
    </row>
    <row r="75" spans="1:7" ht="18.75" x14ac:dyDescent="0.25">
      <c r="A75" s="44"/>
      <c r="B75" s="84"/>
      <c r="C75" s="86"/>
      <c r="D75" s="88"/>
      <c r="E75" s="88"/>
      <c r="F75" s="30"/>
      <c r="G75" s="26"/>
    </row>
    <row r="76" spans="1:7" ht="18.75" x14ac:dyDescent="0.25">
      <c r="A76" s="44"/>
      <c r="B76" s="84"/>
      <c r="C76" s="86"/>
      <c r="D76" s="88"/>
      <c r="E76" s="88"/>
      <c r="F76" s="30"/>
      <c r="G76" s="26"/>
    </row>
    <row r="77" spans="1:7" ht="18.75" x14ac:dyDescent="0.25">
      <c r="A77" s="44"/>
      <c r="B77" s="84"/>
      <c r="C77" s="86"/>
      <c r="D77" s="88"/>
      <c r="E77" s="88"/>
      <c r="F77" s="30"/>
      <c r="G77" s="26"/>
    </row>
  </sheetData>
  <sheetProtection algorithmName="SHA-512" hashValue="qxlK1Gw/pYV+DlTrk9PGB35/oucUGrnCd6gZUVvyFGwprjwD/tMGWi3+Tf3vgKGcP3YmBZ/o6XBteDQE6wErlg==" saltValue="02DchwKse0yHkG546So+8Q==" spinCount="100000" sheet="1" objects="1" scenarios="1"/>
  <protectedRanges>
    <protectedRange sqref="B7 B9 B11 B13" name="Intervallo1"/>
  </protectedRanges>
  <mergeCells count="7">
    <mergeCell ref="A4:B4"/>
    <mergeCell ref="A2:H2"/>
    <mergeCell ref="A5:C5"/>
    <mergeCell ref="A1:H1"/>
    <mergeCell ref="A15:C15"/>
    <mergeCell ref="E5:E7"/>
    <mergeCell ref="F5:F7"/>
  </mergeCells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showGridLines="0" showRowColHeaders="0" zoomScale="70" zoomScaleNormal="70" workbookViewId="0">
      <selection activeCell="W11" sqref="V11:W11"/>
    </sheetView>
  </sheetViews>
  <sheetFormatPr defaultRowHeight="15" x14ac:dyDescent="0.25"/>
  <sheetData>
    <row r="1" spans="1:24" ht="36" x14ac:dyDescent="0.25">
      <c r="A1" s="287" t="s">
        <v>44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</row>
    <row r="9" spans="1:24" ht="18.75" x14ac:dyDescent="0.3">
      <c r="W9" s="79"/>
      <c r="X9" s="79"/>
    </row>
    <row r="10" spans="1:24" ht="18.75" x14ac:dyDescent="0.25">
      <c r="V10" s="80" t="s">
        <v>138</v>
      </c>
      <c r="W10" s="80" t="s">
        <v>139</v>
      </c>
    </row>
    <row r="11" spans="1:24" ht="18.75" x14ac:dyDescent="0.25">
      <c r="V11" s="208">
        <v>1000</v>
      </c>
      <c r="W11" s="208">
        <v>200</v>
      </c>
    </row>
  </sheetData>
  <sheetProtection algorithmName="SHA-512" hashValue="E5+jgAChsMHJzBfOE+jTbyF3Kh46pC0ihlGPZUhEbSbKQCKy46KPVjTNx1hD/vxZ/StaBR690fir1A6LLWIQnA==" saltValue="xTFUWiTk9zuPSCBZ1jKBcw==" spinCount="100000" sheet="1" objects="1" scenarios="1"/>
  <protectedRanges>
    <protectedRange sqref="V11:W11" name="Intervallo1"/>
  </protectedRanges>
  <mergeCells count="1">
    <mergeCell ref="A1:S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showGridLines="0" showRowColHeaders="0" zoomScale="70" zoomScaleNormal="70" workbookViewId="0">
      <selection sqref="A1:W1"/>
    </sheetView>
  </sheetViews>
  <sheetFormatPr defaultRowHeight="15" x14ac:dyDescent="0.25"/>
  <sheetData>
    <row r="1" spans="1:23" ht="36" x14ac:dyDescent="0.25">
      <c r="A1" s="287" t="s">
        <v>130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</row>
    <row r="2" spans="1:23" ht="21" x14ac:dyDescent="0.35">
      <c r="C2" s="1"/>
      <c r="D2" s="1"/>
    </row>
  </sheetData>
  <sheetProtection algorithmName="SHA-512" hashValue="lfVyzLg649/hESFtZF06o5L+gLJLiXaz6k8P8eg5qJzV21C5w3i401uhXf/3W8Mu53tNJLIqTr/HFBgjgUJfVQ==" saltValue="1mZPlJYpGppplHAlcD/jRA==" spinCount="100000" sheet="1" objects="1" scenarios="1" selectLockedCells="1" selectUnlockedCells="1"/>
  <mergeCells count="1">
    <mergeCell ref="A1:W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zoomScale="70" zoomScaleNormal="70" workbookViewId="0">
      <selection activeCell="B3" sqref="B3"/>
    </sheetView>
  </sheetViews>
  <sheetFormatPr defaultRowHeight="15" x14ac:dyDescent="0.25"/>
  <cols>
    <col min="2" max="17" width="18.7109375" customWidth="1"/>
  </cols>
  <sheetData>
    <row r="1" spans="1:11" ht="39" customHeight="1" x14ac:dyDescent="0.25">
      <c r="A1" s="290" t="s">
        <v>129</v>
      </c>
      <c r="B1" s="290"/>
      <c r="C1" s="290"/>
      <c r="D1" s="290"/>
      <c r="E1" s="290"/>
      <c r="F1" s="290"/>
      <c r="G1" s="290"/>
      <c r="H1" s="290"/>
      <c r="I1" s="290"/>
      <c r="J1" s="290"/>
      <c r="K1" s="119"/>
    </row>
    <row r="2" spans="1:11" ht="21" x14ac:dyDescent="0.35">
      <c r="A2" s="276" t="s">
        <v>140</v>
      </c>
      <c r="B2" s="276"/>
      <c r="C2" s="276"/>
      <c r="D2" s="276"/>
      <c r="E2" s="276"/>
      <c r="F2" s="276"/>
      <c r="G2" s="276"/>
      <c r="H2" s="276"/>
      <c r="I2" s="276"/>
      <c r="J2" s="276"/>
      <c r="K2" s="6"/>
    </row>
    <row r="3" spans="1:11" ht="26.25" x14ac:dyDescent="0.25">
      <c r="A3" s="6"/>
      <c r="B3" s="76" t="s">
        <v>74</v>
      </c>
      <c r="C3" s="76"/>
      <c r="D3" s="76"/>
      <c r="E3" s="76"/>
      <c r="F3" s="76"/>
      <c r="G3" s="76"/>
      <c r="H3" s="76"/>
      <c r="I3" s="76"/>
      <c r="J3" s="76"/>
      <c r="K3" s="6"/>
    </row>
    <row r="4" spans="1:11" x14ac:dyDescent="0.25">
      <c r="A4" s="6"/>
      <c r="B4" s="89">
        <f>2*10^(-3)*DATI!D26/(DATI!C8-2*DATI!C10)</f>
        <v>1.1333333333333334E-5</v>
      </c>
      <c r="C4" s="90"/>
      <c r="D4" s="90"/>
      <c r="E4" s="90"/>
      <c r="F4" s="90"/>
      <c r="G4" s="90"/>
      <c r="H4" s="120"/>
      <c r="I4" s="90"/>
      <c r="J4" s="90"/>
      <c r="K4" s="6"/>
    </row>
    <row r="5" spans="1:11" x14ac:dyDescent="0.25">
      <c r="A5" s="6"/>
      <c r="B5" s="6"/>
      <c r="C5" s="91"/>
      <c r="D5" s="6"/>
      <c r="E5" s="6"/>
      <c r="F5" s="6"/>
      <c r="G5" s="6"/>
      <c r="H5" s="6"/>
      <c r="I5" s="6"/>
      <c r="J5" s="6"/>
      <c r="K5" s="6"/>
    </row>
    <row r="6" spans="1:11" ht="26.25" x14ac:dyDescent="0.25">
      <c r="A6" s="6"/>
      <c r="B6" s="76" t="s">
        <v>75</v>
      </c>
      <c r="C6" s="76" t="s">
        <v>69</v>
      </c>
      <c r="D6" s="76" t="s">
        <v>21</v>
      </c>
      <c r="E6" s="76" t="s">
        <v>20</v>
      </c>
      <c r="F6" s="76" t="s">
        <v>40</v>
      </c>
      <c r="G6" s="76" t="s">
        <v>38</v>
      </c>
      <c r="H6" s="76" t="s">
        <v>39</v>
      </c>
      <c r="I6" s="76" t="s">
        <v>59</v>
      </c>
      <c r="J6" s="76" t="s">
        <v>58</v>
      </c>
      <c r="K6" s="6"/>
    </row>
    <row r="7" spans="1:11" x14ac:dyDescent="0.25">
      <c r="A7" s="6"/>
      <c r="B7" s="89">
        <f>'Calcolo Duttilità'!G6/C7</f>
        <v>2.0060532337788607E-4</v>
      </c>
      <c r="C7" s="90">
        <f>DATI!I43*DATI!C8/(DATI!I16*'M-X'!I40)</f>
        <v>204.896942442864</v>
      </c>
      <c r="D7" s="90">
        <f>DATI!$I$29*DATI!$D$30</f>
        <v>352404.7411418116</v>
      </c>
      <c r="E7" s="90">
        <f>DATI!I16*DATI!I11*DATI!C6*'M-X'!C7*I40</f>
        <v>941176.47058823518</v>
      </c>
      <c r="F7" s="90">
        <f>DATI!$I$28*DATI!$D$30</f>
        <v>352404.7411418116</v>
      </c>
      <c r="G7" s="90">
        <f>E7+D7-F7</f>
        <v>941176.47058823507</v>
      </c>
      <c r="H7" s="120">
        <f>D7*(DATI!C13-DATI!C10)/2+'M-X'!F7*(DATI!C13-DATI!C10)/2+E7*(DATI!C8/2-J40*'M-X'!C7)</f>
        <v>220503806.17243135</v>
      </c>
      <c r="I7" s="90">
        <f>G7/10^3</f>
        <v>941.17647058823502</v>
      </c>
      <c r="J7" s="90">
        <f>H7/10^6</f>
        <v>220.50380617243135</v>
      </c>
      <c r="K7" s="6"/>
    </row>
    <row r="8" spans="1:11" ht="18.75" x14ac:dyDescent="0.25">
      <c r="A8" s="6"/>
      <c r="B8" s="56"/>
      <c r="C8" s="6"/>
      <c r="D8" s="91"/>
      <c r="E8" s="6"/>
      <c r="F8" s="6"/>
      <c r="G8" s="6"/>
      <c r="H8" s="6"/>
      <c r="I8" s="93"/>
      <c r="J8" s="93"/>
      <c r="K8" s="94"/>
    </row>
    <row r="9" spans="1:11" ht="18.75" x14ac:dyDescent="0.25">
      <c r="A9" s="6"/>
      <c r="B9" s="56"/>
      <c r="C9" s="92"/>
      <c r="D9" s="91"/>
      <c r="E9" s="93"/>
      <c r="F9" s="93"/>
      <c r="G9" s="6"/>
      <c r="H9" s="90"/>
      <c r="I9" s="6"/>
      <c r="J9" s="6"/>
      <c r="K9" s="6"/>
    </row>
    <row r="10" spans="1:11" ht="21" x14ac:dyDescent="0.35">
      <c r="A10" s="6"/>
      <c r="F10" s="93"/>
      <c r="G10" s="288" t="str">
        <f>IF(C7&gt;DATI!C8,"calcolo semplificato errato!!","")</f>
        <v/>
      </c>
      <c r="H10" s="289"/>
      <c r="I10" s="289"/>
      <c r="J10" s="6"/>
      <c r="K10" s="6"/>
    </row>
    <row r="11" spans="1:11" ht="21" x14ac:dyDescent="0.35">
      <c r="A11" s="6"/>
      <c r="F11" s="93"/>
      <c r="G11" s="288"/>
      <c r="H11" s="289"/>
      <c r="I11" s="289"/>
      <c r="J11" s="6"/>
      <c r="K11" s="6"/>
    </row>
    <row r="12" spans="1:11" x14ac:dyDescent="0.25">
      <c r="A12" s="6"/>
      <c r="F12" s="93"/>
      <c r="G12" s="94"/>
      <c r="H12" s="90"/>
      <c r="I12" s="6"/>
      <c r="J12" s="6"/>
      <c r="K12" s="6"/>
    </row>
    <row r="13" spans="1:11" ht="18.75" x14ac:dyDescent="0.25">
      <c r="A13" s="6"/>
      <c r="B13" s="56"/>
      <c r="C13" s="92"/>
      <c r="D13" s="91"/>
      <c r="E13" s="93"/>
      <c r="F13" s="93"/>
      <c r="G13" s="94"/>
      <c r="H13" s="90"/>
      <c r="I13" s="6"/>
      <c r="J13" s="6"/>
      <c r="K13" s="6"/>
    </row>
    <row r="38" spans="7:10" ht="15.75" thickBot="1" x14ac:dyDescent="0.3">
      <c r="I38" s="6"/>
      <c r="J38" s="6"/>
    </row>
    <row r="39" spans="7:10" ht="21.75" thickBot="1" x14ac:dyDescent="0.3">
      <c r="G39" s="209">
        <v>0</v>
      </c>
      <c r="H39" s="210">
        <v>0</v>
      </c>
      <c r="I39" s="211" t="s">
        <v>11</v>
      </c>
      <c r="J39" s="205" t="s">
        <v>12</v>
      </c>
    </row>
    <row r="40" spans="7:10" ht="19.5" thickBot="1" x14ac:dyDescent="0.3">
      <c r="G40" s="209">
        <f>B4</f>
        <v>1.1333333333333334E-5</v>
      </c>
      <c r="H40" s="210">
        <f>H41</f>
        <v>220.50380617243135</v>
      </c>
      <c r="I40" s="212">
        <f>TABULATI!I144</f>
        <v>0.86174367388639628</v>
      </c>
      <c r="J40" s="92">
        <f>TABULATI!J144</f>
        <v>0.43571474147074873</v>
      </c>
    </row>
    <row r="41" spans="7:10" ht="19.5" thickBot="1" x14ac:dyDescent="0.3">
      <c r="G41" s="209">
        <f>B7</f>
        <v>2.0060532337788607E-4</v>
      </c>
      <c r="H41" s="210">
        <f>J7</f>
        <v>220.50380617243135</v>
      </c>
      <c r="I41" s="91"/>
      <c r="J41" s="93"/>
    </row>
  </sheetData>
  <sheetProtection algorithmName="SHA-512" hashValue="dEgb3FM9yzNvWP+3hWgKqvE1/zZdkCDcPHKW184RDJDpMVKKdWSec6RQIsEEgyWUbJS7wPLWf2VMe9HENGQuaA==" saltValue="/ZEA5awWYp6Wqhycbef2Cw==" spinCount="100000" sheet="1" objects="1" scenarios="1" selectLockedCells="1" selectUnlockedCells="1"/>
  <mergeCells count="4">
    <mergeCell ref="G10:I10"/>
    <mergeCell ref="G11:I11"/>
    <mergeCell ref="A1:J1"/>
    <mergeCell ref="A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ISTRUZIONI</vt:lpstr>
      <vt:lpstr>DATI</vt:lpstr>
      <vt:lpstr>TABULATI</vt:lpstr>
      <vt:lpstr>Foglio1</vt:lpstr>
      <vt:lpstr>Calcolo Duttilità</vt:lpstr>
      <vt:lpstr>Rinforzo a taglio</vt:lpstr>
      <vt:lpstr>N-M kN</vt:lpstr>
      <vt:lpstr>N-M</vt:lpstr>
      <vt:lpstr>M-X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Cics</dc:creator>
  <cp:lastModifiedBy>Davide Cicchini</cp:lastModifiedBy>
  <dcterms:created xsi:type="dcterms:W3CDTF">2011-11-14T22:27:48Z</dcterms:created>
  <dcterms:modified xsi:type="dcterms:W3CDTF">2015-09-18T12:00:22Z</dcterms:modified>
</cp:coreProperties>
</file>