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\CONDIVISIONE GOOGLE\PROGRAMMI UTILI\FONDAZIONI DIRETTE\"/>
    </mc:Choice>
  </mc:AlternateContent>
  <workbookProtection workbookAlgorithmName="SHA-512" workbookHashValue="zWsc4rGLf6YCzMiqLiBHDZhwL/4vHVAHFQwICIQ/Bn7jEnTIfX+lTbE9e07uNMtJ8D7lNc359xQvco/DgNvSwQ==" workbookSaltValue="SP0MS9TFxvN4O0qb7bGTpw==" workbookSpinCount="100000" revisionsAlgorithmName="SHA-512" revisionsHashValue="0wqX+L8XRmC50NVPfpHDKTEseiucTjlTcYVDdk4mNr8TFMQ9SkU6y9ElkyS9lVDiBhA21afmxwoIiz41EgWXUw==" revisionsSaltValue="DNtY+v5sB8aXYkquYY4yTg==" revisionsSpinCount="100000" lockStructure="1" lockRevision="1"/>
  <bookViews>
    <workbookView xWindow="0" yWindow="0" windowWidth="15360" windowHeight="7755" tabRatio="889"/>
  </bookViews>
  <sheets>
    <sheet name="ISTRUZIONI" sheetId="1" r:id="rId1"/>
    <sheet name="FOGLIO DEPOSITO" sheetId="2" state="hidden" r:id="rId2"/>
    <sheet name="DATI" sheetId="3" r:id="rId3"/>
    <sheet name="VER. GEO CONDIZIONI NON DRENATE" sheetId="4" r:id="rId4"/>
    <sheet name="VER. GEO CONDIZIONI DRENATE" sheetId="5" r:id="rId5"/>
    <sheet name="SPETTRO DI PROGETTO ORIZZONTALE" sheetId="6" r:id="rId6"/>
    <sheet name="FORMULE" sheetId="7" r:id="rId7"/>
    <sheet name="tabelle NTC 18" sheetId="8" r:id="rId8"/>
  </sheets>
  <externalReferences>
    <externalReference r:id="rId9"/>
  </externalReferences>
  <definedNames>
    <definedName name="app" localSheetId="0">'[1]FOGLIO DEPOSITO'!$E$20:$E$22</definedName>
    <definedName name="app">'FOGLIO DEPOSITO'!$I$25:$I$27</definedName>
    <definedName name="bas">'FOGLIO DEPOSITO'!$R$3:$R$203</definedName>
    <definedName name="class">'FOGLIO DEPOSITO'!$D$40:$D$51</definedName>
    <definedName name="COMBO">'FOGLIO DEPOSITO'!$I$25:$I$28</definedName>
    <definedName name="dis">#REF!</definedName>
    <definedName name="dr">'FOGLIO DEPOSITO'!$B$16:$B$17</definedName>
    <definedName name="fer">'FOGLIO DEPOSITO'!$B$40:$B$41</definedName>
    <definedName name="fond">'FOGLIO DEPOSITO'!$B$20:$D$21</definedName>
    <definedName name="fonda">'FOGLIO DEPOSITO'!$B$20:$B$21</definedName>
    <definedName name="graf1">'FOGLIO DEPOSITO'!#REF!</definedName>
    <definedName name="graf2">'FOGLIO DEPOSITO'!#REF!</definedName>
    <definedName name="graf3">'FOGLIO DEPOSITO'!#REF!</definedName>
    <definedName name="graf4">'FOGLIO DEPOSITO'!#REF!</definedName>
    <definedName name="lun">'FOGLIO DEPOSITO'!$U$3:$U$203</definedName>
    <definedName name="mey" localSheetId="0">'[1]FOGLIO DEPOSITO'!$F$26:$F$28</definedName>
    <definedName name="mey">'FOGLIO DEPOSITO'!$F$16:$F$18</definedName>
    <definedName name="NUMCOST">#REF!</definedName>
    <definedName name="PASDEN">'FOGLIO DEPOSITO'!$U$2:$U$14</definedName>
    <definedName name="perm">'FOGLIO DEPOSITO'!#REF!</definedName>
    <definedName name="PERR">'[1]FOGLIO DEPOSITO'!$R$3:$R$203</definedName>
    <definedName name="PERRR">'[1]FOGLIO DEPOSITO'!$U$3:$U$203</definedName>
    <definedName name="posdent">'FOGLIO DEPOSITO'!$U$1:$U$14</definedName>
    <definedName name="posza">'FOGLIO DEPOSITO'!#REF!</definedName>
    <definedName name="pr">'FOGLIO DEPOSITO'!#REF!</definedName>
    <definedName name="RAN">'FOGLIO DEPOSITO'!#REF!</definedName>
    <definedName name="RANK">'FOGLIO DEPOSITO'!#REF!</definedName>
    <definedName name="sd">#REF!</definedName>
    <definedName name="sec">'FOGLIO DEPOSITO'!#REF!</definedName>
    <definedName name="SISM">'FOGLIO DEPOSITO'!$I$31:$I$32</definedName>
    <definedName name="sn" localSheetId="0">'[1]FOGLIO DEPOSITO'!$I$26:$I$27</definedName>
    <definedName name="sn">'FOGLIO DEPOSITO'!$I$16:$I$17</definedName>
    <definedName name="snn">'[1]FOGLIO DEPOSITO'!$I$26:$I$27</definedName>
    <definedName name="speg">'FOGLIO DEPOSITO'!#REF!</definedName>
    <definedName name="spegn">'FOGLIO DEPOSITO'!#REF!</definedName>
    <definedName name="spin">'FOGLIO DEPOSITO'!#REF!</definedName>
    <definedName name="spint">'FOGLIO DEPOSITO'!#REF!</definedName>
    <definedName name="ss">'FOGLIO DEPOSITO'!$L$41:$L$45</definedName>
    <definedName name="st">'FOGLIO DEPOSITO'!$R$2:$R$56</definedName>
    <definedName name="str">'FOGLIO DEPOSITO'!$Q$2:$Q$56</definedName>
    <definedName name="ter">'FOGLIO DEPOSITO'!$B$80:$B$91</definedName>
    <definedName name="tfit">#REF!</definedName>
    <definedName name="tip">'FOGLIO DEPOSITO'!$F$16:$G$18</definedName>
    <definedName name="TOP">'FOGLIO DEPOSITO'!$M$41:$M$44</definedName>
  </definedNames>
  <calcPr calcId="162913"/>
  <customWorkbookViews>
    <customWorkbookView name="Davide - Visualizzazione personale" guid="{4665FEC6-985A-4058-98C4-6E3C4FA2FD00}" mergeInterval="0" personalView="1" maximized="1" xWindow="-8" yWindow="-8" windowWidth="1382" windowHeight="744" tabRatio="889" activeSheetId="1"/>
    <customWorkbookView name="Utente - Visualizzazione personale" guid="{0B137F07-03B3-4E41-AE6C-8ED78830E82B}" mergeInterval="0" personalView="1" maximized="1" xWindow="-9" yWindow="-9" windowWidth="1938" windowHeight="1050" tabRatio="889" activeSheetId="3"/>
    <customWorkbookView name="Davide Cicchini - Visualizzazione personale" guid="{20357F05-553F-42A2-AC78-E7E06E1ED012}" mergeInterval="0" personalView="1" maximized="1" xWindow="1358" yWindow="-8" windowWidth="1936" windowHeight="1056" tabRatio="889" activeSheetId="3"/>
  </customWorkbookViews>
</workbook>
</file>

<file path=xl/calcChain.xml><?xml version="1.0" encoding="utf-8"?>
<calcChain xmlns="http://schemas.openxmlformats.org/spreadsheetml/2006/main">
  <c r="E15" i="3" l="1"/>
  <c r="E154" i="3" l="1"/>
  <c r="C160" i="3"/>
  <c r="K88" i="4" l="1"/>
  <c r="D95" i="2" l="1"/>
  <c r="C95" i="2"/>
  <c r="E136" i="3"/>
  <c r="E135" i="3"/>
  <c r="D112" i="5" s="1"/>
  <c r="R129" i="5"/>
  <c r="E134" i="3"/>
  <c r="E137" i="3"/>
  <c r="G88" i="2"/>
  <c r="G87" i="2"/>
  <c r="E90" i="2"/>
  <c r="H90" i="2" s="1"/>
  <c r="E89" i="2"/>
  <c r="H89" i="2" s="1"/>
  <c r="E85" i="2"/>
  <c r="H85" i="2" s="1"/>
  <c r="E88" i="2"/>
  <c r="H88" i="2" s="1"/>
  <c r="E87" i="2"/>
  <c r="H87" i="2" s="1"/>
  <c r="E86" i="2"/>
  <c r="H86" i="2" s="1"/>
  <c r="E91" i="2"/>
  <c r="H91" i="2" s="1"/>
  <c r="E84" i="2"/>
  <c r="H84" i="2" s="1"/>
  <c r="E83" i="2"/>
  <c r="H83" i="2" s="1"/>
  <c r="E82" i="2"/>
  <c r="H82" i="2" s="1"/>
  <c r="E81" i="2"/>
  <c r="H81" i="2" s="1"/>
  <c r="E80" i="2"/>
  <c r="H80" i="2" s="1"/>
  <c r="G91" i="2" l="1"/>
  <c r="G89" i="2"/>
  <c r="G86" i="2"/>
  <c r="G90" i="2"/>
  <c r="E95" i="2"/>
  <c r="E97" i="2" s="1"/>
  <c r="D52" i="4"/>
  <c r="D50" i="4" s="1"/>
  <c r="D51" i="4" l="1"/>
  <c r="I59" i="2" l="1"/>
  <c r="C61" i="2"/>
  <c r="V103" i="2" l="1"/>
  <c r="S103" i="2"/>
  <c r="U104" i="2"/>
  <c r="U105" i="2" s="1"/>
  <c r="U106" i="2" s="1"/>
  <c r="U107" i="2" s="1"/>
  <c r="U108" i="2" s="1"/>
  <c r="U109" i="2" s="1"/>
  <c r="U110" i="2" s="1"/>
  <c r="U111" i="2" s="1"/>
  <c r="U112" i="2" s="1"/>
  <c r="U113" i="2" s="1"/>
  <c r="U114" i="2" s="1"/>
  <c r="U115" i="2" s="1"/>
  <c r="U116" i="2" s="1"/>
  <c r="U117" i="2" s="1"/>
  <c r="U118" i="2" s="1"/>
  <c r="U119" i="2" s="1"/>
  <c r="U120" i="2" s="1"/>
  <c r="U121" i="2" s="1"/>
  <c r="U122" i="2" s="1"/>
  <c r="U123" i="2" s="1"/>
  <c r="U124" i="2" s="1"/>
  <c r="U125" i="2" s="1"/>
  <c r="U126" i="2" s="1"/>
  <c r="U127" i="2" s="1"/>
  <c r="U128" i="2" s="1"/>
  <c r="U129" i="2" s="1"/>
  <c r="U130" i="2" s="1"/>
  <c r="U131" i="2" s="1"/>
  <c r="U132" i="2" s="1"/>
  <c r="U133" i="2" s="1"/>
  <c r="U134" i="2" s="1"/>
  <c r="U135" i="2" s="1"/>
  <c r="U136" i="2" s="1"/>
  <c r="U137" i="2" s="1"/>
  <c r="U138" i="2" s="1"/>
  <c r="U139" i="2" s="1"/>
  <c r="U140" i="2" s="1"/>
  <c r="U141" i="2" s="1"/>
  <c r="U142" i="2" s="1"/>
  <c r="U143" i="2" s="1"/>
  <c r="U144" i="2" s="1"/>
  <c r="U145" i="2" s="1"/>
  <c r="U146" i="2" s="1"/>
  <c r="U147" i="2" s="1"/>
  <c r="U148" i="2" s="1"/>
  <c r="U149" i="2" s="1"/>
  <c r="U150" i="2" s="1"/>
  <c r="U151" i="2" s="1"/>
  <c r="U152" i="2" s="1"/>
  <c r="U153" i="2" s="1"/>
  <c r="U154" i="2" s="1"/>
  <c r="U155" i="2" s="1"/>
  <c r="U156" i="2" s="1"/>
  <c r="U157" i="2" s="1"/>
  <c r="U158" i="2" s="1"/>
  <c r="U159" i="2" s="1"/>
  <c r="U160" i="2" s="1"/>
  <c r="U161" i="2" s="1"/>
  <c r="U162" i="2" s="1"/>
  <c r="U163" i="2" s="1"/>
  <c r="U164" i="2" s="1"/>
  <c r="U165" i="2" s="1"/>
  <c r="U166" i="2" s="1"/>
  <c r="U167" i="2" s="1"/>
  <c r="U168" i="2" s="1"/>
  <c r="U169" i="2" s="1"/>
  <c r="U170" i="2" s="1"/>
  <c r="U171" i="2" s="1"/>
  <c r="U172" i="2" s="1"/>
  <c r="U173" i="2" s="1"/>
  <c r="U174" i="2" s="1"/>
  <c r="U175" i="2" s="1"/>
  <c r="U176" i="2" s="1"/>
  <c r="U177" i="2" s="1"/>
  <c r="U178" i="2" s="1"/>
  <c r="U179" i="2" s="1"/>
  <c r="U180" i="2" s="1"/>
  <c r="U181" i="2" s="1"/>
  <c r="U182" i="2" s="1"/>
  <c r="U183" i="2" s="1"/>
  <c r="U184" i="2" s="1"/>
  <c r="U185" i="2" s="1"/>
  <c r="U186" i="2" s="1"/>
  <c r="U187" i="2" s="1"/>
  <c r="U188" i="2" s="1"/>
  <c r="U189" i="2" s="1"/>
  <c r="U190" i="2" s="1"/>
  <c r="U191" i="2" s="1"/>
  <c r="U192" i="2" s="1"/>
  <c r="U193" i="2" s="1"/>
  <c r="U194" i="2" s="1"/>
  <c r="U195" i="2" s="1"/>
  <c r="U196" i="2" s="1"/>
  <c r="U197" i="2" s="1"/>
  <c r="U198" i="2" s="1"/>
  <c r="U199" i="2" s="1"/>
  <c r="U200" i="2" s="1"/>
  <c r="U201" i="2" s="1"/>
  <c r="U202" i="2" s="1"/>
  <c r="U203" i="2" s="1"/>
  <c r="U102" i="2"/>
  <c r="U101" i="2" s="1"/>
  <c r="U100" i="2" s="1"/>
  <c r="U99" i="2" s="1"/>
  <c r="U98" i="2" s="1"/>
  <c r="U97" i="2" s="1"/>
  <c r="U96" i="2" s="1"/>
  <c r="U95" i="2" s="1"/>
  <c r="U94" i="2" s="1"/>
  <c r="U93" i="2" s="1"/>
  <c r="U92" i="2" s="1"/>
  <c r="U91" i="2" s="1"/>
  <c r="U90" i="2" s="1"/>
  <c r="U89" i="2" s="1"/>
  <c r="U88" i="2" s="1"/>
  <c r="U87" i="2" s="1"/>
  <c r="U86" i="2" s="1"/>
  <c r="U85" i="2" s="1"/>
  <c r="U84" i="2" s="1"/>
  <c r="U83" i="2" s="1"/>
  <c r="U82" i="2" s="1"/>
  <c r="U81" i="2" s="1"/>
  <c r="U80" i="2" s="1"/>
  <c r="U79" i="2" s="1"/>
  <c r="U78" i="2" s="1"/>
  <c r="U77" i="2" s="1"/>
  <c r="U76" i="2" s="1"/>
  <c r="U75" i="2" s="1"/>
  <c r="U74" i="2" s="1"/>
  <c r="U73" i="2" s="1"/>
  <c r="U72" i="2" s="1"/>
  <c r="U71" i="2" s="1"/>
  <c r="U70" i="2" s="1"/>
  <c r="U69" i="2" s="1"/>
  <c r="U68" i="2" s="1"/>
  <c r="U67" i="2" s="1"/>
  <c r="U66" i="2" s="1"/>
  <c r="U65" i="2" s="1"/>
  <c r="U64" i="2" s="1"/>
  <c r="U63" i="2" s="1"/>
  <c r="U62" i="2" s="1"/>
  <c r="U61" i="2" s="1"/>
  <c r="U60" i="2" s="1"/>
  <c r="U59" i="2" s="1"/>
  <c r="U58" i="2" s="1"/>
  <c r="U57" i="2" s="1"/>
  <c r="U56" i="2" s="1"/>
  <c r="U55" i="2" s="1"/>
  <c r="U54" i="2" s="1"/>
  <c r="U53" i="2" s="1"/>
  <c r="U52" i="2" s="1"/>
  <c r="U51" i="2" s="1"/>
  <c r="U50" i="2" s="1"/>
  <c r="U49" i="2" s="1"/>
  <c r="U48" i="2" s="1"/>
  <c r="U47" i="2" s="1"/>
  <c r="U46" i="2" s="1"/>
  <c r="U45" i="2" s="1"/>
  <c r="U44" i="2" s="1"/>
  <c r="U43" i="2" s="1"/>
  <c r="U42" i="2" s="1"/>
  <c r="U41" i="2" s="1"/>
  <c r="U40" i="2" s="1"/>
  <c r="U39" i="2" s="1"/>
  <c r="U38" i="2" s="1"/>
  <c r="U37" i="2" s="1"/>
  <c r="U36" i="2" s="1"/>
  <c r="U35" i="2" s="1"/>
  <c r="U34" i="2" s="1"/>
  <c r="U33" i="2" s="1"/>
  <c r="U32" i="2" s="1"/>
  <c r="U31" i="2" s="1"/>
  <c r="U30" i="2" s="1"/>
  <c r="U29" i="2" s="1"/>
  <c r="U28" i="2" s="1"/>
  <c r="U27" i="2" s="1"/>
  <c r="U26" i="2" s="1"/>
  <c r="U25" i="2" s="1"/>
  <c r="U24" i="2" s="1"/>
  <c r="U23" i="2" s="1"/>
  <c r="U22" i="2" s="1"/>
  <c r="U21" i="2" s="1"/>
  <c r="U20" i="2" s="1"/>
  <c r="U19" i="2" s="1"/>
  <c r="U18" i="2" s="1"/>
  <c r="U17" i="2" s="1"/>
  <c r="U16" i="2" s="1"/>
  <c r="U15" i="2" s="1"/>
  <c r="U14" i="2" s="1"/>
  <c r="U13" i="2" s="1"/>
  <c r="U12" i="2" s="1"/>
  <c r="U11" i="2" s="1"/>
  <c r="U10" i="2" s="1"/>
  <c r="U9" i="2" s="1"/>
  <c r="U8" i="2" s="1"/>
  <c r="U7" i="2" s="1"/>
  <c r="U6" i="2" s="1"/>
  <c r="U5" i="2" s="1"/>
  <c r="U4" i="2" s="1"/>
  <c r="U3" i="2" s="1"/>
  <c r="R104" i="2"/>
  <c r="R102" i="2"/>
  <c r="R101" i="2"/>
  <c r="V101" i="2" s="1"/>
  <c r="M48" i="2"/>
  <c r="M50" i="2" s="1"/>
  <c r="H30" i="5"/>
  <c r="H29" i="5"/>
  <c r="H28" i="5"/>
  <c r="H27" i="5"/>
  <c r="H26" i="5"/>
  <c r="C10" i="5"/>
  <c r="C8" i="5"/>
  <c r="H30" i="4"/>
  <c r="H29" i="4"/>
  <c r="H28" i="4"/>
  <c r="H27" i="4"/>
  <c r="H26" i="4"/>
  <c r="C10" i="4"/>
  <c r="C8" i="4"/>
  <c r="E25" i="2"/>
  <c r="E161" i="3" s="1"/>
  <c r="E99" i="3"/>
  <c r="F99" i="3"/>
  <c r="G99" i="3"/>
  <c r="V102" i="2" l="1"/>
  <c r="S102" i="2"/>
  <c r="V104" i="2"/>
  <c r="S104" i="2"/>
  <c r="R100" i="2"/>
  <c r="R105" i="2"/>
  <c r="S101" i="2"/>
  <c r="H9" i="5"/>
  <c r="M49" i="2"/>
  <c r="M52" i="2"/>
  <c r="M53" i="2" s="1"/>
  <c r="M56" i="2"/>
  <c r="M51" i="2"/>
  <c r="H9" i="4"/>
  <c r="R106" i="2" l="1"/>
  <c r="V105" i="2"/>
  <c r="S105" i="2"/>
  <c r="R99" i="2"/>
  <c r="V100" i="2"/>
  <c r="S100" i="2"/>
  <c r="M54" i="2"/>
  <c r="M55" i="2"/>
  <c r="R107" i="2" l="1"/>
  <c r="V106" i="2"/>
  <c r="S106" i="2"/>
  <c r="R98" i="2"/>
  <c r="V99" i="2"/>
  <c r="S99" i="2"/>
  <c r="R108" i="2" l="1"/>
  <c r="V107" i="2"/>
  <c r="S107" i="2"/>
  <c r="R97" i="2"/>
  <c r="V98" i="2"/>
  <c r="S98" i="2"/>
  <c r="R109" i="2" l="1"/>
  <c r="V108" i="2"/>
  <c r="S108" i="2"/>
  <c r="R96" i="2"/>
  <c r="S97" i="2"/>
  <c r="V97" i="2"/>
  <c r="E22" i="3"/>
  <c r="R110" i="2" l="1"/>
  <c r="S109" i="2"/>
  <c r="V109" i="2"/>
  <c r="R95" i="2"/>
  <c r="V96" i="2"/>
  <c r="S96" i="2"/>
  <c r="I29" i="2"/>
  <c r="E32" i="3"/>
  <c r="F163" i="3"/>
  <c r="F161" i="3"/>
  <c r="G27" i="2"/>
  <c r="G26" i="2"/>
  <c r="E27" i="2"/>
  <c r="E163" i="3" s="1"/>
  <c r="E26" i="2"/>
  <c r="E162" i="3" s="1"/>
  <c r="N38" i="4" s="1"/>
  <c r="N38" i="5" s="1"/>
  <c r="H43" i="2"/>
  <c r="E24" i="3" s="1"/>
  <c r="I43" i="2"/>
  <c r="E27" i="3" s="1"/>
  <c r="E29" i="3" s="1"/>
  <c r="H44" i="2"/>
  <c r="I44" i="2"/>
  <c r="H45" i="2"/>
  <c r="I45" i="2"/>
  <c r="H46" i="2"/>
  <c r="I46" i="2"/>
  <c r="G55" i="2"/>
  <c r="E23" i="3"/>
  <c r="E30" i="3"/>
  <c r="J34" i="6" s="1"/>
  <c r="B6" i="6"/>
  <c r="B7" i="6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B367" i="6" s="1"/>
  <c r="B368" i="6" s="1"/>
  <c r="B369" i="6" s="1"/>
  <c r="B370" i="6" s="1"/>
  <c r="B371" i="6" s="1"/>
  <c r="B372" i="6" s="1"/>
  <c r="B373" i="6" s="1"/>
  <c r="B374" i="6" s="1"/>
  <c r="B375" i="6" s="1"/>
  <c r="B376" i="6" s="1"/>
  <c r="B377" i="6" s="1"/>
  <c r="B378" i="6" s="1"/>
  <c r="B379" i="6" s="1"/>
  <c r="B380" i="6" s="1"/>
  <c r="B381" i="6" s="1"/>
  <c r="B382" i="6" s="1"/>
  <c r="B383" i="6" s="1"/>
  <c r="B384" i="6" s="1"/>
  <c r="B385" i="6" s="1"/>
  <c r="B386" i="6" s="1"/>
  <c r="B387" i="6" s="1"/>
  <c r="B388" i="6" s="1"/>
  <c r="B389" i="6" s="1"/>
  <c r="B390" i="6" s="1"/>
  <c r="B391" i="6" s="1"/>
  <c r="B392" i="6" s="1"/>
  <c r="B393" i="6" s="1"/>
  <c r="B394" i="6" s="1"/>
  <c r="B395" i="6" s="1"/>
  <c r="B396" i="6" s="1"/>
  <c r="B397" i="6" s="1"/>
  <c r="B398" i="6" s="1"/>
  <c r="B399" i="6" s="1"/>
  <c r="B400" i="6" s="1"/>
  <c r="B401" i="6" s="1"/>
  <c r="B402" i="6" s="1"/>
  <c r="B403" i="6" s="1"/>
  <c r="B404" i="6" s="1"/>
  <c r="B405" i="6" s="1"/>
  <c r="B406" i="6" s="1"/>
  <c r="B407" i="6" s="1"/>
  <c r="B408" i="6" s="1"/>
  <c r="B409" i="6" s="1"/>
  <c r="B410" i="6" s="1"/>
  <c r="B411" i="6" s="1"/>
  <c r="B412" i="6" s="1"/>
  <c r="B413" i="6" s="1"/>
  <c r="B414" i="6" s="1"/>
  <c r="B415" i="6" s="1"/>
  <c r="B416" i="6" s="1"/>
  <c r="B417" i="6" s="1"/>
  <c r="B418" i="6" s="1"/>
  <c r="B419" i="6" s="1"/>
  <c r="B420" i="6" s="1"/>
  <c r="B421" i="6" s="1"/>
  <c r="B422" i="6" s="1"/>
  <c r="B423" i="6" s="1"/>
  <c r="B424" i="6" s="1"/>
  <c r="B425" i="6" s="1"/>
  <c r="B426" i="6" s="1"/>
  <c r="B427" i="6" s="1"/>
  <c r="B428" i="6" s="1"/>
  <c r="B429" i="6" s="1"/>
  <c r="B430" i="6" s="1"/>
  <c r="B431" i="6" s="1"/>
  <c r="B432" i="6" s="1"/>
  <c r="B433" i="6" s="1"/>
  <c r="B434" i="6" s="1"/>
  <c r="B435" i="6" s="1"/>
  <c r="B436" i="6" s="1"/>
  <c r="B437" i="6" s="1"/>
  <c r="B438" i="6" s="1"/>
  <c r="B439" i="6" s="1"/>
  <c r="B440" i="6" s="1"/>
  <c r="B441" i="6" s="1"/>
  <c r="B442" i="6" s="1"/>
  <c r="B443" i="6" s="1"/>
  <c r="B444" i="6" s="1"/>
  <c r="B445" i="6" s="1"/>
  <c r="B446" i="6" s="1"/>
  <c r="B447" i="6" s="1"/>
  <c r="B448" i="6" s="1"/>
  <c r="B449" i="6" s="1"/>
  <c r="B450" i="6" s="1"/>
  <c r="B451" i="6" s="1"/>
  <c r="B452" i="6" s="1"/>
  <c r="B453" i="6" s="1"/>
  <c r="B454" i="6" s="1"/>
  <c r="B455" i="6" s="1"/>
  <c r="B456" i="6" s="1"/>
  <c r="B457" i="6" s="1"/>
  <c r="B458" i="6" s="1"/>
  <c r="B459" i="6" s="1"/>
  <c r="B460" i="6" s="1"/>
  <c r="B461" i="6" s="1"/>
  <c r="B462" i="6" s="1"/>
  <c r="B463" i="6" s="1"/>
  <c r="B464" i="6" s="1"/>
  <c r="B465" i="6" s="1"/>
  <c r="B466" i="6" s="1"/>
  <c r="B467" i="6" s="1"/>
  <c r="B468" i="6" s="1"/>
  <c r="B469" i="6" s="1"/>
  <c r="B470" i="6" s="1"/>
  <c r="B471" i="6" s="1"/>
  <c r="B472" i="6" s="1"/>
  <c r="B473" i="6" s="1"/>
  <c r="B474" i="6" s="1"/>
  <c r="B475" i="6" s="1"/>
  <c r="B476" i="6" s="1"/>
  <c r="B477" i="6" s="1"/>
  <c r="B478" i="6" s="1"/>
  <c r="B479" i="6" s="1"/>
  <c r="B480" i="6" s="1"/>
  <c r="B481" i="6" s="1"/>
  <c r="B482" i="6" s="1"/>
  <c r="B483" i="6" s="1"/>
  <c r="B484" i="6" s="1"/>
  <c r="B485" i="6" s="1"/>
  <c r="B486" i="6" s="1"/>
  <c r="B487" i="6" s="1"/>
  <c r="B488" i="6" s="1"/>
  <c r="B489" i="6" s="1"/>
  <c r="B490" i="6" s="1"/>
  <c r="B491" i="6" s="1"/>
  <c r="B492" i="6" s="1"/>
  <c r="B493" i="6" s="1"/>
  <c r="B494" i="6" s="1"/>
  <c r="B495" i="6" s="1"/>
  <c r="B496" i="6" s="1"/>
  <c r="B497" i="6" s="1"/>
  <c r="B498" i="6" s="1"/>
  <c r="B499" i="6" s="1"/>
  <c r="B500" i="6" s="1"/>
  <c r="B501" i="6" s="1"/>
  <c r="B502" i="6" s="1"/>
  <c r="B503" i="6" s="1"/>
  <c r="B504" i="6" s="1"/>
  <c r="B505" i="6" s="1"/>
  <c r="E40" i="2"/>
  <c r="I39" i="4"/>
  <c r="N134" i="5"/>
  <c r="O137" i="5"/>
  <c r="K138" i="5"/>
  <c r="G16" i="2"/>
  <c r="D10" i="2"/>
  <c r="I44" i="4"/>
  <c r="I44" i="5"/>
  <c r="D44" i="4"/>
  <c r="D43" i="4"/>
  <c r="P59" i="4" s="1"/>
  <c r="D44" i="5"/>
  <c r="P59" i="5" s="1"/>
  <c r="P61" i="5" s="1"/>
  <c r="D43" i="5"/>
  <c r="I43" i="4"/>
  <c r="I99" i="4" s="1"/>
  <c r="I43" i="5"/>
  <c r="I105" i="5" s="1"/>
  <c r="C66" i="2" l="1"/>
  <c r="D70" i="2"/>
  <c r="D68" i="2"/>
  <c r="R94" i="2"/>
  <c r="V95" i="2"/>
  <c r="S95" i="2"/>
  <c r="R111" i="2"/>
  <c r="V110" i="2"/>
  <c r="S110" i="2"/>
  <c r="H10" i="4"/>
  <c r="H10" i="5"/>
  <c r="H11" i="4"/>
  <c r="H11" i="5"/>
  <c r="E169" i="3"/>
  <c r="E168" i="3"/>
  <c r="E167" i="3"/>
  <c r="E166" i="3"/>
  <c r="E174" i="3"/>
  <c r="E172" i="3"/>
  <c r="E25" i="3"/>
  <c r="E26" i="3" s="1"/>
  <c r="M59" i="4"/>
  <c r="I39" i="5"/>
  <c r="H55" i="2"/>
  <c r="E35" i="3" s="1"/>
  <c r="E28" i="3"/>
  <c r="J33" i="6"/>
  <c r="J65" i="5" l="1"/>
  <c r="J63" i="4"/>
  <c r="D90" i="5"/>
  <c r="E33" i="3"/>
  <c r="H32" i="5" s="1"/>
  <c r="R112" i="2"/>
  <c r="V111" i="2"/>
  <c r="S111" i="2"/>
  <c r="R93" i="2"/>
  <c r="V94" i="2"/>
  <c r="S94" i="2"/>
  <c r="H31" i="5"/>
  <c r="H31" i="4"/>
  <c r="H14" i="5"/>
  <c r="H14" i="4"/>
  <c r="N132" i="5"/>
  <c r="H15" i="5"/>
  <c r="H15" i="4"/>
  <c r="H16" i="5"/>
  <c r="H16" i="4"/>
  <c r="H17" i="5"/>
  <c r="H17" i="4"/>
  <c r="H22" i="4"/>
  <c r="H22" i="5"/>
  <c r="H20" i="4"/>
  <c r="H20" i="5"/>
  <c r="D41" i="4"/>
  <c r="D40" i="4"/>
  <c r="N131" i="5"/>
  <c r="D39" i="4"/>
  <c r="D38" i="5"/>
  <c r="D52" i="5" s="1"/>
  <c r="K101" i="5"/>
  <c r="D39" i="5"/>
  <c r="G34" i="6"/>
  <c r="G33" i="6"/>
  <c r="I42" i="4"/>
  <c r="I42" i="5"/>
  <c r="J32" i="6"/>
  <c r="G32" i="6" s="1"/>
  <c r="C12" i="6"/>
  <c r="C16" i="6"/>
  <c r="C20" i="6"/>
  <c r="C24" i="6"/>
  <c r="C28" i="6"/>
  <c r="C32" i="6"/>
  <c r="C36" i="6"/>
  <c r="C45" i="6"/>
  <c r="C7" i="6"/>
  <c r="C8" i="6"/>
  <c r="C5" i="6"/>
  <c r="C10" i="6"/>
  <c r="C14" i="6"/>
  <c r="C18" i="6"/>
  <c r="C22" i="6"/>
  <c r="C26" i="6"/>
  <c r="C30" i="6"/>
  <c r="C34" i="6"/>
  <c r="C38" i="6"/>
  <c r="C40" i="6"/>
  <c r="C42" i="6"/>
  <c r="C44" i="6"/>
  <c r="C11" i="6"/>
  <c r="C15" i="6"/>
  <c r="C19" i="6"/>
  <c r="C23" i="6"/>
  <c r="C27" i="6"/>
  <c r="C31" i="6"/>
  <c r="C35" i="6"/>
  <c r="C37" i="6"/>
  <c r="C6" i="6"/>
  <c r="C17" i="6"/>
  <c r="C33" i="6"/>
  <c r="C43" i="6"/>
  <c r="C46" i="6"/>
  <c r="C9" i="6"/>
  <c r="C21" i="6"/>
  <c r="C39" i="6"/>
  <c r="C41" i="6"/>
  <c r="G31" i="6"/>
  <c r="C25" i="6"/>
  <c r="C13" i="6"/>
  <c r="C29" i="6"/>
  <c r="C56" i="6"/>
  <c r="C60" i="6"/>
  <c r="C61" i="6"/>
  <c r="C63" i="6"/>
  <c r="C47" i="6"/>
  <c r="C53" i="6"/>
  <c r="C57" i="6"/>
  <c r="C51" i="6"/>
  <c r="C55" i="6"/>
  <c r="C58" i="6"/>
  <c r="C62" i="6"/>
  <c r="C52" i="6"/>
  <c r="C64" i="6"/>
  <c r="C69" i="6"/>
  <c r="C71" i="6"/>
  <c r="C74" i="6"/>
  <c r="C80" i="6"/>
  <c r="C84" i="6"/>
  <c r="C88" i="6"/>
  <c r="C92" i="6"/>
  <c r="C96" i="6"/>
  <c r="C100" i="6"/>
  <c r="C104" i="6"/>
  <c r="C108" i="6"/>
  <c r="C112" i="6"/>
  <c r="C114" i="6"/>
  <c r="C116" i="6"/>
  <c r="C120" i="6"/>
  <c r="C124" i="6"/>
  <c r="C128" i="6"/>
  <c r="C132" i="6"/>
  <c r="C136" i="6"/>
  <c r="C140" i="6"/>
  <c r="C144" i="6"/>
  <c r="C148" i="6"/>
  <c r="C152" i="6"/>
  <c r="C156" i="6"/>
  <c r="C160" i="6"/>
  <c r="C164" i="6"/>
  <c r="C168" i="6"/>
  <c r="C172" i="6"/>
  <c r="C176" i="6"/>
  <c r="C180" i="6"/>
  <c r="C184" i="6"/>
  <c r="C188" i="6"/>
  <c r="C192" i="6"/>
  <c r="C196" i="6"/>
  <c r="C200" i="6"/>
  <c r="C202" i="6"/>
  <c r="C206" i="6"/>
  <c r="C208" i="6"/>
  <c r="C210" i="6"/>
  <c r="C214" i="6"/>
  <c r="C216" i="6"/>
  <c r="C218" i="6"/>
  <c r="C222" i="6"/>
  <c r="C224" i="6"/>
  <c r="C226" i="6"/>
  <c r="C230" i="6"/>
  <c r="C232" i="6"/>
  <c r="C234" i="6"/>
  <c r="C240" i="6"/>
  <c r="C244" i="6"/>
  <c r="C248" i="6"/>
  <c r="C252" i="6"/>
  <c r="C256" i="6"/>
  <c r="C260" i="6"/>
  <c r="C264" i="6"/>
  <c r="C268" i="6"/>
  <c r="C272" i="6"/>
  <c r="C276" i="6"/>
  <c r="C280" i="6"/>
  <c r="C284" i="6"/>
  <c r="C288" i="6"/>
  <c r="C292" i="6"/>
  <c r="C296" i="6"/>
  <c r="C300" i="6"/>
  <c r="C304" i="6"/>
  <c r="C308" i="6"/>
  <c r="C312" i="6"/>
  <c r="C316" i="6"/>
  <c r="C320" i="6"/>
  <c r="C324" i="6"/>
  <c r="C328" i="6"/>
  <c r="C332" i="6"/>
  <c r="C48" i="6"/>
  <c r="C49" i="6"/>
  <c r="C54" i="6"/>
  <c r="C65" i="6"/>
  <c r="C67" i="6"/>
  <c r="C73" i="6"/>
  <c r="C75" i="6"/>
  <c r="C78" i="6"/>
  <c r="C82" i="6"/>
  <c r="C86" i="6"/>
  <c r="C90" i="6"/>
  <c r="C94" i="6"/>
  <c r="C98" i="6"/>
  <c r="C102" i="6"/>
  <c r="C106" i="6"/>
  <c r="C110" i="6"/>
  <c r="C118" i="6"/>
  <c r="C122" i="6"/>
  <c r="C126" i="6"/>
  <c r="C130" i="6"/>
  <c r="C134" i="6"/>
  <c r="C138" i="6"/>
  <c r="C142" i="6"/>
  <c r="C146" i="6"/>
  <c r="C150" i="6"/>
  <c r="C154" i="6"/>
  <c r="C158" i="6"/>
  <c r="C162" i="6"/>
  <c r="C166" i="6"/>
  <c r="C170" i="6"/>
  <c r="C174" i="6"/>
  <c r="C178" i="6"/>
  <c r="C182" i="6"/>
  <c r="C186" i="6"/>
  <c r="C190" i="6"/>
  <c r="C194" i="6"/>
  <c r="C198" i="6"/>
  <c r="C204" i="6"/>
  <c r="C212" i="6"/>
  <c r="C220" i="6"/>
  <c r="C228" i="6"/>
  <c r="C236" i="6"/>
  <c r="C238" i="6"/>
  <c r="C242" i="6"/>
  <c r="C246" i="6"/>
  <c r="C250" i="6"/>
  <c r="C254" i="6"/>
  <c r="C50" i="6"/>
  <c r="C66" i="6"/>
  <c r="C72" i="6"/>
  <c r="C77" i="6"/>
  <c r="C79" i="6"/>
  <c r="C83" i="6"/>
  <c r="C87" i="6"/>
  <c r="C91" i="6"/>
  <c r="C95" i="6"/>
  <c r="C99" i="6"/>
  <c r="C103" i="6"/>
  <c r="C107" i="6"/>
  <c r="C111" i="6"/>
  <c r="C115" i="6"/>
  <c r="C117" i="6"/>
  <c r="C121" i="6"/>
  <c r="C125" i="6"/>
  <c r="C129" i="6"/>
  <c r="C133" i="6"/>
  <c r="C137" i="6"/>
  <c r="C141" i="6"/>
  <c r="C145" i="6"/>
  <c r="C149" i="6"/>
  <c r="C153" i="6"/>
  <c r="C157" i="6"/>
  <c r="C161" i="6"/>
  <c r="C165" i="6"/>
  <c r="C169" i="6"/>
  <c r="C173" i="6"/>
  <c r="C177" i="6"/>
  <c r="C181" i="6"/>
  <c r="C185" i="6"/>
  <c r="C189" i="6"/>
  <c r="C193" i="6"/>
  <c r="C197" i="6"/>
  <c r="C201" i="6"/>
  <c r="C205" i="6"/>
  <c r="C209" i="6"/>
  <c r="C213" i="6"/>
  <c r="C217" i="6"/>
  <c r="C221" i="6"/>
  <c r="C225" i="6"/>
  <c r="C229" i="6"/>
  <c r="C233" i="6"/>
  <c r="C237" i="6"/>
  <c r="C239" i="6"/>
  <c r="C243" i="6"/>
  <c r="C247" i="6"/>
  <c r="C251" i="6"/>
  <c r="C255" i="6"/>
  <c r="C259" i="6"/>
  <c r="C263" i="6"/>
  <c r="C267" i="6"/>
  <c r="C271" i="6"/>
  <c r="C275" i="6"/>
  <c r="C279" i="6"/>
  <c r="C283" i="6"/>
  <c r="C287" i="6"/>
  <c r="C291" i="6"/>
  <c r="C295" i="6"/>
  <c r="C299" i="6"/>
  <c r="C303" i="6"/>
  <c r="C307" i="6"/>
  <c r="C311" i="6"/>
  <c r="C315" i="6"/>
  <c r="C319" i="6"/>
  <c r="C323" i="6"/>
  <c r="C327" i="6"/>
  <c r="C331" i="6"/>
  <c r="C68" i="6"/>
  <c r="C89" i="6"/>
  <c r="C105" i="6"/>
  <c r="C131" i="6"/>
  <c r="C147" i="6"/>
  <c r="C163" i="6"/>
  <c r="C179" i="6"/>
  <c r="C195" i="6"/>
  <c r="C211" i="6"/>
  <c r="C227" i="6"/>
  <c r="C253" i="6"/>
  <c r="C336" i="6"/>
  <c r="C340" i="6"/>
  <c r="C344" i="6"/>
  <c r="C348" i="6"/>
  <c r="C350" i="6"/>
  <c r="C354" i="6"/>
  <c r="C358" i="6"/>
  <c r="C362" i="6"/>
  <c r="C366" i="6"/>
  <c r="C370" i="6"/>
  <c r="C374" i="6"/>
  <c r="C378" i="6"/>
  <c r="C382" i="6"/>
  <c r="C386" i="6"/>
  <c r="C390" i="6"/>
  <c r="C394" i="6"/>
  <c r="C398" i="6"/>
  <c r="C402" i="6"/>
  <c r="C406" i="6"/>
  <c r="C410" i="6"/>
  <c r="C414" i="6"/>
  <c r="C420" i="6"/>
  <c r="C422" i="6"/>
  <c r="C424" i="6"/>
  <c r="C428" i="6"/>
  <c r="C432" i="6"/>
  <c r="C436" i="6"/>
  <c r="C438" i="6"/>
  <c r="C440" i="6"/>
  <c r="C444" i="6"/>
  <c r="C446" i="6"/>
  <c r="C448" i="6"/>
  <c r="C452" i="6"/>
  <c r="C454" i="6"/>
  <c r="C456" i="6"/>
  <c r="C458" i="6"/>
  <c r="C462" i="6"/>
  <c r="C466" i="6"/>
  <c r="C470" i="6"/>
  <c r="C474" i="6"/>
  <c r="C478" i="6"/>
  <c r="C482" i="6"/>
  <c r="C486" i="6"/>
  <c r="C490" i="6"/>
  <c r="C494" i="6"/>
  <c r="C498" i="6"/>
  <c r="C502" i="6"/>
  <c r="C352" i="6"/>
  <c r="C364" i="6"/>
  <c r="C368" i="6"/>
  <c r="C376" i="6"/>
  <c r="C384" i="6"/>
  <c r="C392" i="6"/>
  <c r="C400" i="6"/>
  <c r="C404" i="6"/>
  <c r="C412" i="6"/>
  <c r="C418" i="6"/>
  <c r="C430" i="6"/>
  <c r="C442" i="6"/>
  <c r="C460" i="6"/>
  <c r="C468" i="6"/>
  <c r="C476" i="6"/>
  <c r="C480" i="6"/>
  <c r="C488" i="6"/>
  <c r="C496" i="6"/>
  <c r="C504" i="6"/>
  <c r="C70" i="6"/>
  <c r="C101" i="6"/>
  <c r="C143" i="6"/>
  <c r="C175" i="6"/>
  <c r="C249" i="6"/>
  <c r="C266" i="6"/>
  <c r="C274" i="6"/>
  <c r="C285" i="6"/>
  <c r="C301" i="6"/>
  <c r="C314" i="6"/>
  <c r="C322" i="6"/>
  <c r="C333" i="6"/>
  <c r="C345" i="6"/>
  <c r="C357" i="6"/>
  <c r="C365" i="6"/>
  <c r="C373" i="6"/>
  <c r="C385" i="6"/>
  <c r="C397" i="6"/>
  <c r="C409" i="6"/>
  <c r="C419" i="6"/>
  <c r="C431" i="6"/>
  <c r="C451" i="6"/>
  <c r="C461" i="6"/>
  <c r="C469" i="6"/>
  <c r="C477" i="6"/>
  <c r="C493" i="6"/>
  <c r="C59" i="6"/>
  <c r="C93" i="6"/>
  <c r="C109" i="6"/>
  <c r="C119" i="6"/>
  <c r="C135" i="6"/>
  <c r="C151" i="6"/>
  <c r="C167" i="6"/>
  <c r="C183" i="6"/>
  <c r="C199" i="6"/>
  <c r="C215" i="6"/>
  <c r="C231" i="6"/>
  <c r="C241" i="6"/>
  <c r="C257" i="6"/>
  <c r="C262" i="6"/>
  <c r="C265" i="6"/>
  <c r="C270" i="6"/>
  <c r="C273" i="6"/>
  <c r="C278" i="6"/>
  <c r="C281" i="6"/>
  <c r="C286" i="6"/>
  <c r="C289" i="6"/>
  <c r="C294" i="6"/>
  <c r="C297" i="6"/>
  <c r="C302" i="6"/>
  <c r="C305" i="6"/>
  <c r="C310" i="6"/>
  <c r="C313" i="6"/>
  <c r="C318" i="6"/>
  <c r="C321" i="6"/>
  <c r="C326" i="6"/>
  <c r="C329" i="6"/>
  <c r="C334" i="6"/>
  <c r="C338" i="6"/>
  <c r="C342" i="6"/>
  <c r="C346" i="6"/>
  <c r="C356" i="6"/>
  <c r="C360" i="6"/>
  <c r="C372" i="6"/>
  <c r="C380" i="6"/>
  <c r="C388" i="6"/>
  <c r="C396" i="6"/>
  <c r="C408" i="6"/>
  <c r="C416" i="6"/>
  <c r="C426" i="6"/>
  <c r="C434" i="6"/>
  <c r="C450" i="6"/>
  <c r="C464" i="6"/>
  <c r="C472" i="6"/>
  <c r="C484" i="6"/>
  <c r="C492" i="6"/>
  <c r="C500" i="6"/>
  <c r="C85" i="6"/>
  <c r="C159" i="6"/>
  <c r="C223" i="6"/>
  <c r="C261" i="6"/>
  <c r="C277" i="6"/>
  <c r="C290" i="6"/>
  <c r="C298" i="6"/>
  <c r="C309" i="6"/>
  <c r="C325" i="6"/>
  <c r="C337" i="6"/>
  <c r="C349" i="6"/>
  <c r="C361" i="6"/>
  <c r="C381" i="6"/>
  <c r="C393" i="6"/>
  <c r="C405" i="6"/>
  <c r="C423" i="6"/>
  <c r="C439" i="6"/>
  <c r="C443" i="6"/>
  <c r="C457" i="6"/>
  <c r="C465" i="6"/>
  <c r="C485" i="6"/>
  <c r="C497" i="6"/>
  <c r="C76" i="6"/>
  <c r="C81" i="6"/>
  <c r="C97" i="6"/>
  <c r="C113" i="6"/>
  <c r="C123" i="6"/>
  <c r="C139" i="6"/>
  <c r="C155" i="6"/>
  <c r="C171" i="6"/>
  <c r="C187" i="6"/>
  <c r="C203" i="6"/>
  <c r="C219" i="6"/>
  <c r="C235" i="6"/>
  <c r="C245" i="6"/>
  <c r="C335" i="6"/>
  <c r="C339" i="6"/>
  <c r="C343" i="6"/>
  <c r="C347" i="6"/>
  <c r="C351" i="6"/>
  <c r="C355" i="6"/>
  <c r="C359" i="6"/>
  <c r="C363" i="6"/>
  <c r="C367" i="6"/>
  <c r="C371" i="6"/>
  <c r="C375" i="6"/>
  <c r="C379" i="6"/>
  <c r="C383" i="6"/>
  <c r="C387" i="6"/>
  <c r="C391" i="6"/>
  <c r="C395" i="6"/>
  <c r="C399" i="6"/>
  <c r="C403" i="6"/>
  <c r="C407" i="6"/>
  <c r="C411" i="6"/>
  <c r="C415" i="6"/>
  <c r="C417" i="6"/>
  <c r="C421" i="6"/>
  <c r="C425" i="6"/>
  <c r="C429" i="6"/>
  <c r="C433" i="6"/>
  <c r="C437" i="6"/>
  <c r="C441" i="6"/>
  <c r="C445" i="6"/>
  <c r="C449" i="6"/>
  <c r="C453" i="6"/>
  <c r="C459" i="6"/>
  <c r="C463" i="6"/>
  <c r="C467" i="6"/>
  <c r="C471" i="6"/>
  <c r="C475" i="6"/>
  <c r="C479" i="6"/>
  <c r="C483" i="6"/>
  <c r="C487" i="6"/>
  <c r="C491" i="6"/>
  <c r="C495" i="6"/>
  <c r="C499" i="6"/>
  <c r="C503" i="6"/>
  <c r="C505" i="6"/>
  <c r="C127" i="6"/>
  <c r="C191" i="6"/>
  <c r="C207" i="6"/>
  <c r="C258" i="6"/>
  <c r="C269" i="6"/>
  <c r="C282" i="6"/>
  <c r="C293" i="6"/>
  <c r="C306" i="6"/>
  <c r="C317" i="6"/>
  <c r="C330" i="6"/>
  <c r="C341" i="6"/>
  <c r="C353" i="6"/>
  <c r="C369" i="6"/>
  <c r="C377" i="6"/>
  <c r="C389" i="6"/>
  <c r="C401" i="6"/>
  <c r="C413" i="6"/>
  <c r="C427" i="6"/>
  <c r="C435" i="6"/>
  <c r="C447" i="6"/>
  <c r="C455" i="6"/>
  <c r="C473" i="6"/>
  <c r="C481" i="6"/>
  <c r="C489" i="6"/>
  <c r="C501" i="6"/>
  <c r="V59" i="5" l="1"/>
  <c r="D42" i="4"/>
  <c r="R92" i="2"/>
  <c r="V93" i="2"/>
  <c r="S93" i="2"/>
  <c r="R113" i="2"/>
  <c r="V112" i="2"/>
  <c r="S112" i="2"/>
  <c r="H32" i="4"/>
  <c r="S59" i="4" s="1"/>
  <c r="E34" i="3"/>
  <c r="M59" i="5"/>
  <c r="M61" i="5" s="1"/>
  <c r="D51" i="5"/>
  <c r="P60" i="5" s="1"/>
  <c r="D50" i="5"/>
  <c r="V60" i="5" l="1"/>
  <c r="V61" i="5"/>
  <c r="N43" i="5"/>
  <c r="N39" i="5" s="1"/>
  <c r="D98" i="5" s="1"/>
  <c r="N43" i="4"/>
  <c r="N39" i="4" s="1"/>
  <c r="D94" i="4" s="1"/>
  <c r="R114" i="2"/>
  <c r="S113" i="2"/>
  <c r="V113" i="2"/>
  <c r="R91" i="2"/>
  <c r="V92" i="2"/>
  <c r="S92" i="2"/>
  <c r="H33" i="5"/>
  <c r="H33" i="4"/>
  <c r="M60" i="5"/>
  <c r="N40" i="4" l="1"/>
  <c r="N41" i="4"/>
  <c r="N41" i="5"/>
  <c r="N40" i="5"/>
  <c r="R90" i="2"/>
  <c r="V91" i="2"/>
  <c r="S91" i="2"/>
  <c r="R115" i="2"/>
  <c r="V114" i="2"/>
  <c r="S114" i="2"/>
  <c r="I38" i="4"/>
  <c r="I38" i="5"/>
  <c r="R116" i="2" l="1"/>
  <c r="V115" i="2"/>
  <c r="S115" i="2"/>
  <c r="R89" i="2"/>
  <c r="V90" i="2"/>
  <c r="S90" i="2"/>
  <c r="R117" i="2" l="1"/>
  <c r="V116" i="2"/>
  <c r="S116" i="2"/>
  <c r="R88" i="2"/>
  <c r="S89" i="2"/>
  <c r="V89" i="2"/>
  <c r="R118" i="2" l="1"/>
  <c r="S117" i="2"/>
  <c r="V117" i="2"/>
  <c r="R87" i="2"/>
  <c r="V88" i="2"/>
  <c r="S88" i="2"/>
  <c r="D86" i="4"/>
  <c r="R119" i="2" l="1"/>
  <c r="V118" i="2"/>
  <c r="S118" i="2"/>
  <c r="R86" i="2"/>
  <c r="V87" i="2"/>
  <c r="S87" i="2"/>
  <c r="R85" i="2" l="1"/>
  <c r="V86" i="2"/>
  <c r="S86" i="2"/>
  <c r="R120" i="2"/>
  <c r="V119" i="2"/>
  <c r="S119" i="2"/>
  <c r="R84" i="2" l="1"/>
  <c r="V85" i="2"/>
  <c r="S85" i="2"/>
  <c r="R121" i="2"/>
  <c r="V120" i="2"/>
  <c r="S120" i="2"/>
  <c r="R122" i="2" l="1"/>
  <c r="V121" i="2"/>
  <c r="S121" i="2"/>
  <c r="R83" i="2"/>
  <c r="V84" i="2"/>
  <c r="S84" i="2"/>
  <c r="R82" i="2" l="1"/>
  <c r="V83" i="2"/>
  <c r="S83" i="2"/>
  <c r="R123" i="2"/>
  <c r="V122" i="2"/>
  <c r="S122" i="2"/>
  <c r="R124" i="2" l="1"/>
  <c r="V123" i="2"/>
  <c r="S123" i="2"/>
  <c r="R81" i="2"/>
  <c r="V82" i="2"/>
  <c r="S82" i="2"/>
  <c r="R80" i="2" l="1"/>
  <c r="S81" i="2"/>
  <c r="V81" i="2"/>
  <c r="R125" i="2"/>
  <c r="V124" i="2"/>
  <c r="S124" i="2"/>
  <c r="R126" i="2" l="1"/>
  <c r="S125" i="2"/>
  <c r="V125" i="2"/>
  <c r="R79" i="2"/>
  <c r="V80" i="2"/>
  <c r="S80" i="2"/>
  <c r="R78" i="2" l="1"/>
  <c r="V79" i="2"/>
  <c r="S79" i="2"/>
  <c r="R127" i="2"/>
  <c r="V126" i="2"/>
  <c r="S126" i="2"/>
  <c r="R128" i="2" l="1"/>
  <c r="V127" i="2"/>
  <c r="S127" i="2"/>
  <c r="R77" i="2"/>
  <c r="V78" i="2"/>
  <c r="S78" i="2"/>
  <c r="R76" i="2" l="1"/>
  <c r="V77" i="2"/>
  <c r="S77" i="2"/>
  <c r="R129" i="2"/>
  <c r="V128" i="2"/>
  <c r="S128" i="2"/>
  <c r="R130" i="2" l="1"/>
  <c r="S129" i="2"/>
  <c r="V129" i="2"/>
  <c r="R75" i="2"/>
  <c r="V76" i="2"/>
  <c r="S76" i="2"/>
  <c r="R74" i="2" l="1"/>
  <c r="V75" i="2"/>
  <c r="S75" i="2"/>
  <c r="R131" i="2"/>
  <c r="V130" i="2"/>
  <c r="S130" i="2"/>
  <c r="R132" i="2" l="1"/>
  <c r="V131" i="2"/>
  <c r="S131" i="2"/>
  <c r="R73" i="2"/>
  <c r="V74" i="2"/>
  <c r="S74" i="2"/>
  <c r="R72" i="2" l="1"/>
  <c r="S73" i="2"/>
  <c r="V73" i="2"/>
  <c r="R133" i="2"/>
  <c r="V132" i="2"/>
  <c r="S132" i="2"/>
  <c r="R134" i="2" l="1"/>
  <c r="S133" i="2"/>
  <c r="V133" i="2"/>
  <c r="F104" i="3" s="1"/>
  <c r="R71" i="2"/>
  <c r="V72" i="2"/>
  <c r="S72" i="2"/>
  <c r="G70" i="5" l="1"/>
  <c r="G71" i="5" s="1"/>
  <c r="I41" i="5" s="1"/>
  <c r="G68" i="4"/>
  <c r="G69" i="4" s="1"/>
  <c r="I41" i="4" s="1"/>
  <c r="R70" i="2"/>
  <c r="V71" i="2"/>
  <c r="S71" i="2"/>
  <c r="R135" i="2"/>
  <c r="V134" i="2"/>
  <c r="S134" i="2"/>
  <c r="R136" i="2" l="1"/>
  <c r="V135" i="2"/>
  <c r="S135" i="2"/>
  <c r="R69" i="2"/>
  <c r="V70" i="2"/>
  <c r="S70" i="2"/>
  <c r="R68" i="2" l="1"/>
  <c r="V69" i="2"/>
  <c r="S69" i="2"/>
  <c r="R137" i="2"/>
  <c r="V136" i="2"/>
  <c r="S136" i="2"/>
  <c r="R138" i="2" l="1"/>
  <c r="V137" i="2"/>
  <c r="S137" i="2"/>
  <c r="R67" i="2"/>
  <c r="V68" i="2"/>
  <c r="S68" i="2"/>
  <c r="R66" i="2" l="1"/>
  <c r="V67" i="2"/>
  <c r="S67" i="2"/>
  <c r="R139" i="2"/>
  <c r="V138" i="2"/>
  <c r="S138" i="2"/>
  <c r="R140" i="2" l="1"/>
  <c r="V139" i="2"/>
  <c r="S139" i="2"/>
  <c r="R65" i="2"/>
  <c r="V66" i="2"/>
  <c r="S66" i="2"/>
  <c r="R64" i="2" l="1"/>
  <c r="S65" i="2"/>
  <c r="V65" i="2"/>
  <c r="R141" i="2"/>
  <c r="V140" i="2"/>
  <c r="S140" i="2"/>
  <c r="R142" i="2" l="1"/>
  <c r="S141" i="2"/>
  <c r="V141" i="2"/>
  <c r="R63" i="2"/>
  <c r="V64" i="2"/>
  <c r="S64" i="2"/>
  <c r="R62" i="2" l="1"/>
  <c r="V63" i="2"/>
  <c r="S63" i="2"/>
  <c r="R143" i="2"/>
  <c r="V142" i="2"/>
  <c r="S142" i="2"/>
  <c r="R144" i="2" l="1"/>
  <c r="V143" i="2"/>
  <c r="S143" i="2"/>
  <c r="R61" i="2"/>
  <c r="V62" i="2"/>
  <c r="S62" i="2"/>
  <c r="R60" i="2" l="1"/>
  <c r="V61" i="2"/>
  <c r="S61" i="2"/>
  <c r="R145" i="2"/>
  <c r="V144" i="2"/>
  <c r="S144" i="2"/>
  <c r="R146" i="2" l="1"/>
  <c r="S145" i="2"/>
  <c r="V145" i="2"/>
  <c r="R59" i="2"/>
  <c r="V60" i="2"/>
  <c r="S60" i="2"/>
  <c r="R58" i="2" l="1"/>
  <c r="V59" i="2"/>
  <c r="S59" i="2"/>
  <c r="R147" i="2"/>
  <c r="V146" i="2"/>
  <c r="S146" i="2"/>
  <c r="R148" i="2" l="1"/>
  <c r="V147" i="2"/>
  <c r="S147" i="2"/>
  <c r="R57" i="2"/>
  <c r="V58" i="2"/>
  <c r="S58" i="2"/>
  <c r="R56" i="2" l="1"/>
  <c r="S57" i="2"/>
  <c r="V57" i="2"/>
  <c r="R149" i="2"/>
  <c r="V148" i="2"/>
  <c r="S148" i="2"/>
  <c r="R150" i="2" l="1"/>
  <c r="S149" i="2"/>
  <c r="V149" i="2"/>
  <c r="R55" i="2"/>
  <c r="V56" i="2"/>
  <c r="S56" i="2"/>
  <c r="R54" i="2" l="1"/>
  <c r="V55" i="2"/>
  <c r="S55" i="2"/>
  <c r="R151" i="2"/>
  <c r="V150" i="2"/>
  <c r="S150" i="2"/>
  <c r="R152" i="2" l="1"/>
  <c r="V151" i="2"/>
  <c r="S151" i="2"/>
  <c r="R53" i="2"/>
  <c r="V54" i="2"/>
  <c r="S54" i="2"/>
  <c r="R52" i="2" l="1"/>
  <c r="S53" i="2"/>
  <c r="V53" i="2"/>
  <c r="R153" i="2"/>
  <c r="V152" i="2"/>
  <c r="S152" i="2"/>
  <c r="R154" i="2" l="1"/>
  <c r="V153" i="2"/>
  <c r="S153" i="2"/>
  <c r="R51" i="2"/>
  <c r="V52" i="2"/>
  <c r="S52" i="2"/>
  <c r="R50" i="2" l="1"/>
  <c r="V51" i="2"/>
  <c r="S51" i="2"/>
  <c r="R155" i="2"/>
  <c r="V154" i="2"/>
  <c r="S154" i="2"/>
  <c r="R156" i="2" l="1"/>
  <c r="V155" i="2"/>
  <c r="S155" i="2"/>
  <c r="R49" i="2"/>
  <c r="V50" i="2"/>
  <c r="S50" i="2"/>
  <c r="R48" i="2" l="1"/>
  <c r="S49" i="2"/>
  <c r="V49" i="2"/>
  <c r="R157" i="2"/>
  <c r="V156" i="2"/>
  <c r="S156" i="2"/>
  <c r="R158" i="2" l="1"/>
  <c r="S157" i="2"/>
  <c r="V157" i="2"/>
  <c r="R47" i="2"/>
  <c r="V48" i="2"/>
  <c r="S48" i="2"/>
  <c r="R46" i="2" l="1"/>
  <c r="V47" i="2"/>
  <c r="S47" i="2"/>
  <c r="R159" i="2"/>
  <c r="V158" i="2"/>
  <c r="S158" i="2"/>
  <c r="R160" i="2" l="1"/>
  <c r="V159" i="2"/>
  <c r="S159" i="2"/>
  <c r="R45" i="2"/>
  <c r="V46" i="2"/>
  <c r="S46" i="2"/>
  <c r="R44" i="2" l="1"/>
  <c r="V45" i="2"/>
  <c r="S45" i="2"/>
  <c r="R161" i="2"/>
  <c r="V160" i="2"/>
  <c r="S160" i="2"/>
  <c r="R162" i="2" l="1"/>
  <c r="S161" i="2"/>
  <c r="V161" i="2"/>
  <c r="R43" i="2"/>
  <c r="V44" i="2"/>
  <c r="S44" i="2"/>
  <c r="R42" i="2" l="1"/>
  <c r="V43" i="2"/>
  <c r="S43" i="2"/>
  <c r="R163" i="2"/>
  <c r="V162" i="2"/>
  <c r="S162" i="2"/>
  <c r="R164" i="2" l="1"/>
  <c r="V163" i="2"/>
  <c r="S163" i="2"/>
  <c r="R41" i="2"/>
  <c r="V42" i="2"/>
  <c r="S42" i="2"/>
  <c r="R40" i="2" l="1"/>
  <c r="S41" i="2"/>
  <c r="V41" i="2"/>
  <c r="R165" i="2"/>
  <c r="V164" i="2"/>
  <c r="S164" i="2"/>
  <c r="R166" i="2" l="1"/>
  <c r="S165" i="2"/>
  <c r="V165" i="2"/>
  <c r="R39" i="2"/>
  <c r="V40" i="2"/>
  <c r="S40" i="2"/>
  <c r="R38" i="2" l="1"/>
  <c r="V39" i="2"/>
  <c r="S39" i="2"/>
  <c r="R167" i="2"/>
  <c r="V166" i="2"/>
  <c r="S166" i="2"/>
  <c r="R168" i="2" l="1"/>
  <c r="V167" i="2"/>
  <c r="S167" i="2"/>
  <c r="R37" i="2"/>
  <c r="V38" i="2"/>
  <c r="S38" i="2"/>
  <c r="R36" i="2" l="1"/>
  <c r="S37" i="2"/>
  <c r="V37" i="2"/>
  <c r="R169" i="2"/>
  <c r="V168" i="2"/>
  <c r="S168" i="2"/>
  <c r="R170" i="2" l="1"/>
  <c r="V169" i="2"/>
  <c r="S169" i="2"/>
  <c r="R35" i="2"/>
  <c r="V36" i="2"/>
  <c r="S36" i="2"/>
  <c r="R34" i="2" l="1"/>
  <c r="V35" i="2"/>
  <c r="S35" i="2"/>
  <c r="R171" i="2"/>
  <c r="V170" i="2"/>
  <c r="S170" i="2"/>
  <c r="R172" i="2" l="1"/>
  <c r="V171" i="2"/>
  <c r="S171" i="2"/>
  <c r="R33" i="2"/>
  <c r="V34" i="2"/>
  <c r="S34" i="2"/>
  <c r="R32" i="2" l="1"/>
  <c r="S33" i="2"/>
  <c r="V33" i="2"/>
  <c r="R173" i="2"/>
  <c r="V172" i="2"/>
  <c r="S172" i="2"/>
  <c r="R174" i="2" l="1"/>
  <c r="S173" i="2"/>
  <c r="V173" i="2"/>
  <c r="R31" i="2"/>
  <c r="V32" i="2"/>
  <c r="S32" i="2"/>
  <c r="R30" i="2" l="1"/>
  <c r="V31" i="2"/>
  <c r="S31" i="2"/>
  <c r="R175" i="2"/>
  <c r="V174" i="2"/>
  <c r="S174" i="2"/>
  <c r="R176" i="2" l="1"/>
  <c r="V175" i="2"/>
  <c r="S175" i="2"/>
  <c r="R29" i="2"/>
  <c r="V30" i="2"/>
  <c r="S30" i="2"/>
  <c r="R28" i="2" l="1"/>
  <c r="V29" i="2"/>
  <c r="S29" i="2"/>
  <c r="R177" i="2"/>
  <c r="V176" i="2"/>
  <c r="S176" i="2"/>
  <c r="R178" i="2" l="1"/>
  <c r="S177" i="2"/>
  <c r="V177" i="2"/>
  <c r="R27" i="2"/>
  <c r="V28" i="2"/>
  <c r="S28" i="2"/>
  <c r="R26" i="2" l="1"/>
  <c r="V27" i="2"/>
  <c r="S27" i="2"/>
  <c r="R179" i="2"/>
  <c r="V178" i="2"/>
  <c r="S178" i="2"/>
  <c r="R180" i="2" l="1"/>
  <c r="V179" i="2"/>
  <c r="S179" i="2"/>
  <c r="R25" i="2"/>
  <c r="V26" i="2"/>
  <c r="S26" i="2"/>
  <c r="R24" i="2" l="1"/>
  <c r="S25" i="2"/>
  <c r="V25" i="2"/>
  <c r="R181" i="2"/>
  <c r="V180" i="2"/>
  <c r="S180" i="2"/>
  <c r="R182" i="2" l="1"/>
  <c r="S181" i="2"/>
  <c r="V181" i="2"/>
  <c r="R23" i="2"/>
  <c r="V24" i="2"/>
  <c r="S24" i="2"/>
  <c r="R22" i="2" l="1"/>
  <c r="V23" i="2"/>
  <c r="S23" i="2"/>
  <c r="R183" i="2"/>
  <c r="V182" i="2"/>
  <c r="S182" i="2"/>
  <c r="R184" i="2" l="1"/>
  <c r="V183" i="2"/>
  <c r="S183" i="2"/>
  <c r="R21" i="2"/>
  <c r="V22" i="2"/>
  <c r="S22" i="2"/>
  <c r="R20" i="2" l="1"/>
  <c r="S21" i="2"/>
  <c r="V21" i="2"/>
  <c r="R185" i="2"/>
  <c r="V184" i="2"/>
  <c r="S184" i="2"/>
  <c r="R186" i="2" l="1"/>
  <c r="V185" i="2"/>
  <c r="S185" i="2"/>
  <c r="R19" i="2"/>
  <c r="V20" i="2"/>
  <c r="S20" i="2"/>
  <c r="R18" i="2" l="1"/>
  <c r="V19" i="2"/>
  <c r="S19" i="2"/>
  <c r="R187" i="2"/>
  <c r="V186" i="2"/>
  <c r="S186" i="2"/>
  <c r="R188" i="2" l="1"/>
  <c r="V187" i="2"/>
  <c r="S187" i="2"/>
  <c r="R17" i="2"/>
  <c r="V18" i="2"/>
  <c r="S18" i="2"/>
  <c r="R16" i="2" l="1"/>
  <c r="S17" i="2"/>
  <c r="V17" i="2"/>
  <c r="R189" i="2"/>
  <c r="V188" i="2"/>
  <c r="S188" i="2"/>
  <c r="R190" i="2" l="1"/>
  <c r="S189" i="2"/>
  <c r="V189" i="2"/>
  <c r="R15" i="2"/>
  <c r="V16" i="2"/>
  <c r="S16" i="2"/>
  <c r="R14" i="2" l="1"/>
  <c r="V15" i="2"/>
  <c r="S15" i="2"/>
  <c r="R191" i="2"/>
  <c r="V190" i="2"/>
  <c r="S190" i="2"/>
  <c r="R192" i="2" l="1"/>
  <c r="V191" i="2"/>
  <c r="S191" i="2"/>
  <c r="R13" i="2"/>
  <c r="V14" i="2"/>
  <c r="S14" i="2"/>
  <c r="R12" i="2" l="1"/>
  <c r="V13" i="2"/>
  <c r="S13" i="2"/>
  <c r="R193" i="2"/>
  <c r="V192" i="2"/>
  <c r="S192" i="2"/>
  <c r="R194" i="2" l="1"/>
  <c r="S193" i="2"/>
  <c r="V193" i="2"/>
  <c r="R11" i="2"/>
  <c r="V12" i="2"/>
  <c r="S12" i="2"/>
  <c r="R10" i="2" l="1"/>
  <c r="V11" i="2"/>
  <c r="S11" i="2"/>
  <c r="R195" i="2"/>
  <c r="V194" i="2"/>
  <c r="S194" i="2"/>
  <c r="R196" i="2" l="1"/>
  <c r="V195" i="2"/>
  <c r="S195" i="2"/>
  <c r="R9" i="2"/>
  <c r="V10" i="2"/>
  <c r="S10" i="2"/>
  <c r="R8" i="2" l="1"/>
  <c r="S9" i="2"/>
  <c r="V9" i="2"/>
  <c r="R197" i="2"/>
  <c r="V196" i="2"/>
  <c r="S196" i="2"/>
  <c r="R198" i="2" l="1"/>
  <c r="S197" i="2"/>
  <c r="V197" i="2"/>
  <c r="R7" i="2"/>
  <c r="V8" i="2"/>
  <c r="S8" i="2"/>
  <c r="R6" i="2" l="1"/>
  <c r="V7" i="2"/>
  <c r="S7" i="2"/>
  <c r="R199" i="2"/>
  <c r="V198" i="2"/>
  <c r="S198" i="2"/>
  <c r="R200" i="2" l="1"/>
  <c r="V199" i="2"/>
  <c r="S199" i="2"/>
  <c r="R5" i="2"/>
  <c r="V6" i="2"/>
  <c r="S6" i="2"/>
  <c r="R4" i="2" l="1"/>
  <c r="S5" i="2"/>
  <c r="V5" i="2"/>
  <c r="R201" i="2"/>
  <c r="V200" i="2"/>
  <c r="S200" i="2"/>
  <c r="R202" i="2" l="1"/>
  <c r="V201" i="2"/>
  <c r="S201" i="2"/>
  <c r="R3" i="2"/>
  <c r="V4" i="2"/>
  <c r="S4" i="2"/>
  <c r="F103" i="3" l="1"/>
  <c r="V3" i="2"/>
  <c r="S3" i="2"/>
  <c r="R203" i="2"/>
  <c r="V202" i="2"/>
  <c r="S202" i="2"/>
  <c r="D68" i="4" l="1"/>
  <c r="D69" i="4" s="1"/>
  <c r="D70" i="5"/>
  <c r="D71" i="5" s="1"/>
  <c r="C73" i="5" s="1"/>
  <c r="V203" i="2"/>
  <c r="S203" i="2"/>
  <c r="I40" i="4" l="1"/>
  <c r="C71" i="4"/>
  <c r="I40" i="5"/>
  <c r="K90" i="5"/>
  <c r="J61" i="4"/>
  <c r="E138" i="3" l="1"/>
  <c r="D95" i="4"/>
  <c r="D117" i="5"/>
  <c r="D59" i="4"/>
  <c r="G59" i="4"/>
  <c r="D45" i="4"/>
  <c r="J60" i="4"/>
  <c r="J62" i="4" s="1"/>
  <c r="D89" i="4"/>
  <c r="J62" i="5"/>
  <c r="D45" i="5"/>
  <c r="D60" i="5"/>
  <c r="G61" i="5"/>
  <c r="G60" i="5" s="1"/>
  <c r="D93" i="5"/>
  <c r="J63" i="5"/>
  <c r="D61" i="5"/>
  <c r="D59" i="5"/>
  <c r="H95" i="4" l="1"/>
  <c r="H94" i="4"/>
  <c r="J59" i="4"/>
  <c r="D75" i="4" s="1"/>
  <c r="H75" i="4" s="1"/>
  <c r="D87" i="4" s="1"/>
  <c r="D90" i="4" s="1"/>
  <c r="J64" i="5"/>
  <c r="J59" i="5" s="1"/>
  <c r="F59" i="2"/>
  <c r="D40" i="5"/>
  <c r="D41" i="5"/>
  <c r="H87" i="4" l="1"/>
  <c r="H86" i="4"/>
  <c r="D42" i="5"/>
  <c r="J61" i="5"/>
  <c r="J60" i="5" s="1"/>
  <c r="D110" i="5" l="1"/>
  <c r="D115" i="5" s="1"/>
  <c r="H117" i="5" s="1"/>
  <c r="S59" i="5" s="1"/>
  <c r="D99" i="5"/>
  <c r="H98" i="5" l="1"/>
  <c r="H99" i="5"/>
  <c r="S61" i="5"/>
  <c r="S60" i="5" s="1"/>
  <c r="D78" i="5" l="1"/>
  <c r="H78" i="5" s="1"/>
  <c r="D91" i="5" s="1"/>
  <c r="H90" i="5" l="1"/>
  <c r="D94" i="5"/>
  <c r="H91" i="5"/>
</calcChain>
</file>

<file path=xl/comments1.xml><?xml version="1.0" encoding="utf-8"?>
<comments xmlns="http://schemas.openxmlformats.org/spreadsheetml/2006/main">
  <authors>
    <author>Davide Cicchini</author>
  </authors>
  <commentList>
    <comment ref="C10" authorId="0" guid="{EB671AE0-0139-4BEC-B04B-2A9624CF5ED5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Inserisci N, per fondazioni nastriformi, altrimenti Q per fondazioni quadrate o circolari.
Questa scelta modifica i coefficienti di forma "s"</t>
        </r>
      </text>
    </comment>
    <comment ref="I59" authorId="0" guid="{F884254E-33FA-4863-87F1-BB1BA2A0067C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si inserisce 0 la falda si trova sul piano campagna.</t>
        </r>
      </text>
    </comment>
  </commentList>
</comments>
</file>

<file path=xl/comments2.xml><?xml version="1.0" encoding="utf-8"?>
<comments xmlns="http://schemas.openxmlformats.org/spreadsheetml/2006/main">
  <authors>
    <author>Davide Cicchini</author>
    <author>DELL1</author>
  </authors>
  <commentList>
    <comment ref="E15" authorId="0" guid="{0B6C65A2-6E48-4053-875C-30ABC206CF62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Bisogna inserire l'accelerazione non ag/g            (ad esempio ag/g =0.261 -&gt;</t>
        </r>
        <r>
          <rPr>
            <b/>
            <sz val="9"/>
            <color indexed="81"/>
            <rFont val="Tahoma"/>
            <family val="2"/>
          </rPr>
          <t xml:space="preserve"> ag=2,559</t>
        </r>
        <r>
          <rPr>
            <sz val="9"/>
            <color indexed="81"/>
            <rFont val="Tahoma"/>
            <family val="2"/>
          </rPr>
          <t>)</t>
        </r>
      </text>
    </comment>
    <comment ref="E50" authorId="0" guid="{20D1325B-BDF1-49FF-AF26-D0EFBDED6CF7}" shapeId="0">
      <text>
        <r>
          <rPr>
            <b/>
            <sz val="9"/>
            <color indexed="81"/>
            <rFont val="Tahoma"/>
            <family val="2"/>
          </rPr>
          <t xml:space="preserve">Davide Cicchini:
</t>
        </r>
        <r>
          <rPr>
            <sz val="9"/>
            <color indexed="81"/>
            <rFont val="Tahoma"/>
            <family val="2"/>
          </rPr>
          <t>Nel caso di fondazione nastriforme inserire 1 per avere valori riferiti a metro lineare.</t>
        </r>
      </text>
    </comment>
    <comment ref="E52" authorId="1" guid="{D3BAD774-43CE-4471-9E74-0D725482E5B8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Riferito all'intradosso della fondazione</t>
        </r>
      </text>
    </comment>
    <comment ref="F103" authorId="1" guid="{E556ECCF-54A8-4BEA-A624-5451E98FC619}" shapeId="0">
      <text>
        <r>
          <rPr>
            <b/>
            <sz val="9"/>
            <color indexed="81"/>
            <rFont val="Tahoma"/>
            <family val="2"/>
          </rPr>
          <t>Davide Cicchni:</t>
        </r>
        <r>
          <rPr>
            <sz val="9"/>
            <color indexed="81"/>
            <rFont val="Tahoma"/>
            <family val="2"/>
          </rPr>
          <t xml:space="preserve">
I valori negativi sono stabilizzanti</t>
        </r>
      </text>
    </comment>
    <comment ref="F104" authorId="1" guid="{44747BD4-0DF5-4303-BD0F-36833064B774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 valori negativi sono stabilizzanti</t>
        </r>
      </text>
    </comment>
    <comment ref="E118" authorId="1" guid="{FED84DD6-C52A-422F-B6D5-103BCDA9387D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si inserisce zero la falda si trova sul piano campagna del lato di monte</t>
        </r>
      </text>
    </comment>
    <comment ref="E146" authorId="0" guid="{37350DC8-8EEF-48E1-A8C3-86EA825EFA96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si vogliono considerare i carichi a metro lineare di una fondazione nastriforme, allora si inseresce "si".
In questo modo i coefficienti "s" saranno tutti unitari.</t>
        </r>
      </text>
    </comment>
    <comment ref="E147" authorId="0" guid="{D9831AD7-9EA4-4098-B8D3-F24CD9B5568F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 coefficienti correttivi legati alla profondità si possono considerare unitari, per ottenere risultati a vantaggio di sicurezza.</t>
        </r>
      </text>
    </comment>
    <comment ref="C158" authorId="1" guid="{C8B97B57-549B-480E-8F3A-128639C17C50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In condizione sismica tutti i coefficienti della tabella A, vengono posti uguali ad 1.</t>
        </r>
      </text>
    </comment>
  </commentList>
</comments>
</file>

<file path=xl/comments3.xml><?xml version="1.0" encoding="utf-8"?>
<comments xmlns="http://schemas.openxmlformats.org/spreadsheetml/2006/main">
  <authors>
    <author>DELL1</author>
  </authors>
  <commentList>
    <comment ref="D86" authorId="0" guid="{BA4C6813-3714-4997-BF3E-8BD2CD353494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Carico Verticale</t>
        </r>
      </text>
    </comment>
    <comment ref="D87" authorId="0" guid="{3EC02B06-8393-42B9-AD2C-4C2D4FF65B1B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Qlim diviso il coefficiente R per la capacità portante</t>
        </r>
      </text>
    </comment>
    <comment ref="I97" authorId="0" guid="{372A0909-AED4-43FF-ADAC-6FF3C2CEB470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Inserendo "NO" si considera come angolo di attrito 2/3 phi; altrimenti l'angolo definito da utente.
Nel calcolo della spinta passiva viene sempre trascurata un'altezza pari all'altezza della zattera. Questo proprio per tener conto della perdita delle caratterisitche meccaniche del terreno a valle del muro, in seguito ai lavori di realizzazione dello stesso.</t>
        </r>
      </text>
    </comment>
  </commentList>
</comments>
</file>

<file path=xl/comments4.xml><?xml version="1.0" encoding="utf-8"?>
<comments xmlns="http://schemas.openxmlformats.org/spreadsheetml/2006/main">
  <authors>
    <author>Nicla</author>
    <author>DELL1</author>
  </authors>
  <commentList>
    <comment ref="N38" authorId="0" guid="{E2B5AA7D-FDDC-482F-89D0-207EF3B3F21A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Viene considerato il peso del magrone</t>
        </r>
      </text>
    </comment>
    <comment ref="D90" authorId="1" guid="{DA898606-5749-43D4-812B-88E9E7AD0D3D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Carico verticale</t>
        </r>
      </text>
    </comment>
    <comment ref="D91" authorId="1" guid="{1016F895-8C00-479D-BBC5-F6FEB892D4D4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Qlim diviso il coefficiente R per la capacità portante</t>
        </r>
      </text>
    </comment>
    <comment ref="I101" authorId="1" guid="{241562E3-D410-4920-86D8-ADE186520D2B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Inserendo "NO" si considera come angolo di attrito 2/3 phi; altrimenti l'angolo definito da utente.
Nel calcolo della spinta passiva viene sempre trascurata un'altezza di 30cm Questo proprio per tener conto della perdita delle caratterisitche meccaniche del terreno, a causa dei lavori di realizzazione della fondazione.</t>
        </r>
      </text>
    </comment>
  </commentList>
</comments>
</file>

<file path=xl/sharedStrings.xml><?xml version="1.0" encoding="utf-8"?>
<sst xmlns="http://schemas.openxmlformats.org/spreadsheetml/2006/main" count="680" uniqueCount="460">
  <si>
    <t>[m]</t>
  </si>
  <si>
    <t>L</t>
  </si>
  <si>
    <t>[kN]</t>
  </si>
  <si>
    <t>-</t>
  </si>
  <si>
    <t>A</t>
  </si>
  <si>
    <t>Si trascura a vantaggio di sicurezza la sottospinta idraulica dovuta alla falda.</t>
  </si>
  <si>
    <t>CONDIZIONI DRENATE</t>
  </si>
  <si>
    <t>CONDIZIONI NON DRENATE</t>
  </si>
  <si>
    <t>TERRENI</t>
  </si>
  <si>
    <t>Terreni a grana grossa</t>
  </si>
  <si>
    <t xml:space="preserve">Terreni a grana fina a lungo termine </t>
  </si>
  <si>
    <t>Terreni a grana fina a breve termine</t>
  </si>
  <si>
    <t>PARAMETRI DI RESISTENZA AL TAGLIO</t>
  </si>
  <si>
    <t xml:space="preserve">c' </t>
  </si>
  <si>
    <t>ϕ'</t>
  </si>
  <si>
    <r>
      <t>c</t>
    </r>
    <r>
      <rPr>
        <b/>
        <sz val="10"/>
        <color theme="1"/>
        <rFont val="Calibri"/>
        <family val="2"/>
        <scheme val="minor"/>
      </rPr>
      <t>u</t>
    </r>
  </si>
  <si>
    <t>Ing. Davide Cicchini</t>
  </si>
  <si>
    <t>www.davidecicchini.it</t>
  </si>
  <si>
    <t>α</t>
  </si>
  <si>
    <t>x</t>
  </si>
  <si>
    <t>coefficienti s presi dagli appunti della monaco</t>
  </si>
  <si>
    <r>
      <rPr>
        <sz val="1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</rPr>
      <t>γ</t>
    </r>
  </si>
  <si>
    <t>SE(DATI!C4="Q";0,6;SE(DATI!C10="si";1;1+0,1*(1+SEN($C$4*PI.GRECO()/180)*$G$4)/(1-SEN($C$4*PI.GRECO()/180*$G$5))))</t>
  </si>
  <si>
    <r>
      <rPr>
        <sz val="1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</t>
    </r>
  </si>
  <si>
    <t>SE(DATI!C4="Q";1+C20/C18;SE(DATI!C10="si";1;1+0,2*(1+SEN($C$4*PI.GRECO()/180)*$G$4)/(1-SEN($C$4*PI.GRECO()/180*$G$5))))</t>
  </si>
  <si>
    <r>
      <rPr>
        <sz val="1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q</t>
    </r>
  </si>
  <si>
    <t>SE(DATI!C4="Q";1+TAN($C$4*PI.GRECO()/180);C24)</t>
  </si>
  <si>
    <t>Tipo fondazione: N per nastri; Q per quadrate o circolari</t>
  </si>
  <si>
    <t>N</t>
  </si>
  <si>
    <t>no</t>
  </si>
  <si>
    <t>Condizioni drenate</t>
  </si>
  <si>
    <t>secondo Meyerhof, 1963</t>
  </si>
  <si>
    <t>si</t>
  </si>
  <si>
    <t>Condizioni non drenate</t>
  </si>
  <si>
    <t>secondo Hansen, 1970</t>
  </si>
  <si>
    <t>Secondo Vesic, 1973</t>
  </si>
  <si>
    <t>Il peso proprio della fondazione viene inserito di default in questa sezione, perché deve essere moltiplicato</t>
  </si>
  <si>
    <t>per il coefficiente amplificativo.</t>
  </si>
  <si>
    <r>
      <t>G</t>
    </r>
    <r>
      <rPr>
        <b/>
        <sz val="8"/>
        <color theme="1"/>
        <rFont val="Calibri"/>
        <family val="2"/>
        <scheme val="minor"/>
      </rPr>
      <t>K1</t>
    </r>
  </si>
  <si>
    <r>
      <t>G</t>
    </r>
    <r>
      <rPr>
        <b/>
        <sz val="8"/>
        <color theme="1"/>
        <rFont val="Calibri"/>
        <family val="2"/>
        <scheme val="minor"/>
      </rPr>
      <t>K2</t>
    </r>
  </si>
  <si>
    <r>
      <t>Q</t>
    </r>
    <r>
      <rPr>
        <b/>
        <sz val="8"/>
        <color theme="1"/>
        <rFont val="Calibri"/>
        <family val="2"/>
        <scheme val="minor"/>
      </rPr>
      <t>K</t>
    </r>
  </si>
  <si>
    <t>Forza normale alla base</t>
  </si>
  <si>
    <t>V</t>
  </si>
  <si>
    <t>Forza parallela al lato lungo</t>
  </si>
  <si>
    <t>Forza parallela al lato corto</t>
  </si>
  <si>
    <t>Momento che arrotola attorno al lato lungo</t>
  </si>
  <si>
    <t>Forza tagliante combinata</t>
  </si>
  <si>
    <t>H</t>
  </si>
  <si>
    <t>OSSERVAZIONE</t>
  </si>
  <si>
    <t xml:space="preserve">La verifica sulla capacità portante della fondazione è riferita solo alla risultante verticale "V". </t>
  </si>
  <si>
    <t xml:space="preserve">L'introduzione delle forze orizzontali produce modifiche sui coefficienti "i" e sulle dimensioni </t>
  </si>
  <si>
    <t>B* e L* ricavate dalla regola di Meyerhof. A sua volta queste modifiche ripercuotono i propri</t>
  </si>
  <si>
    <t>effetti sul carico limite del terreno.</t>
  </si>
  <si>
    <t xml:space="preserve">RIEPILOGO DEI COEFFICIENTI </t>
  </si>
  <si>
    <t>STR</t>
  </si>
  <si>
    <t>GEO</t>
  </si>
  <si>
    <t>A1</t>
  </si>
  <si>
    <t>A2</t>
  </si>
  <si>
    <t>APPROCCIO 1 --- Combinazione (A1+M1+R1)</t>
  </si>
  <si>
    <t>APPROCCIO 1 --- Combinazione (A2+M2+R2)</t>
  </si>
  <si>
    <t xml:space="preserve"> APPROCCIO 2 --- Combinazione (A1+M1+R3)</t>
  </si>
  <si>
    <t>UNITARIA</t>
  </si>
  <si>
    <t>M1</t>
  </si>
  <si>
    <t>M2</t>
  </si>
  <si>
    <r>
      <t>Tan(ϕ')</t>
    </r>
    <r>
      <rPr>
        <b/>
        <sz val="8"/>
        <color theme="1"/>
        <rFont val="Calibri"/>
        <family val="2"/>
        <scheme val="minor"/>
      </rPr>
      <t>,k</t>
    </r>
  </si>
  <si>
    <r>
      <t>c'</t>
    </r>
    <r>
      <rPr>
        <b/>
        <sz val="8"/>
        <color theme="1"/>
        <rFont val="Calibri"/>
        <family val="2"/>
        <scheme val="minor"/>
      </rPr>
      <t>,k</t>
    </r>
  </si>
  <si>
    <t xml:space="preserve">SISMICA </t>
  </si>
  <si>
    <r>
      <t>cu</t>
    </r>
    <r>
      <rPr>
        <b/>
        <sz val="8"/>
        <color theme="1"/>
        <rFont val="Calibri"/>
        <family val="2"/>
        <scheme val="minor"/>
      </rPr>
      <t>,k</t>
    </r>
  </si>
  <si>
    <r>
      <t>ϒ</t>
    </r>
    <r>
      <rPr>
        <b/>
        <sz val="8"/>
        <color theme="1"/>
        <rFont val="Calibri"/>
        <family val="2"/>
      </rPr>
      <t>,k</t>
    </r>
  </si>
  <si>
    <t>R1</t>
  </si>
  <si>
    <t>R2</t>
  </si>
  <si>
    <t>R3</t>
  </si>
  <si>
    <t>capacità portante</t>
  </si>
  <si>
    <t>scorrimento</t>
  </si>
  <si>
    <t>2.DATI FONDAZIONE</t>
  </si>
  <si>
    <t>Lato corto</t>
  </si>
  <si>
    <t>B</t>
  </si>
  <si>
    <t>Lato lungo</t>
  </si>
  <si>
    <t>Altezza del fondazione</t>
  </si>
  <si>
    <r>
      <rPr>
        <b/>
        <sz val="11"/>
        <color theme="1"/>
        <rFont val="Calibri"/>
        <family val="2"/>
        <scheme val="minor"/>
      </rPr>
      <t xml:space="preserve">NB --&gt; </t>
    </r>
    <r>
      <rPr>
        <sz val="11"/>
        <color theme="1"/>
        <rFont val="Calibri"/>
        <family val="2"/>
        <scheme val="minor"/>
      </rPr>
      <t>Nel caso di assenza di falda inserire un valore maggiore di Hscorrimento =</t>
    </r>
  </si>
  <si>
    <t>L*</t>
  </si>
  <si>
    <r>
      <rPr>
        <sz val="16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</rPr>
      <t>L</t>
    </r>
  </si>
  <si>
    <t>Kh</t>
  </si>
  <si>
    <t>Kv</t>
  </si>
  <si>
    <t>parametri sismici</t>
  </si>
  <si>
    <t>C8/10</t>
  </si>
  <si>
    <t>SS</t>
  </si>
  <si>
    <t>CC</t>
  </si>
  <si>
    <t>ST</t>
  </si>
  <si>
    <t>T1</t>
  </si>
  <si>
    <t>C12/15</t>
  </si>
  <si>
    <t>T2</t>
  </si>
  <si>
    <t>C16/20</t>
  </si>
  <si>
    <t>C</t>
  </si>
  <si>
    <t>T3</t>
  </si>
  <si>
    <t>C20/25</t>
  </si>
  <si>
    <t>D</t>
  </si>
  <si>
    <t>T4</t>
  </si>
  <si>
    <t>C25/30</t>
  </si>
  <si>
    <t>E</t>
  </si>
  <si>
    <t>C35/45</t>
  </si>
  <si>
    <t>C40/50</t>
  </si>
  <si>
    <t>C45/55</t>
  </si>
  <si>
    <t>C50/60</t>
  </si>
  <si>
    <t>categoria di sottosuolo</t>
  </si>
  <si>
    <t>B,C,D,E</t>
  </si>
  <si>
    <t>bm</t>
  </si>
  <si>
    <t>0.2&lt;ag&lt;=0.4</t>
  </si>
  <si>
    <t>0.1&lt;ag&lt;=0.2</t>
  </si>
  <si>
    <t>ag&lt;=0.1</t>
  </si>
  <si>
    <r>
      <t>β</t>
    </r>
    <r>
      <rPr>
        <sz val="8"/>
        <color theme="1"/>
        <rFont val="Calibri"/>
        <family val="2"/>
      </rPr>
      <t>m</t>
    </r>
  </si>
  <si>
    <t>Condizione di verifica:</t>
  </si>
  <si>
    <t>STATICA</t>
  </si>
  <si>
    <t>Quota della falda</t>
  </si>
  <si>
    <t>1 CARATTERISITCHE DEI MATERIALI</t>
  </si>
  <si>
    <t>1.1 Calcestruzzo</t>
  </si>
  <si>
    <t>Classe del calcestruzzo</t>
  </si>
  <si>
    <t>Peso specifico del calcestruzzo</t>
  </si>
  <si>
    <r>
      <rPr>
        <b/>
        <sz val="11"/>
        <rFont val="Times New Roman"/>
        <family val="1"/>
      </rPr>
      <t>γ</t>
    </r>
    <r>
      <rPr>
        <b/>
        <vertAlign val="subscript"/>
        <sz val="11"/>
        <rFont val="Calibri"/>
        <family val="2"/>
      </rPr>
      <t>cls</t>
    </r>
    <r>
      <rPr>
        <b/>
        <sz val="11"/>
        <rFont val="Calibri"/>
        <family val="2"/>
      </rPr>
      <t xml:space="preserve"> </t>
    </r>
  </si>
  <si>
    <t>Altezza del sottofondo in magrone</t>
  </si>
  <si>
    <r>
      <t>H</t>
    </r>
    <r>
      <rPr>
        <b/>
        <sz val="8"/>
        <color theme="1"/>
        <rFont val="Calibri"/>
        <family val="2"/>
        <scheme val="minor"/>
      </rPr>
      <t>mag</t>
    </r>
  </si>
  <si>
    <t>Resistenza cubica caratteristica</t>
  </si>
  <si>
    <r>
      <t>R</t>
    </r>
    <r>
      <rPr>
        <b/>
        <sz val="8"/>
        <color theme="1"/>
        <rFont val="Calibri"/>
        <family val="2"/>
        <scheme val="minor"/>
      </rPr>
      <t>c,k</t>
    </r>
  </si>
  <si>
    <t>Resistenza cilindrica media</t>
  </si>
  <si>
    <r>
      <t>f</t>
    </r>
    <r>
      <rPr>
        <b/>
        <sz val="8"/>
        <color theme="1"/>
        <rFont val="Calibri"/>
        <family val="2"/>
        <scheme val="minor"/>
      </rPr>
      <t>c,m</t>
    </r>
  </si>
  <si>
    <t>Resistenza cilindrica caratteristica</t>
  </si>
  <si>
    <r>
      <t>f</t>
    </r>
    <r>
      <rPr>
        <b/>
        <sz val="8"/>
        <color theme="1"/>
        <rFont val="Calibri"/>
        <family val="2"/>
        <scheme val="minor"/>
      </rPr>
      <t>c,k</t>
    </r>
  </si>
  <si>
    <t>Resistenza cilindrica di calcolo</t>
  </si>
  <si>
    <r>
      <t>f</t>
    </r>
    <r>
      <rPr>
        <b/>
        <sz val="8"/>
        <color theme="1"/>
        <rFont val="Calibri"/>
        <family val="2"/>
        <scheme val="minor"/>
      </rPr>
      <t>c,d</t>
    </r>
  </si>
  <si>
    <t>Resistenza a trazione caratteristica</t>
  </si>
  <si>
    <r>
      <t>f</t>
    </r>
    <r>
      <rPr>
        <b/>
        <sz val="8"/>
        <color theme="1"/>
        <rFont val="Calibri"/>
        <family val="2"/>
        <scheme val="minor"/>
      </rPr>
      <t>ct,m</t>
    </r>
  </si>
  <si>
    <t>Resistenza a trazione media</t>
  </si>
  <si>
    <r>
      <t>f</t>
    </r>
    <r>
      <rPr>
        <b/>
        <sz val="8"/>
        <color theme="1"/>
        <rFont val="Calibri"/>
        <family val="2"/>
        <scheme val="minor"/>
      </rPr>
      <t>ct,k</t>
    </r>
  </si>
  <si>
    <t>Resistenza a trazione di calcolo</t>
  </si>
  <si>
    <r>
      <t>f</t>
    </r>
    <r>
      <rPr>
        <b/>
        <sz val="8"/>
        <color theme="1"/>
        <rFont val="Calibri"/>
        <family val="2"/>
        <scheme val="minor"/>
      </rPr>
      <t>ct,d</t>
    </r>
  </si>
  <si>
    <t>Resistenza tangenziale di calcolo</t>
  </si>
  <si>
    <r>
      <t>f</t>
    </r>
    <r>
      <rPr>
        <b/>
        <sz val="9"/>
        <color theme="1"/>
        <rFont val="Calibri"/>
        <family val="2"/>
        <scheme val="minor"/>
      </rPr>
      <t>b,d</t>
    </r>
  </si>
  <si>
    <t xml:space="preserve">Modulo di Young </t>
  </si>
  <si>
    <r>
      <t>E</t>
    </r>
    <r>
      <rPr>
        <b/>
        <sz val="9"/>
        <color theme="1"/>
        <rFont val="Calibri"/>
        <family val="2"/>
        <scheme val="minor"/>
      </rPr>
      <t>c</t>
    </r>
  </si>
  <si>
    <t>TROVA I PARAMETRI SISMICI (ag; F0;TC*)</t>
  </si>
  <si>
    <t>Accelerazione massima su suolo rigido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</si>
  <si>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g</t>
    </r>
  </si>
  <si>
    <t>Coefficiente di amplificazione spettrale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</si>
  <si>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O</t>
    </r>
  </si>
  <si>
    <t>Periodo di inizio tratto a velocità costante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</si>
  <si>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</si>
  <si>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Categoria di sottosuolo</t>
  </si>
  <si>
    <t>Categoria topografica</t>
  </si>
  <si>
    <t>Accelerazione di gravità</t>
  </si>
  <si>
    <t>g</t>
  </si>
  <si>
    <t>Accelerazione orizzontale  riferita al suolo rigido adimensionale</t>
  </si>
  <si>
    <r>
      <t>a</t>
    </r>
    <r>
      <rPr>
        <b/>
        <sz val="8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>/g</t>
    </r>
  </si>
  <si>
    <t>Coefficiente di amplificazione topografica</t>
  </si>
  <si>
    <r>
      <t>S</t>
    </r>
    <r>
      <rPr>
        <b/>
        <vertAlign val="subscript"/>
        <sz val="11"/>
        <color theme="1"/>
        <rFont val="Calibri"/>
        <family val="2"/>
        <scheme val="minor"/>
      </rPr>
      <t>T</t>
    </r>
  </si>
  <si>
    <t>Coefficiente di amplificazione stratigrafica</t>
  </si>
  <si>
    <r>
      <t>S</t>
    </r>
    <r>
      <rPr>
        <b/>
        <vertAlign val="subscript"/>
        <sz val="11"/>
        <color theme="1"/>
        <rFont val="Calibri"/>
        <family val="2"/>
        <scheme val="minor"/>
      </rPr>
      <t>S</t>
    </r>
  </si>
  <si>
    <r>
      <t>Prodotto S</t>
    </r>
    <r>
      <rPr>
        <sz val="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*S</t>
    </r>
    <r>
      <rPr>
        <sz val="8"/>
        <color theme="1"/>
        <rFont val="Calibri"/>
        <family val="2"/>
        <scheme val="minor"/>
      </rPr>
      <t>T</t>
    </r>
  </si>
  <si>
    <t>S</t>
  </si>
  <si>
    <t>Accelerazione orizzontale  riferita al sito adimensionale</t>
  </si>
  <si>
    <r>
      <t>a</t>
    </r>
    <r>
      <rPr>
        <b/>
        <sz val="8"/>
        <color theme="1"/>
        <rFont val="Calibri"/>
        <family val="2"/>
        <scheme val="minor"/>
      </rPr>
      <t>(max)</t>
    </r>
    <r>
      <rPr>
        <b/>
        <sz val="11"/>
        <color theme="1"/>
        <rFont val="Calibri"/>
        <family val="2"/>
        <scheme val="minor"/>
      </rPr>
      <t>/g</t>
    </r>
  </si>
  <si>
    <t>Coefficiente funzione della categoria di sottosuolo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</si>
  <si>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c</t>
    </r>
  </si>
  <si>
    <t>Periodo del tratto ad accelerazione costante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</si>
  <si>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B</t>
    </r>
  </si>
  <si>
    <t>Periodo del tratto a velocità costante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</si>
  <si>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C</t>
    </r>
  </si>
  <si>
    <t>Periodo del tratto a spostamento costante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</si>
  <si>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D</t>
    </r>
  </si>
  <si>
    <t>Coefficiente di smorzamento viscoso</t>
  </si>
  <si>
    <t>Coefficiente di correzione per smorzamento viscoso diverso dal 5%</t>
  </si>
  <si>
    <t>h</t>
  </si>
  <si>
    <t>Coefficiente di riduzione dell’accelerazione massima attesa al sito</t>
  </si>
  <si>
    <r>
      <t>β</t>
    </r>
    <r>
      <rPr>
        <b/>
        <sz val="8"/>
        <color theme="1"/>
        <rFont val="Calibri"/>
        <family val="2"/>
      </rPr>
      <t>m</t>
    </r>
  </si>
  <si>
    <t>Coefficiente sismico orizzontale</t>
  </si>
  <si>
    <t>Coefficiente sismico verticale</t>
  </si>
  <si>
    <r>
      <t xml:space="preserve">Imporre </t>
    </r>
    <r>
      <rPr>
        <b/>
        <sz val="11"/>
        <color theme="1"/>
        <rFont val="Calibri"/>
        <family val="2"/>
        <scheme val="minor"/>
      </rPr>
      <t xml:space="preserve">βm </t>
    </r>
    <r>
      <rPr>
        <sz val="11"/>
        <color theme="1"/>
        <rFont val="Calibri"/>
        <family val="2"/>
        <scheme val="minor"/>
      </rPr>
      <t>unitario?</t>
    </r>
  </si>
  <si>
    <t>Angolo di attrito</t>
  </si>
  <si>
    <t>cu</t>
  </si>
  <si>
    <t>Coesione</t>
  </si>
  <si>
    <t>c'</t>
  </si>
  <si>
    <t>Attiva la falda:</t>
  </si>
  <si>
    <r>
      <rPr>
        <b/>
        <sz val="14"/>
        <color theme="1"/>
        <rFont val="Calibri"/>
        <family val="2"/>
      </rPr>
      <t>H</t>
    </r>
    <r>
      <rPr>
        <b/>
        <sz val="9"/>
        <color theme="1"/>
        <rFont val="Calibri"/>
        <family val="2"/>
      </rPr>
      <t>falda</t>
    </r>
  </si>
  <si>
    <t>Peso specifico acqua</t>
  </si>
  <si>
    <r>
      <t>ϒ</t>
    </r>
    <r>
      <rPr>
        <b/>
        <sz val="8"/>
        <color theme="1"/>
        <rFont val="Calibri"/>
        <family val="2"/>
      </rPr>
      <t>w</t>
    </r>
  </si>
  <si>
    <t>Inclinazione piano posa</t>
  </si>
  <si>
    <t>Inclinazione piano campagna</t>
  </si>
  <si>
    <r>
      <t>ω</t>
    </r>
    <r>
      <rPr>
        <b/>
        <sz val="8"/>
        <color theme="1"/>
        <rFont val="Calibri"/>
        <family val="2"/>
      </rPr>
      <t>v</t>
    </r>
  </si>
  <si>
    <t>Resistenza a taglio non drenata</t>
  </si>
  <si>
    <t>Peso specifico del terreno sotto il piano di posa.</t>
  </si>
  <si>
    <t>6 SELEZIONE DELLA COMBINAZIONE</t>
  </si>
  <si>
    <t>Approccio e combinazione utilizzata:</t>
  </si>
  <si>
    <t>AZIONI</t>
  </si>
  <si>
    <t>GEOTECNICA</t>
  </si>
  <si>
    <t>M</t>
  </si>
  <si>
    <t>RESISTENZE</t>
  </si>
  <si>
    <t>R</t>
  </si>
  <si>
    <t xml:space="preserve">capacità portante </t>
  </si>
  <si>
    <t>Secondo la combinazione:</t>
  </si>
  <si>
    <t>cu,d</t>
  </si>
  <si>
    <t>ω</t>
  </si>
  <si>
    <t>angolo di attrito</t>
  </si>
  <si>
    <r>
      <t>ϕ'</t>
    </r>
    <r>
      <rPr>
        <b/>
        <sz val="9"/>
        <color theme="1"/>
        <rFont val="Calibri"/>
        <family val="2"/>
      </rPr>
      <t>,d</t>
    </r>
  </si>
  <si>
    <r>
      <t>V</t>
    </r>
    <r>
      <rPr>
        <b/>
        <sz val="9"/>
        <color theme="1"/>
        <rFont val="Calibri"/>
        <family val="2"/>
        <scheme val="minor"/>
      </rPr>
      <t>,d</t>
    </r>
  </si>
  <si>
    <t>coesione</t>
  </si>
  <si>
    <r>
      <t>c'</t>
    </r>
    <r>
      <rPr>
        <b/>
        <sz val="9"/>
        <color theme="1"/>
        <rFont val="Calibri"/>
        <family val="2"/>
        <scheme val="minor"/>
      </rPr>
      <t>,d</t>
    </r>
  </si>
  <si>
    <r>
      <t>H</t>
    </r>
    <r>
      <rPr>
        <b/>
        <sz val="9"/>
        <color theme="1"/>
        <rFont val="Calibri"/>
        <family val="2"/>
        <scheme val="minor"/>
      </rPr>
      <t>,d</t>
    </r>
  </si>
  <si>
    <t>B*</t>
  </si>
  <si>
    <t>inclinazione piano posa</t>
  </si>
  <si>
    <t>inclinazione piano campagna</t>
  </si>
  <si>
    <t>Hm</t>
  </si>
  <si>
    <t>Profondità della curva di scorrimento</t>
  </si>
  <si>
    <r>
      <rPr>
        <b/>
        <sz val="14"/>
        <color theme="1"/>
        <rFont val="Calibri"/>
        <family val="2"/>
      </rPr>
      <t>H</t>
    </r>
    <r>
      <rPr>
        <b/>
        <sz val="11"/>
        <color theme="1"/>
        <rFont val="Calibri"/>
        <family val="2"/>
      </rPr>
      <t>scor.</t>
    </r>
  </si>
  <si>
    <r>
      <rPr>
        <sz val="16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</rPr>
      <t>γ</t>
    </r>
  </si>
  <si>
    <t>Secondo Vesic (1970)</t>
  </si>
  <si>
    <r>
      <rPr>
        <sz val="16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c</t>
    </r>
  </si>
  <si>
    <t>Secondo Prandtl (1921)</t>
  </si>
  <si>
    <r>
      <rPr>
        <sz val="16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q</t>
    </r>
  </si>
  <si>
    <r>
      <rPr>
        <sz val="16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</rPr>
      <t>γ</t>
    </r>
  </si>
  <si>
    <r>
      <rPr>
        <sz val="16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</rPr>
      <t>γ</t>
    </r>
  </si>
  <si>
    <r>
      <rPr>
        <sz val="16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</rPr>
      <t>γ</t>
    </r>
  </si>
  <si>
    <r>
      <rPr>
        <sz val="16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</rPr>
      <t>γ</t>
    </r>
  </si>
  <si>
    <r>
      <rPr>
        <sz val="16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c</t>
    </r>
  </si>
  <si>
    <r>
      <rPr>
        <sz val="16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c</t>
    </r>
  </si>
  <si>
    <r>
      <rPr>
        <sz val="16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c</t>
    </r>
  </si>
  <si>
    <r>
      <rPr>
        <sz val="16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c</t>
    </r>
  </si>
  <si>
    <r>
      <rPr>
        <sz val="11"/>
        <color theme="1"/>
        <rFont val="Calibri"/>
        <family val="2"/>
      </rPr>
      <t>Ψ</t>
    </r>
    <r>
      <rPr>
        <sz val="11"/>
        <color theme="1"/>
        <rFont val="Calibri"/>
        <family val="2"/>
        <scheme val="minor"/>
      </rPr>
      <t>c</t>
    </r>
  </si>
  <si>
    <r>
      <rPr>
        <sz val="16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q</t>
    </r>
  </si>
  <si>
    <r>
      <rPr>
        <sz val="16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q</t>
    </r>
  </si>
  <si>
    <r>
      <rPr>
        <sz val="16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q</t>
    </r>
  </si>
  <si>
    <r>
      <rPr>
        <sz val="16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q</t>
    </r>
  </si>
  <si>
    <r>
      <t>Ψ</t>
    </r>
    <r>
      <rPr>
        <sz val="11"/>
        <color theme="1"/>
        <rFont val="Calibri"/>
        <family val="2"/>
        <scheme val="minor"/>
      </rPr>
      <t>q</t>
    </r>
  </si>
  <si>
    <r>
      <rPr>
        <sz val="16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</rPr>
      <t>b</t>
    </r>
  </si>
  <si>
    <r>
      <rPr>
        <b/>
        <sz val="16"/>
        <color theme="1"/>
        <rFont val="Calibri"/>
        <family val="2"/>
        <scheme val="minor"/>
      </rPr>
      <t>q</t>
    </r>
    <r>
      <rPr>
        <b/>
        <sz val="11"/>
        <color theme="1"/>
        <rFont val="Calibri"/>
        <family val="2"/>
      </rPr>
      <t>lim</t>
    </r>
  </si>
  <si>
    <r>
      <t>[kN/m</t>
    </r>
    <r>
      <rPr>
        <b/>
        <sz val="11"/>
        <color theme="1"/>
        <rFont val="Calibri"/>
        <family val="2"/>
      </rPr>
      <t>²</t>
    </r>
    <r>
      <rPr>
        <b/>
        <sz val="11"/>
        <color theme="1"/>
        <rFont val="Calibri"/>
        <family val="2"/>
        <scheme val="minor"/>
      </rPr>
      <t>]</t>
    </r>
  </si>
  <si>
    <r>
      <rPr>
        <b/>
        <sz val="16"/>
        <color theme="1"/>
        <rFont val="Calibri"/>
        <family val="2"/>
        <scheme val="minor"/>
      </rPr>
      <t>Q</t>
    </r>
    <r>
      <rPr>
        <b/>
        <sz val="11"/>
        <color theme="1"/>
        <rFont val="Calibri"/>
        <family val="2"/>
      </rPr>
      <t>lim</t>
    </r>
  </si>
  <si>
    <t xml:space="preserve"> </t>
  </si>
  <si>
    <r>
      <rPr>
        <b/>
        <sz val="16"/>
        <color theme="1"/>
        <rFont val="Calibri"/>
        <family val="2"/>
        <scheme val="minor"/>
      </rPr>
      <t>E</t>
    </r>
    <r>
      <rPr>
        <b/>
        <sz val="8"/>
        <color theme="1"/>
        <rFont val="Calibri"/>
        <family val="2"/>
        <scheme val="minor"/>
      </rPr>
      <t>d</t>
    </r>
  </si>
  <si>
    <t>(ROTTURA GENERALE)</t>
  </si>
  <si>
    <r>
      <rPr>
        <b/>
        <sz val="16"/>
        <color theme="1"/>
        <rFont val="Calibri"/>
        <family val="2"/>
        <scheme val="minor"/>
      </rPr>
      <t>R</t>
    </r>
    <r>
      <rPr>
        <b/>
        <sz val="8"/>
        <color theme="1"/>
        <rFont val="Calibri"/>
        <family val="2"/>
        <scheme val="minor"/>
      </rPr>
      <t>d</t>
    </r>
  </si>
  <si>
    <r>
      <t>e</t>
    </r>
    <r>
      <rPr>
        <b/>
        <sz val="8"/>
        <color theme="1"/>
        <rFont val="Calibri"/>
        <family val="2"/>
        <scheme val="minor"/>
      </rPr>
      <t>d</t>
    </r>
  </si>
  <si>
    <t>[kPa]</t>
  </si>
  <si>
    <r>
      <rPr>
        <b/>
        <sz val="12"/>
        <color theme="1"/>
        <rFont val="Calibri"/>
        <family val="2"/>
        <scheme val="minor"/>
      </rPr>
      <t>r</t>
    </r>
    <r>
      <rPr>
        <b/>
        <sz val="8"/>
        <color theme="1"/>
        <rFont val="Calibri"/>
        <family val="2"/>
      </rPr>
      <t>d</t>
    </r>
  </si>
  <si>
    <t>Tensione normale media</t>
  </si>
  <si>
    <t>Modulo di Young del terreno</t>
  </si>
  <si>
    <r>
      <t>I</t>
    </r>
    <r>
      <rPr>
        <b/>
        <sz val="11"/>
        <color theme="1"/>
        <rFont val="Calibri"/>
        <family val="2"/>
        <scheme val="minor"/>
      </rPr>
      <t>r</t>
    </r>
  </si>
  <si>
    <r>
      <t>I</t>
    </r>
    <r>
      <rPr>
        <b/>
        <sz val="11"/>
        <color theme="1"/>
        <rFont val="Calibri"/>
        <family val="2"/>
        <scheme val="minor"/>
      </rPr>
      <t>r,crit</t>
    </r>
  </si>
  <si>
    <r>
      <t>Se D</t>
    </r>
    <r>
      <rPr>
        <sz val="9"/>
        <color theme="1"/>
        <rFont val="Calibri"/>
        <family val="2"/>
        <scheme val="minor"/>
      </rPr>
      <t xml:space="preserve">R </t>
    </r>
    <r>
      <rPr>
        <sz val="11"/>
        <color theme="1"/>
        <rFont val="Calibri"/>
        <family val="2"/>
        <scheme val="minor"/>
      </rPr>
      <t xml:space="preserve">è compreso negli intervalli del grafico di De Beer bisogna utilizzare i seguenti </t>
    </r>
  </si>
  <si>
    <r>
      <t>parametri meccanici corretti, validi per D</t>
    </r>
    <r>
      <rPr>
        <sz val="9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minori del 67%.</t>
    </r>
  </si>
  <si>
    <t>La verifica verrà eseguita come nel caso di rottura generale utilizzando nel calcolo</t>
  </si>
  <si>
    <t>i parametri modificati secondo Vesic.</t>
  </si>
  <si>
    <r>
      <t>Definisci D</t>
    </r>
    <r>
      <rPr>
        <b/>
        <sz val="9"/>
        <color theme="1"/>
        <rFont val="Calibri"/>
        <family val="2"/>
        <scheme val="minor"/>
      </rPr>
      <t xml:space="preserve">R </t>
    </r>
    <r>
      <rPr>
        <b/>
        <sz val="11"/>
        <color theme="1"/>
        <rFont val="Calibri"/>
        <family val="2"/>
        <scheme val="minor"/>
      </rPr>
      <t>percentuale</t>
    </r>
  </si>
  <si>
    <t>angolo di attrito corretto</t>
  </si>
  <si>
    <t>coesione corretta</t>
  </si>
  <si>
    <t>parametro di correzione</t>
  </si>
  <si>
    <t>r</t>
  </si>
  <si>
    <t>Vuoi usare i parametri corretti?</t>
  </si>
  <si>
    <t>De Beer (1967)</t>
  </si>
  <si>
    <t>ϕ,d</t>
  </si>
  <si>
    <r>
      <rPr>
        <sz val="16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</rPr>
      <t>γ</t>
    </r>
    <r>
      <rPr>
        <sz val="9"/>
        <color theme="1"/>
        <rFont val="Calibri"/>
        <family val="2"/>
      </rPr>
      <t>,0</t>
    </r>
  </si>
  <si>
    <r>
      <rPr>
        <sz val="16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>,0</t>
    </r>
  </si>
  <si>
    <r>
      <rPr>
        <sz val="16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q</t>
    </r>
    <r>
      <rPr>
        <sz val="9"/>
        <color theme="1"/>
        <rFont val="Calibri"/>
        <family val="2"/>
        <scheme val="minor"/>
      </rPr>
      <t>,0</t>
    </r>
  </si>
  <si>
    <r>
      <rPr>
        <sz val="1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c,</t>
    </r>
    <r>
      <rPr>
        <sz val="8"/>
        <color theme="1"/>
        <rFont val="Calibri"/>
        <family val="2"/>
        <scheme val="minor"/>
      </rPr>
      <t>0</t>
    </r>
  </si>
  <si>
    <r>
      <rPr>
        <sz val="16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c,0</t>
    </r>
  </si>
  <si>
    <r>
      <rPr>
        <sz val="16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c,0</t>
    </r>
  </si>
  <si>
    <r>
      <rPr>
        <sz val="16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c,0</t>
    </r>
  </si>
  <si>
    <r>
      <rPr>
        <sz val="16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c,0</t>
    </r>
  </si>
  <si>
    <t>Questo tipo di rottura richiede una significativa variazione di volume del terreno, perciò non può verificarsi in condizioni drenate</t>
  </si>
  <si>
    <t>in cui per ipotesi il terreno è incomprimibile. La verifica si appilca soprattuto in terreni sabbiosi sciolti.</t>
  </si>
  <si>
    <t>Questo tipo di rottura costituisce un caso intermedio fra la rottura globale e la rottura per punzonamento e non si verifica in condizioni</t>
  </si>
  <si>
    <t>drenate, perché per ipotesi il terreno è incomprimibile.</t>
  </si>
  <si>
    <t>Coordiante Spettro</t>
  </si>
  <si>
    <t>T</t>
  </si>
  <si>
    <t xml:space="preserve">Se(T) </t>
  </si>
  <si>
    <t>s</t>
  </si>
  <si>
    <r>
      <t>m/s</t>
    </r>
    <r>
      <rPr>
        <b/>
        <sz val="11"/>
        <color theme="1"/>
        <rFont val="Times New Roman"/>
        <family val="1"/>
      </rPr>
      <t>²</t>
    </r>
  </si>
  <si>
    <t>Acc. Spettro orizzontale elastico</t>
  </si>
  <si>
    <t>Periodi fondamentali</t>
  </si>
  <si>
    <t xml:space="preserve">Se (0) 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</si>
  <si>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</si>
  <si>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Se (T</t>
    </r>
    <r>
      <rPr>
        <sz val="8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) </t>
    </r>
  </si>
  <si>
    <r>
      <t>Se (T</t>
    </r>
    <r>
      <rPr>
        <sz val="8"/>
        <color theme="1"/>
        <rFont val="Calibri"/>
        <family val="2"/>
      </rPr>
      <t>C</t>
    </r>
    <r>
      <rPr>
        <sz val="11"/>
        <color theme="1"/>
        <rFont val="Calibri"/>
        <family val="2"/>
      </rPr>
      <t xml:space="preserve">) </t>
    </r>
  </si>
  <si>
    <r>
      <t>Se (T</t>
    </r>
    <r>
      <rPr>
        <sz val="8"/>
        <color theme="1"/>
        <rFont val="Calibri"/>
        <family val="2"/>
      </rPr>
      <t>D</t>
    </r>
    <r>
      <rPr>
        <sz val="11"/>
        <color theme="1"/>
        <rFont val="Calibri"/>
        <family val="2"/>
      </rPr>
      <t xml:space="preserve">) </t>
    </r>
  </si>
  <si>
    <t>Coefficienti di forma.</t>
  </si>
  <si>
    <t>Secondo De Beer</t>
  </si>
  <si>
    <t>Coefficienti di profondità.</t>
  </si>
  <si>
    <t>Secondo Brich-Hansen, 1970; Vesic, 1973</t>
  </si>
  <si>
    <t>Coefficienti di inclinazione del carico.</t>
  </si>
  <si>
    <t>Coefficiente di inclinazione del piano campagna.</t>
  </si>
  <si>
    <t>Secondo Brich-Hansen, 1970</t>
  </si>
  <si>
    <t>Coefficiente di inclinazione del piano di posa.</t>
  </si>
  <si>
    <t>Base</t>
  </si>
  <si>
    <t>Base ridotta</t>
  </si>
  <si>
    <t>Altezza zattera</t>
  </si>
  <si>
    <t>Affondamento</t>
  </si>
  <si>
    <t>Altezza magrone</t>
  </si>
  <si>
    <t>Carico verticale</t>
  </si>
  <si>
    <t>Carico Orizzontale</t>
  </si>
  <si>
    <t>TIPO ROTTURA:</t>
  </si>
  <si>
    <t>Coefficienti di forma</t>
  </si>
  <si>
    <t>Coefficienti di profondità</t>
  </si>
  <si>
    <t>Coefficienti di Inclinazione del carico</t>
  </si>
  <si>
    <t>Coefficienti di Inclinazione del piano campagna</t>
  </si>
  <si>
    <t>Coefficienti che tengono conto della rottura per ponzunamento</t>
  </si>
  <si>
    <t>Coefficienti di Inclinazione del piano di posa della fondazione</t>
  </si>
  <si>
    <t>Secondo Vesic (1973)</t>
  </si>
  <si>
    <t>Hscor.</t>
  </si>
  <si>
    <t>VERIFICA AL COLLASSO PER CARICO LIMITE PER IL SISTEMA TERRENO-FONDAZIONE</t>
  </si>
  <si>
    <t>2 DATI DI PROGETTO</t>
  </si>
  <si>
    <t>3 FATTORI DI CAPACITA' PORTANTE</t>
  </si>
  <si>
    <t>4 COEFFICIENTI CORRETTIVI</t>
  </si>
  <si>
    <t>5 REGOLA DI MEYERHOF</t>
  </si>
  <si>
    <t>6 CARICO LIMITE</t>
  </si>
  <si>
    <t>7 VERIFICA CAPACITA' PORTANTE</t>
  </si>
  <si>
    <t>8 VERIFICA A SCORRIMENTO</t>
  </si>
  <si>
    <t>9 VERIFICA A PUNZONAMENTO</t>
  </si>
  <si>
    <t>10 VERIFICA PER ROTTURA LOCALE</t>
  </si>
  <si>
    <t>9 ROTTURA PER PUNZONAMENTO</t>
  </si>
  <si>
    <t>10 ROTTURA LOCALE</t>
  </si>
  <si>
    <t>Vuoi utilizzare valori unitari del coefficiente ?</t>
  </si>
  <si>
    <t>d</t>
  </si>
  <si>
    <t>Vuoi trascurare la spinta passiva nella verifica a scorrimento?</t>
  </si>
  <si>
    <t>Altezza per la spinta passiva</t>
  </si>
  <si>
    <t>Vuoi definire l'angolo di attrito?</t>
  </si>
  <si>
    <r>
      <t>δ</t>
    </r>
    <r>
      <rPr>
        <b/>
        <sz val="8"/>
        <color theme="1"/>
        <rFont val="Calibri"/>
        <family val="2"/>
      </rPr>
      <t>,k</t>
    </r>
  </si>
  <si>
    <r>
      <t>δ</t>
    </r>
    <r>
      <rPr>
        <b/>
        <sz val="8"/>
        <color theme="1"/>
        <rFont val="Calibri"/>
        <family val="2"/>
      </rPr>
      <t>,d</t>
    </r>
  </si>
  <si>
    <t>1 COMBINAZIONE DI CALCOLO E PARAMETRI SISMICI</t>
  </si>
  <si>
    <t xml:space="preserve">Coefficiente di riduzione dell’accelerazione </t>
  </si>
  <si>
    <r>
      <t>γ</t>
    </r>
    <r>
      <rPr>
        <b/>
        <i/>
        <sz val="9"/>
        <color theme="1"/>
        <rFont val="Calibri"/>
        <family val="2"/>
        <scheme val="minor"/>
      </rPr>
      <t>G1</t>
    </r>
  </si>
  <si>
    <r>
      <t>γ</t>
    </r>
    <r>
      <rPr>
        <b/>
        <i/>
        <sz val="9"/>
        <color theme="1"/>
        <rFont val="Calibri"/>
        <family val="2"/>
        <scheme val="minor"/>
      </rPr>
      <t>G2</t>
    </r>
  </si>
  <si>
    <r>
      <t>γ</t>
    </r>
    <r>
      <rPr>
        <b/>
        <i/>
        <sz val="9"/>
        <color theme="1"/>
        <rFont val="Calibri"/>
        <family val="2"/>
        <scheme val="minor"/>
      </rPr>
      <t>Qk</t>
    </r>
  </si>
  <si>
    <r>
      <t>m</t>
    </r>
    <r>
      <rPr>
        <b/>
        <sz val="8"/>
        <color theme="0" tint="-0.499984740745262"/>
        <rFont val="Calibri"/>
        <family val="2"/>
        <scheme val="minor"/>
      </rPr>
      <t>b</t>
    </r>
  </si>
  <si>
    <r>
      <t>ϒ</t>
    </r>
    <r>
      <rPr>
        <b/>
        <sz val="8"/>
        <color theme="1"/>
        <rFont val="Calibri"/>
        <family val="2"/>
      </rPr>
      <t>f,sotto</t>
    </r>
  </si>
  <si>
    <r>
      <t>ϒ</t>
    </r>
    <r>
      <rPr>
        <b/>
        <sz val="8"/>
        <color theme="1"/>
        <rFont val="Calibri"/>
        <family val="2"/>
      </rPr>
      <t>f,sopra</t>
    </r>
  </si>
  <si>
    <r>
      <t>ϒ</t>
    </r>
    <r>
      <rPr>
        <b/>
        <sz val="9"/>
        <color theme="1"/>
        <rFont val="Calibri"/>
        <family val="2"/>
      </rPr>
      <t>f,sopra,d</t>
    </r>
  </si>
  <si>
    <r>
      <t>ϒf</t>
    </r>
    <r>
      <rPr>
        <b/>
        <sz val="9"/>
        <color theme="1"/>
        <rFont val="Calibri"/>
        <family val="2"/>
      </rPr>
      <t>,sotto,d</t>
    </r>
  </si>
  <si>
    <r>
      <t>ϒ'</t>
    </r>
    <r>
      <rPr>
        <b/>
        <sz val="9"/>
        <color theme="1"/>
        <rFont val="Calibri"/>
        <family val="2"/>
      </rPr>
      <t>f,sopra,d</t>
    </r>
  </si>
  <si>
    <r>
      <t>ϒ'f</t>
    </r>
    <r>
      <rPr>
        <b/>
        <sz val="9"/>
        <color theme="1"/>
        <rFont val="Calibri"/>
        <family val="2"/>
      </rPr>
      <t>,sotto,d</t>
    </r>
  </si>
  <si>
    <t>Peso specifico del terreno sopra la zattera dal lato di valle</t>
  </si>
  <si>
    <t>Affondamento della zattera, misurato rispetto al piano di posa</t>
  </si>
  <si>
    <t>Altezza del cuneo di spinta passiva</t>
  </si>
  <si>
    <t>γG1</t>
  </si>
  <si>
    <t>γG2</t>
  </si>
  <si>
    <t>γQk</t>
  </si>
  <si>
    <t>scorri-              mento</t>
  </si>
  <si>
    <t>2 PARAMETRI SISMICI SLV</t>
  </si>
  <si>
    <t xml:space="preserve">Coefficiente di amplificazione spettrale </t>
  </si>
  <si>
    <t>Peso specifico del magrone</t>
  </si>
  <si>
    <r>
      <rPr>
        <b/>
        <sz val="11"/>
        <rFont val="Times New Roman"/>
        <family val="1"/>
      </rPr>
      <t>γ</t>
    </r>
    <r>
      <rPr>
        <b/>
        <vertAlign val="subscript"/>
        <sz val="11"/>
        <rFont val="Calibri"/>
        <family val="2"/>
      </rPr>
      <t>cls, mag</t>
    </r>
  </si>
  <si>
    <t>Il foglio esegue il calcolo della capacità portante del terreno di fondazione utilizzando</t>
  </si>
  <si>
    <t>la formula di Brich-Hansen; per fondazioni a base rettangolare o quadrata.</t>
  </si>
  <si>
    <t>la possibilità di scegliere i diversi approcci e le diverse combinazioni, sia in</t>
  </si>
  <si>
    <t>condizioni drenate che non drenate.</t>
  </si>
  <si>
    <t>Nel caso di terreni saturi poco permeabili l'incremento delle tensioni totali dovuto al</t>
  </si>
  <si>
    <r>
      <t xml:space="preserve">carico trasmesso dalla fondazione nel terreno genera a breve termine </t>
    </r>
    <r>
      <rPr>
        <sz val="12"/>
        <color theme="1"/>
        <rFont val="Times New Roman"/>
        <family val="1"/>
      </rPr>
      <t xml:space="preserve">ΔU˃0, </t>
    </r>
    <r>
      <rPr>
        <sz val="12"/>
        <color theme="1"/>
        <rFont val="Arial"/>
        <family val="2"/>
      </rPr>
      <t>A lungo</t>
    </r>
  </si>
  <si>
    <t xml:space="preserve">termnine le tensioni efficaci crescono e di conseguenza il carico limite. La condizione più </t>
  </si>
  <si>
    <t>più sfavorevole per la stabilità della fondazione si ha perciò al termine della costruzione.</t>
  </si>
  <si>
    <t>Pertanto, il calcolo del carico limite viene eseguito in termini di tensioni totali a breve termine</t>
  </si>
  <si>
    <t xml:space="preserve">Nel caso di terreni molto permeabili, la verifica di stabilità deve essere eseguita in tensioni </t>
  </si>
  <si>
    <t>efficaci, tenendo conto della posizione della falda e dei valori delle pressioni neutre nel terreno.</t>
  </si>
  <si>
    <t>2.1 Geometria  fondazione</t>
  </si>
  <si>
    <t>2.2 Geometria  terreno e piano di posa</t>
  </si>
  <si>
    <t>2.3 Sollecitazioni</t>
  </si>
  <si>
    <t>Eccentricità del carico nella direzione b</t>
  </si>
  <si>
    <r>
      <rPr>
        <b/>
        <sz val="16"/>
        <color theme="1"/>
        <rFont val="Calibri"/>
        <family val="2"/>
        <scheme val="minor"/>
      </rPr>
      <t>e</t>
    </r>
    <r>
      <rPr>
        <b/>
        <sz val="8"/>
        <color theme="1"/>
        <rFont val="Calibri"/>
        <family val="2"/>
      </rPr>
      <t>P,b</t>
    </r>
  </si>
  <si>
    <t>Eccentricità del carico nella direzione l</t>
  </si>
  <si>
    <r>
      <rPr>
        <b/>
        <sz val="16"/>
        <color theme="1"/>
        <rFont val="Calibri"/>
        <family val="2"/>
        <scheme val="minor"/>
      </rPr>
      <t>e</t>
    </r>
    <r>
      <rPr>
        <b/>
        <sz val="8"/>
        <color theme="1"/>
        <rFont val="Calibri"/>
        <family val="2"/>
      </rPr>
      <t>P,l</t>
    </r>
  </si>
  <si>
    <t>3 GEOTECNICA</t>
  </si>
  <si>
    <t>3.1 Falda</t>
  </si>
  <si>
    <t>Quota della falda dal piano campagna</t>
  </si>
  <si>
    <t>3.2 Parametri geotecnici</t>
  </si>
  <si>
    <t>Mb</t>
  </si>
  <si>
    <t>Ml</t>
  </si>
  <si>
    <t>Hl</t>
  </si>
  <si>
    <t>Hb</t>
  </si>
  <si>
    <t>Momento Sollecitante b</t>
  </si>
  <si>
    <t>Momento Sollecitante l</t>
  </si>
  <si>
    <r>
      <t>Mb</t>
    </r>
    <r>
      <rPr>
        <b/>
        <sz val="9"/>
        <color theme="1"/>
        <rFont val="Calibri"/>
        <family val="2"/>
        <scheme val="minor"/>
      </rPr>
      <t>,d</t>
    </r>
  </si>
  <si>
    <r>
      <t>Ml</t>
    </r>
    <r>
      <rPr>
        <b/>
        <sz val="9"/>
        <color theme="1"/>
        <rFont val="Calibri"/>
        <family val="2"/>
        <scheme val="minor"/>
      </rPr>
      <t>,d</t>
    </r>
  </si>
  <si>
    <r>
      <rPr>
        <sz val="16"/>
        <color theme="1"/>
        <rFont val="Calibri"/>
        <family val="2"/>
        <scheme val="minor"/>
      </rPr>
      <t>e</t>
    </r>
    <r>
      <rPr>
        <sz val="8"/>
        <color theme="1"/>
        <rFont val="Calibri"/>
        <family val="2"/>
      </rPr>
      <t>b</t>
    </r>
  </si>
  <si>
    <t>ml</t>
  </si>
  <si>
    <t>m</t>
  </si>
  <si>
    <t>ϑ</t>
  </si>
  <si>
    <t>Lunghezza</t>
  </si>
  <si>
    <t>Lung. Ridotta</t>
  </si>
  <si>
    <t>rapporto H con amplificato da gamma</t>
  </si>
  <si>
    <r>
      <rPr>
        <sz val="12"/>
        <color theme="1"/>
        <rFont val="Calibri"/>
        <family val="2"/>
      </rPr>
      <t>z</t>
    </r>
    <r>
      <rPr>
        <sz val="11"/>
        <color theme="1"/>
        <rFont val="Calibri"/>
        <family val="2"/>
      </rPr>
      <t>γ</t>
    </r>
  </si>
  <si>
    <r>
      <rPr>
        <sz val="11"/>
        <color theme="1"/>
        <rFont val="Calibri"/>
        <family val="2"/>
      </rPr>
      <t>Z</t>
    </r>
    <r>
      <rPr>
        <sz val="11"/>
        <color theme="1"/>
        <rFont val="Calibri"/>
        <family val="2"/>
        <scheme val="minor"/>
      </rPr>
      <t>c</t>
    </r>
  </si>
  <si>
    <t>Zq</t>
  </si>
  <si>
    <t>Coefficienti Paolucci e Pecker (1997)</t>
  </si>
  <si>
    <r>
      <rPr>
        <sz val="11"/>
        <color theme="1"/>
        <rFont val="Calibri"/>
        <family val="2"/>
      </rPr>
      <t>Z</t>
    </r>
    <r>
      <rPr>
        <sz val="11"/>
        <color theme="1"/>
        <rFont val="Calibri"/>
        <family val="2"/>
        <scheme val="minor"/>
      </rPr>
      <t>c,0</t>
    </r>
  </si>
  <si>
    <t>Taglio Sismico</t>
  </si>
  <si>
    <r>
      <t>H</t>
    </r>
    <r>
      <rPr>
        <b/>
        <sz val="9"/>
        <color theme="1"/>
        <rFont val="Calibri"/>
        <family val="2"/>
        <scheme val="minor"/>
      </rPr>
      <t>,s</t>
    </r>
  </si>
  <si>
    <t>taglio di calcolo con dren</t>
  </si>
  <si>
    <t>taglio di calcolo cond non dren</t>
  </si>
  <si>
    <r>
      <t>ϒf</t>
    </r>
    <r>
      <rPr>
        <b/>
        <sz val="9"/>
        <color theme="1"/>
        <rFont val="Calibri"/>
        <family val="2"/>
      </rPr>
      <t>,medio</t>
    </r>
  </si>
  <si>
    <t>P.S. terreno sotto il piano di posa.</t>
  </si>
  <si>
    <t>P.S. terreno sopra il piano di posa.</t>
  </si>
  <si>
    <t xml:space="preserve">P.S. medio del terreno </t>
  </si>
  <si>
    <r>
      <t>ϒ'f</t>
    </r>
    <r>
      <rPr>
        <b/>
        <sz val="9"/>
        <color theme="1"/>
        <rFont val="Calibri"/>
        <family val="2"/>
      </rPr>
      <t>,medio</t>
    </r>
  </si>
  <si>
    <t xml:space="preserve">In questo file  viene eseguita la verifica sismica attraverso analisi pseudo-statica. </t>
  </si>
  <si>
    <t>Inserire solamente sollecitazioni derivanti dall'analisi statica, la verifica sismica verrà eseguita attraverso</t>
  </si>
  <si>
    <t>un approccio pseudo statico secondo le formulazioni di Paolucci e Pecker.</t>
  </si>
  <si>
    <t>CARICHI STATICI</t>
  </si>
  <si>
    <t xml:space="preserve">L'azione del sisma si traduce in accelerazioni nel sottosuolo (effetto cinematico) e nella </t>
  </si>
  <si>
    <t>fondazione per l'azione delle forze d'inerzia generate nella struttura in elevazione (effetto</t>
  </si>
  <si>
    <t>inerziale). Gli effetti inerziali modificano i coefficienti di inclinazione del carico "i", formando</t>
  </si>
  <si>
    <t>il taglio sismico; gli effetti cinematici sono descritti dai coefficienti riduttivi "z" che abbattono il</t>
  </si>
  <si>
    <t>valore di capacità portante stimato con la formula di Brich-Hansen.</t>
  </si>
  <si>
    <t>Le formule utilizzate per il calcolo sono state sviluppate da Paolucci e Pecker (1997).</t>
  </si>
  <si>
    <r>
      <t>Ψ</t>
    </r>
    <r>
      <rPr>
        <sz val="11"/>
        <color theme="1"/>
        <rFont val="Calibri"/>
        <family val="2"/>
      </rPr>
      <t>γ</t>
    </r>
  </si>
  <si>
    <t>REGOLA DI MEYERHOF</t>
  </si>
  <si>
    <t>Superficie d'impronta ridotta</t>
  </si>
  <si>
    <t>ALTEZZA DELLA CURVA DI SCORRIMENTO</t>
  </si>
  <si>
    <t>Se la falda intercetta la curva di scorrimento, si fa l'ipotesi che il pelo libero sia situato sul piano</t>
  </si>
  <si>
    <t>campagna, viceversa si esegue l'analisi in assenza di falda.</t>
  </si>
  <si>
    <t>COEFFICIENTI RIDUTTIVI</t>
  </si>
  <si>
    <t>COEFFICIENTI RIDUTTIVI PER PUNZONAMENTO</t>
  </si>
  <si>
    <t xml:space="preserve">Argilla  molle </t>
  </si>
  <si>
    <t>Argilla media</t>
  </si>
  <si>
    <t>Argilla sabbiosa</t>
  </si>
  <si>
    <t>Loess</t>
  </si>
  <si>
    <t>Sabbia limosa</t>
  </si>
  <si>
    <t>Sabbia sciolta</t>
  </si>
  <si>
    <t>Sabbia compatta</t>
  </si>
  <si>
    <t>Limo</t>
  </si>
  <si>
    <t>Sabbia e ghiaia sciolta</t>
  </si>
  <si>
    <t>Sabbia e ghiaia compatta</t>
  </si>
  <si>
    <t>E [kpa]</t>
  </si>
  <si>
    <t>max</t>
  </si>
  <si>
    <t>min</t>
  </si>
  <si>
    <t>medio</t>
  </si>
  <si>
    <t>ν</t>
  </si>
  <si>
    <t>coefficiente di Poisson</t>
  </si>
  <si>
    <t>Argilla molto molle (sature)</t>
  </si>
  <si>
    <t>Argilla dura (non sature)</t>
  </si>
  <si>
    <t>Dr</t>
  </si>
  <si>
    <t>Modulo elastico</t>
  </si>
  <si>
    <t>Coefficiente di Poisson</t>
  </si>
  <si>
    <t>Densità relativa</t>
  </si>
  <si>
    <t>Costante di Winkler</t>
  </si>
  <si>
    <t>Kw</t>
  </si>
  <si>
    <t>M [kpa]</t>
  </si>
  <si>
    <t>Modulo edometrico</t>
  </si>
  <si>
    <r>
      <t>σ'</t>
    </r>
    <r>
      <rPr>
        <b/>
        <sz val="9"/>
        <color theme="1"/>
        <rFont val="Calibri"/>
        <family val="2"/>
      </rPr>
      <t>v,medio</t>
    </r>
  </si>
  <si>
    <t>COEFFICIENTI RIDUTTIVI PER EFFETTI CINEMATICI</t>
  </si>
  <si>
    <t>Secondo la teoria di Paolucci e Pecker (1997)</t>
  </si>
  <si>
    <t>VERIFICA ALLO SCORRIMENTO</t>
  </si>
  <si>
    <t>Indice di rigidezza</t>
  </si>
  <si>
    <t>Assunta di norma pari alla tensione verticale geostatica efficace ad un approfondimento di Hscor/2</t>
  </si>
  <si>
    <t>Le verifiche geotecniche dettate dalle NTC-18, sono eseguite dando</t>
  </si>
  <si>
    <t>Momento che arrotola attorno al lato corto</t>
  </si>
  <si>
    <t>La resistenza laterale della fondazione, allo scorrimento viene trascurata</t>
  </si>
  <si>
    <t>Vai alla normativa NTC18 --&gt;</t>
  </si>
  <si>
    <t>Formule --&gt;</t>
  </si>
  <si>
    <t>C30/37</t>
  </si>
  <si>
    <t>C55/67</t>
  </si>
  <si>
    <t>Versione 2.01 (NTC18)</t>
  </si>
  <si>
    <t>Le verifiche di tipo GEO vanno condotte in approccio 2 secondo le prescrizioni NTC-18</t>
  </si>
  <si>
    <t>Calcola in automatico il peso proprio della fondazione</t>
  </si>
  <si>
    <t>C28/35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</si>
</sst>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0.000"/>
    <numFmt numFmtId="165" formatCode="0.0"/>
    <numFmt numFmtId="166" formatCode="0.0000"/>
    <numFmt numFmtId="167" formatCode="0.00&quot; m&quot;"/>
    <numFmt numFmtId="168" formatCode="0.00&quot; kN/m²&quot;"/>
    <numFmt numFmtId="169" formatCode="0.00&quot; °&quot;"/>
    <numFmt numFmtId="170" formatCode="0.00&quot; kN/m³&quot;"/>
    <numFmt numFmtId="171" formatCode="0.00&quot; kPa&quot;"/>
    <numFmt numFmtId="172" formatCode="0&quot; %&quot;"/>
    <numFmt numFmtId="173" formatCode="0.0&quot; %&quot;"/>
    <numFmt numFmtId="174" formatCode="0.0&quot; kN/m³&quot;"/>
    <numFmt numFmtId="175" formatCode="0.0&quot; kN&quot;"/>
    <numFmt numFmtId="176" formatCode="0.0&quot; kNm&quot;"/>
    <numFmt numFmtId="177" formatCode="0.000&quot; m/s²&quot;"/>
    <numFmt numFmtId="178" formatCode="0.000&quot; s&quot;"/>
    <numFmt numFmtId="179" formatCode="&quot;±&quot;\ 0.000"/>
    <numFmt numFmtId="180" formatCode="0.00&quot; N/mm²&quot;"/>
    <numFmt numFmtId="181" formatCode="0.0&quot; N/mm²&quot;"/>
    <numFmt numFmtId="182" formatCode="0&quot; N/mm²&quot;"/>
    <numFmt numFmtId="183" formatCode="0&quot; kPa&quot;"/>
    <numFmt numFmtId="184" formatCode="0\ &quot;%&quot;"/>
    <numFmt numFmtId="185" formatCode="0.00000"/>
    <numFmt numFmtId="186" formatCode="0&quot; N/cm³&quot;"/>
  </numFmts>
  <fonts count="6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vertAlign val="subscript"/>
      <sz val="11"/>
      <name val="Calibri"/>
      <family val="2"/>
    </font>
    <font>
      <b/>
      <sz val="11"/>
      <name val="Calibri"/>
      <family val="2"/>
    </font>
    <font>
      <b/>
      <sz val="11"/>
      <color rgb="FF00B0F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8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8"/>
      <color rgb="FFFF000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Times New Roman"/>
      <family val="1"/>
    </font>
    <font>
      <b/>
      <i/>
      <sz val="11"/>
      <color rgb="FF0070C0"/>
      <name val="Calibri"/>
      <family val="2"/>
      <scheme val="minor"/>
    </font>
    <font>
      <b/>
      <sz val="11"/>
      <color theme="0" tint="-0.499984740745262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11">
    <xf numFmtId="0" fontId="0" fillId="0" borderId="0" xfId="0"/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0" fillId="0" borderId="0" xfId="0" applyFont="1" applyProtection="1"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1" fillId="0" borderId="0" xfId="0" applyFont="1"/>
    <xf numFmtId="0" fontId="1" fillId="0" borderId="14" xfId="0" applyFont="1" applyBorder="1" applyAlignment="1" applyProtection="1">
      <alignment horizontal="center" vertical="center"/>
      <protection hidden="1"/>
    </xf>
    <xf numFmtId="165" fontId="1" fillId="0" borderId="15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Border="1"/>
    <xf numFmtId="165" fontId="0" fillId="0" borderId="17" xfId="0" applyNumberFormat="1" applyBorder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3" xfId="0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166" fontId="1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2" fontId="0" fillId="0" borderId="0" xfId="0" applyNumberFormat="1" applyAlignment="1">
      <alignment horizontal="center" vertical="center"/>
    </xf>
    <xf numFmtId="0" fontId="0" fillId="0" borderId="9" xfId="0" applyBorder="1"/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4" xfId="0" applyFon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22" xfId="0" applyBorder="1" applyProtection="1"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0" fontId="0" fillId="0" borderId="23" xfId="0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2" fontId="0" fillId="0" borderId="9" xfId="0" applyNumberForma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2" fontId="31" fillId="0" borderId="0" xfId="0" applyNumberFormat="1" applyFont="1" applyFill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2" fontId="1" fillId="0" borderId="23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Protection="1">
      <protection hidden="1"/>
    </xf>
    <xf numFmtId="0" fontId="0" fillId="0" borderId="0" xfId="0" applyBorder="1" applyAlignment="1"/>
    <xf numFmtId="0" fontId="0" fillId="0" borderId="9" xfId="0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Protection="1">
      <protection hidden="1"/>
    </xf>
    <xf numFmtId="170" fontId="0" fillId="0" borderId="3" xfId="0" applyNumberFormat="1" applyBorder="1" applyAlignment="1" applyProtection="1">
      <alignment horizontal="center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171" fontId="0" fillId="0" borderId="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0" fillId="0" borderId="23" xfId="0" applyBorder="1"/>
    <xf numFmtId="2" fontId="0" fillId="0" borderId="0" xfId="0" applyNumberFormat="1" applyFill="1" applyAlignment="1">
      <alignment horizontal="center" vertical="center"/>
    </xf>
    <xf numFmtId="167" fontId="0" fillId="0" borderId="25" xfId="0" applyNumberFormat="1" applyBorder="1" applyAlignment="1" applyProtection="1">
      <alignment horizontal="center" vertical="center"/>
      <protection locked="0"/>
    </xf>
    <xf numFmtId="174" fontId="0" fillId="0" borderId="3" xfId="0" applyNumberFormat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1" fillId="0" borderId="0" xfId="0" applyFont="1" applyBorder="1" applyAlignment="1">
      <alignment horizontal="center" vertical="center"/>
    </xf>
    <xf numFmtId="0" fontId="0" fillId="0" borderId="4" xfId="0" applyBorder="1"/>
    <xf numFmtId="0" fontId="0" fillId="0" borderId="9" xfId="0" applyBorder="1" applyAlignment="1"/>
    <xf numFmtId="0" fontId="0" fillId="0" borderId="0" xfId="0" applyFont="1" applyAlignment="1" applyProtection="1">
      <alignment horizontal="center"/>
      <protection hidden="1"/>
    </xf>
    <xf numFmtId="164" fontId="0" fillId="0" borderId="17" xfId="0" applyNumberFormat="1" applyFont="1" applyBorder="1" applyAlignment="1" applyProtection="1">
      <alignment horizontal="center" vertical="center"/>
      <protection hidden="1"/>
    </xf>
    <xf numFmtId="164" fontId="29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 wrapText="1"/>
      <protection hidden="1"/>
    </xf>
    <xf numFmtId="0" fontId="0" fillId="0" borderId="8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2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right"/>
      <protection hidden="1"/>
    </xf>
    <xf numFmtId="181" fontId="1" fillId="0" borderId="0" xfId="0" applyNumberFormat="1" applyFont="1" applyBorder="1" applyAlignment="1" applyProtection="1">
      <alignment horizontal="center" vertical="center"/>
      <protection hidden="1"/>
    </xf>
    <xf numFmtId="180" fontId="0" fillId="0" borderId="17" xfId="0" applyNumberFormat="1" applyFont="1" applyBorder="1" applyAlignment="1" applyProtection="1">
      <alignment horizontal="center" vertical="center"/>
      <protection hidden="1"/>
    </xf>
    <xf numFmtId="182" fontId="0" fillId="0" borderId="17" xfId="0" applyNumberFormat="1" applyFont="1" applyBorder="1" applyAlignment="1" applyProtection="1">
      <alignment horizontal="center" vertical="center"/>
      <protection hidden="1"/>
    </xf>
    <xf numFmtId="172" fontId="0" fillId="0" borderId="17" xfId="0" applyNumberFormat="1" applyBorder="1" applyAlignment="1" applyProtection="1">
      <alignment horizontal="center" vertical="center"/>
      <protection hidden="1"/>
    </xf>
    <xf numFmtId="0" fontId="42" fillId="0" borderId="23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protection hidden="1"/>
    </xf>
    <xf numFmtId="0" fontId="15" fillId="0" borderId="0" xfId="0" applyFont="1" applyAlignment="1" applyProtection="1">
      <protection hidden="1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2" fontId="0" fillId="0" borderId="0" xfId="0" applyNumberFormat="1" applyBorder="1" applyAlignment="1" applyProtection="1">
      <alignment horizontal="center" vertical="center"/>
      <protection hidden="1"/>
    </xf>
    <xf numFmtId="164" fontId="0" fillId="0" borderId="17" xfId="0" applyNumberFormat="1" applyBorder="1" applyAlignment="1" applyProtection="1">
      <alignment horizontal="center" vertical="center"/>
      <protection hidden="1"/>
    </xf>
    <xf numFmtId="164" fontId="0" fillId="0" borderId="17" xfId="0" applyNumberFormat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175" fontId="0" fillId="0" borderId="17" xfId="0" applyNumberFormat="1" applyBorder="1" applyAlignment="1">
      <alignment horizontal="center" vertical="center"/>
    </xf>
    <xf numFmtId="173" fontId="0" fillId="0" borderId="3" xfId="0" applyNumberForma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/>
      <protection hidden="1"/>
    </xf>
    <xf numFmtId="0" fontId="46" fillId="0" borderId="0" xfId="0" applyFont="1" applyProtection="1">
      <protection hidden="1"/>
    </xf>
    <xf numFmtId="0" fontId="47" fillId="0" borderId="0" xfId="0" applyFont="1" applyProtection="1">
      <protection hidden="1"/>
    </xf>
    <xf numFmtId="0" fontId="48" fillId="0" borderId="0" xfId="0" applyFont="1" applyProtection="1">
      <protection hidden="1"/>
    </xf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1" fillId="0" borderId="0" xfId="0" applyFont="1" applyAlignme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5" fontId="6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36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2" fontId="1" fillId="0" borderId="17" xfId="0" applyNumberFormat="1" applyFon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51" fillId="0" borderId="17" xfId="0" applyFont="1" applyBorder="1" applyAlignment="1" applyProtection="1">
      <alignment horizontal="center"/>
      <protection hidden="1"/>
    </xf>
    <xf numFmtId="164" fontId="53" fillId="0" borderId="17" xfId="0" applyNumberFormat="1" applyFont="1" applyBorder="1" applyAlignment="1" applyProtection="1">
      <alignment horizontal="center"/>
      <protection hidden="1"/>
    </xf>
    <xf numFmtId="2" fontId="0" fillId="0" borderId="0" xfId="0" applyNumberFormat="1" applyFill="1" applyBorder="1" applyAlignment="1">
      <alignment horizontal="center" vertical="center"/>
    </xf>
    <xf numFmtId="0" fontId="1" fillId="0" borderId="0" xfId="0" applyFont="1" applyAlignment="1" applyProtection="1">
      <alignment horizontal="right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2" fontId="0" fillId="0" borderId="22" xfId="0" applyNumberFormat="1" applyBorder="1" applyAlignment="1" applyProtection="1">
      <alignment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9" fillId="0" borderId="0" xfId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44" fillId="0" borderId="0" xfId="0" applyFont="1" applyFill="1" applyAlignment="1" applyProtection="1">
      <alignment vertical="center" wrapText="1"/>
      <protection hidden="1"/>
    </xf>
    <xf numFmtId="184" fontId="0" fillId="0" borderId="3" xfId="0" applyNumberForma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 textRotation="90" wrapText="1"/>
      <protection hidden="1"/>
    </xf>
    <xf numFmtId="0" fontId="56" fillId="0" borderId="17" xfId="0" applyFont="1" applyBorder="1" applyAlignment="1" applyProtection="1">
      <alignment horizontal="center"/>
      <protection hidden="1"/>
    </xf>
    <xf numFmtId="164" fontId="53" fillId="0" borderId="17" xfId="0" applyNumberFormat="1" applyFont="1" applyBorder="1" applyAlignment="1" applyProtection="1">
      <alignment horizontal="center" vertical="center"/>
      <protection hidden="1"/>
    </xf>
    <xf numFmtId="0" fontId="0" fillId="4" borderId="0" xfId="0" applyFill="1"/>
    <xf numFmtId="0" fontId="0" fillId="4" borderId="0" xfId="0" applyFill="1" applyProtection="1"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 horizontal="center" vertical="center"/>
      <protection hidden="1"/>
    </xf>
    <xf numFmtId="0" fontId="56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2" fontId="0" fillId="0" borderId="17" xfId="0" applyNumberForma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19" fillId="3" borderId="18" xfId="1" applyFill="1" applyBorder="1" applyAlignment="1" applyProtection="1">
      <alignment horizontal="center"/>
      <protection locked="0"/>
    </xf>
    <xf numFmtId="167" fontId="0" fillId="0" borderId="0" xfId="0" applyNumberFormat="1" applyBorder="1" applyAlignment="1" applyProtection="1">
      <alignment horizontal="center" vertical="center"/>
      <protection hidden="1"/>
    </xf>
    <xf numFmtId="0" fontId="19" fillId="0" borderId="21" xfId="1" applyFill="1" applyBorder="1" applyAlignment="1" applyProtection="1">
      <protection hidden="1"/>
    </xf>
    <xf numFmtId="0" fontId="19" fillId="0" borderId="0" xfId="1" applyFill="1" applyBorder="1" applyAlignment="1" applyProtection="1">
      <protection hidden="1"/>
    </xf>
    <xf numFmtId="0" fontId="0" fillId="0" borderId="21" xfId="0" applyBorder="1" applyProtection="1">
      <protection hidden="1"/>
    </xf>
    <xf numFmtId="177" fontId="29" fillId="0" borderId="17" xfId="0" applyNumberFormat="1" applyFont="1" applyFill="1" applyBorder="1" applyAlignment="1" applyProtection="1">
      <alignment horizontal="center" vertical="center"/>
      <protection hidden="1"/>
    </xf>
    <xf numFmtId="178" fontId="29" fillId="0" borderId="17" xfId="0" applyNumberFormat="1" applyFont="1" applyFill="1" applyBorder="1" applyAlignment="1" applyProtection="1">
      <alignment horizontal="center" vertical="center"/>
      <protection hidden="1"/>
    </xf>
    <xf numFmtId="179" fontId="0" fillId="0" borderId="17" xfId="0" applyNumberFormat="1" applyBorder="1" applyAlignment="1" applyProtection="1">
      <alignment horizontal="center" vertical="center"/>
      <protection hidden="1"/>
    </xf>
    <xf numFmtId="175" fontId="0" fillId="0" borderId="17" xfId="0" applyNumberFormat="1" applyBorder="1" applyAlignment="1" applyProtection="1">
      <alignment horizontal="center" vertical="center"/>
      <protection hidden="1"/>
    </xf>
    <xf numFmtId="167" fontId="0" fillId="0" borderId="21" xfId="0" applyNumberFormat="1" applyBorder="1" applyAlignment="1" applyProtection="1">
      <alignment horizontal="center" vertical="center"/>
      <protection hidden="1"/>
    </xf>
    <xf numFmtId="174" fontId="0" fillId="0" borderId="0" xfId="0" applyNumberFormat="1" applyBorder="1" applyAlignment="1" applyProtection="1">
      <alignment horizontal="center" vertical="center"/>
      <protection hidden="1"/>
    </xf>
    <xf numFmtId="0" fontId="50" fillId="0" borderId="17" xfId="0" applyFont="1" applyBorder="1" applyAlignment="1" applyProtection="1">
      <alignment horizontal="center" vertical="center"/>
      <protection hidden="1"/>
    </xf>
    <xf numFmtId="177" fontId="29" fillId="0" borderId="3" xfId="0" applyNumberFormat="1" applyFont="1" applyFill="1" applyBorder="1" applyAlignment="1" applyProtection="1">
      <alignment horizontal="center" vertical="center"/>
      <protection locked="0"/>
    </xf>
    <xf numFmtId="164" fontId="29" fillId="0" borderId="3" xfId="0" applyNumberFormat="1" applyFont="1" applyFill="1" applyBorder="1" applyAlignment="1" applyProtection="1">
      <alignment horizontal="center" vertical="center"/>
      <protection locked="0"/>
    </xf>
    <xf numFmtId="178" fontId="29" fillId="0" borderId="3" xfId="0" applyNumberFormat="1" applyFont="1" applyFill="1" applyBorder="1" applyAlignment="1" applyProtection="1">
      <alignment horizontal="center" vertical="center"/>
      <protection locked="0"/>
    </xf>
    <xf numFmtId="169" fontId="0" fillId="0" borderId="3" xfId="0" applyNumberFormat="1" applyBorder="1" applyAlignment="1" applyProtection="1">
      <alignment horizontal="center" vertical="center"/>
      <protection locked="0"/>
    </xf>
    <xf numFmtId="175" fontId="0" fillId="0" borderId="3" xfId="0" applyNumberForma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168" fontId="0" fillId="0" borderId="0" xfId="0" applyNumberFormat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wrapText="1"/>
      <protection hidden="1"/>
    </xf>
    <xf numFmtId="169" fontId="0" fillId="0" borderId="17" xfId="0" applyNumberFormat="1" applyBorder="1" applyAlignment="1" applyProtection="1">
      <alignment horizontal="center" vertical="center"/>
      <protection hidden="1"/>
    </xf>
    <xf numFmtId="171" fontId="0" fillId="0" borderId="17" xfId="0" applyNumberFormat="1" applyBorder="1" applyAlignment="1" applyProtection="1">
      <alignment horizontal="center" vertical="center"/>
      <protection hidden="1"/>
    </xf>
    <xf numFmtId="175" fontId="0" fillId="0" borderId="17" xfId="0" applyNumberFormat="1" applyFill="1" applyBorder="1" applyAlignment="1" applyProtection="1">
      <alignment horizontal="center" vertical="center"/>
      <protection hidden="1"/>
    </xf>
    <xf numFmtId="174" fontId="0" fillId="0" borderId="17" xfId="0" applyNumberFormat="1" applyBorder="1" applyAlignment="1" applyProtection="1">
      <alignment horizontal="center" vertical="center"/>
      <protection hidden="1"/>
    </xf>
    <xf numFmtId="176" fontId="0" fillId="0" borderId="17" xfId="0" applyNumberFormat="1" applyBorder="1" applyAlignment="1" applyProtection="1">
      <alignment horizontal="center" vertical="center"/>
      <protection hidden="1"/>
    </xf>
    <xf numFmtId="167" fontId="0" fillId="0" borderId="17" xfId="0" applyNumberFormat="1" applyBorder="1" applyAlignment="1" applyProtection="1">
      <alignment horizontal="center" vertical="center"/>
      <protection hidden="1"/>
    </xf>
    <xf numFmtId="169" fontId="53" fillId="0" borderId="17" xfId="0" applyNumberFormat="1" applyFont="1" applyBorder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horizontal="center" vertical="center"/>
      <protection hidden="1"/>
    </xf>
    <xf numFmtId="169" fontId="53" fillId="0" borderId="0" xfId="0" applyNumberFormat="1" applyFont="1" applyBorder="1" applyAlignment="1" applyProtection="1">
      <alignment horizontal="center" vertical="center"/>
      <protection hidden="1"/>
    </xf>
    <xf numFmtId="169" fontId="0" fillId="0" borderId="12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2" fillId="0" borderId="0" xfId="0" applyFont="1"/>
    <xf numFmtId="0" fontId="39" fillId="0" borderId="0" xfId="0" applyFont="1"/>
    <xf numFmtId="0" fontId="58" fillId="0" borderId="0" xfId="0" applyFont="1"/>
    <xf numFmtId="0" fontId="27" fillId="0" borderId="0" xfId="0" applyFont="1" applyAlignme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/>
    <xf numFmtId="2" fontId="0" fillId="0" borderId="17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17" xfId="0" applyBorder="1"/>
    <xf numFmtId="0" fontId="59" fillId="0" borderId="0" xfId="0" applyFont="1" applyBorder="1" applyAlignment="1" applyProtection="1">
      <alignment horizontal="center" vertical="center"/>
      <protection hidden="1"/>
    </xf>
    <xf numFmtId="183" fontId="0" fillId="0" borderId="17" xfId="0" applyNumberFormat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1" fillId="0" borderId="22" xfId="0" applyFont="1" applyBorder="1" applyAlignment="1"/>
    <xf numFmtId="0" fontId="1" fillId="0" borderId="0" xfId="0" applyFont="1" applyBorder="1" applyAlignment="1"/>
    <xf numFmtId="186" fontId="0" fillId="0" borderId="17" xfId="0" applyNumberFormat="1" applyBorder="1" applyAlignment="1" applyProtection="1">
      <alignment horizontal="center" vertical="center"/>
      <protection hidden="1"/>
    </xf>
    <xf numFmtId="185" fontId="0" fillId="0" borderId="0" xfId="0" applyNumberFormat="1" applyBorder="1"/>
    <xf numFmtId="0" fontId="0" fillId="0" borderId="23" xfId="0" applyFill="1" applyBorder="1" applyAlignment="1">
      <alignment horizontal="center" vertical="center"/>
    </xf>
    <xf numFmtId="0" fontId="59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9" fillId="0" borderId="0" xfId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wrapText="1"/>
      <protection hidden="1"/>
    </xf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1" fillId="0" borderId="7" xfId="0" applyFont="1" applyBorder="1" applyAlignment="1" applyProtection="1">
      <alignment horizontal="center" wrapText="1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19" fillId="0" borderId="0" xfId="1" applyAlignment="1" applyProtection="1">
      <alignment horizontal="center"/>
      <protection hidden="1"/>
    </xf>
    <xf numFmtId="0" fontId="55" fillId="5" borderId="0" xfId="0" applyFont="1" applyFill="1" applyAlignment="1" applyProtection="1">
      <alignment horizontal="center" vertical="center"/>
      <protection hidden="1"/>
    </xf>
    <xf numFmtId="14" fontId="55" fillId="5" borderId="0" xfId="0" applyNumberFormat="1" applyFont="1" applyFill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>
      <alignment horizontal="center"/>
    </xf>
    <xf numFmtId="0" fontId="44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2" fontId="0" fillId="0" borderId="17" xfId="0" applyNumberForma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37" fillId="0" borderId="17" xfId="0" applyFont="1" applyBorder="1" applyAlignment="1" applyProtection="1">
      <alignment horizontal="center" vertical="center" wrapText="1"/>
      <protection hidden="1"/>
    </xf>
    <xf numFmtId="2" fontId="0" fillId="0" borderId="25" xfId="0" applyNumberFormat="1" applyBorder="1" applyAlignment="1" applyProtection="1">
      <alignment horizontal="center" vertical="center"/>
      <protection hidden="1"/>
    </xf>
    <xf numFmtId="2" fontId="0" fillId="0" borderId="24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/>
      <protection hidden="1"/>
    </xf>
    <xf numFmtId="183" fontId="0" fillId="0" borderId="17" xfId="0" applyNumberFormat="1" applyBorder="1" applyAlignment="1" applyProtection="1">
      <alignment horizontal="center" vertical="center"/>
      <protection hidden="1"/>
    </xf>
    <xf numFmtId="171" fontId="0" fillId="0" borderId="17" xfId="0" applyNumberForma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35" fillId="0" borderId="9" xfId="0" applyFont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 horizontal="center"/>
      <protection hidden="1"/>
    </xf>
  </cellXfs>
  <cellStyles count="2">
    <cellStyle name="Collegamento ipertestuale" xfId="1" builtinId="8"/>
    <cellStyle name="Normale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revisionHeaders" Target="revisions/revisionHeader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Spettro di risposta elastico in</a:t>
            </a:r>
            <a:r>
              <a:rPr lang="it-IT" baseline="0"/>
              <a:t> accelerazione delle componenti orizzontali 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217259206235585"/>
          <c:y val="0.18076033464566929"/>
          <c:w val="0.81818407752141753"/>
          <c:h val="0.71461142552493451"/>
        </c:manualLayout>
      </c:layout>
      <c:scatterChart>
        <c:scatterStyle val="smoothMarker"/>
        <c:varyColors val="0"/>
        <c:ser>
          <c:idx val="0"/>
          <c:order val="0"/>
          <c:tx>
            <c:v>SPETTRO ELASTICO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'SPETTRO DI PROGETTO ORIZZONTALE'!$B$5:$B$505</c:f>
              <c:numCache>
                <c:formatCode>0.00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</c:numCache>
            </c:numRef>
          </c:xVal>
          <c:yVal>
            <c:numRef>
              <c:f>'SPETTRO DI PROGETTO ORIZZONTALE'!$C$5:$C$505</c:f>
              <c:numCache>
                <c:formatCode>0.000</c:formatCode>
                <c:ptCount val="501"/>
                <c:pt idx="0">
                  <c:v>0.23521687169597222</c:v>
                </c:pt>
                <c:pt idx="1">
                  <c:v>0.25624927539002096</c:v>
                </c:pt>
                <c:pt idx="2">
                  <c:v>0.27728167908406981</c:v>
                </c:pt>
                <c:pt idx="3">
                  <c:v>0.29831408277811855</c:v>
                </c:pt>
                <c:pt idx="4">
                  <c:v>0.31934648647216735</c:v>
                </c:pt>
                <c:pt idx="5">
                  <c:v>0.34037889016621609</c:v>
                </c:pt>
                <c:pt idx="6">
                  <c:v>0.36141129386026488</c:v>
                </c:pt>
                <c:pt idx="7">
                  <c:v>0.38244369755431362</c:v>
                </c:pt>
                <c:pt idx="8">
                  <c:v>0.40347610124836242</c:v>
                </c:pt>
                <c:pt idx="9">
                  <c:v>0.42450850494241121</c:v>
                </c:pt>
                <c:pt idx="10">
                  <c:v>0.44554090863645995</c:v>
                </c:pt>
                <c:pt idx="11">
                  <c:v>0.46657331233050869</c:v>
                </c:pt>
                <c:pt idx="12">
                  <c:v>0.48760571602455749</c:v>
                </c:pt>
                <c:pt idx="13">
                  <c:v>0.50863811971860629</c:v>
                </c:pt>
                <c:pt idx="14">
                  <c:v>0.52967052341265497</c:v>
                </c:pt>
                <c:pt idx="15">
                  <c:v>0.55070292710670377</c:v>
                </c:pt>
                <c:pt idx="16">
                  <c:v>0.56452049207033328</c:v>
                </c:pt>
                <c:pt idx="17">
                  <c:v>0.56452049207033328</c:v>
                </c:pt>
                <c:pt idx="18">
                  <c:v>0.56452049207033328</c:v>
                </c:pt>
                <c:pt idx="19">
                  <c:v>0.56452049207033328</c:v>
                </c:pt>
                <c:pt idx="20">
                  <c:v>0.56452049207033328</c:v>
                </c:pt>
                <c:pt idx="21">
                  <c:v>0.56452049207033328</c:v>
                </c:pt>
                <c:pt idx="22">
                  <c:v>0.56452049207033328</c:v>
                </c:pt>
                <c:pt idx="23">
                  <c:v>0.56452049207033328</c:v>
                </c:pt>
                <c:pt idx="24">
                  <c:v>0.56452049207033328</c:v>
                </c:pt>
                <c:pt idx="25">
                  <c:v>0.56452049207033328</c:v>
                </c:pt>
                <c:pt idx="26">
                  <c:v>0.56452049207033328</c:v>
                </c:pt>
                <c:pt idx="27">
                  <c:v>0.56452049207033328</c:v>
                </c:pt>
                <c:pt idx="28">
                  <c:v>0.56452049207033328</c:v>
                </c:pt>
                <c:pt idx="29">
                  <c:v>0.56452049207033328</c:v>
                </c:pt>
                <c:pt idx="30">
                  <c:v>0.56452049207033328</c:v>
                </c:pt>
                <c:pt idx="31">
                  <c:v>0.56452049207033328</c:v>
                </c:pt>
                <c:pt idx="32">
                  <c:v>0.56452049207033328</c:v>
                </c:pt>
                <c:pt idx="33">
                  <c:v>0.56452049207033328</c:v>
                </c:pt>
                <c:pt idx="34">
                  <c:v>0.56452049207033328</c:v>
                </c:pt>
                <c:pt idx="35">
                  <c:v>0.56452049207033328</c:v>
                </c:pt>
                <c:pt idx="36">
                  <c:v>0.56452049207033328</c:v>
                </c:pt>
                <c:pt idx="37">
                  <c:v>0.56452049207033328</c:v>
                </c:pt>
                <c:pt idx="38">
                  <c:v>0.56452049207033328</c:v>
                </c:pt>
                <c:pt idx="39">
                  <c:v>0.56452049207033328</c:v>
                </c:pt>
                <c:pt idx="40">
                  <c:v>0.56452049207033328</c:v>
                </c:pt>
                <c:pt idx="41">
                  <c:v>0.56452049207033328</c:v>
                </c:pt>
                <c:pt idx="42">
                  <c:v>0.56452049207033328</c:v>
                </c:pt>
                <c:pt idx="43">
                  <c:v>0.56452049207033328</c:v>
                </c:pt>
                <c:pt idx="44">
                  <c:v>0.56452049207033328</c:v>
                </c:pt>
                <c:pt idx="45">
                  <c:v>0.56452049207033328</c:v>
                </c:pt>
                <c:pt idx="46">
                  <c:v>0.56452049207033328</c:v>
                </c:pt>
                <c:pt idx="47">
                  <c:v>0.56417093009013808</c:v>
                </c:pt>
                <c:pt idx="48">
                  <c:v>0.55241736904659355</c:v>
                </c:pt>
                <c:pt idx="49">
                  <c:v>0.54114354518849983</c:v>
                </c:pt>
                <c:pt idx="50">
                  <c:v>0.53032067428472984</c:v>
                </c:pt>
                <c:pt idx="51">
                  <c:v>0.51992222969091162</c:v>
                </c:pt>
                <c:pt idx="52">
                  <c:v>0.50992372527377872</c:v>
                </c:pt>
                <c:pt idx="53">
                  <c:v>0.50030252291012256</c:v>
                </c:pt>
                <c:pt idx="54">
                  <c:v>0.4910376613747498</c:v>
                </c:pt>
                <c:pt idx="55">
                  <c:v>0.48210970389520891</c:v>
                </c:pt>
                <c:pt idx="56">
                  <c:v>0.47350060203993738</c:v>
                </c:pt>
                <c:pt idx="57">
                  <c:v>0.46519357393397348</c:v>
                </c:pt>
                <c:pt idx="58">
                  <c:v>0.45717299507304299</c:v>
                </c:pt>
                <c:pt idx="59">
                  <c:v>0.44942430024129643</c:v>
                </c:pt>
                <c:pt idx="60">
                  <c:v>0.44193389523727483</c:v>
                </c:pt>
                <c:pt idx="61">
                  <c:v>0.43468907728256534</c:v>
                </c:pt>
                <c:pt idx="62">
                  <c:v>0.42767796313284656</c:v>
                </c:pt>
                <c:pt idx="63">
                  <c:v>0.42088942403549989</c:v>
                </c:pt>
                <c:pt idx="64">
                  <c:v>0.41431302678494514</c:v>
                </c:pt>
                <c:pt idx="65">
                  <c:v>0.40793898021902292</c:v>
                </c:pt>
                <c:pt idx="66">
                  <c:v>0.40175808657934076</c:v>
                </c:pt>
                <c:pt idx="67">
                  <c:v>0.39576169722741023</c:v>
                </c:pt>
                <c:pt idx="68">
                  <c:v>0.3899416722681836</c:v>
                </c:pt>
                <c:pt idx="69">
                  <c:v>0.38429034368458675</c:v>
                </c:pt>
                <c:pt idx="70">
                  <c:v>0.37880048163194979</c:v>
                </c:pt>
                <c:pt idx="71">
                  <c:v>0.37346526358079557</c:v>
                </c:pt>
                <c:pt idx="72">
                  <c:v>0.36827824603106235</c:v>
                </c:pt>
                <c:pt idx="73">
                  <c:v>0.36323333855118478</c:v>
                </c:pt>
                <c:pt idx="74">
                  <c:v>0.3583247799221147</c:v>
                </c:pt>
                <c:pt idx="75">
                  <c:v>0.35354711618981988</c:v>
                </c:pt>
                <c:pt idx="76">
                  <c:v>0.34889518045048007</c:v>
                </c:pt>
                <c:pt idx="77">
                  <c:v>0.34436407421086351</c:v>
                </c:pt>
                <c:pt idx="78">
                  <c:v>0.33994915018251909</c:v>
                </c:pt>
                <c:pt idx="79">
                  <c:v>0.33564599638274034</c:v>
                </c:pt>
                <c:pt idx="80">
                  <c:v>0.33145042142795605</c:v>
                </c:pt>
                <c:pt idx="81">
                  <c:v>0.32735844091649985</c:v>
                </c:pt>
                <c:pt idx="82">
                  <c:v>0.32336626480776204</c:v>
                </c:pt>
                <c:pt idx="83">
                  <c:v>0.31947028571369263</c:v>
                </c:pt>
                <c:pt idx="84">
                  <c:v>0.31566706802662486</c:v>
                </c:pt>
                <c:pt idx="85">
                  <c:v>0.31195333781454693</c:v>
                </c:pt>
                <c:pt idx="86">
                  <c:v>0.30832597342135448</c:v>
                </c:pt>
                <c:pt idx="87">
                  <c:v>0.30478199671536188</c:v>
                </c:pt>
                <c:pt idx="88">
                  <c:v>0.30131856493450554</c:v>
                </c:pt>
                <c:pt idx="89">
                  <c:v>0.29793296308130884</c:v>
                </c:pt>
                <c:pt idx="90">
                  <c:v>0.29462259682484981</c:v>
                </c:pt>
                <c:pt idx="91">
                  <c:v>0.29138498587073064</c:v>
                </c:pt>
                <c:pt idx="92">
                  <c:v>0.28821775776344011</c:v>
                </c:pt>
                <c:pt idx="93">
                  <c:v>0.28511864208856436</c:v>
                </c:pt>
                <c:pt idx="94">
                  <c:v>0.28208546504506904</c:v>
                </c:pt>
                <c:pt idx="95">
                  <c:v>0.27911614436038407</c:v>
                </c:pt>
                <c:pt idx="96">
                  <c:v>0.27620868452329672</c:v>
                </c:pt>
                <c:pt idx="97">
                  <c:v>0.27336117231171636</c:v>
                </c:pt>
                <c:pt idx="98">
                  <c:v>0.27057177259424986</c:v>
                </c:pt>
                <c:pt idx="99">
                  <c:v>0.26783872438622713</c:v>
                </c:pt>
                <c:pt idx="100">
                  <c:v>0.26516033714236487</c:v>
                </c:pt>
                <c:pt idx="101">
                  <c:v>0.26253498726966817</c:v>
                </c:pt>
                <c:pt idx="102">
                  <c:v>0.25996111484545575</c:v>
                </c:pt>
                <c:pt idx="103">
                  <c:v>0.25743722052656781</c:v>
                </c:pt>
                <c:pt idx="104">
                  <c:v>0.25496186263688925</c:v>
                </c:pt>
                <c:pt idx="105">
                  <c:v>0.25253365442129988</c:v>
                </c:pt>
                <c:pt idx="106">
                  <c:v>0.25015126145506117</c:v>
                </c:pt>
                <c:pt idx="107">
                  <c:v>0.24781339919847184</c:v>
                </c:pt>
                <c:pt idx="108">
                  <c:v>0.2455188306873749</c:v>
                </c:pt>
                <c:pt idx="109">
                  <c:v>0.24326636435079343</c:v>
                </c:pt>
                <c:pt idx="110">
                  <c:v>0.2410548519476044</c:v>
                </c:pt>
                <c:pt idx="111">
                  <c:v>0.23888318661474309</c:v>
                </c:pt>
                <c:pt idx="112">
                  <c:v>0.23675030101996861</c:v>
                </c:pt>
                <c:pt idx="113">
                  <c:v>0.23465516561271227</c:v>
                </c:pt>
                <c:pt idx="114">
                  <c:v>0.23259678696698674</c:v>
                </c:pt>
                <c:pt idx="115">
                  <c:v>0.23057420621075203</c:v>
                </c:pt>
                <c:pt idx="116">
                  <c:v>0.22858649753652138</c:v>
                </c:pt>
                <c:pt idx="117">
                  <c:v>0.22663276678834604</c:v>
                </c:pt>
                <c:pt idx="118">
                  <c:v>0.22471215012064816</c:v>
                </c:pt>
                <c:pt idx="119">
                  <c:v>0.22282381272467633</c:v>
                </c:pt>
                <c:pt idx="120">
                  <c:v>0.22096694761863739</c:v>
                </c:pt>
                <c:pt idx="121">
                  <c:v>0.21914077449782218</c:v>
                </c:pt>
                <c:pt idx="122">
                  <c:v>0.21734453864128267</c:v>
                </c:pt>
                <c:pt idx="123">
                  <c:v>0.21557750987184132</c:v>
                </c:pt>
                <c:pt idx="124">
                  <c:v>0.21383898156642328</c:v>
                </c:pt>
                <c:pt idx="125">
                  <c:v>0.2121282697138919</c:v>
                </c:pt>
                <c:pt idx="126">
                  <c:v>0.21044471201774984</c:v>
                </c:pt>
                <c:pt idx="127">
                  <c:v>0.20878766704123217</c:v>
                </c:pt>
                <c:pt idx="128">
                  <c:v>0.20715651339247254</c:v>
                </c:pt>
                <c:pt idx="129">
                  <c:v>0.20555064894756964</c:v>
                </c:pt>
                <c:pt idx="130">
                  <c:v>0.20396949010951143</c:v>
                </c:pt>
                <c:pt idx="131">
                  <c:v>0.20241247110104188</c:v>
                </c:pt>
                <c:pt idx="132">
                  <c:v>0.20087904328967035</c:v>
                </c:pt>
                <c:pt idx="133">
                  <c:v>0.19936867454313145</c:v>
                </c:pt>
                <c:pt idx="134">
                  <c:v>0.19788084861370511</c:v>
                </c:pt>
                <c:pt idx="135">
                  <c:v>0.1964150645498999</c:v>
                </c:pt>
                <c:pt idx="136">
                  <c:v>0.1949708361340918</c:v>
                </c:pt>
                <c:pt idx="137">
                  <c:v>0.19354769134479186</c:v>
                </c:pt>
                <c:pt idx="138">
                  <c:v>0.19214517184229335</c:v>
                </c:pt>
                <c:pt idx="139">
                  <c:v>0.19076283247652148</c:v>
                </c:pt>
                <c:pt idx="140">
                  <c:v>0.1894002408159749</c:v>
                </c:pt>
                <c:pt idx="141">
                  <c:v>0.18805697669671265</c:v>
                </c:pt>
                <c:pt idx="142">
                  <c:v>0.18673263179039779</c:v>
                </c:pt>
                <c:pt idx="143">
                  <c:v>0.18542680919046492</c:v>
                </c:pt>
                <c:pt idx="144">
                  <c:v>0.18413912301553115</c:v>
                </c:pt>
                <c:pt idx="145">
                  <c:v>0.18286919802921714</c:v>
                </c:pt>
                <c:pt idx="146">
                  <c:v>0.18161666927559236</c:v>
                </c:pt>
                <c:pt idx="147">
                  <c:v>0.18038118172949988</c:v>
                </c:pt>
                <c:pt idx="148">
                  <c:v>0.17916238996105732</c:v>
                </c:pt>
                <c:pt idx="149">
                  <c:v>0.17795995781366766</c:v>
                </c:pt>
                <c:pt idx="150">
                  <c:v>0.17677355809490988</c:v>
                </c:pt>
                <c:pt idx="151">
                  <c:v>0.1756028722797118</c:v>
                </c:pt>
                <c:pt idx="152">
                  <c:v>0.17444759022524003</c:v>
                </c:pt>
                <c:pt idx="153">
                  <c:v>0.17330740989697049</c:v>
                </c:pt>
                <c:pt idx="154">
                  <c:v>0.1721820371054317</c:v>
                </c:pt>
                <c:pt idx="155">
                  <c:v>0.17107118525313861</c:v>
                </c:pt>
                <c:pt idx="156">
                  <c:v>0.16997457509125952</c:v>
                </c:pt>
                <c:pt idx="157">
                  <c:v>0.16889193448558268</c:v>
                </c:pt>
                <c:pt idx="158">
                  <c:v>0.16782299819137014</c:v>
                </c:pt>
                <c:pt idx="159">
                  <c:v>0.16676750763670745</c:v>
                </c:pt>
                <c:pt idx="160">
                  <c:v>0.16572521071397803</c:v>
                </c:pt>
                <c:pt idx="161">
                  <c:v>0.16469586157910859</c:v>
                </c:pt>
                <c:pt idx="162">
                  <c:v>0.16367922045824992</c:v>
                </c:pt>
                <c:pt idx="163">
                  <c:v>0.16267505346157352</c:v>
                </c:pt>
                <c:pt idx="164">
                  <c:v>0.16168313240388099</c:v>
                </c:pt>
                <c:pt idx="165">
                  <c:v>0.16070323463173625</c:v>
                </c:pt>
                <c:pt idx="166">
                  <c:v>0.15973514285684631</c:v>
                </c:pt>
                <c:pt idx="167">
                  <c:v>0.15877864499542804</c:v>
                </c:pt>
                <c:pt idx="168">
                  <c:v>0.1578335340133124</c:v>
                </c:pt>
                <c:pt idx="169">
                  <c:v>0.15689960777654724</c:v>
                </c:pt>
                <c:pt idx="170">
                  <c:v>0.15597666890727344</c:v>
                </c:pt>
                <c:pt idx="171">
                  <c:v>0.15506452464465781</c:v>
                </c:pt>
                <c:pt idx="172">
                  <c:v>0.15416298671067724</c:v>
                </c:pt>
                <c:pt idx="173">
                  <c:v>0.15327187118055768</c:v>
                </c:pt>
                <c:pt idx="174">
                  <c:v>0.15239099835768094</c:v>
                </c:pt>
                <c:pt idx="175">
                  <c:v>0.15152019265277988</c:v>
                </c:pt>
                <c:pt idx="176">
                  <c:v>0.15065928246725274</c:v>
                </c:pt>
                <c:pt idx="177">
                  <c:v>0.14980810008043211</c:v>
                </c:pt>
                <c:pt idx="178">
                  <c:v>0.14896648154065439</c:v>
                </c:pt>
                <c:pt idx="179">
                  <c:v>0.14813426655998035</c:v>
                </c:pt>
                <c:pt idx="180">
                  <c:v>0.14731129841242491</c:v>
                </c:pt>
                <c:pt idx="181">
                  <c:v>0.14649742383556069</c:v>
                </c:pt>
                <c:pt idx="182">
                  <c:v>0.14569249293536532</c:v>
                </c:pt>
                <c:pt idx="183">
                  <c:v>0.14489635909418844</c:v>
                </c:pt>
                <c:pt idx="184">
                  <c:v>0.14410887888172</c:v>
                </c:pt>
                <c:pt idx="185">
                  <c:v>0.14332991196884584</c:v>
                </c:pt>
                <c:pt idx="186">
                  <c:v>0.14255932104428218</c:v>
                </c:pt>
                <c:pt idx="187">
                  <c:v>0.14179697173388495</c:v>
                </c:pt>
                <c:pt idx="188">
                  <c:v>0.14104273252253449</c:v>
                </c:pt>
                <c:pt idx="189">
                  <c:v>0.14029647467849993</c:v>
                </c:pt>
                <c:pt idx="190">
                  <c:v>0.13955807218019201</c:v>
                </c:pt>
                <c:pt idx="191">
                  <c:v>0.1388274016452172</c:v>
                </c:pt>
                <c:pt idx="192">
                  <c:v>0.13810434226164836</c:v>
                </c:pt>
                <c:pt idx="193">
                  <c:v>0.13738877572143254</c:v>
                </c:pt>
                <c:pt idx="194">
                  <c:v>0.13668058615585818</c:v>
                </c:pt>
                <c:pt idx="195">
                  <c:v>0.1359796600730076</c:v>
                </c:pt>
                <c:pt idx="196">
                  <c:v>0.13528588629712493</c:v>
                </c:pt>
                <c:pt idx="197">
                  <c:v>0.13459915590982988</c:v>
                </c:pt>
                <c:pt idx="198">
                  <c:v>0.13391936219311357</c:v>
                </c:pt>
                <c:pt idx="199">
                  <c:v>0.13324640057405268</c:v>
                </c:pt>
                <c:pt idx="200">
                  <c:v>0.13258016857118243</c:v>
                </c:pt>
                <c:pt idx="201">
                  <c:v>0.1319205657424701</c:v>
                </c:pt>
                <c:pt idx="202">
                  <c:v>0.13126749363483411</c:v>
                </c:pt>
                <c:pt idx="203">
                  <c:v>0.13062085573515514</c:v>
                </c:pt>
                <c:pt idx="204">
                  <c:v>0.12998055742272793</c:v>
                </c:pt>
                <c:pt idx="205">
                  <c:v>0.12934650592310487</c:v>
                </c:pt>
                <c:pt idx="206">
                  <c:v>0.12871861026328399</c:v>
                </c:pt>
                <c:pt idx="207">
                  <c:v>0.12809678122819568</c:v>
                </c:pt>
                <c:pt idx="208">
                  <c:v>0.12748093131844473</c:v>
                </c:pt>
                <c:pt idx="209">
                  <c:v>0.12687097470926562</c:v>
                </c:pt>
                <c:pt idx="210">
                  <c:v>0.12626682721065008</c:v>
                </c:pt>
                <c:pt idx="211">
                  <c:v>0.12566840622860909</c:v>
                </c:pt>
                <c:pt idx="212">
                  <c:v>0.12507563072753075</c:v>
                </c:pt>
                <c:pt idx="213">
                  <c:v>0.12448842119359869</c:v>
                </c:pt>
                <c:pt idx="214">
                  <c:v>0.12390669959923609</c:v>
                </c:pt>
                <c:pt idx="215">
                  <c:v>0.12333038936854199</c:v>
                </c:pt>
                <c:pt idx="216">
                  <c:v>0.12275941534368763</c:v>
                </c:pt>
                <c:pt idx="217">
                  <c:v>0.12219370375224209</c:v>
                </c:pt>
                <c:pt idx="218">
                  <c:v>0.12163318217539695</c:v>
                </c:pt>
                <c:pt idx="219">
                  <c:v>0.12107777951706181</c:v>
                </c:pt>
                <c:pt idx="220">
                  <c:v>0.12052742597380245</c:v>
                </c:pt>
                <c:pt idx="221">
                  <c:v>0.11998205300559521</c:v>
                </c:pt>
                <c:pt idx="222">
                  <c:v>0.11944159330737182</c:v>
                </c:pt>
                <c:pt idx="223">
                  <c:v>0.11890598078132981</c:v>
                </c:pt>
                <c:pt idx="224">
                  <c:v>0.11837515050998459</c:v>
                </c:pt>
                <c:pt idx="225">
                  <c:v>0.11733893909938727</c:v>
                </c:pt>
                <c:pt idx="226">
                  <c:v>0.11630283874826694</c:v>
                </c:pt>
                <c:pt idx="227">
                  <c:v>0.11528040117034064</c:v>
                </c:pt>
                <c:pt idx="228">
                  <c:v>0.11427138719426139</c:v>
                </c:pt>
                <c:pt idx="229">
                  <c:v>0.11327556285933686</c:v>
                </c:pt>
                <c:pt idx="230">
                  <c:v>0.11229269927989577</c:v>
                </c:pt>
                <c:pt idx="231">
                  <c:v>0.11132257251375514</c:v>
                </c:pt>
                <c:pt idx="232">
                  <c:v>0.11036496343464788</c:v>
                </c:pt>
                <c:pt idx="233">
                  <c:v>0.10941965760847482</c:v>
                </c:pt>
                <c:pt idx="234">
                  <c:v>0.10848644517325022</c:v>
                </c:pt>
                <c:pt idx="235">
                  <c:v>0.1075651207226164</c:v>
                </c:pt>
                <c:pt idx="236">
                  <c:v>0.10665548319280543</c:v>
                </c:pt>
                <c:pt idx="237">
                  <c:v>0.10575733575293297</c:v>
                </c:pt>
                <c:pt idx="238">
                  <c:v>0.10487048569851164</c:v>
                </c:pt>
                <c:pt idx="239">
                  <c:v>0.10399474434807679</c:v>
                </c:pt>
                <c:pt idx="240">
                  <c:v>0.10312992694282111</c:v>
                </c:pt>
                <c:pt idx="241">
                  <c:v>0.10227585254913821</c:v>
                </c:pt>
                <c:pt idx="242">
                  <c:v>0.10143234396397953</c:v>
                </c:pt>
                <c:pt idx="243">
                  <c:v>0.10059922762293178</c:v>
                </c:pt>
                <c:pt idx="244">
                  <c:v>9.9776333510926143E-2</c:v>
                </c:pt>
                <c:pt idx="245">
                  <c:v>9.8963495075493554E-2</c:v>
                </c:pt>
                <c:pt idx="246">
                  <c:v>9.8160549142482997E-2</c:v>
                </c:pt>
                <c:pt idx="247">
                  <c:v>9.7367335834163848E-2</c:v>
                </c:pt>
                <c:pt idx="248">
                  <c:v>9.6583698489634856E-2</c:v>
                </c:pt>
                <c:pt idx="249">
                  <c:v>9.5809483587466382E-2</c:v>
                </c:pt>
                <c:pt idx="250">
                  <c:v>9.5044540670504066E-2</c:v>
                </c:pt>
                <c:pt idx="251">
                  <c:v>9.4288722272765579E-2</c:v>
                </c:pt>
                <c:pt idx="252">
                  <c:v>9.3541883848363983E-2</c:v>
                </c:pt>
                <c:pt idx="253">
                  <c:v>9.2803883702393536E-2</c:v>
                </c:pt>
                <c:pt idx="254">
                  <c:v>9.2074582923716702E-2</c:v>
                </c:pt>
                <c:pt idx="255">
                  <c:v>9.1353845319592605E-2</c:v>
                </c:pt>
                <c:pt idx="256">
                  <c:v>9.064153735208906E-2</c:v>
                </c:pt>
                <c:pt idx="257">
                  <c:v>8.9937528076223849E-2</c:v>
                </c:pt>
                <c:pt idx="258">
                  <c:v>8.9241689079780542E-2</c:v>
                </c:pt>
                <c:pt idx="259">
                  <c:v>8.855389442474787E-2</c:v>
                </c:pt>
                <c:pt idx="260">
                  <c:v>8.7874020590333016E-2</c:v>
                </c:pt>
                <c:pt idx="261">
                  <c:v>8.720194641749994E-2</c:v>
                </c:pt>
                <c:pt idx="262">
                  <c:v>8.653755305498681E-2</c:v>
                </c:pt>
                <c:pt idx="263">
                  <c:v>8.5880723906757578E-2</c:v>
                </c:pt>
                <c:pt idx="264">
                  <c:v>8.5231344580844179E-2</c:v>
                </c:pt>
                <c:pt idx="265">
                  <c:v>8.4589302839537445E-2</c:v>
                </c:pt>
                <c:pt idx="266">
                  <c:v>8.3954488550886386E-2</c:v>
                </c:pt>
                <c:pt idx="267">
                  <c:v>8.3326793641466668E-2</c:v>
                </c:pt>
                <c:pt idx="268">
                  <c:v>8.2706112050380351E-2</c:v>
                </c:pt>
                <c:pt idx="269">
                  <c:v>8.2092339684450455E-2</c:v>
                </c:pt>
                <c:pt idx="270">
                  <c:v>8.1485374374575037E-2</c:v>
                </c:pt>
                <c:pt idx="271">
                  <c:v>8.0885115833206511E-2</c:v>
                </c:pt>
                <c:pt idx="272">
                  <c:v>8.0291465612923343E-2</c:v>
                </c:pt>
                <c:pt idx="273">
                  <c:v>7.9704327066061828E-2</c:v>
                </c:pt>
                <c:pt idx="274">
                  <c:v>7.9123605305377515E-2</c:v>
                </c:pt>
                <c:pt idx="275">
                  <c:v>7.8549207165706084E-2</c:v>
                </c:pt>
                <c:pt idx="276">
                  <c:v>7.7981041166594781E-2</c:v>
                </c:pt>
                <c:pt idx="277">
                  <c:v>7.7419017475876456E-2</c:v>
                </c:pt>
                <c:pt idx="278">
                  <c:v>7.6863047874159277E-2</c:v>
                </c:pt>
                <c:pt idx="279">
                  <c:v>7.6313045720205627E-2</c:v>
                </c:pt>
                <c:pt idx="280">
                  <c:v>7.5768925917175087E-2</c:v>
                </c:pt>
                <c:pt idx="281">
                  <c:v>7.5230604879706772E-2</c:v>
                </c:pt>
                <c:pt idx="282">
                  <c:v>7.4698000501817408E-2</c:v>
                </c:pt>
                <c:pt idx="283">
                  <c:v>7.4171032125591868E-2</c:v>
                </c:pt>
                <c:pt idx="284">
                  <c:v>7.3649620510644331E-2</c:v>
                </c:pt>
                <c:pt idx="285">
                  <c:v>7.3133687804327857E-2</c:v>
                </c:pt>
                <c:pt idx="286">
                  <c:v>7.2623157512672135E-2</c:v>
                </c:pt>
                <c:pt idx="287">
                  <c:v>7.2117954472028692E-2</c:v>
                </c:pt>
                <c:pt idx="288">
                  <c:v>7.1618004821403985E-2</c:v>
                </c:pt>
                <c:pt idx="289">
                  <c:v>7.1123235975461635E-2</c:v>
                </c:pt>
                <c:pt idx="290">
                  <c:v>7.063357659817518E-2</c:v>
                </c:pt>
                <c:pt idx="291">
                  <c:v>7.0148956577113328E-2</c:v>
                </c:pt>
                <c:pt idx="292">
                  <c:v>6.9669306998340841E-2</c:v>
                </c:pt>
                <c:pt idx="293">
                  <c:v>6.9194560121917964E-2</c:v>
                </c:pt>
                <c:pt idx="294">
                  <c:v>6.8724649357982046E-2</c:v>
                </c:pt>
                <c:pt idx="295">
                  <c:v>6.8259509243395994E-2</c:v>
                </c:pt>
                <c:pt idx="296">
                  <c:v>6.7799075418947877E-2</c:v>
                </c:pt>
                <c:pt idx="297">
                  <c:v>6.7343284607087009E-2</c:v>
                </c:pt>
                <c:pt idx="298">
                  <c:v>6.6892074590182177E-2</c:v>
                </c:pt>
                <c:pt idx="299">
                  <c:v>6.6445384189288026E-2</c:v>
                </c:pt>
                <c:pt idx="300">
                  <c:v>6.6003153243405999E-2</c:v>
                </c:pt>
                <c:pt idx="301">
                  <c:v>6.5565322589226829E-2</c:v>
                </c:pt>
                <c:pt idx="302">
                  <c:v>6.5131834041341832E-2</c:v>
                </c:pt>
                <c:pt idx="303">
                  <c:v>6.4702630372910505E-2</c:v>
                </c:pt>
                <c:pt idx="304">
                  <c:v>6.4277655296772651E-2</c:v>
                </c:pt>
                <c:pt idx="305">
                  <c:v>6.3856853446993184E-2</c:v>
                </c:pt>
                <c:pt idx="306">
                  <c:v>6.3440170360828552E-2</c:v>
                </c:pt>
                <c:pt idx="307">
                  <c:v>6.3027552461103489E-2</c:v>
                </c:pt>
                <c:pt idx="308">
                  <c:v>6.2618947038987849E-2</c:v>
                </c:pt>
                <c:pt idx="309">
                  <c:v>6.221430223716283E-2</c:v>
                </c:pt>
                <c:pt idx="310">
                  <c:v>6.1813567033366747E-2</c:v>
                </c:pt>
                <c:pt idx="311">
                  <c:v>6.14166912243106E-2</c:v>
                </c:pt>
                <c:pt idx="312">
                  <c:v>6.102362540995384E-2</c:v>
                </c:pt>
                <c:pt idx="313">
                  <c:v>6.0634320978131317E-2</c:v>
                </c:pt>
                <c:pt idx="314">
                  <c:v>6.0248730089522355E-2</c:v>
                </c:pt>
                <c:pt idx="315">
                  <c:v>5.9866805662953368E-2</c:v>
                </c:pt>
                <c:pt idx="316">
                  <c:v>5.9488501361025355E-2</c:v>
                </c:pt>
                <c:pt idx="317">
                  <c:v>5.9113771576058557E-2</c:v>
                </c:pt>
                <c:pt idx="318">
                  <c:v>5.8742571416345757E-2</c:v>
                </c:pt>
                <c:pt idx="319">
                  <c:v>5.8374856692706922E-2</c:v>
                </c:pt>
                <c:pt idx="320">
                  <c:v>5.80105839053374E-2</c:v>
                </c:pt>
                <c:pt idx="321">
                  <c:v>5.7649710230942536E-2</c:v>
                </c:pt>
                <c:pt idx="322">
                  <c:v>5.729219351015153E-2</c:v>
                </c:pt>
                <c:pt idx="323">
                  <c:v>5.6937992235203558E-2</c:v>
                </c:pt>
                <c:pt idx="324">
                  <c:v>5.6587065537899633E-2</c:v>
                </c:pt>
                <c:pt idx="325">
                  <c:v>5.6239373177813523E-2</c:v>
                </c:pt>
                <c:pt idx="326">
                  <c:v>5.5894875530755325E-2</c:v>
                </c:pt>
                <c:pt idx="327">
                  <c:v>5.5553533577481821E-2</c:v>
                </c:pt>
                <c:pt idx="328">
                  <c:v>5.5215308892647183E-2</c:v>
                </c:pt>
                <c:pt idx="329">
                  <c:v>5.4880163633988552E-2</c:v>
                </c:pt>
                <c:pt idx="330">
                  <c:v>5.4548060531740633E-2</c:v>
                </c:pt>
                <c:pt idx="331">
                  <c:v>5.4218962878273803E-2</c:v>
                </c:pt>
                <c:pt idx="332">
                  <c:v>5.3892834517950315E-2</c:v>
                </c:pt>
                <c:pt idx="333">
                  <c:v>5.3569639837193553E-2</c:v>
                </c:pt>
                <c:pt idx="334">
                  <c:v>5.3249343754764929E-2</c:v>
                </c:pt>
                <c:pt idx="335">
                  <c:v>5.2931911712243769E-2</c:v>
                </c:pt>
                <c:pt idx="336">
                  <c:v>5.2617309664705202E-2</c:v>
                </c:pt>
                <c:pt idx="337">
                  <c:v>5.230550407159134E-2</c:v>
                </c:pt>
                <c:pt idx="338">
                  <c:v>5.1996461887771427E-2</c:v>
                </c:pt>
                <c:pt idx="339">
                  <c:v>5.1690150554785971E-2</c:v>
                </c:pt>
                <c:pt idx="340">
                  <c:v>5.1386537992271282E-2</c:v>
                </c:pt>
                <c:pt idx="341">
                  <c:v>5.1085592589559435E-2</c:v>
                </c:pt>
                <c:pt idx="342">
                  <c:v>5.0787283197450163E-2</c:v>
                </c:pt>
                <c:pt idx="343">
                  <c:v>5.049157912015028E-2</c:v>
                </c:pt>
                <c:pt idx="344">
                  <c:v>5.0198450107376974E-2</c:v>
                </c:pt>
                <c:pt idx="345">
                  <c:v>4.9907866346620977E-2</c:v>
                </c:pt>
                <c:pt idx="346">
                  <c:v>4.9619798455566189E-2</c:v>
                </c:pt>
                <c:pt idx="347">
                  <c:v>4.9334217474661886E-2</c:v>
                </c:pt>
                <c:pt idx="348">
                  <c:v>4.905109485984413E-2</c:v>
                </c:pt>
                <c:pt idx="349">
                  <c:v>4.877040247540302E-2</c:v>
                </c:pt>
                <c:pt idx="350">
                  <c:v>4.8492112586992361E-2</c:v>
                </c:pt>
                <c:pt idx="351">
                  <c:v>4.8216197854778486E-2</c:v>
                </c:pt>
                <c:pt idx="352">
                  <c:v>4.794263132672525E-2</c:v>
                </c:pt>
                <c:pt idx="353">
                  <c:v>4.767138643201186E-2</c:v>
                </c:pt>
                <c:pt idx="354">
                  <c:v>4.7402436974580783E-2</c:v>
                </c:pt>
                <c:pt idx="355">
                  <c:v>4.7135757126812665E-2</c:v>
                </c:pt>
                <c:pt idx="356">
                  <c:v>4.6871321423325389E-2</c:v>
                </c:pt>
                <c:pt idx="357">
                  <c:v>4.6609104754894638E-2</c:v>
                </c:pt>
                <c:pt idx="358">
                  <c:v>4.6349082362493112E-2</c:v>
                </c:pt>
                <c:pt idx="359">
                  <c:v>4.6091229831445812E-2</c:v>
                </c:pt>
                <c:pt idx="360">
                  <c:v>4.5835523085698826E-2</c:v>
                </c:pt>
                <c:pt idx="361">
                  <c:v>4.5581938382199101E-2</c:v>
                </c:pt>
                <c:pt idx="362">
                  <c:v>4.5330452305382685E-2</c:v>
                </c:pt>
                <c:pt idx="363">
                  <c:v>4.5081041761769219E-2</c:v>
                </c:pt>
                <c:pt idx="364">
                  <c:v>4.4833683974660136E-2</c:v>
                </c:pt>
                <c:pt idx="365">
                  <c:v>4.4588356478938412E-2</c:v>
                </c:pt>
                <c:pt idx="366">
                  <c:v>4.4345037115967705E-2</c:v>
                </c:pt>
                <c:pt idx="367">
                  <c:v>4.4103704028588597E-2</c:v>
                </c:pt>
                <c:pt idx="368">
                  <c:v>4.386433565620991E-2</c:v>
                </c:pt>
                <c:pt idx="369">
                  <c:v>4.3626910729992967E-2</c:v>
                </c:pt>
                <c:pt idx="370">
                  <c:v>4.3391408268126895E-2</c:v>
                </c:pt>
                <c:pt idx="371">
                  <c:v>4.3157807571192974E-2</c:v>
                </c:pt>
                <c:pt idx="372">
                  <c:v>4.2926088217616003E-2</c:v>
                </c:pt>
                <c:pt idx="373">
                  <c:v>4.2696230059200986E-2</c:v>
                </c:pt>
                <c:pt idx="374">
                  <c:v>4.2468213216753224E-2</c:v>
                </c:pt>
                <c:pt idx="375">
                  <c:v>4.2242018075780083E-2</c:v>
                </c:pt>
                <c:pt idx="376">
                  <c:v>4.2017625282272625E-2</c:v>
                </c:pt>
                <c:pt idx="377">
                  <c:v>4.1795015738565484E-2</c:v>
                </c:pt>
                <c:pt idx="378">
                  <c:v>4.1574170599273354E-2</c:v>
                </c:pt>
                <c:pt idx="379">
                  <c:v>4.135507126730234E-2</c:v>
                </c:pt>
                <c:pt idx="380">
                  <c:v>4.1137699389934737E-2</c:v>
                </c:pt>
                <c:pt idx="381">
                  <c:v>4.0922036854985681E-2</c:v>
                </c:pt>
                <c:pt idx="382">
                  <c:v>4.0708065787030075E-2</c:v>
                </c:pt>
                <c:pt idx="383">
                  <c:v>4.0495768543698414E-2</c:v>
                </c:pt>
                <c:pt idx="384">
                  <c:v>4.0285127712040042E-2</c:v>
                </c:pt>
                <c:pt idx="385">
                  <c:v>4.0076126104952453E-2</c:v>
                </c:pt>
                <c:pt idx="386">
                  <c:v>3.9868746757675225E-2</c:v>
                </c:pt>
                <c:pt idx="387">
                  <c:v>3.9662972924347353E-2</c:v>
                </c:pt>
                <c:pt idx="388">
                  <c:v>3.9458788074626543E-2</c:v>
                </c:pt>
                <c:pt idx="389">
                  <c:v>3.9256175890369338E-2</c:v>
                </c:pt>
                <c:pt idx="390">
                  <c:v>3.9055120262370666E-2</c:v>
                </c:pt>
                <c:pt idx="391">
                  <c:v>3.8855605287161775E-2</c:v>
                </c:pt>
                <c:pt idx="392">
                  <c:v>3.8657615263865179E-2</c:v>
                </c:pt>
                <c:pt idx="393">
                  <c:v>3.8461134691105667E-2</c:v>
                </c:pt>
                <c:pt idx="394">
                  <c:v>3.8266148263976014E-2</c:v>
                </c:pt>
                <c:pt idx="395">
                  <c:v>3.807264087105644E-2</c:v>
                </c:pt>
                <c:pt idx="396">
                  <c:v>3.7880597591486716E-2</c:v>
                </c:pt>
                <c:pt idx="397">
                  <c:v>3.7690003692089802E-2</c:v>
                </c:pt>
                <c:pt idx="398">
                  <c:v>3.7500844624545983E-2</c:v>
                </c:pt>
                <c:pt idx="399">
                  <c:v>3.7313106022616581E-2</c:v>
                </c:pt>
                <c:pt idx="400">
                  <c:v>3.7126773699416145E-2</c:v>
                </c:pt>
                <c:pt idx="401">
                  <c:v>3.6941833644732192E-2</c:v>
                </c:pt>
                <c:pt idx="402">
                  <c:v>3.6758272022391666E-2</c:v>
                </c:pt>
                <c:pt idx="403">
                  <c:v>3.6576075167672868E-2</c:v>
                </c:pt>
                <c:pt idx="404">
                  <c:v>3.639522958476242E-2</c:v>
                </c:pt>
                <c:pt idx="405">
                  <c:v>3.6215721944255957E-2</c:v>
                </c:pt>
                <c:pt idx="406">
                  <c:v>3.6037539080701932E-2</c:v>
                </c:pt>
                <c:pt idx="407">
                  <c:v>3.5860667990187584E-2</c:v>
                </c:pt>
                <c:pt idx="408">
                  <c:v>3.5685095827966314E-2</c:v>
                </c:pt>
                <c:pt idx="409">
                  <c:v>3.5510809906125533E-2</c:v>
                </c:pt>
                <c:pt idx="410">
                  <c:v>3.5337797691294373E-2</c:v>
                </c:pt>
                <c:pt idx="411">
                  <c:v>3.5166046802390383E-2</c:v>
                </c:pt>
                <c:pt idx="412">
                  <c:v>3.4995545008404336E-2</c:v>
                </c:pt>
                <c:pt idx="413">
                  <c:v>3.4826280226222736E-2</c:v>
                </c:pt>
                <c:pt idx="414">
                  <c:v>3.4658240518486934E-2</c:v>
                </c:pt>
                <c:pt idx="415">
                  <c:v>3.4491414091488377E-2</c:v>
                </c:pt>
                <c:pt idx="416">
                  <c:v>3.4325789293099263E-2</c:v>
                </c:pt>
                <c:pt idx="417">
                  <c:v>3.4161354610737805E-2</c:v>
                </c:pt>
                <c:pt idx="418">
                  <c:v>3.3998098669367607E-2</c:v>
                </c:pt>
                <c:pt idx="419">
                  <c:v>3.3836010229530401E-2</c:v>
                </c:pt>
                <c:pt idx="420">
                  <c:v>3.3675078185411496E-2</c:v>
                </c:pt>
                <c:pt idx="421">
                  <c:v>3.3515291562937401E-2</c:v>
                </c:pt>
                <c:pt idx="422">
                  <c:v>3.3356639517904962E-2</c:v>
                </c:pt>
                <c:pt idx="423">
                  <c:v>3.3199111334141412E-2</c:v>
                </c:pt>
                <c:pt idx="424">
                  <c:v>3.304269642169471E-2</c:v>
                </c:pt>
                <c:pt idx="425">
                  <c:v>3.288738431505378E-2</c:v>
                </c:pt>
                <c:pt idx="426">
                  <c:v>3.2733164671397814E-2</c:v>
                </c:pt>
                <c:pt idx="427">
                  <c:v>3.2580027268874344E-2</c:v>
                </c:pt>
                <c:pt idx="428">
                  <c:v>3.2427962004905393E-2</c:v>
                </c:pt>
                <c:pt idx="429">
                  <c:v>3.2276958894521278E-2</c:v>
                </c:pt>
                <c:pt idx="430">
                  <c:v>3.2127008068721416E-2</c:v>
                </c:pt>
                <c:pt idx="431">
                  <c:v>3.1978099772861847E-2</c:v>
                </c:pt>
                <c:pt idx="432">
                  <c:v>3.183022436506875E-2</c:v>
                </c:pt>
                <c:pt idx="433">
                  <c:v>3.1683372314677612E-2</c:v>
                </c:pt>
                <c:pt idx="434">
                  <c:v>3.1537534200697569E-2</c:v>
                </c:pt>
                <c:pt idx="435">
                  <c:v>3.139270071030039E-2</c:v>
                </c:pt>
                <c:pt idx="436">
                  <c:v>3.124886263733373E-2</c:v>
                </c:pt>
                <c:pt idx="437">
                  <c:v>3.1106010880858112E-2</c:v>
                </c:pt>
                <c:pt idx="438">
                  <c:v>3.0964136443707352E-2</c:v>
                </c:pt>
                <c:pt idx="439">
                  <c:v>3.0823230431071824E-2</c:v>
                </c:pt>
                <c:pt idx="440">
                  <c:v>3.0683284049104302E-2</c:v>
                </c:pt>
                <c:pt idx="441">
                  <c:v>3.0544288603547871E-2</c:v>
                </c:pt>
                <c:pt idx="442">
                  <c:v>3.0406235498385541E-2</c:v>
                </c:pt>
                <c:pt idx="443">
                  <c:v>3.0269116234511229E-2</c:v>
                </c:pt>
                <c:pt idx="444">
                  <c:v>3.0132922408421563E-2</c:v>
                </c:pt>
                <c:pt idx="445">
                  <c:v>2.9997645710928392E-2</c:v>
                </c:pt>
                <c:pt idx="446">
                  <c:v>2.9863277925891305E-2</c:v>
                </c:pt>
                <c:pt idx="447">
                  <c:v>2.9729810928970143E-2</c:v>
                </c:pt>
                <c:pt idx="448">
                  <c:v>2.9597236686396865E-2</c:v>
                </c:pt>
                <c:pt idx="449">
                  <c:v>2.9465547253766579E-2</c:v>
                </c:pt>
                <c:pt idx="450">
                  <c:v>2.9334734774847389E-2</c:v>
                </c:pt>
                <c:pt idx="451">
                  <c:v>2.9204791480408634E-2</c:v>
                </c:pt>
                <c:pt idx="452">
                  <c:v>2.9075709687067294E-2</c:v>
                </c:pt>
                <c:pt idx="453">
                  <c:v>2.89474817961522E-2</c:v>
                </c:pt>
                <c:pt idx="454">
                  <c:v>2.8820100292585721E-2</c:v>
                </c:pt>
                <c:pt idx="455">
                  <c:v>2.8693557743782624E-2</c:v>
                </c:pt>
                <c:pt idx="456">
                  <c:v>2.8567846798565891E-2</c:v>
                </c:pt>
                <c:pt idx="457">
                  <c:v>2.8442960186099042E-2</c:v>
                </c:pt>
                <c:pt idx="458">
                  <c:v>2.8318890714834753E-2</c:v>
                </c:pt>
                <c:pt idx="459">
                  <c:v>2.8195631271479619E-2</c:v>
                </c:pt>
                <c:pt idx="460">
                  <c:v>2.8073174819974473E-2</c:v>
                </c:pt>
                <c:pt idx="461">
                  <c:v>2.7951514400490297E-2</c:v>
                </c:pt>
                <c:pt idx="462">
                  <c:v>2.7830643128439306E-2</c:v>
                </c:pt>
                <c:pt idx="463">
                  <c:v>2.7710554193500925E-2</c:v>
                </c:pt>
                <c:pt idx="464">
                  <c:v>2.7591240858662491E-2</c:v>
                </c:pt>
                <c:pt idx="465">
                  <c:v>2.747269645927437E-2</c:v>
                </c:pt>
                <c:pt idx="466">
                  <c:v>2.7354914402119217E-2</c:v>
                </c:pt>
                <c:pt idx="467">
                  <c:v>2.7237888164495228E-2</c:v>
                </c:pt>
                <c:pt idx="468">
                  <c:v>2.7121611293313065E-2</c:v>
                </c:pt>
                <c:pt idx="469">
                  <c:v>2.7006077404206203E-2</c:v>
                </c:pt>
                <c:pt idx="470">
                  <c:v>2.6891280180654599E-2</c:v>
                </c:pt>
                <c:pt idx="471">
                  <c:v>2.6777213373121295E-2</c:v>
                </c:pt>
                <c:pt idx="472">
                  <c:v>2.6663870798201851E-2</c:v>
                </c:pt>
                <c:pt idx="473">
                  <c:v>2.6551246337786352E-2</c:v>
                </c:pt>
                <c:pt idx="474">
                  <c:v>2.6439333938233733E-2</c:v>
                </c:pt>
                <c:pt idx="475">
                  <c:v>2.6328127609558348E-2</c:v>
                </c:pt>
                <c:pt idx="476">
                  <c:v>2.6217621424628391E-2</c:v>
                </c:pt>
                <c:pt idx="477">
                  <c:v>2.6107809518376133E-2</c:v>
                </c:pt>
                <c:pt idx="478">
                  <c:v>2.5998686087019673E-2</c:v>
                </c:pt>
                <c:pt idx="479">
                  <c:v>2.589024538729609E-2</c:v>
                </c:pt>
                <c:pt idx="480">
                  <c:v>2.5782481735705739E-2</c:v>
                </c:pt>
                <c:pt idx="481">
                  <c:v>2.5675389507767529E-2</c:v>
                </c:pt>
                <c:pt idx="482">
                  <c:v>2.5568963137285017E-2</c:v>
                </c:pt>
                <c:pt idx="483">
                  <c:v>2.5463197115623126E-2</c:v>
                </c:pt>
                <c:pt idx="484">
                  <c:v>2.535808599099534E-2</c:v>
                </c:pt>
                <c:pt idx="485">
                  <c:v>2.5253624367761095E-2</c:v>
                </c:pt>
                <c:pt idx="486">
                  <c:v>2.5149806905733388E-2</c:v>
                </c:pt>
                <c:pt idx="487">
                  <c:v>2.5046628319496247E-2</c:v>
                </c:pt>
                <c:pt idx="488">
                  <c:v>2.4944083377731983E-2</c:v>
                </c:pt>
                <c:pt idx="489">
                  <c:v>2.4842166902558138E-2</c:v>
                </c:pt>
                <c:pt idx="490">
                  <c:v>2.4740873768873826E-2</c:v>
                </c:pt>
                <c:pt idx="491">
                  <c:v>2.4640198903715375E-2</c:v>
                </c:pt>
                <c:pt idx="492">
                  <c:v>2.4540137285621183E-2</c:v>
                </c:pt>
                <c:pt idx="493">
                  <c:v>2.4440683944005552E-2</c:v>
                </c:pt>
                <c:pt idx="494">
                  <c:v>2.4341833958541389E-2</c:v>
                </c:pt>
                <c:pt idx="495">
                  <c:v>2.4243582458551606E-2</c:v>
                </c:pt>
                <c:pt idx="496">
                  <c:v>2.4145924622409141E-2</c:v>
                </c:pt>
                <c:pt idx="497">
                  <c:v>2.4048855676945403E-2</c:v>
                </c:pt>
                <c:pt idx="498">
                  <c:v>2.3952370896867015E-2</c:v>
                </c:pt>
                <c:pt idx="499">
                  <c:v>2.3856465604180737E-2</c:v>
                </c:pt>
                <c:pt idx="500">
                  <c:v>2.3761135167626429E-2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39-46B0-A2F6-6135ABB95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41502400"/>
        <c:axId val="-941504032"/>
      </c:scatterChart>
      <c:valAx>
        <c:axId val="-94150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50" b="1"/>
                  <a:t>Periodo   [s]</a:t>
                </a:r>
              </a:p>
            </c:rich>
          </c:tx>
          <c:layout>
            <c:manualLayout>
              <c:xMode val="edge"/>
              <c:yMode val="edge"/>
              <c:x val="0.42969346516244677"/>
              <c:y val="0.938402209527730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941504032"/>
        <c:crosses val="autoZero"/>
        <c:crossBetween val="midCat"/>
      </c:valAx>
      <c:valAx>
        <c:axId val="-94150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50" b="1"/>
                  <a:t>Pseudo</a:t>
                </a:r>
                <a:r>
                  <a:rPr lang="it-IT" sz="1050" b="1" baseline="0"/>
                  <a:t> Accelerazioni    [m/s</a:t>
                </a:r>
                <a:r>
                  <a:rPr lang="it-IT" sz="1050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²]</a:t>
                </a:r>
                <a:r>
                  <a:rPr lang="it-IT" sz="1050" b="1" baseline="0"/>
                  <a:t> </a:t>
                </a:r>
                <a:endParaRPr lang="it-IT" sz="1050" b="1"/>
              </a:p>
            </c:rich>
          </c:tx>
          <c:layout>
            <c:manualLayout>
              <c:xMode val="edge"/>
              <c:yMode val="edge"/>
              <c:x val="1.2759168517471688E-2"/>
              <c:y val="0.259995082314057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941502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5" Type="http://schemas.openxmlformats.org/officeDocument/2006/relationships/image" Target="../media/image16.png"/><Relationship Id="rId4" Type="http://schemas.openxmlformats.org/officeDocument/2006/relationships/image" Target="../media/image1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7" Type="http://schemas.openxmlformats.org/officeDocument/2006/relationships/image" Target="../media/image23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6" Type="http://schemas.openxmlformats.org/officeDocument/2006/relationships/image" Target="../media/image22.png"/><Relationship Id="rId5" Type="http://schemas.openxmlformats.org/officeDocument/2006/relationships/image" Target="../media/image21.png"/><Relationship Id="rId4" Type="http://schemas.openxmlformats.org/officeDocument/2006/relationships/image" Target="../media/image2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114300</xdr:rowOff>
    </xdr:from>
    <xdr:to>
      <xdr:col>9</xdr:col>
      <xdr:colOff>586740</xdr:colOff>
      <xdr:row>3</xdr:row>
      <xdr:rowOff>79938</xdr:rowOff>
    </xdr:to>
    <xdr:pic>
      <xdr:nvPicPr>
        <xdr:cNvPr id="3" name="Immagine 2" descr="Catt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" y="114300"/>
          <a:ext cx="5394960" cy="537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38100</xdr:rowOff>
    </xdr:from>
    <xdr:to>
      <xdr:col>10</xdr:col>
      <xdr:colOff>428973</xdr:colOff>
      <xdr:row>9</xdr:row>
      <xdr:rowOff>200332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0650" y="38100"/>
          <a:ext cx="2495898" cy="2200582"/>
        </a:xfrm>
        <a:prstGeom prst="rect">
          <a:avLst/>
        </a:prstGeom>
      </xdr:spPr>
    </xdr:pic>
    <xdr:clientData/>
  </xdr:twoCellAnchor>
  <xdr:twoCellAnchor editAs="oneCell">
    <xdr:from>
      <xdr:col>10</xdr:col>
      <xdr:colOff>619125</xdr:colOff>
      <xdr:row>2</xdr:row>
      <xdr:rowOff>228600</xdr:rowOff>
    </xdr:from>
    <xdr:to>
      <xdr:col>13</xdr:col>
      <xdr:colOff>293103</xdr:colOff>
      <xdr:row>9</xdr:row>
      <xdr:rowOff>176707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075" y="609600"/>
          <a:ext cx="2179053" cy="16054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1015999</xdr:colOff>
      <xdr:row>122</xdr:row>
      <xdr:rowOff>179917</xdr:rowOff>
    </xdr:from>
    <xdr:to>
      <xdr:col>3</xdr:col>
      <xdr:colOff>648095</xdr:colOff>
      <xdr:row>129</xdr:row>
      <xdr:rowOff>170718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6" y="24807334"/>
          <a:ext cx="3643179" cy="1324301"/>
        </a:xfrm>
        <a:prstGeom prst="rect">
          <a:avLst/>
        </a:prstGeom>
      </xdr:spPr>
    </xdr:pic>
    <xdr:clientData/>
  </xdr:twoCellAnchor>
  <xdr:twoCellAnchor editAs="oneCell">
    <xdr:from>
      <xdr:col>2</xdr:col>
      <xdr:colOff>2529417</xdr:colOff>
      <xdr:row>76</xdr:row>
      <xdr:rowOff>95250</xdr:rowOff>
    </xdr:from>
    <xdr:to>
      <xdr:col>3</xdr:col>
      <xdr:colOff>394758</xdr:colOff>
      <xdr:row>89</xdr:row>
      <xdr:rowOff>121788</xdr:rowOff>
    </xdr:to>
    <xdr:pic>
      <xdr:nvPicPr>
        <xdr:cNvPr id="11" name="Immagine 10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818"/>
        <a:stretch/>
      </xdr:blipFill>
      <xdr:spPr>
        <a:xfrm>
          <a:off x="2995084" y="15779750"/>
          <a:ext cx="1876424" cy="2503038"/>
        </a:xfrm>
        <a:prstGeom prst="rect">
          <a:avLst/>
        </a:prstGeom>
      </xdr:spPr>
    </xdr:pic>
    <xdr:clientData/>
  </xdr:twoCellAnchor>
  <xdr:oneCellAnchor>
    <xdr:from>
      <xdr:col>2</xdr:col>
      <xdr:colOff>1428749</xdr:colOff>
      <xdr:row>97</xdr:row>
      <xdr:rowOff>148166</xdr:rowOff>
    </xdr:from>
    <xdr:ext cx="1524001" cy="344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asellaDiTesto 12"/>
            <xdr:cNvSpPr txBox="1"/>
          </xdr:nvSpPr>
          <xdr:spPr>
            <a:xfrm>
              <a:off x="1894416" y="19759083"/>
              <a:ext cx="1524001" cy="344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lang="it-IT" sz="1100" b="0" i="1">
                        <a:latin typeface="Cambria Math" panose="02040503050406030204" pitchFamily="18" charset="0"/>
                      </a:rPr>
                      <m:t>= </m:t>
                    </m:r>
                    <m:rad>
                      <m:radPr>
                        <m:degHide m:val="on"/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Sup>
                          <m:sSubSupPr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𝐻</m:t>
                            </m:r>
                          </m:e>
                          <m:sub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sub>
                          <m:sup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bSup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+</m:t>
                        </m:r>
                        <m:sSubSup>
                          <m:sSubSupPr>
                            <m:ctrlP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𝐻</m:t>
                            </m:r>
                          </m:e>
                          <m:sub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</m:sub>
                          <m:sup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bSup>
                      </m:e>
                    </m:rad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13" name="CasellaDiTesto 12"/>
            <xdr:cNvSpPr txBox="1"/>
          </xdr:nvSpPr>
          <xdr:spPr>
            <a:xfrm>
              <a:off x="1894416" y="19759083"/>
              <a:ext cx="1524001" cy="344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1100" b="0" i="0">
                  <a:latin typeface="Cambria Math" panose="02040503050406030204" pitchFamily="18" charset="0"/>
                </a:rPr>
                <a:t>𝐻= √(𝐻_𝑥^2+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𝐻_𝑦^2 )</a:t>
              </a:r>
              <a:endParaRPr lang="it-IT" sz="1100"/>
            </a:p>
          </xdr:txBody>
        </xdr:sp>
      </mc:Fallback>
    </mc:AlternateContent>
    <xdr:clientData/>
  </xdr:oneCellAnchor>
  <xdr:twoCellAnchor editAs="oneCell">
    <xdr:from>
      <xdr:col>2</xdr:col>
      <xdr:colOff>1915582</xdr:colOff>
      <xdr:row>39</xdr:row>
      <xdr:rowOff>63500</xdr:rowOff>
    </xdr:from>
    <xdr:to>
      <xdr:col>2</xdr:col>
      <xdr:colOff>3894665</xdr:colOff>
      <xdr:row>47</xdr:row>
      <xdr:rowOff>69563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9" y="10329333"/>
          <a:ext cx="1979083" cy="1445397"/>
        </a:xfrm>
        <a:prstGeom prst="rect">
          <a:avLst/>
        </a:prstGeom>
      </xdr:spPr>
    </xdr:pic>
    <xdr:clientData/>
  </xdr:twoCellAnchor>
  <xdr:twoCellAnchor editAs="oneCell">
    <xdr:from>
      <xdr:col>2</xdr:col>
      <xdr:colOff>1269999</xdr:colOff>
      <xdr:row>55</xdr:row>
      <xdr:rowOff>158749</xdr:rowOff>
    </xdr:from>
    <xdr:to>
      <xdr:col>3</xdr:col>
      <xdr:colOff>764117</xdr:colOff>
      <xdr:row>65</xdr:row>
      <xdr:rowOff>34020</xdr:rowOff>
    </xdr:to>
    <xdr:pic>
      <xdr:nvPicPr>
        <xdr:cNvPr id="15" name="Immagine 1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66" r="5152"/>
        <a:stretch/>
      </xdr:blipFill>
      <xdr:spPr>
        <a:xfrm>
          <a:off x="1735666" y="13493749"/>
          <a:ext cx="3505201" cy="17802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541091</xdr:colOff>
      <xdr:row>78</xdr:row>
      <xdr:rowOff>116417</xdr:rowOff>
    </xdr:from>
    <xdr:to>
      <xdr:col>7</xdr:col>
      <xdr:colOff>552190</xdr:colOff>
      <xdr:row>82</xdr:row>
      <xdr:rowOff>141077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434"/>
        <a:stretch/>
      </xdr:blipFill>
      <xdr:spPr>
        <a:xfrm>
          <a:off x="2964674" y="16181917"/>
          <a:ext cx="3450683" cy="828993"/>
        </a:xfrm>
        <a:prstGeom prst="rect">
          <a:avLst/>
        </a:prstGeom>
      </xdr:spPr>
    </xdr:pic>
    <xdr:clientData/>
  </xdr:twoCellAnchor>
  <xdr:twoCellAnchor editAs="oneCell">
    <xdr:from>
      <xdr:col>5</xdr:col>
      <xdr:colOff>137584</xdr:colOff>
      <xdr:row>84</xdr:row>
      <xdr:rowOff>240906</xdr:rowOff>
    </xdr:from>
    <xdr:to>
      <xdr:col>6</xdr:col>
      <xdr:colOff>455084</xdr:colOff>
      <xdr:row>86</xdr:row>
      <xdr:rowOff>25395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2584" y="9776489"/>
          <a:ext cx="1016000" cy="299898"/>
        </a:xfrm>
        <a:prstGeom prst="rect">
          <a:avLst/>
        </a:prstGeom>
      </xdr:spPr>
    </xdr:pic>
    <xdr:clientData/>
  </xdr:twoCellAnchor>
  <xdr:twoCellAnchor editAs="oneCell">
    <xdr:from>
      <xdr:col>5</xdr:col>
      <xdr:colOff>116417</xdr:colOff>
      <xdr:row>93</xdr:row>
      <xdr:rowOff>0</xdr:rowOff>
    </xdr:from>
    <xdr:to>
      <xdr:col>6</xdr:col>
      <xdr:colOff>433917</xdr:colOff>
      <xdr:row>94</xdr:row>
      <xdr:rowOff>24731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2167" y="10837333"/>
          <a:ext cx="1016000" cy="299898"/>
        </a:xfrm>
        <a:prstGeom prst="rect">
          <a:avLst/>
        </a:prstGeom>
      </xdr:spPr>
    </xdr:pic>
    <xdr:clientData/>
  </xdr:twoCellAnchor>
  <xdr:twoCellAnchor editAs="oneCell">
    <xdr:from>
      <xdr:col>6</xdr:col>
      <xdr:colOff>179916</xdr:colOff>
      <xdr:row>108</xdr:row>
      <xdr:rowOff>21167</xdr:rowOff>
    </xdr:from>
    <xdr:to>
      <xdr:col>11</xdr:col>
      <xdr:colOff>225912</xdr:colOff>
      <xdr:row>125</xdr:row>
      <xdr:rowOff>18473</xdr:rowOff>
    </xdr:to>
    <xdr:pic>
      <xdr:nvPicPr>
        <xdr:cNvPr id="6" name="Immagine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72"/>
        <a:stretch/>
      </xdr:blipFill>
      <xdr:spPr>
        <a:xfrm>
          <a:off x="5185833" y="13356167"/>
          <a:ext cx="3623162" cy="3235806"/>
        </a:xfrm>
        <a:prstGeom prst="rect">
          <a:avLst/>
        </a:prstGeom>
      </xdr:spPr>
    </xdr:pic>
    <xdr:clientData/>
  </xdr:twoCellAnchor>
  <xdr:oneCellAnchor>
    <xdr:from>
      <xdr:col>1</xdr:col>
      <xdr:colOff>412750</xdr:colOff>
      <xdr:row>76</xdr:row>
      <xdr:rowOff>158750</xdr:rowOff>
    </xdr:from>
    <xdr:ext cx="6934200" cy="2573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asellaDiTesto 7"/>
            <xdr:cNvSpPr txBox="1"/>
          </xdr:nvSpPr>
          <xdr:spPr>
            <a:xfrm>
              <a:off x="560917" y="15822083"/>
              <a:ext cx="6934200" cy="2573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𝑞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𝑙𝑖𝑚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𝑐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𝑢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𝑁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,0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,0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,0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,0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,0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𝑧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,0</m:t>
                        </m:r>
                      </m:sub>
                    </m:sSub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𝑞</m:t>
                    </m:r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8" name="CasellaDiTesto 7"/>
            <xdr:cNvSpPr txBox="1"/>
          </xdr:nvSpPr>
          <xdr:spPr>
            <a:xfrm>
              <a:off x="560917" y="15822083"/>
              <a:ext cx="6934200" cy="2573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𝑞_𝑙𝑖𝑚=𝑐_𝑢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𝑁_(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𝑐,0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𝑠_(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𝑐,0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𝑑_(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𝑐,0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𝑖_(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𝑐,0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𝑏_(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𝑐,0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𝑧_(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𝑐,0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)+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𝑞</a:t>
              </a:r>
              <a:endParaRPr lang="it-IT" sz="16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2294467</xdr:colOff>
      <xdr:row>82</xdr:row>
      <xdr:rowOff>127001</xdr:rowOff>
    </xdr:from>
    <xdr:to>
      <xdr:col>9</xdr:col>
      <xdr:colOff>338713</xdr:colOff>
      <xdr:row>86</xdr:row>
      <xdr:rowOff>119380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821"/>
        <a:stretch/>
      </xdr:blipFill>
      <xdr:spPr>
        <a:xfrm>
          <a:off x="2463800" y="17070918"/>
          <a:ext cx="5092746" cy="754379"/>
        </a:xfrm>
        <a:prstGeom prst="rect">
          <a:avLst/>
        </a:prstGeom>
      </xdr:spPr>
    </xdr:pic>
    <xdr:clientData/>
  </xdr:twoCellAnchor>
  <xdr:twoCellAnchor editAs="oneCell">
    <xdr:from>
      <xdr:col>5</xdr:col>
      <xdr:colOff>127000</xdr:colOff>
      <xdr:row>88</xdr:row>
      <xdr:rowOff>179916</xdr:rowOff>
    </xdr:from>
    <xdr:to>
      <xdr:col>6</xdr:col>
      <xdr:colOff>455083</xdr:colOff>
      <xdr:row>89</xdr:row>
      <xdr:rowOff>268146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1218333"/>
          <a:ext cx="1016000" cy="299898"/>
        </a:xfrm>
        <a:prstGeom prst="rect">
          <a:avLst/>
        </a:prstGeom>
      </xdr:spPr>
    </xdr:pic>
    <xdr:clientData/>
  </xdr:twoCellAnchor>
  <xdr:twoCellAnchor editAs="oneCell">
    <xdr:from>
      <xdr:col>5</xdr:col>
      <xdr:colOff>116417</xdr:colOff>
      <xdr:row>96</xdr:row>
      <xdr:rowOff>179916</xdr:rowOff>
    </xdr:from>
    <xdr:to>
      <xdr:col>6</xdr:col>
      <xdr:colOff>444500</xdr:colOff>
      <xdr:row>98</xdr:row>
      <xdr:rowOff>3566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3750" y="11927416"/>
          <a:ext cx="1016000" cy="299900"/>
        </a:xfrm>
        <a:prstGeom prst="rect">
          <a:avLst/>
        </a:prstGeom>
      </xdr:spPr>
    </xdr:pic>
    <xdr:clientData/>
  </xdr:twoCellAnchor>
  <xdr:twoCellAnchor editAs="oneCell">
    <xdr:from>
      <xdr:col>2</xdr:col>
      <xdr:colOff>169333</xdr:colOff>
      <xdr:row>122</xdr:row>
      <xdr:rowOff>21167</xdr:rowOff>
    </xdr:from>
    <xdr:to>
      <xdr:col>7</xdr:col>
      <xdr:colOff>482029</xdr:colOff>
      <xdr:row>138</xdr:row>
      <xdr:rowOff>166640</xdr:rowOff>
    </xdr:to>
    <xdr:pic>
      <xdr:nvPicPr>
        <xdr:cNvPr id="5" name="Immagine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72"/>
        <a:stretch/>
      </xdr:blipFill>
      <xdr:spPr>
        <a:xfrm>
          <a:off x="2709333" y="15991417"/>
          <a:ext cx="3676079" cy="3288723"/>
        </a:xfrm>
        <a:prstGeom prst="rect">
          <a:avLst/>
        </a:prstGeom>
      </xdr:spPr>
    </xdr:pic>
    <xdr:clientData/>
  </xdr:twoCellAnchor>
  <xdr:oneCellAnchor>
    <xdr:from>
      <xdr:col>1</xdr:col>
      <xdr:colOff>1289050</xdr:colOff>
      <xdr:row>79</xdr:row>
      <xdr:rowOff>161923</xdr:rowOff>
    </xdr:from>
    <xdr:ext cx="6934200" cy="4610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/>
            <xdr:cNvSpPr txBox="1"/>
          </xdr:nvSpPr>
          <xdr:spPr>
            <a:xfrm>
              <a:off x="1458383" y="16534340"/>
              <a:ext cx="6934200" cy="461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𝑞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𝑙𝑖𝑚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sSup>
                      <m:sSup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</m:e>
                      <m:sup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p>
                    <m:r>
                      <a:rPr lang="it-IT" sz="1600" b="0" i="1">
                        <a:latin typeface="Cambria Math" panose="02040503050406030204" pitchFamily="18" charset="0"/>
                      </a:rPr>
                      <m:t>𝐵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𝑠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𝑖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l-GR" sz="1600" b="0" i="1">
                            <a:latin typeface="Cambria Math" panose="02040503050406030204" pitchFamily="18" charset="0"/>
                          </a:rPr>
                          <m:t>𝛹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𝑧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e>
                      <m:sup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′</m:t>
                        </m:r>
                      </m:sup>
                    </m:sSup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𝑁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l-GR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𝛹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𝑧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𝑞</m:t>
                        </m:r>
                      </m:e>
                      <m:sup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′</m:t>
                        </m:r>
                      </m:sup>
                    </m:sSup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𝑁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𝑞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𝑞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𝑞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𝑖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𝑞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𝑞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l-GR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𝛹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𝑞</m:t>
                        </m:r>
                      </m:sub>
                    </m:sSub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𝑧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𝑞</m:t>
                        </m:r>
                      </m:sub>
                    </m:sSub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1458383" y="16534340"/>
              <a:ext cx="6934200" cy="461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𝑞_𝑙𝑖𝑚=1/2 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𝛾^</a:t>
              </a:r>
              <a:r>
                <a:rPr lang="it-IT" sz="1600" b="0" i="0">
                  <a:latin typeface="Cambria Math" panose="02040503050406030204" pitchFamily="18" charset="0"/>
                </a:rPr>
                <a:t>′ 𝐵𝑁_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 </a:t>
              </a:r>
              <a:r>
                <a:rPr lang="it-IT" sz="1600" b="0" i="0">
                  <a:latin typeface="Cambria Math" panose="02040503050406030204" pitchFamily="18" charset="0"/>
                </a:rPr>
                <a:t>𝑠_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 </a:t>
              </a:r>
              <a:r>
                <a:rPr lang="it-IT" sz="1600" b="0" i="0">
                  <a:latin typeface="Cambria Math" panose="02040503050406030204" pitchFamily="18" charset="0"/>
                </a:rPr>
                <a:t>𝑑_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 </a:t>
              </a:r>
              <a:r>
                <a:rPr lang="it-IT" sz="1600" b="0" i="0">
                  <a:latin typeface="Cambria Math" panose="02040503050406030204" pitchFamily="18" charset="0"/>
                </a:rPr>
                <a:t>𝑖_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 </a:t>
              </a:r>
              <a:r>
                <a:rPr lang="it-IT" sz="1600" b="0" i="0">
                  <a:latin typeface="Cambria Math" panose="02040503050406030204" pitchFamily="18" charset="0"/>
                </a:rPr>
                <a:t>𝑏_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 </a:t>
              </a:r>
              <a:r>
                <a:rPr lang="el-GR" sz="1600" b="0" i="0">
                  <a:latin typeface="Cambria Math" panose="02040503050406030204" pitchFamily="18" charset="0"/>
                </a:rPr>
                <a:t>𝛹</a:t>
              </a:r>
              <a:r>
                <a:rPr lang="it-IT" sz="1600" b="0" i="0">
                  <a:latin typeface="Cambria Math" panose="02040503050406030204" pitchFamily="18" charset="0"/>
                </a:rPr>
                <a:t>_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 </a:t>
              </a:r>
              <a:r>
                <a:rPr lang="it-IT" sz="1600" b="0" i="0">
                  <a:latin typeface="Cambria Math" panose="02040503050406030204" pitchFamily="18" charset="0"/>
                </a:rPr>
                <a:t>𝑧_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</a:t>
              </a:r>
              <a:r>
                <a:rPr lang="it-IT" sz="1600" b="0" i="0">
                  <a:latin typeface="Cambria Math" panose="02040503050406030204" pitchFamily="18" charset="0"/>
                </a:rPr>
                <a:t>+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^′ 𝑁_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𝑠_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𝑑_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𝑖_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𝑏_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l-GR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𝛹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𝑧_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𝑞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^′ 𝑁_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𝑞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𝑠_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𝑞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𝑑_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𝑞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𝑖_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𝑞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𝑏_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𝑞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l-GR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𝛹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𝑞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𝑧_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𝑞</a:t>
              </a:r>
              <a:endParaRPr lang="it-IT" sz="16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13</xdr:col>
      <xdr:colOff>466725</xdr:colOff>
      <xdr:row>27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14</xdr:col>
      <xdr:colOff>305949</xdr:colOff>
      <xdr:row>64</xdr:row>
      <xdr:rowOff>57450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30749" cy="21529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63</xdr:row>
      <xdr:rowOff>73800</xdr:rowOff>
    </xdr:from>
    <xdr:to>
      <xdr:col>14</xdr:col>
      <xdr:colOff>382154</xdr:colOff>
      <xdr:row>83</xdr:row>
      <xdr:rowOff>17174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78800"/>
          <a:ext cx="8268854" cy="37533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</xdr:row>
      <xdr:rowOff>23812</xdr:rowOff>
    </xdr:from>
    <xdr:to>
      <xdr:col>15</xdr:col>
      <xdr:colOff>2381</xdr:colOff>
      <xdr:row>105</xdr:row>
      <xdr:rowOff>138697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48312"/>
          <a:ext cx="8501062" cy="44963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104</xdr:row>
      <xdr:rowOff>154725</xdr:rowOff>
    </xdr:from>
    <xdr:to>
      <xdr:col>15</xdr:col>
      <xdr:colOff>35719</xdr:colOff>
      <xdr:row>112</xdr:row>
      <xdr:rowOff>78727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0225"/>
          <a:ext cx="8536781" cy="144800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</xdr:row>
      <xdr:rowOff>38025</xdr:rowOff>
    </xdr:from>
    <xdr:to>
      <xdr:col>15</xdr:col>
      <xdr:colOff>35719</xdr:colOff>
      <xdr:row>119</xdr:row>
      <xdr:rowOff>9525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087025"/>
          <a:ext cx="8536781" cy="1495500"/>
        </a:xfrm>
        <a:prstGeom prst="rect">
          <a:avLst/>
        </a:prstGeom>
      </xdr:spPr>
    </xdr:pic>
    <xdr:clientData/>
  </xdr:twoCellAnchor>
  <xdr:oneCellAnchor>
    <xdr:from>
      <xdr:col>0</xdr:col>
      <xdr:colOff>345280</xdr:colOff>
      <xdr:row>35</xdr:row>
      <xdr:rowOff>23813</xdr:rowOff>
    </xdr:from>
    <xdr:ext cx="3438526" cy="5532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sellaDiTesto 6"/>
            <xdr:cNvSpPr txBox="1"/>
          </xdr:nvSpPr>
          <xdr:spPr>
            <a:xfrm>
              <a:off x="345280" y="2905126"/>
              <a:ext cx="3438526" cy="5532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𝑞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𝑡𝑎𝑛</m:t>
                        </m:r>
                      </m:e>
                      <m:sup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45°+</m:t>
                        </m:r>
                        <m:f>
                          <m:fPr>
                            <m:ctrlPr>
                              <a:rPr lang="it-IT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it-IT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it-IT" sz="16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𝜑</m:t>
                                </m:r>
                              </m:e>
                              <m:sup>
                                <m:r>
                                  <a:rPr lang="it-IT" sz="1600" b="0" i="1">
                                    <a:latin typeface="Cambria Math" panose="02040503050406030204" pitchFamily="18" charset="0"/>
                                  </a:rPr>
                                  <m:t>′</m:t>
                                </m:r>
                              </m:sup>
                            </m:sSup>
                          </m:num>
                          <m:den>
                            <m:r>
                              <a:rPr lang="it-IT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e>
                    </m:d>
                    <m:sSup>
                      <m:sSup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it-IT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  <m:r>
                          <a:rPr lang="it-IT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𝑡𝑎𝑛</m:t>
                        </m:r>
                        <m:d>
                          <m:dPr>
                            <m:ctrlPr>
                              <a:rPr lang="it-IT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𝜑</m:t>
                                </m:r>
                              </m:e>
                              <m:sup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′</m:t>
                                </m:r>
                              </m:sup>
                            </m:sSup>
                          </m:e>
                        </m:d>
                      </m:sup>
                    </m:sSup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7" name="CasellaDiTesto 6"/>
            <xdr:cNvSpPr txBox="1"/>
          </xdr:nvSpPr>
          <xdr:spPr>
            <a:xfrm>
              <a:off x="345280" y="2905126"/>
              <a:ext cx="3438526" cy="5532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𝑁_𝑞=〖𝑡𝑎𝑛〗^2 (45°+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𝜑^</a:t>
              </a:r>
              <a:r>
                <a:rPr lang="it-IT" sz="1600" b="0" i="0">
                  <a:latin typeface="Cambria Math" panose="02040503050406030204" pitchFamily="18" charset="0"/>
                </a:rPr>
                <a:t>′/2) 𝑒^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𝜋𝑡𝑎𝑛(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𝜑^′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) 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0</xdr:col>
      <xdr:colOff>0</xdr:colOff>
      <xdr:row>32</xdr:row>
      <xdr:rowOff>130969</xdr:rowOff>
    </xdr:from>
    <xdr:ext cx="3438526" cy="2932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asellaDiTesto 7"/>
            <xdr:cNvSpPr txBox="1"/>
          </xdr:nvSpPr>
          <xdr:spPr>
            <a:xfrm>
              <a:off x="0" y="2440782"/>
              <a:ext cx="3438526" cy="293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it-IT" sz="16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e>
                          <m:sub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𝑞</m:t>
                            </m:r>
                          </m:sub>
                        </m:s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e>
                    </m:d>
                    <m:r>
                      <a:rPr lang="it-IT" sz="1600" b="0" i="1">
                        <a:latin typeface="Cambria Math" panose="02040503050406030204" pitchFamily="18" charset="0"/>
                      </a:rPr>
                      <m:t>𝑐𝑜</m:t>
                    </m:r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𝑡</m:t>
                    </m:r>
                    <m:d>
                      <m:d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𝜑</m:t>
                            </m:r>
                          </m:e>
                          <m:sup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′</m:t>
                            </m:r>
                          </m:sup>
                        </m:sSup>
                      </m:e>
                    </m:d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8" name="CasellaDiTesto 7"/>
            <xdr:cNvSpPr txBox="1"/>
          </xdr:nvSpPr>
          <xdr:spPr>
            <a:xfrm>
              <a:off x="0" y="2440782"/>
              <a:ext cx="3438526" cy="293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𝑁_𝑐=(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𝑁_𝑞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−1)</a:t>
              </a:r>
              <a:r>
                <a:rPr lang="it-IT" sz="1600" b="0" i="0">
                  <a:latin typeface="Cambria Math" panose="02040503050406030204" pitchFamily="18" charset="0"/>
                </a:rPr>
                <a:t>𝑐𝑜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𝑡(𝜑^′ )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1</xdr:col>
      <xdr:colOff>154782</xdr:colOff>
      <xdr:row>30</xdr:row>
      <xdr:rowOff>23815</xdr:rowOff>
    </xdr:from>
    <xdr:ext cx="3438526" cy="2932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asellaDiTesto 8"/>
            <xdr:cNvSpPr txBox="1"/>
          </xdr:nvSpPr>
          <xdr:spPr>
            <a:xfrm>
              <a:off x="762001" y="1952628"/>
              <a:ext cx="3438526" cy="293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it-IT" sz="16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𝑁</m:t>
                      </m:r>
                    </m:e>
                    <m:sub>
                      <m:r>
                        <a:rPr lang="it-IT" sz="16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𝛾</m:t>
                      </m:r>
                    </m:sub>
                  </m:sSub>
                  <m:r>
                    <a:rPr lang="it-IT" sz="1600" b="0" i="1">
                      <a:latin typeface="Cambria Math" panose="02040503050406030204" pitchFamily="18" charset="0"/>
                    </a:rPr>
                    <m:t>=2</m:t>
                  </m:r>
                  <m:d>
                    <m:dPr>
                      <m:ctrlPr>
                        <a:rPr lang="it-IT" sz="16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sSub>
                        <m:sSubPr>
                          <m:ctrlPr>
                            <a:rPr lang="it-IT" sz="16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𝑁</m:t>
                          </m:r>
                        </m:e>
                        <m:sub>
                          <m: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𝑞</m:t>
                          </m:r>
                        </m:sub>
                      </m:s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+1</m:t>
                      </m:r>
                    </m:e>
                  </m:d>
                  <m:r>
                    <a:rPr lang="it-IT" sz="1600" b="0" i="1">
                      <a:latin typeface="Cambria Math" panose="02040503050406030204" pitchFamily="18" charset="0"/>
                    </a:rPr>
                    <m:t>𝑡𝑎𝑛</m:t>
                  </m:r>
                  <m:d>
                    <m:d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𝜑</m:t>
                          </m:r>
                        </m:e>
                        <m:sup>
                          <m: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′</m:t>
                          </m:r>
                        </m:sup>
                      </m:sSup>
                    </m:e>
                  </m:d>
                </m:oMath>
              </a14:m>
              <a:r>
                <a:rPr lang="it-IT" sz="1600"/>
                <a:t>  ( Vesic</a:t>
              </a:r>
              <a:r>
                <a:rPr lang="it-IT" sz="1600" baseline="0"/>
                <a:t> 1973)</a:t>
              </a:r>
              <a:endParaRPr lang="it-IT" sz="1600"/>
            </a:p>
          </xdr:txBody>
        </xdr:sp>
      </mc:Choice>
      <mc:Fallback xmlns="">
        <xdr:sp macro="" textlink="">
          <xdr:nvSpPr>
            <xdr:cNvPr id="9" name="CasellaDiTesto 8"/>
            <xdr:cNvSpPr txBox="1"/>
          </xdr:nvSpPr>
          <xdr:spPr>
            <a:xfrm>
              <a:off x="762001" y="1952628"/>
              <a:ext cx="3438526" cy="293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𝑁_</a:t>
              </a:r>
              <a:r>
                <a:rPr lang="it-IT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</a:t>
              </a:r>
              <a:r>
                <a:rPr lang="it-IT" sz="1600" b="0" i="0">
                  <a:latin typeface="Cambria Math" panose="02040503050406030204" pitchFamily="18" charset="0"/>
                </a:rPr>
                <a:t>=2(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𝑁_𝑞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+1)</a:t>
              </a:r>
              <a:r>
                <a:rPr lang="it-IT" sz="1600" b="0" i="0">
                  <a:latin typeface="Cambria Math" panose="02040503050406030204" pitchFamily="18" charset="0"/>
                </a:rPr>
                <a:t>𝑡𝑎𝑛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(𝜑^′ )</a:t>
              </a:r>
              <a:r>
                <a:rPr lang="it-IT" sz="1600"/>
                <a:t>  ( Vesic</a:t>
              </a:r>
              <a:r>
                <a:rPr lang="it-IT" sz="1600" baseline="0"/>
                <a:t> 1973)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1</xdr:col>
      <xdr:colOff>153987</xdr:colOff>
      <xdr:row>46</xdr:row>
      <xdr:rowOff>110332</xdr:rowOff>
    </xdr:from>
    <xdr:ext cx="780663" cy="2655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asellaDiTesto 9"/>
            <xdr:cNvSpPr txBox="1"/>
          </xdr:nvSpPr>
          <xdr:spPr>
            <a:xfrm>
              <a:off x="761206" y="4944270"/>
              <a:ext cx="780663" cy="2655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𝑞</m:t>
                        </m:r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,0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=1</m:t>
                    </m:r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10" name="CasellaDiTesto 9"/>
            <xdr:cNvSpPr txBox="1"/>
          </xdr:nvSpPr>
          <xdr:spPr>
            <a:xfrm>
              <a:off x="761206" y="4944270"/>
              <a:ext cx="780663" cy="2655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𝑁_(𝑞,0)=1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1</xdr:col>
      <xdr:colOff>119062</xdr:colOff>
      <xdr:row>48</xdr:row>
      <xdr:rowOff>107156</xdr:rowOff>
    </xdr:from>
    <xdr:ext cx="1036117" cy="2573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asellaDiTesto 10"/>
            <xdr:cNvSpPr txBox="1"/>
          </xdr:nvSpPr>
          <xdr:spPr>
            <a:xfrm>
              <a:off x="726281" y="5322094"/>
              <a:ext cx="1036117" cy="2573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,0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=5,14</m:t>
                    </m:r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11" name="CasellaDiTesto 10"/>
            <xdr:cNvSpPr txBox="1"/>
          </xdr:nvSpPr>
          <xdr:spPr>
            <a:xfrm>
              <a:off x="726281" y="5322094"/>
              <a:ext cx="1036117" cy="2573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𝑁_(𝑐,0)=5,14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1</xdr:col>
      <xdr:colOff>154781</xdr:colOff>
      <xdr:row>44</xdr:row>
      <xdr:rowOff>95250</xdr:rowOff>
    </xdr:from>
    <xdr:ext cx="779316" cy="266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asellaDiTesto 11"/>
            <xdr:cNvSpPr txBox="1"/>
          </xdr:nvSpPr>
          <xdr:spPr>
            <a:xfrm>
              <a:off x="762000" y="4548188"/>
              <a:ext cx="779316" cy="266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it-IT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,0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=1</m:t>
                    </m:r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12" name="CasellaDiTesto 11"/>
            <xdr:cNvSpPr txBox="1"/>
          </xdr:nvSpPr>
          <xdr:spPr>
            <a:xfrm>
              <a:off x="762000" y="4548188"/>
              <a:ext cx="779316" cy="266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𝑁_(</a:t>
              </a:r>
              <a:r>
                <a:rPr lang="it-IT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</a:t>
              </a:r>
              <a:r>
                <a:rPr lang="it-IT" sz="1600" b="0" i="0">
                  <a:latin typeface="Cambria Math" panose="02040503050406030204" pitchFamily="18" charset="0"/>
                </a:rPr>
                <a:t>,0)=1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1</xdr:col>
      <xdr:colOff>178593</xdr:colOff>
      <xdr:row>26</xdr:row>
      <xdr:rowOff>83344</xdr:rowOff>
    </xdr:from>
    <xdr:ext cx="9013031" cy="3476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asellaDiTesto 12"/>
            <xdr:cNvSpPr txBox="1"/>
          </xdr:nvSpPr>
          <xdr:spPr>
            <a:xfrm>
              <a:off x="785812" y="5453063"/>
              <a:ext cx="9013031" cy="3476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it-IT" sz="16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𝑞</m:t>
                      </m:r>
                    </m:e>
                    <m:sub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𝑙𝑖𝑚</m:t>
                      </m:r>
                    </m:sub>
                  </m:sSub>
                  <m:r>
                    <a:rPr lang="it-IT" sz="16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it-IT" sz="16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it-IT" sz="1600" b="0" i="1">
                          <a:latin typeface="Cambria Math" panose="02040503050406030204" pitchFamily="18" charset="0"/>
                        </a:rPr>
                        <m:t>1</m:t>
                      </m:r>
                    </m:num>
                    <m:den>
                      <m:r>
                        <a:rPr lang="it-IT" sz="1600" b="0" i="1">
                          <a:latin typeface="Cambria Math" panose="02040503050406030204" pitchFamily="18" charset="0"/>
                        </a:rPr>
                        <m:t>2</m:t>
                      </m:r>
                    </m:den>
                  </m:f>
                  <m:sSup>
                    <m:sSupPr>
                      <m:ctrlPr>
                        <a:rPr lang="it-IT" sz="16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it-IT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𝛾</m:t>
                      </m:r>
                    </m:e>
                    <m:sup>
                      <m:r>
                        <a:rPr lang="it-IT" sz="1600" b="0" i="1">
                          <a:latin typeface="Cambria Math" panose="02040503050406030204" pitchFamily="18" charset="0"/>
                        </a:rPr>
                        <m:t>′</m:t>
                      </m:r>
                    </m:sup>
                  </m:sSup>
                  <m:sSup>
                    <m:sSupPr>
                      <m:ctrlPr>
                        <a:rPr lang="it-IT" sz="16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𝐵</m:t>
                      </m:r>
                    </m:e>
                    <m:sup>
                      <m:r>
                        <a:rPr lang="it-IT" sz="1600" b="0" i="1">
                          <a:latin typeface="Cambria Math" panose="02040503050406030204" pitchFamily="18" charset="0"/>
                        </a:rPr>
                        <m:t>∗</m:t>
                      </m:r>
                    </m:sup>
                  </m:sSup>
                  <m:sSub>
                    <m:sSubPr>
                      <m:ctrlPr>
                        <a:rPr lang="it-IT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𝑁</m:t>
                      </m:r>
                    </m:e>
                    <m:sub>
                      <m:r>
                        <a:rPr lang="it-IT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𝛾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𝑠</m:t>
                      </m:r>
                    </m:e>
                    <m:sub>
                      <m:r>
                        <a:rPr lang="it-IT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𝛾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𝑑</m:t>
                      </m:r>
                    </m:e>
                    <m:sub>
                      <m:r>
                        <a:rPr lang="it-IT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𝛾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𝑖</m:t>
                      </m:r>
                    </m:e>
                    <m:sub>
                      <m:r>
                        <a:rPr lang="it-IT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𝛾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𝑏</m:t>
                      </m:r>
                    </m:e>
                    <m:sub>
                      <m:r>
                        <a:rPr lang="it-IT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𝛾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l-GR" sz="1600" b="0" i="1">
                          <a:latin typeface="Cambria Math" panose="02040503050406030204" pitchFamily="18" charset="0"/>
                        </a:rPr>
                        <m:t>𝛹</m:t>
                      </m:r>
                    </m:e>
                    <m:sub>
                      <m:r>
                        <a:rPr lang="it-IT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𝛾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𝑧</m:t>
                      </m:r>
                    </m:e>
                    <m:sub>
                      <m:r>
                        <a:rPr lang="it-IT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𝛾</m:t>
                      </m:r>
                    </m:sub>
                  </m:sSub>
                  <m:r>
                    <a:rPr lang="it-IT" sz="1600" b="0" i="1">
                      <a:latin typeface="Cambria Math" panose="02040503050406030204" pitchFamily="18" charset="0"/>
                    </a:rPr>
                    <m:t>+</m:t>
                  </m:r>
                  <m:sSup>
                    <m:sSup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</m:e>
                    <m:sup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′</m:t>
                      </m:r>
                    </m:sup>
                  </m:sSup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𝑁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𝑠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𝑑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𝑏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l-GR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𝛹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𝑧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</m:sub>
                  </m:sSub>
                  <m:r>
                    <a:rPr lang="it-IT" sz="16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sSup>
                    <m:sSup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𝑞</m:t>
                      </m:r>
                    </m:e>
                    <m:sup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′</m:t>
                      </m:r>
                    </m:sup>
                  </m:sSup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𝑁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𝑞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𝑠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𝑞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𝑑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𝑞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𝑞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𝑏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𝑞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l-GR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𝛹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𝑞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𝑧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𝑞</m:t>
                      </m:r>
                    </m:sub>
                  </m:sSub>
                </m:oMath>
              </a14:m>
              <a:r>
                <a:rPr lang="it-IT" sz="1600"/>
                <a:t>    (Brinch-Hansen</a:t>
              </a:r>
              <a:r>
                <a:rPr lang="it-IT" sz="1600" baseline="0"/>
                <a:t> 1970)</a:t>
              </a:r>
              <a:endParaRPr lang="it-IT" sz="1600"/>
            </a:p>
          </xdr:txBody>
        </xdr:sp>
      </mc:Choice>
      <mc:Fallback xmlns="">
        <xdr:sp macro="" textlink="">
          <xdr:nvSpPr>
            <xdr:cNvPr id="13" name="CasellaDiTesto 12"/>
            <xdr:cNvSpPr txBox="1"/>
          </xdr:nvSpPr>
          <xdr:spPr>
            <a:xfrm>
              <a:off x="785812" y="5453063"/>
              <a:ext cx="9013031" cy="3476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𝑞_𝑙𝑖𝑚=1/2 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𝛾^</a:t>
              </a:r>
              <a:r>
                <a:rPr lang="it-IT" sz="1600" b="0" i="0">
                  <a:latin typeface="Cambria Math" panose="02040503050406030204" pitchFamily="18" charset="0"/>
                </a:rPr>
                <a:t>′ 𝐵^∗ 𝑁_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 </a:t>
              </a:r>
              <a:r>
                <a:rPr lang="it-IT" sz="1600" b="0" i="0">
                  <a:latin typeface="Cambria Math" panose="02040503050406030204" pitchFamily="18" charset="0"/>
                </a:rPr>
                <a:t>𝑠_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 </a:t>
              </a:r>
              <a:r>
                <a:rPr lang="it-IT" sz="1600" b="0" i="0">
                  <a:latin typeface="Cambria Math" panose="02040503050406030204" pitchFamily="18" charset="0"/>
                </a:rPr>
                <a:t>𝑑_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 </a:t>
              </a:r>
              <a:r>
                <a:rPr lang="it-IT" sz="1600" b="0" i="0">
                  <a:latin typeface="Cambria Math" panose="02040503050406030204" pitchFamily="18" charset="0"/>
                </a:rPr>
                <a:t>𝑖_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 </a:t>
              </a:r>
              <a:r>
                <a:rPr lang="it-IT" sz="1600" b="0" i="0">
                  <a:latin typeface="Cambria Math" panose="02040503050406030204" pitchFamily="18" charset="0"/>
                </a:rPr>
                <a:t>𝑏_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 </a:t>
              </a:r>
              <a:r>
                <a:rPr lang="el-GR" sz="1600" b="0" i="0">
                  <a:latin typeface="Cambria Math" panose="02040503050406030204" pitchFamily="18" charset="0"/>
                </a:rPr>
                <a:t>𝛹</a:t>
              </a:r>
              <a:r>
                <a:rPr lang="it-IT" sz="1600" b="0" i="0">
                  <a:latin typeface="Cambria Math" panose="02040503050406030204" pitchFamily="18" charset="0"/>
                </a:rPr>
                <a:t>_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 </a:t>
              </a:r>
              <a:r>
                <a:rPr lang="it-IT" sz="1600" b="0" i="0">
                  <a:latin typeface="Cambria Math" panose="02040503050406030204" pitchFamily="18" charset="0"/>
                </a:rPr>
                <a:t>𝑧_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</a:t>
              </a:r>
              <a:r>
                <a:rPr lang="it-IT" sz="1600" b="0" i="0">
                  <a:latin typeface="Cambria Math" panose="02040503050406030204" pitchFamily="18" charset="0"/>
                </a:rPr>
                <a:t>+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𝑐^′ 𝑁_𝑐 𝑠_𝑐 𝑑_𝑐 𝑖_𝑐 𝑏_𝑐 </a:t>
              </a:r>
              <a:r>
                <a:rPr lang="el-GR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𝛹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_𝑐 𝑧_𝑐+𝑞^′ 𝑁_𝑞 𝑠_𝑞 𝑑_𝑞 𝑖_𝑞 𝑏_𝑞 </a:t>
              </a:r>
              <a:r>
                <a:rPr lang="el-GR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𝛹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_𝑞 𝑧_𝑞</a:t>
              </a:r>
              <a:r>
                <a:rPr lang="it-IT" sz="1600"/>
                <a:t>    (Brinch-Hansen</a:t>
              </a:r>
              <a:r>
                <a:rPr lang="it-IT" sz="1600" baseline="0"/>
                <a:t> 1970)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1</xdr:col>
      <xdr:colOff>166688</xdr:colOff>
      <xdr:row>41</xdr:row>
      <xdr:rowOff>178594</xdr:rowOff>
    </xdr:from>
    <xdr:ext cx="5643562" cy="2573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asellaDiTesto 13"/>
            <xdr:cNvSpPr txBox="1"/>
          </xdr:nvSpPr>
          <xdr:spPr>
            <a:xfrm>
              <a:off x="773907" y="8501063"/>
              <a:ext cx="5643562" cy="2573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it-IT" sz="16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𝑞</m:t>
                      </m:r>
                    </m:e>
                    <m:sub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𝑙𝑖𝑚</m:t>
                      </m:r>
                    </m:sub>
                  </m:sSub>
                  <m:r>
                    <a:rPr lang="it-IT" sz="1600" b="0" i="1">
                      <a:latin typeface="Cambria Math" panose="02040503050406030204" pitchFamily="18" charset="0"/>
                    </a:rPr>
                    <m:t>=</m:t>
                  </m:r>
                  <m:sSub>
                    <m:sSubPr>
                      <m:ctrlPr>
                        <a:rPr lang="it-IT" sz="160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𝑐</m:t>
                      </m:r>
                    </m:e>
                    <m:sub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𝑢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𝑁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,0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𝑠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,0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𝑑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,0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,0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𝑏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,0</m:t>
                      </m:r>
                    </m:sub>
                  </m:sSub>
                  <m:sSub>
                    <m:sSub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𝑧</m:t>
                      </m:r>
                    </m:e>
                    <m: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𝑐</m:t>
                      </m:r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,0</m:t>
                      </m:r>
                    </m:sub>
                  </m:sSub>
                  <m:r>
                    <a:rPr lang="it-IT" sz="16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it-IT" sz="16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𝑞</m:t>
                  </m:r>
                </m:oMath>
              </a14:m>
              <a:r>
                <a:rPr lang="it-IT" sz="1600"/>
                <a:t> </a:t>
              </a:r>
              <a:r>
                <a:rPr lang="it-IT" sz="16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(Brinch-Hansen</a:t>
              </a:r>
              <a:r>
                <a:rPr lang="it-IT" sz="16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1970)</a:t>
              </a:r>
              <a:endParaRPr lang="it-IT" sz="1600"/>
            </a:p>
          </xdr:txBody>
        </xdr:sp>
      </mc:Choice>
      <mc:Fallback xmlns="">
        <xdr:sp macro="" textlink="">
          <xdr:nvSpPr>
            <xdr:cNvPr id="14" name="CasellaDiTesto 13"/>
            <xdr:cNvSpPr txBox="1"/>
          </xdr:nvSpPr>
          <xdr:spPr>
            <a:xfrm>
              <a:off x="773907" y="8501063"/>
              <a:ext cx="5643562" cy="2573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𝑞_𝑙𝑖𝑚=𝑐_𝑢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𝑁_(𝑐,0) 𝑠_(𝑐,0) 𝑑_(𝑐,0) 𝑖_(𝑐,0) 𝑏_(𝑐,0) 𝑧_(𝑐,0)+𝑞</a:t>
              </a:r>
              <a:r>
                <a:rPr lang="it-IT" sz="1600"/>
                <a:t> </a:t>
              </a:r>
              <a:r>
                <a:rPr lang="it-IT" sz="16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(Brinch-Hansen</a:t>
              </a:r>
              <a:r>
                <a:rPr lang="it-IT" sz="16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1970)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13</xdr:col>
      <xdr:colOff>250031</xdr:colOff>
      <xdr:row>29</xdr:row>
      <xdr:rowOff>178594</xdr:rowOff>
    </xdr:from>
    <xdr:ext cx="4262437" cy="3103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asellaDiTesto 14"/>
            <xdr:cNvSpPr txBox="1"/>
          </xdr:nvSpPr>
          <xdr:spPr>
            <a:xfrm>
              <a:off x="8143875" y="1916907"/>
              <a:ext cx="4262437" cy="310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it-IT" sz="16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𝑁</m:t>
                      </m:r>
                    </m:e>
                    <m:sub>
                      <m:r>
                        <a:rPr lang="it-IT" sz="16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𝛾</m:t>
                      </m:r>
                    </m:sub>
                  </m:sSub>
                  <m:r>
                    <a:rPr lang="it-IT" sz="1600" b="0" i="1">
                      <a:latin typeface="Cambria Math" panose="02040503050406030204" pitchFamily="18" charset="0"/>
                    </a:rPr>
                    <m:t>=</m:t>
                  </m:r>
                  <m:d>
                    <m:dPr>
                      <m:ctrlPr>
                        <a:rPr lang="it-IT" sz="16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sSub>
                        <m:sSubPr>
                          <m:ctrlPr>
                            <a:rPr lang="it-IT" sz="16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𝑁</m:t>
                          </m:r>
                        </m:e>
                        <m:sub>
                          <m: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𝑞</m:t>
                          </m:r>
                        </m:sub>
                      </m:s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−1</m:t>
                      </m:r>
                    </m:e>
                  </m:d>
                  <m:r>
                    <a:rPr lang="it-IT" sz="1600" b="0" i="1">
                      <a:latin typeface="Cambria Math" panose="02040503050406030204" pitchFamily="18" charset="0"/>
                    </a:rPr>
                    <m:t>𝑡𝑎𝑛</m:t>
                  </m:r>
                  <m:d>
                    <m:d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1,4</m:t>
                          </m:r>
                          <m: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𝜑</m:t>
                          </m:r>
                        </m:e>
                        <m:sup>
                          <m: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′</m:t>
                          </m:r>
                        </m:sup>
                      </m:sSup>
                    </m:e>
                  </m:d>
                </m:oMath>
              </a14:m>
              <a:r>
                <a:rPr lang="it-IT" sz="1600"/>
                <a:t>  ( Meyerhof</a:t>
              </a:r>
              <a:r>
                <a:rPr lang="it-IT" sz="1600" baseline="0"/>
                <a:t> 1963)</a:t>
              </a:r>
              <a:endParaRPr lang="it-IT" sz="1600"/>
            </a:p>
          </xdr:txBody>
        </xdr:sp>
      </mc:Choice>
      <mc:Fallback xmlns="">
        <xdr:sp macro="" textlink="">
          <xdr:nvSpPr>
            <xdr:cNvPr id="15" name="CasellaDiTesto 14"/>
            <xdr:cNvSpPr txBox="1"/>
          </xdr:nvSpPr>
          <xdr:spPr>
            <a:xfrm>
              <a:off x="8143875" y="1916907"/>
              <a:ext cx="4262437" cy="3103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𝑁_</a:t>
              </a:r>
              <a:r>
                <a:rPr lang="it-IT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</a:t>
              </a:r>
              <a:r>
                <a:rPr lang="it-IT" sz="1600" b="0" i="0">
                  <a:latin typeface="Cambria Math" panose="02040503050406030204" pitchFamily="18" charset="0"/>
                </a:rPr>
                <a:t>=(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𝑁_𝑞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−1)</a:t>
              </a:r>
              <a:r>
                <a:rPr lang="it-IT" sz="1600" b="0" i="0">
                  <a:latin typeface="Cambria Math" panose="02040503050406030204" pitchFamily="18" charset="0"/>
                </a:rPr>
                <a:t>𝑡𝑎𝑛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1,4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𝜑〗^′ )</a:t>
              </a:r>
              <a:r>
                <a:rPr lang="it-IT" sz="1600"/>
                <a:t>  ( Meyerhof</a:t>
              </a:r>
              <a:r>
                <a:rPr lang="it-IT" sz="1600" baseline="0"/>
                <a:t> 1963)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7</xdr:col>
      <xdr:colOff>35718</xdr:colOff>
      <xdr:row>30</xdr:row>
      <xdr:rowOff>23813</xdr:rowOff>
    </xdr:from>
    <xdr:ext cx="4238625" cy="2932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asellaDiTesto 15"/>
            <xdr:cNvSpPr txBox="1"/>
          </xdr:nvSpPr>
          <xdr:spPr>
            <a:xfrm>
              <a:off x="4286249" y="1952626"/>
              <a:ext cx="4238625" cy="293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it-IT" sz="16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𝑁</m:t>
                      </m:r>
                    </m:e>
                    <m:sub>
                      <m:r>
                        <a:rPr lang="it-IT" sz="16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𝛾</m:t>
                      </m:r>
                    </m:sub>
                  </m:sSub>
                  <m:r>
                    <a:rPr lang="it-IT" sz="1600" b="0" i="1">
                      <a:latin typeface="Cambria Math" panose="02040503050406030204" pitchFamily="18" charset="0"/>
                    </a:rPr>
                    <m:t>=1,5</m:t>
                  </m:r>
                  <m:d>
                    <m:dPr>
                      <m:ctrlPr>
                        <a:rPr lang="it-IT" sz="16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sSub>
                        <m:sSubPr>
                          <m:ctrlPr>
                            <a:rPr lang="it-IT" sz="16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𝑁</m:t>
                          </m:r>
                        </m:e>
                        <m:sub>
                          <m: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𝑞</m:t>
                          </m:r>
                        </m:sub>
                      </m:sSub>
                      <m: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−1</m:t>
                      </m:r>
                    </m:e>
                  </m:d>
                  <m:r>
                    <a:rPr lang="it-IT" sz="1600" b="0" i="1">
                      <a:latin typeface="Cambria Math" panose="02040503050406030204" pitchFamily="18" charset="0"/>
                    </a:rPr>
                    <m:t>𝑡𝑎𝑛</m:t>
                  </m:r>
                  <m:d>
                    <m:dPr>
                      <m:ctrlPr>
                        <a:rPr lang="it-IT" sz="16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𝜑</m:t>
                          </m:r>
                        </m:e>
                        <m:sup>
                          <m:r>
                            <a:rPr lang="it-IT" sz="16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′</m:t>
                          </m:r>
                        </m:sup>
                      </m:sSup>
                    </m:e>
                  </m:d>
                </m:oMath>
              </a14:m>
              <a:r>
                <a:rPr lang="it-IT" sz="1600"/>
                <a:t>  ( Hansen</a:t>
              </a:r>
              <a:r>
                <a:rPr lang="it-IT" sz="1600" baseline="0"/>
                <a:t> 1970)</a:t>
              </a:r>
              <a:endParaRPr lang="it-IT" sz="1600"/>
            </a:p>
          </xdr:txBody>
        </xdr:sp>
      </mc:Choice>
      <mc:Fallback xmlns="">
        <xdr:sp macro="" textlink="">
          <xdr:nvSpPr>
            <xdr:cNvPr id="16" name="CasellaDiTesto 15"/>
            <xdr:cNvSpPr txBox="1"/>
          </xdr:nvSpPr>
          <xdr:spPr>
            <a:xfrm>
              <a:off x="4286249" y="1952626"/>
              <a:ext cx="4238625" cy="2932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𝑁_</a:t>
              </a:r>
              <a:r>
                <a:rPr lang="it-IT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</a:t>
              </a:r>
              <a:r>
                <a:rPr lang="it-IT" sz="1600" b="0" i="0">
                  <a:latin typeface="Cambria Math" panose="02040503050406030204" pitchFamily="18" charset="0"/>
                </a:rPr>
                <a:t>=1,5(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𝑁_𝑞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−1)</a:t>
              </a:r>
              <a:r>
                <a:rPr lang="it-IT" sz="1600" b="0" i="0">
                  <a:latin typeface="Cambria Math" panose="02040503050406030204" pitchFamily="18" charset="0"/>
                </a:rPr>
                <a:t>𝑡𝑎𝑛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(𝜑^′ )</a:t>
              </a:r>
              <a:r>
                <a:rPr lang="it-IT" sz="1600"/>
                <a:t>  ( Hansen</a:t>
              </a:r>
              <a:r>
                <a:rPr lang="it-IT" sz="1600" baseline="0"/>
                <a:t> 1970)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1</xdr:col>
      <xdr:colOff>102393</xdr:colOff>
      <xdr:row>5</xdr:row>
      <xdr:rowOff>48816</xdr:rowOff>
    </xdr:from>
    <xdr:ext cx="776495" cy="4610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asellaDiTesto 16"/>
            <xdr:cNvSpPr txBox="1"/>
          </xdr:nvSpPr>
          <xdr:spPr>
            <a:xfrm>
              <a:off x="709612" y="1156097"/>
              <a:ext cx="776495" cy="461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it-IT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it-IT" sz="1600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</m:e>
                          <m:sub>
                            <m:r>
                              <a:rPr lang="it-IT" sz="1600" b="0" i="1">
                                <a:latin typeface="Cambria Math" panose="02040503050406030204" pitchFamily="18" charset="0"/>
                              </a:rPr>
                              <m:t>𝑏</m:t>
                            </m:r>
                          </m:sub>
                        </m:sSub>
                      </m:num>
                      <m:den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𝑉</m:t>
                        </m:r>
                      </m:den>
                    </m:f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17" name="CasellaDiTesto 16"/>
            <xdr:cNvSpPr txBox="1"/>
          </xdr:nvSpPr>
          <xdr:spPr>
            <a:xfrm>
              <a:off x="709612" y="1156097"/>
              <a:ext cx="776495" cy="461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𝑒_𝑏=𝑀_𝑏/𝑉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2</xdr:col>
      <xdr:colOff>595312</xdr:colOff>
      <xdr:row>5</xdr:row>
      <xdr:rowOff>35719</xdr:rowOff>
    </xdr:from>
    <xdr:ext cx="705065" cy="4610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asellaDiTesto 17"/>
            <xdr:cNvSpPr txBox="1"/>
          </xdr:nvSpPr>
          <xdr:spPr>
            <a:xfrm>
              <a:off x="1809750" y="1143000"/>
              <a:ext cx="705065" cy="461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𝑙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it-IT" sz="16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it-IT" sz="1600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</m:e>
                          <m:sub>
                            <m:r>
                              <a:rPr lang="it-IT" sz="1600" b="0" i="1">
                                <a:latin typeface="Cambria Math" panose="02040503050406030204" pitchFamily="18" charset="0"/>
                              </a:rPr>
                              <m:t>𝑙</m:t>
                            </m:r>
                          </m:sub>
                        </m:sSub>
                      </m:num>
                      <m:den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𝑉</m:t>
                        </m:r>
                      </m:den>
                    </m:f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18" name="CasellaDiTesto 17"/>
            <xdr:cNvSpPr txBox="1"/>
          </xdr:nvSpPr>
          <xdr:spPr>
            <a:xfrm>
              <a:off x="1809750" y="1143000"/>
              <a:ext cx="705065" cy="461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𝑒_𝑙=𝑀_𝑙/𝑉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0</xdr:col>
      <xdr:colOff>476251</xdr:colOff>
      <xdr:row>10</xdr:row>
      <xdr:rowOff>190500</xdr:rowOff>
    </xdr:from>
    <xdr:ext cx="1750217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asellaDiTesto 18"/>
            <xdr:cNvSpPr txBox="1"/>
          </xdr:nvSpPr>
          <xdr:spPr>
            <a:xfrm>
              <a:off x="476251" y="2262188"/>
              <a:ext cx="1750217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it-IT" sz="16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e>
                      <m:sup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∗</m:t>
                        </m:r>
                      </m:sup>
                    </m:sSup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it-IT" sz="1600" b="0" i="1">
                        <a:latin typeface="Cambria Math" panose="02040503050406030204" pitchFamily="18" charset="0"/>
                      </a:rPr>
                      <m:t>𝐵</m:t>
                    </m:r>
                    <m:r>
                      <a:rPr lang="it-IT" sz="16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it-IT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19" name="CasellaDiTesto 18"/>
            <xdr:cNvSpPr txBox="1"/>
          </xdr:nvSpPr>
          <xdr:spPr>
            <a:xfrm>
              <a:off x="476251" y="2262188"/>
              <a:ext cx="1750217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𝐵^∗=𝐵−𝑒_𝑏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4</xdr:col>
      <xdr:colOff>0</xdr:colOff>
      <xdr:row>11</xdr:row>
      <xdr:rowOff>0</xdr:rowOff>
    </xdr:from>
    <xdr:ext cx="1750217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asellaDiTesto 19"/>
            <xdr:cNvSpPr txBox="1"/>
          </xdr:nvSpPr>
          <xdr:spPr>
            <a:xfrm>
              <a:off x="2428875" y="2274094"/>
              <a:ext cx="1750217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it-IT" sz="16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p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∗</m:t>
                        </m:r>
                      </m:sup>
                    </m:sSup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it-IT" sz="1600" b="0" i="1">
                        <a:latin typeface="Cambria Math" panose="02040503050406030204" pitchFamily="18" charset="0"/>
                      </a:rPr>
                      <m:t>𝐿</m:t>
                    </m:r>
                    <m:r>
                      <a:rPr lang="it-IT" sz="16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it-IT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𝑙</m:t>
                        </m:r>
                      </m:sub>
                    </m:sSub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20" name="CasellaDiTesto 19"/>
            <xdr:cNvSpPr txBox="1"/>
          </xdr:nvSpPr>
          <xdr:spPr>
            <a:xfrm>
              <a:off x="2428875" y="2274094"/>
              <a:ext cx="1750217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𝐿^∗=𝐿−𝑒_𝑙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0</xdr:col>
      <xdr:colOff>83344</xdr:colOff>
      <xdr:row>16</xdr:row>
      <xdr:rowOff>47624</xdr:rowOff>
    </xdr:from>
    <xdr:ext cx="3438526" cy="5532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asellaDiTesto 20"/>
            <xdr:cNvSpPr txBox="1"/>
          </xdr:nvSpPr>
          <xdr:spPr>
            <a:xfrm>
              <a:off x="83344" y="3369468"/>
              <a:ext cx="3438526" cy="5532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𝑠𝑐𝑜𝑟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it-IT" sz="16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e>
                          <m:sup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</m:sup>
                        </m:sSup>
                      </m:num>
                      <m:den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d>
                      <m:d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45°+</m:t>
                        </m:r>
                        <m:f>
                          <m:fPr>
                            <m:ctrlPr>
                              <a:rPr lang="it-IT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it-IT" sz="16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it-IT" sz="16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𝜑</m:t>
                                </m:r>
                              </m:e>
                              <m:sup>
                                <m:r>
                                  <a:rPr lang="it-IT" sz="1600" b="0" i="1">
                                    <a:latin typeface="Cambria Math" panose="02040503050406030204" pitchFamily="18" charset="0"/>
                                  </a:rPr>
                                  <m:t>′</m:t>
                                </m:r>
                              </m:sup>
                            </m:sSup>
                          </m:num>
                          <m:den>
                            <m:r>
                              <a:rPr lang="it-IT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21" name="CasellaDiTesto 20"/>
            <xdr:cNvSpPr txBox="1"/>
          </xdr:nvSpPr>
          <xdr:spPr>
            <a:xfrm>
              <a:off x="83344" y="3369468"/>
              <a:ext cx="3438526" cy="5532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𝐻_𝑠𝑐𝑜𝑟=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𝐵^∗/2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it-IT" sz="1600" b="0" i="0">
                  <a:latin typeface="Cambria Math" panose="02040503050406030204" pitchFamily="18" charset="0"/>
                </a:rPr>
                <a:t>(45°+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𝜑^</a:t>
              </a:r>
              <a:r>
                <a:rPr lang="it-IT" sz="1600" b="0" i="0">
                  <a:latin typeface="Cambria Math" panose="02040503050406030204" pitchFamily="18" charset="0"/>
                </a:rPr>
                <a:t>′/2)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0</xdr:col>
      <xdr:colOff>381000</xdr:colOff>
      <xdr:row>123</xdr:row>
      <xdr:rowOff>132158</xdr:rowOff>
    </xdr:from>
    <xdr:ext cx="5088732" cy="9870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asellaDiTesto 21"/>
            <xdr:cNvSpPr txBox="1"/>
          </xdr:nvSpPr>
          <xdr:spPr>
            <a:xfrm>
              <a:off x="381000" y="24170877"/>
              <a:ext cx="5088732" cy="9870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l-GR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l-GR" sz="1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𝛹</m:t>
                        </m:r>
                        <m:r>
                          <m:rPr>
                            <m:nor/>
                          </m:rPr>
                          <a:rPr lang="it-IT" sz="1800">
                            <a:effectLst/>
                          </a:rPr>
                          <m:t> </m:t>
                        </m:r>
                      </m:e>
                      <m:sub>
                        <m:r>
                          <a:rPr lang="el-GR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</m:sub>
                    </m:sSub>
                    <m:r>
                      <a:rPr lang="it-IT" sz="18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it-IT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18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d>
                          <m:dPr>
                            <m:ctrlPr>
                              <a:rPr lang="it-IT" sz="1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it-IT" sz="1800" b="0" i="1">
                                <a:latin typeface="Cambria Math" panose="02040503050406030204" pitchFamily="18" charset="0"/>
                              </a:rPr>
                              <m:t>0,6</m:t>
                            </m:r>
                            <m:r>
                              <a:rPr lang="it-IT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∙</m:t>
                            </m:r>
                            <m:f>
                              <m:fPr>
                                <m:ctrlPr>
                                  <a:rPr lang="it-IT" sz="18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it-IT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it-IT" sz="1800" b="0" i="1">
                                        <a:latin typeface="Cambria Math" panose="02040503050406030204" pitchFamily="18" charset="0"/>
                                      </a:rPr>
                                      <m:t>𝐵</m:t>
                                    </m:r>
                                  </m:e>
                                  <m:sup>
                                    <m:r>
                                      <a:rPr lang="it-IT" sz="1800" b="0" i="1">
                                        <a:latin typeface="Cambria Math" panose="02040503050406030204" pitchFamily="18" charset="0"/>
                                      </a:rPr>
                                      <m:t>∗</m:t>
                                    </m:r>
                                  </m:sup>
                                </m:sSup>
                              </m:num>
                              <m:den>
                                <m:sSup>
                                  <m:sSupPr>
                                    <m:ctrlPr>
                                      <a:rPr lang="it-IT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r>
                                      <a:rPr lang="it-IT" sz="1800" b="0" i="1">
                                        <a:latin typeface="Cambria Math" panose="02040503050406030204" pitchFamily="18" charset="0"/>
                                      </a:rPr>
                                      <m:t>𝐿</m:t>
                                    </m:r>
                                  </m:e>
                                  <m:sup>
                                    <m:r>
                                      <a:rPr lang="it-IT" sz="1800" b="0" i="1">
                                        <a:latin typeface="Cambria Math" panose="02040503050406030204" pitchFamily="18" charset="0"/>
                                      </a:rPr>
                                      <m:t>∗</m:t>
                                    </m:r>
                                  </m:sup>
                                </m:sSup>
                              </m:den>
                            </m:f>
                            <m:r>
                              <a:rPr lang="it-IT" sz="1800" b="0" i="1">
                                <a:latin typeface="Cambria Math" panose="02040503050406030204" pitchFamily="18" charset="0"/>
                              </a:rPr>
                              <m:t> − 4,4</m:t>
                            </m:r>
                          </m:e>
                        </m:d>
                        <m:r>
                          <a:rPr lang="it-IT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it-IT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𝑡𝑎𝑛</m:t>
                        </m:r>
                        <m:d>
                          <m:dPr>
                            <m:ctrlPr>
                              <a:rPr lang="it-IT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it-IT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it-IT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𝜑</m:t>
                                </m:r>
                              </m:e>
                              <m:sup>
                                <m:r>
                                  <a:rPr lang="it-IT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′</m:t>
                                </m:r>
                              </m:sup>
                            </m:sSup>
                          </m:e>
                        </m:d>
                        <m:r>
                          <a:rPr lang="it-IT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it-IT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d>
                              <m:dPr>
                                <m:begChr m:val="["/>
                                <m:endChr m:val="]"/>
                                <m:ctrlPr>
                                  <a:rPr lang="it-IT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it-IT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3,07</m:t>
                                </m:r>
                                <m:r>
                                  <a:rPr lang="it-IT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𝑠𝑒𝑛</m:t>
                                </m:r>
                                <m:d>
                                  <m:dPr>
                                    <m:ctrlPr>
                                      <a:rPr lang="it-IT" sz="18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sSup>
                                      <m:sSupPr>
                                        <m:ctrlPr>
                                          <a:rPr lang="it-IT" sz="18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it-IT" sz="18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𝜑</m:t>
                                        </m:r>
                                      </m:e>
                                      <m:sup>
                                        <m:r>
                                          <a:rPr lang="it-IT" sz="18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′</m:t>
                                        </m:r>
                                      </m:sup>
                                    </m:sSup>
                                  </m:e>
                                </m:d>
                                <m:r>
                                  <a:rPr lang="it-IT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r>
                                  <m:rPr>
                                    <m:sty m:val="p"/>
                                  </m:rPr>
                                  <a:rPr lang="it-IT" sz="18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log</m:t>
                                </m:r>
                                <m:r>
                                  <a:rPr lang="it-IT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⁡(2 </m:t>
                                </m:r>
                                <m:sSub>
                                  <m:sSubPr>
                                    <m:ctrlPr>
                                      <a:rPr lang="it-IT" sz="18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it-IT" sz="18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it-IT" sz="18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sub>
                                </m:sSub>
                                <m:r>
                                  <a:rPr lang="it-IT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</m:d>
                          </m:num>
                          <m:den>
                            <m:d>
                              <m:dPr>
                                <m:begChr m:val="["/>
                                <m:endChr m:val="]"/>
                                <m:ctrlPr>
                                  <a:rPr lang="it-IT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it-IT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1+</m:t>
                                </m:r>
                                <m:r>
                                  <a:rPr lang="it-IT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𝑠𝑒𝑛</m:t>
                                </m:r>
                                <m:d>
                                  <m:dPr>
                                    <m:ctrlPr>
                                      <a:rPr lang="it-IT" sz="18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sSup>
                                      <m:sSupPr>
                                        <m:ctrlPr>
                                          <a:rPr lang="it-IT" sz="18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it-IT" sz="18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𝜑</m:t>
                                        </m:r>
                                      </m:e>
                                      <m:sup>
                                        <m:r>
                                          <a:rPr lang="it-IT" sz="18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′</m:t>
                                        </m:r>
                                      </m:sup>
                                    </m:sSup>
                                  </m:e>
                                </m:d>
                              </m:e>
                            </m:d>
                          </m:den>
                        </m:f>
                      </m:sup>
                    </m:sSup>
                  </m:oMath>
                </m:oMathPara>
              </a14:m>
              <a:endParaRPr lang="it-IT" sz="1800"/>
            </a:p>
          </xdr:txBody>
        </xdr:sp>
      </mc:Choice>
      <mc:Fallback xmlns="">
        <xdr:sp macro="" textlink="">
          <xdr:nvSpPr>
            <xdr:cNvPr id="22" name="CasellaDiTesto 21"/>
            <xdr:cNvSpPr txBox="1"/>
          </xdr:nvSpPr>
          <xdr:spPr>
            <a:xfrm>
              <a:off x="381000" y="24170877"/>
              <a:ext cx="5088732" cy="9870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l-GR" sz="1800" i="0">
                  <a:latin typeface="Cambria Math" panose="02040503050406030204" pitchFamily="18" charset="0"/>
                </a:rPr>
                <a:t>〖</a:t>
              </a:r>
              <a:r>
                <a:rPr lang="el-GR" sz="1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𝛹</a:t>
              </a:r>
              <a:r>
                <a:rPr lang="it-IT" sz="1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it-IT" sz="1800" i="0">
                  <a:effectLst/>
                </a:rPr>
                <a:t> </a:t>
              </a:r>
              <a:r>
                <a:rPr lang="it-IT" sz="1800" i="0">
                  <a:effectLst/>
                  <a:latin typeface="Cambria Math" panose="02040503050406030204" pitchFamily="18" charset="0"/>
                </a:rPr>
                <a:t>" </a:t>
              </a:r>
              <a:r>
                <a:rPr lang="el-GR" sz="1800" i="0">
                  <a:effectLst/>
                  <a:latin typeface="Cambria Math" panose="02040503050406030204" pitchFamily="18" charset="0"/>
                </a:rPr>
                <a:t>〗_</a:t>
              </a:r>
              <a:r>
                <a:rPr lang="el-GR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</a:t>
              </a:r>
              <a:r>
                <a:rPr lang="it-IT" sz="1800" b="0" i="0">
                  <a:latin typeface="Cambria Math" panose="02040503050406030204" pitchFamily="18" charset="0"/>
                </a:rPr>
                <a:t>=𝑒^((0,6</a:t>
              </a:r>
              <a:r>
                <a:rPr lang="it-IT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it-IT" sz="1800" b="0" i="0">
                  <a:latin typeface="Cambria Math" panose="02040503050406030204" pitchFamily="18" charset="0"/>
                </a:rPr>
                <a:t>𝐵^∗/𝐿^∗   − 4,4)</a:t>
              </a:r>
              <a:r>
                <a:rPr lang="it-IT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it-IT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𝑡𝑎𝑛(𝜑^′ )+ [3,07𝑠𝑒𝑛(𝜑^′ )∙log⁡(2 𝐼_𝑟)]/[1+𝑠𝑒𝑛(𝜑^′ )] )</a:t>
              </a:r>
              <a:endParaRPr lang="it-IT" sz="1800"/>
            </a:p>
          </xdr:txBody>
        </xdr:sp>
      </mc:Fallback>
    </mc:AlternateContent>
    <xdr:clientData/>
  </xdr:oneCellAnchor>
  <xdr:oneCellAnchor>
    <xdr:from>
      <xdr:col>1</xdr:col>
      <xdr:colOff>59531</xdr:colOff>
      <xdr:row>128</xdr:row>
      <xdr:rowOff>154781</xdr:rowOff>
    </xdr:from>
    <xdr:ext cx="2083594" cy="7500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asellaDiTesto 22"/>
            <xdr:cNvSpPr txBox="1"/>
          </xdr:nvSpPr>
          <xdr:spPr>
            <a:xfrm>
              <a:off x="666750" y="25146000"/>
              <a:ext cx="2083594" cy="7500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l-GR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l-GR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𝛹</m:t>
                        </m:r>
                        <m:r>
                          <m:rPr>
                            <m:nor/>
                          </m:rPr>
                          <a:rPr lang="it-IT" sz="1600">
                            <a:effectLst/>
                          </a:rPr>
                          <m:t> 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l-GR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l-GR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𝛹</m:t>
                        </m:r>
                        <m:r>
                          <m:rPr>
                            <m:nor/>
                          </m:rPr>
                          <a:rPr lang="it-IT" sz="16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𝑞</m:t>
                        </m:r>
                      </m:sub>
                    </m:sSub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1−</m:t>
                        </m:r>
                        <m:sSub>
                          <m:sSubPr>
                            <m:ctrlPr>
                              <a:rPr lang="el-GR" sz="16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l-GR" sz="16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𝛹</m:t>
                            </m:r>
                            <m:r>
                              <m:rPr>
                                <m:nor/>
                              </m:rPr>
                              <a:rPr lang="it-IT" sz="1600" i="1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  <m:sub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𝑞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e>
                          <m:sub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𝑞</m:t>
                            </m:r>
                          </m:sub>
                        </m:s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𝑡𝑎𝑛</m:t>
                        </m:r>
                        <m:d>
                          <m:dPr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𝜑</m:t>
                                </m:r>
                              </m:e>
                              <m:sup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′</m:t>
                                </m:r>
                              </m:sup>
                            </m:sSup>
                          </m:e>
                        </m:d>
                      </m:den>
                    </m:f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23" name="CasellaDiTesto 22"/>
            <xdr:cNvSpPr txBox="1"/>
          </xdr:nvSpPr>
          <xdr:spPr>
            <a:xfrm>
              <a:off x="666750" y="25146000"/>
              <a:ext cx="2083594" cy="7500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600" i="0">
                  <a:latin typeface="Cambria Math" panose="02040503050406030204" pitchFamily="18" charset="0"/>
                </a:rPr>
                <a:t>〖</a:t>
              </a:r>
              <a:r>
                <a:rPr lang="el-GR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𝛹</a:t>
              </a:r>
              <a:r>
                <a:rPr lang="it-IT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it-IT" sz="1600" i="0">
                  <a:effectLst/>
                </a:rPr>
                <a:t> </a:t>
              </a:r>
              <a:r>
                <a:rPr lang="el-GR" sz="1600" i="0">
                  <a:effectLst/>
                  <a:latin typeface="Cambria Math" panose="02040503050406030204" pitchFamily="18" charset="0"/>
                </a:rPr>
                <a:t>" 〗_</a:t>
              </a:r>
              <a:r>
                <a:rPr lang="it-IT" sz="1600" b="0" i="0">
                  <a:latin typeface="Cambria Math" panose="02040503050406030204" pitchFamily="18" charset="0"/>
                </a:rPr>
                <a:t>𝑐=</a:t>
              </a:r>
              <a:r>
                <a:rPr lang="el-GR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〖𝛹</a:t>
              </a:r>
              <a:r>
                <a:rPr lang="it-IT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" </a:t>
              </a:r>
              <a:r>
                <a:rPr lang="el-GR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𝑞−(1−</a:t>
              </a:r>
              <a:r>
                <a:rPr lang="el-GR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l-GR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𝛹</a:t>
              </a:r>
              <a:r>
                <a:rPr lang="it-IT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" </a:t>
              </a:r>
              <a:r>
                <a:rPr lang="el-GR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𝑞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)/(𝑁_𝑞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𝑡𝑎𝑛(𝜑^′ )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0</xdr:col>
      <xdr:colOff>404812</xdr:colOff>
      <xdr:row>133</xdr:row>
      <xdr:rowOff>35719</xdr:rowOff>
    </xdr:from>
    <xdr:ext cx="1488282" cy="4643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asellaDiTesto 23"/>
            <xdr:cNvSpPr txBox="1"/>
          </xdr:nvSpPr>
          <xdr:spPr>
            <a:xfrm>
              <a:off x="404812" y="25979438"/>
              <a:ext cx="1488282" cy="4643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l-GR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l-GR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𝛹</m:t>
                        </m:r>
                        <m:r>
                          <m:rPr>
                            <m:nor/>
                          </m:rPr>
                          <a:rPr lang="it-IT" sz="1600">
                            <a:effectLst/>
                          </a:rPr>
                          <m:t> 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𝑞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l-GR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l-GR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𝛹</m:t>
                        </m:r>
                        <m:r>
                          <m:rPr>
                            <m:nor/>
                          </m:rPr>
                          <a:rPr lang="it-IT" sz="16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</m:e>
                      <m:sub>
                        <m:r>
                          <a:rPr lang="it-IT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𝛾</m:t>
                        </m:r>
                      </m:sub>
                    </m:sSub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24" name="CasellaDiTesto 23"/>
            <xdr:cNvSpPr txBox="1"/>
          </xdr:nvSpPr>
          <xdr:spPr>
            <a:xfrm>
              <a:off x="404812" y="25979438"/>
              <a:ext cx="1488282" cy="4643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600" i="0">
                  <a:latin typeface="Cambria Math" panose="02040503050406030204" pitchFamily="18" charset="0"/>
                </a:rPr>
                <a:t>〖</a:t>
              </a:r>
              <a:r>
                <a:rPr lang="el-GR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𝛹</a:t>
              </a:r>
              <a:r>
                <a:rPr lang="it-IT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it-IT" sz="1600" i="0">
                  <a:effectLst/>
                </a:rPr>
                <a:t> </a:t>
              </a:r>
              <a:r>
                <a:rPr lang="el-GR" sz="1600" i="0">
                  <a:effectLst/>
                  <a:latin typeface="Cambria Math" panose="02040503050406030204" pitchFamily="18" charset="0"/>
                </a:rPr>
                <a:t>" 〗_</a:t>
              </a:r>
              <a:r>
                <a:rPr lang="it-IT" sz="1600" b="0" i="0">
                  <a:latin typeface="Cambria Math" panose="02040503050406030204" pitchFamily="18" charset="0"/>
                </a:rPr>
                <a:t>𝑞=</a:t>
              </a:r>
              <a:r>
                <a:rPr lang="el-GR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〖𝛹</a:t>
              </a:r>
              <a:r>
                <a:rPr lang="it-IT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 " </a:t>
              </a:r>
              <a:r>
                <a:rPr lang="el-GR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it-IT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𝛾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0</xdr:col>
      <xdr:colOff>500063</xdr:colOff>
      <xdr:row>135</xdr:row>
      <xdr:rowOff>130969</xdr:rowOff>
    </xdr:from>
    <xdr:ext cx="2595562" cy="8215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asellaDiTesto 24"/>
            <xdr:cNvSpPr txBox="1"/>
          </xdr:nvSpPr>
          <xdr:spPr>
            <a:xfrm>
              <a:off x="500063" y="26455688"/>
              <a:ext cx="2595562" cy="8215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l-GR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  <m:r>
                          <m:rPr>
                            <m:nor/>
                          </m:rPr>
                          <a:rPr lang="it-IT" sz="1600">
                            <a:effectLst/>
                          </a:rPr>
                          <m:t> 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𝑟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𝐸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it-IT" sz="16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it-IT" sz="1600" b="0" i="1">
                                <a:latin typeface="Cambria Math" panose="02040503050406030204" pitchFamily="18" charset="0"/>
                              </a:rPr>
                              <m:t>2 </m:t>
                            </m:r>
                            <m:d>
                              <m:dPr>
                                <m:ctrlPr>
                                  <a:rPr lang="it-IT" sz="16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it-IT" sz="1600" b="0" i="1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el-GR" sz="1600" b="0" i="1">
                                    <a:latin typeface="Cambria Math" panose="02040503050406030204" pitchFamily="18" charset="0"/>
                                  </a:rPr>
                                  <m:t>𝜈</m:t>
                                </m:r>
                              </m:e>
                            </m:d>
                          </m:e>
                        </m:d>
                      </m:num>
                      <m:den>
                        <m:sSup>
                          <m:sSupPr>
                            <m:ctrlPr>
                              <a:rPr lang="it-IT" sz="16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it-IT" sz="1600" b="0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e>
                          <m:sup>
                            <m:r>
                              <a:rPr lang="it-IT" sz="1600" b="0" i="1">
                                <a:latin typeface="Cambria Math" panose="02040503050406030204" pitchFamily="18" charset="0"/>
                              </a:rPr>
                              <m:t>′</m:t>
                            </m:r>
                          </m:sup>
                        </m:sSup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+</m:t>
                        </m:r>
                        <m:sSubSup>
                          <m:sSubSupPr>
                            <m:ctrlPr>
                              <a:rPr lang="it-IT" sz="1600" b="0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it-IT" sz="16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𝜎</m:t>
                            </m:r>
                          </m:e>
                          <m:sub>
                            <m:r>
                              <a:rPr lang="it-IT" sz="1600" b="0" i="1">
                                <a:latin typeface="Cambria Math" panose="02040503050406030204" pitchFamily="18" charset="0"/>
                              </a:rPr>
                              <m:t>𝑣</m:t>
                            </m:r>
                            <m:r>
                              <a:rPr lang="it-IT" sz="1600" b="0" i="1"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it-IT" sz="1600" b="0" i="1">
                                <a:latin typeface="Cambria Math" panose="02040503050406030204" pitchFamily="18" charset="0"/>
                              </a:rPr>
                              <m:t>𝑚𝑒𝑑𝑖𝑜</m:t>
                            </m:r>
                          </m:sub>
                          <m:sup>
                            <m:r>
                              <a:rPr lang="it-IT" sz="1600" b="0" i="1">
                                <a:latin typeface="Cambria Math" panose="02040503050406030204" pitchFamily="18" charset="0"/>
                              </a:rPr>
                              <m:t>′</m:t>
                            </m:r>
                          </m:sup>
                        </m:sSubSup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𝑡𝑎𝑛</m:t>
                        </m:r>
                        <m:d>
                          <m:dPr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𝜑</m:t>
                                </m:r>
                              </m:e>
                              <m:sup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′</m:t>
                                </m:r>
                              </m:sup>
                            </m:sSup>
                          </m:e>
                        </m:d>
                      </m:den>
                    </m:f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25" name="CasellaDiTesto 24"/>
            <xdr:cNvSpPr txBox="1"/>
          </xdr:nvSpPr>
          <xdr:spPr>
            <a:xfrm>
              <a:off x="500063" y="26455688"/>
              <a:ext cx="2595562" cy="8215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600" i="0">
                  <a:latin typeface="Cambria Math" panose="02040503050406030204" pitchFamily="18" charset="0"/>
                </a:rPr>
                <a:t>〖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𝐼"</a:t>
              </a:r>
              <a:r>
                <a:rPr lang="it-IT" sz="1600" i="0">
                  <a:effectLst/>
                </a:rPr>
                <a:t> </a:t>
              </a:r>
              <a:r>
                <a:rPr lang="el-GR" sz="1600" i="0">
                  <a:effectLst/>
                  <a:latin typeface="Cambria Math" panose="02040503050406030204" pitchFamily="18" charset="0"/>
                </a:rPr>
                <a:t>" 〗_</a:t>
              </a:r>
              <a:r>
                <a:rPr lang="it-IT" sz="1600" b="0" i="0">
                  <a:latin typeface="Cambria Math" panose="02040503050406030204" pitchFamily="18" charset="0"/>
                </a:rPr>
                <a:t>𝑟=𝐸[2 (1+</a:t>
              </a:r>
              <a:r>
                <a:rPr lang="el-GR" sz="1600" b="0" i="0">
                  <a:latin typeface="Cambria Math" panose="02040503050406030204" pitchFamily="18" charset="0"/>
                </a:rPr>
                <a:t>𝜈</a:t>
              </a:r>
              <a:r>
                <a:rPr lang="it-IT" sz="1600" b="0" i="0">
                  <a:latin typeface="Cambria Math" panose="02040503050406030204" pitchFamily="18" charset="0"/>
                </a:rPr>
                <a:t>)]/(𝑐^′+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𝜎_(</a:t>
              </a:r>
              <a:r>
                <a:rPr lang="it-IT" sz="1600" b="0" i="0">
                  <a:latin typeface="Cambria Math" panose="02040503050406030204" pitchFamily="18" charset="0"/>
                </a:rPr>
                <a:t>𝑣,𝑚𝑒𝑑𝑖𝑜)^′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𝑡𝑎𝑛(𝜑^′ )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0</xdr:col>
      <xdr:colOff>440531</xdr:colOff>
      <xdr:row>140</xdr:row>
      <xdr:rowOff>23811</xdr:rowOff>
    </xdr:from>
    <xdr:ext cx="3095625" cy="8215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asellaDiTesto 25"/>
            <xdr:cNvSpPr txBox="1"/>
          </xdr:nvSpPr>
          <xdr:spPr>
            <a:xfrm>
              <a:off x="440531" y="27301030"/>
              <a:ext cx="3095625" cy="8215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l-GR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  <m:r>
                          <m:rPr>
                            <m:nor/>
                          </m:rPr>
                          <a:rPr lang="it-IT" sz="1600">
                            <a:effectLst/>
                          </a:rPr>
                          <m:t> 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𝑟</m:t>
                        </m:r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𝑐𝑟𝑖𝑡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2 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𝑡𝑎𝑛</m:t>
                        </m:r>
                        <m:d>
                          <m:dPr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𝜑</m:t>
                                </m:r>
                              </m:e>
                              <m:sup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′</m:t>
                                </m:r>
                              </m:sup>
                            </m:sSup>
                          </m:e>
                        </m:d>
                      </m:den>
                    </m:f>
                    <m:sSup>
                      <m:sSup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d>
                          <m:dPr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3,3−0,45</m:t>
                            </m:r>
                            <m:f>
                              <m:fPr>
                                <m:ctrlP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it-IT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it-IT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e>
                                  <m:sup>
                                    <m:r>
                                      <a:rPr lang="it-IT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∗</m:t>
                                    </m:r>
                                  </m:sup>
                                </m:sSup>
                              </m:num>
                              <m:den>
                                <m:sSup>
                                  <m:sSupPr>
                                    <m:ctrlPr>
                                      <a:rPr lang="it-IT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it-IT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𝐿</m:t>
                                    </m:r>
                                  </m:e>
                                  <m:sup>
                                    <m:r>
                                      <a:rPr lang="it-IT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∗</m:t>
                                    </m:r>
                                  </m:sup>
                                </m:sSup>
                              </m:den>
                            </m:f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</m:d>
                      </m:sup>
                    </m:sSup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26" name="CasellaDiTesto 25"/>
            <xdr:cNvSpPr txBox="1"/>
          </xdr:nvSpPr>
          <xdr:spPr>
            <a:xfrm>
              <a:off x="440531" y="27301030"/>
              <a:ext cx="3095625" cy="8215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600" i="0">
                  <a:latin typeface="Cambria Math" panose="02040503050406030204" pitchFamily="18" charset="0"/>
                </a:rPr>
                <a:t>〖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𝐼"</a:t>
              </a:r>
              <a:r>
                <a:rPr lang="it-IT" sz="1600" i="0">
                  <a:effectLst/>
                </a:rPr>
                <a:t> </a:t>
              </a:r>
              <a:r>
                <a:rPr lang="el-GR" sz="1600" i="0">
                  <a:effectLst/>
                  <a:latin typeface="Cambria Math" panose="02040503050406030204" pitchFamily="18" charset="0"/>
                </a:rPr>
                <a:t>" 〗_(</a:t>
              </a:r>
              <a:r>
                <a:rPr lang="it-IT" sz="1600" b="0" i="0">
                  <a:latin typeface="Cambria Math" panose="02040503050406030204" pitchFamily="18" charset="0"/>
                </a:rPr>
                <a:t>𝑟,𝑐𝑟𝑖𝑡</a:t>
              </a:r>
              <a:r>
                <a:rPr lang="el-GR" sz="1600" b="0" i="0">
                  <a:latin typeface="Cambria Math" panose="02040503050406030204" pitchFamily="18" charset="0"/>
                </a:rPr>
                <a:t>)</a:t>
              </a:r>
              <a:r>
                <a:rPr lang="it-IT" sz="1600" b="0" i="0">
                  <a:latin typeface="Cambria Math" panose="02040503050406030204" pitchFamily="18" charset="0"/>
                </a:rPr>
                <a:t>=1/(2 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𝑡𝑎𝑛(𝜑^′ )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 </a:t>
              </a:r>
              <a:r>
                <a:rPr lang="it-IT" sz="1600" b="0" i="0">
                  <a:latin typeface="Cambria Math" panose="02040503050406030204" pitchFamily="18" charset="0"/>
                </a:rPr>
                <a:t>𝑒^(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3,3−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0,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45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𝐵^∗/𝐿^∗   )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0</xdr:col>
      <xdr:colOff>500063</xdr:colOff>
      <xdr:row>149</xdr:row>
      <xdr:rowOff>83344</xdr:rowOff>
    </xdr:from>
    <xdr:ext cx="2405062" cy="714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asellaDiTesto 26"/>
            <xdr:cNvSpPr txBox="1"/>
          </xdr:nvSpPr>
          <xdr:spPr>
            <a:xfrm>
              <a:off x="500063" y="29075063"/>
              <a:ext cx="2405062" cy="714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l-GR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it-IT" sz="1600" b="0" i="0">
                            <a:latin typeface="Cambria Math" panose="02040503050406030204" pitchFamily="18" charset="0"/>
                          </a:rPr>
                          <m:t>z</m:t>
                        </m:r>
                        <m:r>
                          <m:rPr>
                            <m:nor/>
                          </m:rPr>
                          <a:rPr lang="it-IT" sz="1600">
                            <a:effectLst/>
                          </a:rPr>
                          <m:t> </m:t>
                        </m:r>
                      </m:e>
                      <m:sub>
                        <m:r>
                          <a:rPr lang="el-GR" sz="16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𝛾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1−</m:t>
                            </m:r>
                            <m:f>
                              <m:fPr>
                                <m:ctrlP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it-IT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it-IT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𝑘</m:t>
                                    </m:r>
                                  </m:e>
                                  <m:sub>
                                    <m:r>
                                      <a:rPr lang="it-IT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h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𝑡𝑎𝑛</m:t>
                                </m:r>
                                <m:d>
                                  <m:dPr>
                                    <m:ctrlPr>
                                      <a:rPr lang="it-IT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sSup>
                                      <m:sSupPr>
                                        <m:ctrlPr>
                                          <a:rPr lang="it-IT" sz="16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it-IT" sz="16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𝜑</m:t>
                                        </m:r>
                                      </m:e>
                                      <m:sup>
                                        <m:r>
                                          <a:rPr lang="it-IT" sz="16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′</m:t>
                                        </m:r>
                                      </m:sup>
                                    </m:sSup>
                                  </m:e>
                                </m:d>
                              </m:den>
                            </m:f>
                          </m:e>
                        </m:d>
                      </m:e>
                      <m:sup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0,35</m:t>
                        </m:r>
                      </m:sup>
                    </m:sSup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27" name="CasellaDiTesto 26"/>
            <xdr:cNvSpPr txBox="1"/>
          </xdr:nvSpPr>
          <xdr:spPr>
            <a:xfrm>
              <a:off x="500063" y="29075063"/>
              <a:ext cx="2405062" cy="714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600" i="0">
                  <a:latin typeface="Cambria Math" panose="02040503050406030204" pitchFamily="18" charset="0"/>
                </a:rPr>
                <a:t>〖</a:t>
              </a:r>
              <a:r>
                <a:rPr lang="it-IT" sz="1600" b="0" i="0">
                  <a:latin typeface="Cambria Math" panose="02040503050406030204" pitchFamily="18" charset="0"/>
                </a:rPr>
                <a:t>"z</a:t>
              </a:r>
              <a:r>
                <a:rPr lang="it-IT" sz="1600" i="0">
                  <a:effectLst/>
                </a:rPr>
                <a:t> </a:t>
              </a:r>
              <a:r>
                <a:rPr lang="el-GR" sz="1600" i="0">
                  <a:effectLst/>
                  <a:latin typeface="Cambria Math" panose="02040503050406030204" pitchFamily="18" charset="0"/>
                </a:rPr>
                <a:t>" 〗_</a:t>
              </a:r>
              <a:r>
                <a:rPr lang="el-GR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</a:t>
              </a:r>
              <a:r>
                <a:rPr lang="it-IT" sz="1600" b="0" i="0">
                  <a:latin typeface="Cambria Math" panose="02040503050406030204" pitchFamily="18" charset="0"/>
                </a:rPr>
                <a:t>=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[1−𝑘_ℎ/𝑡𝑎𝑛(𝜑^′ ) ]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it-IT" sz="1600" b="0" i="0">
                  <a:latin typeface="Cambria Math" panose="02040503050406030204" pitchFamily="18" charset="0"/>
                </a:rPr>
                <a:t>0,35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0</xdr:col>
      <xdr:colOff>476249</xdr:colOff>
      <xdr:row>154</xdr:row>
      <xdr:rowOff>178594</xdr:rowOff>
    </xdr:from>
    <xdr:ext cx="1940719" cy="3690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asellaDiTesto 28"/>
            <xdr:cNvSpPr txBox="1"/>
          </xdr:nvSpPr>
          <xdr:spPr>
            <a:xfrm>
              <a:off x="476249" y="30122813"/>
              <a:ext cx="1940719" cy="3690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l-GR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it-IT" sz="1600" b="0" i="0">
                            <a:latin typeface="Cambria Math" panose="02040503050406030204" pitchFamily="18" charset="0"/>
                          </a:rPr>
                          <m:t>z</m:t>
                        </m:r>
                        <m:r>
                          <m:rPr>
                            <m:nor/>
                          </m:rPr>
                          <a:rPr lang="it-IT" sz="1600">
                            <a:effectLst/>
                          </a:rPr>
                          <m:t> 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=1−0,32 </m:t>
                    </m:r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𝑘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</m:t>
                        </m:r>
                      </m:sub>
                    </m:sSub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29" name="CasellaDiTesto 28"/>
            <xdr:cNvSpPr txBox="1"/>
          </xdr:nvSpPr>
          <xdr:spPr>
            <a:xfrm>
              <a:off x="476249" y="30122813"/>
              <a:ext cx="1940719" cy="3690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600" i="0">
                  <a:latin typeface="Cambria Math" panose="02040503050406030204" pitchFamily="18" charset="0"/>
                </a:rPr>
                <a:t>〖</a:t>
              </a:r>
              <a:r>
                <a:rPr lang="it-IT" sz="1600" b="0" i="0">
                  <a:latin typeface="Cambria Math" panose="02040503050406030204" pitchFamily="18" charset="0"/>
                </a:rPr>
                <a:t>"z</a:t>
              </a:r>
              <a:r>
                <a:rPr lang="it-IT" sz="1600" i="0">
                  <a:effectLst/>
                </a:rPr>
                <a:t> </a:t>
              </a:r>
              <a:r>
                <a:rPr lang="el-GR" sz="1600" i="0">
                  <a:effectLst/>
                  <a:latin typeface="Cambria Math" panose="02040503050406030204" pitchFamily="18" charset="0"/>
                </a:rPr>
                <a:t>" 〗_</a:t>
              </a:r>
              <a:r>
                <a:rPr lang="it-IT" sz="1600" b="0" i="0">
                  <a:latin typeface="Cambria Math" panose="02040503050406030204" pitchFamily="18" charset="0"/>
                </a:rPr>
                <a:t>𝑐=1−0,32 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𝑘_ℎ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0</xdr:col>
      <xdr:colOff>95250</xdr:colOff>
      <xdr:row>158</xdr:row>
      <xdr:rowOff>11906</xdr:rowOff>
    </xdr:from>
    <xdr:ext cx="1940719" cy="3690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asellaDiTesto 29"/>
            <xdr:cNvSpPr txBox="1"/>
          </xdr:nvSpPr>
          <xdr:spPr>
            <a:xfrm>
              <a:off x="95250" y="30718125"/>
              <a:ext cx="1940719" cy="3690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l-GR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it-IT" sz="1600" b="0" i="0">
                            <a:latin typeface="Cambria Math" panose="02040503050406030204" pitchFamily="18" charset="0"/>
                          </a:rPr>
                          <m:t>z</m:t>
                        </m:r>
                        <m:r>
                          <m:rPr>
                            <m:nor/>
                          </m:rPr>
                          <a:rPr lang="it-IT" sz="1600">
                            <a:effectLst/>
                          </a:rPr>
                          <m:t> 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𝑞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l-GR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it-IT" sz="16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z</m:t>
                        </m:r>
                        <m:r>
                          <m:rPr>
                            <m:nor/>
                          </m:rPr>
                          <a:rPr lang="it-IT" sz="16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</m:e>
                      <m:sub>
                        <m:r>
                          <a:rPr lang="el-GR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𝛾</m:t>
                        </m:r>
                      </m:sub>
                    </m:sSub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30" name="CasellaDiTesto 29"/>
            <xdr:cNvSpPr txBox="1"/>
          </xdr:nvSpPr>
          <xdr:spPr>
            <a:xfrm>
              <a:off x="95250" y="30718125"/>
              <a:ext cx="1940719" cy="3690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600" i="0">
                  <a:latin typeface="Cambria Math" panose="02040503050406030204" pitchFamily="18" charset="0"/>
                </a:rPr>
                <a:t>〖</a:t>
              </a:r>
              <a:r>
                <a:rPr lang="it-IT" sz="1600" b="0" i="0">
                  <a:latin typeface="Cambria Math" panose="02040503050406030204" pitchFamily="18" charset="0"/>
                </a:rPr>
                <a:t>"z</a:t>
              </a:r>
              <a:r>
                <a:rPr lang="it-IT" sz="1600" i="0">
                  <a:effectLst/>
                </a:rPr>
                <a:t> </a:t>
              </a:r>
              <a:r>
                <a:rPr lang="el-GR" sz="1600" i="0">
                  <a:effectLst/>
                  <a:latin typeface="Cambria Math" panose="02040503050406030204" pitchFamily="18" charset="0"/>
                </a:rPr>
                <a:t>" 〗_</a:t>
              </a:r>
              <a:r>
                <a:rPr lang="it-IT" sz="1600" b="0" i="0">
                  <a:latin typeface="Cambria Math" panose="02040503050406030204" pitchFamily="18" charset="0"/>
                </a:rPr>
                <a:t>𝑞=</a:t>
              </a:r>
              <a:r>
                <a:rPr lang="el-GR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"z</a:t>
              </a:r>
              <a:r>
                <a:rPr lang="it-IT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 </a:t>
              </a:r>
              <a:r>
                <a:rPr lang="el-GR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〗_𝛾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0</xdr:col>
      <xdr:colOff>416719</xdr:colOff>
      <xdr:row>160</xdr:row>
      <xdr:rowOff>142875</xdr:rowOff>
    </xdr:from>
    <xdr:ext cx="1940719" cy="3690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asellaDiTesto 30"/>
            <xdr:cNvSpPr txBox="1"/>
          </xdr:nvSpPr>
          <xdr:spPr>
            <a:xfrm>
              <a:off x="416719" y="31230094"/>
              <a:ext cx="1940719" cy="3690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l-GR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𝑇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𝑠𝑖𝑠𝑚𝑖𝑐𝑜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it-IT" sz="16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it-IT" sz="1600" b="0" i="1">
                        <a:latin typeface="Cambria Math" panose="02040503050406030204" pitchFamily="18" charset="0"/>
                      </a:rPr>
                      <m:t> ∙ </m:t>
                    </m:r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𝑘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</m:t>
                        </m:r>
                      </m:sub>
                    </m:sSub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31" name="CasellaDiTesto 30"/>
            <xdr:cNvSpPr txBox="1"/>
          </xdr:nvSpPr>
          <xdr:spPr>
            <a:xfrm>
              <a:off x="416719" y="31230094"/>
              <a:ext cx="1940719" cy="3690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it-IT" sz="1600" b="0" i="0">
                  <a:latin typeface="Cambria Math" panose="02040503050406030204" pitchFamily="18" charset="0"/>
                </a:rPr>
                <a:t>𝑇</a:t>
              </a:r>
              <a:r>
                <a:rPr lang="el-GR" sz="1600" b="0" i="0">
                  <a:latin typeface="Cambria Math" panose="02040503050406030204" pitchFamily="18" charset="0"/>
                </a:rPr>
                <a:t>_</a:t>
              </a:r>
              <a:r>
                <a:rPr lang="it-IT" sz="1600" b="0" i="0">
                  <a:latin typeface="Cambria Math" panose="02040503050406030204" pitchFamily="18" charset="0"/>
                </a:rPr>
                <a:t>𝑠𝑖𝑠𝑚𝑖𝑐𝑜=𝑉 </a:t>
              </a:r>
              <a:r>
                <a:rPr lang="it-IT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 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𝑘_ℎ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0</xdr:col>
      <xdr:colOff>607218</xdr:colOff>
      <xdr:row>168</xdr:row>
      <xdr:rowOff>0</xdr:rowOff>
    </xdr:from>
    <xdr:ext cx="5822157" cy="8215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asellaDiTesto 31"/>
            <xdr:cNvSpPr txBox="1"/>
          </xdr:nvSpPr>
          <xdr:spPr>
            <a:xfrm>
              <a:off x="607218" y="32956500"/>
              <a:ext cx="5822157" cy="8215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l-GR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𝑐</m:t>
                        </m:r>
                      </m:e>
                      <m:sup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p>
                    <m:sSup>
                      <m:sSup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e>
                      <m:sup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∗</m:t>
                        </m:r>
                      </m:sup>
                    </m:sSup>
                    <m:sSup>
                      <m:sSup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</m:t>
                        </m:r>
                      </m:e>
                      <m:sup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</m:sup>
                    </m:sSup>
                    <m:r>
                      <a:rPr lang="it-IT" sz="16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𝑓𝑎𝑣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𝑡𝑎𝑛</m:t>
                    </m:r>
                    <m:d>
                      <m:d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𝜑</m:t>
                            </m:r>
                          </m:e>
                          <m:sup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′</m:t>
                            </m:r>
                          </m:sup>
                        </m:sSup>
                      </m:e>
                    </m:d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𝐾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</m:sub>
                    </m:sSub>
                    <m:sSubSup>
                      <m:sSubSup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sub>
                      <m:sup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′</m:t>
                        </m:r>
                      </m:sup>
                    </m:sSubSup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𝛾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𝑚𝑒𝑑𝑖𝑜</m:t>
                        </m:r>
                      </m:sub>
                    </m:sSub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</m:t>
                    </m:r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f>
                      <m:f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 </m:t>
                            </m:r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−0,3)</m:t>
                            </m:r>
                            <m:r>
                              <m:rPr>
                                <m:nor/>
                              </m:rPr>
                              <a:rPr lang="it-IT" sz="160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  <m:sup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32" name="CasellaDiTesto 31"/>
            <xdr:cNvSpPr txBox="1"/>
          </xdr:nvSpPr>
          <xdr:spPr>
            <a:xfrm>
              <a:off x="607218" y="32956500"/>
              <a:ext cx="5822157" cy="8215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it-IT" sz="1600" b="0" i="0">
                  <a:latin typeface="Cambria Math" panose="02040503050406030204" pitchFamily="18" charset="0"/>
                </a:rPr>
                <a:t>𝐹</a:t>
              </a:r>
              <a:r>
                <a:rPr lang="el-GR" sz="1600" b="0" i="0">
                  <a:latin typeface="Cambria Math" panose="02040503050406030204" pitchFamily="18" charset="0"/>
                </a:rPr>
                <a:t>_</a:t>
              </a:r>
              <a:r>
                <a:rPr lang="it-IT" sz="1600" b="0" i="0">
                  <a:latin typeface="Cambria Math" panose="02040503050406030204" pitchFamily="18" charset="0"/>
                </a:rPr>
                <a:t>𝑠=𝑐^′ 𝐵^∗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𝐿^∗+𝑉_((𝑓𝑎𝑣)) 𝑡𝑎𝑛(𝜑^′ )+ 𝐾_𝑝 〖 𝜎〗_(𝑣 )^′ 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𝛾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_𝑚𝑒𝑑𝑖𝑜   𝐵  〖( 𝐷−0,3)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it-IT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it-IT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〗^2/2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0</xdr:col>
      <xdr:colOff>428626</xdr:colOff>
      <xdr:row>172</xdr:row>
      <xdr:rowOff>35718</xdr:rowOff>
    </xdr:from>
    <xdr:ext cx="2547937" cy="666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asellaDiTesto 32"/>
            <xdr:cNvSpPr txBox="1"/>
          </xdr:nvSpPr>
          <xdr:spPr>
            <a:xfrm>
              <a:off x="428626" y="33563718"/>
              <a:ext cx="2547937" cy="66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𝐾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</m:sub>
                    </m:sSub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𝑡𝑎𝑛</m:t>
                        </m:r>
                      </m:e>
                      <m:sup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45°+</m:t>
                        </m:r>
                        <m:f>
                          <m:fPr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𝜑</m:t>
                                </m:r>
                              </m:e>
                              <m:sup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′</m:t>
                                </m:r>
                              </m:sup>
                            </m:sSup>
                          </m:num>
                          <m:den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den>
                        </m:f>
                      </m:e>
                    </m:d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33" name="CasellaDiTesto 32"/>
            <xdr:cNvSpPr txBox="1"/>
          </xdr:nvSpPr>
          <xdr:spPr>
            <a:xfrm>
              <a:off x="428626" y="33563718"/>
              <a:ext cx="2547937" cy="666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𝐾_𝑝=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〖𝑡𝑎𝑛〗^2 (45°+𝜑^′/2)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0</xdr:col>
      <xdr:colOff>452439</xdr:colOff>
      <xdr:row>179</xdr:row>
      <xdr:rowOff>11906</xdr:rowOff>
    </xdr:from>
    <xdr:ext cx="4310062" cy="8215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asellaDiTesto 33"/>
            <xdr:cNvSpPr txBox="1"/>
          </xdr:nvSpPr>
          <xdr:spPr>
            <a:xfrm>
              <a:off x="452439" y="34921031"/>
              <a:ext cx="4310062" cy="8215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l-GR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it-IT" sz="16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𝑐</m:t>
                        </m:r>
                      </m:e>
                      <m:sub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𝑢</m:t>
                        </m:r>
                      </m:sub>
                    </m:sSub>
                    <m:sSup>
                      <m:sSup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𝐵</m:t>
                        </m:r>
                      </m:e>
                      <m:sup>
                        <m:r>
                          <a:rPr lang="it-IT" sz="1600" b="0" i="1">
                            <a:latin typeface="Cambria Math" panose="02040503050406030204" pitchFamily="18" charset="0"/>
                          </a:rPr>
                          <m:t>∗</m:t>
                        </m:r>
                      </m:sup>
                    </m:sSup>
                    <m:sSup>
                      <m:sSup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</m:t>
                        </m:r>
                      </m:e>
                      <m:sup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</m:sup>
                    </m:sSup>
                    <m:r>
                      <a:rPr lang="it-IT" sz="16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Sup>
                      <m:sSubSup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sub>
                      <m:sup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′</m:t>
                        </m:r>
                      </m:sup>
                    </m:sSubSup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𝛾</m:t>
                        </m:r>
                      </m:e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𝑚𝑒𝑑𝑖𝑜</m:t>
                        </m:r>
                      </m:sub>
                    </m:sSub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</m:t>
                    </m:r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f>
                      <m:f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 </m:t>
                            </m:r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−0,3)</m:t>
                            </m:r>
                            <m:r>
                              <m:rPr>
                                <m:nor/>
                              </m:rPr>
                              <a:rPr lang="it-IT" sz="160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  <m:sup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34" name="CasellaDiTesto 33"/>
            <xdr:cNvSpPr txBox="1"/>
          </xdr:nvSpPr>
          <xdr:spPr>
            <a:xfrm>
              <a:off x="452439" y="34921031"/>
              <a:ext cx="4310062" cy="8215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it-IT" sz="1600" b="0" i="0">
                  <a:latin typeface="Cambria Math" panose="02040503050406030204" pitchFamily="18" charset="0"/>
                </a:rPr>
                <a:t>𝐹</a:t>
              </a:r>
              <a:r>
                <a:rPr lang="el-GR" sz="1600" b="0" i="0">
                  <a:latin typeface="Cambria Math" panose="02040503050406030204" pitchFamily="18" charset="0"/>
                </a:rPr>
                <a:t>_</a:t>
              </a:r>
              <a:r>
                <a:rPr lang="it-IT" sz="1600" b="0" i="0">
                  <a:latin typeface="Cambria Math" panose="02040503050406030204" pitchFamily="18" charset="0"/>
                </a:rPr>
                <a:t>𝑠=𝑐_𝑢 𝐵^∗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𝐿^∗+〖 𝜎〗_𝑣^′  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𝛾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_𝑚𝑒𝑑𝑖𝑜   𝐵  〖( 𝐷−0,3)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it-IT" sz="16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it-IT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〗^2/2</a:t>
              </a:r>
              <a:endParaRPr lang="it-IT" sz="160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048874" cy="3037734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48874" cy="3037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269875</xdr:colOff>
      <xdr:row>14</xdr:row>
      <xdr:rowOff>95250</xdr:rowOff>
    </xdr:from>
    <xdr:to>
      <xdr:col>20</xdr:col>
      <xdr:colOff>158627</xdr:colOff>
      <xdr:row>37</xdr:row>
      <xdr:rowOff>174625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875" y="2762250"/>
          <a:ext cx="11953752" cy="4460875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349250</xdr:colOff>
      <xdr:row>38</xdr:row>
      <xdr:rowOff>31750</xdr:rowOff>
    </xdr:from>
    <xdr:to>
      <xdr:col>22</xdr:col>
      <xdr:colOff>47625</xdr:colOff>
      <xdr:row>77</xdr:row>
      <xdr:rowOff>95956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9250" y="7270750"/>
          <a:ext cx="12969875" cy="7493706"/>
        </a:xfrm>
        <a:prstGeom prst="rect">
          <a:avLst/>
        </a:prstGeom>
      </xdr:spPr>
    </xdr:pic>
    <xdr:clientData/>
  </xdr:twoCellAnchor>
  <xdr:twoCellAnchor editAs="oneCell">
    <xdr:from>
      <xdr:col>0</xdr:col>
      <xdr:colOff>206375</xdr:colOff>
      <xdr:row>77</xdr:row>
      <xdr:rowOff>158750</xdr:rowOff>
    </xdr:from>
    <xdr:to>
      <xdr:col>16</xdr:col>
      <xdr:colOff>534009</xdr:colOff>
      <xdr:row>91</xdr:row>
      <xdr:rowOff>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6375" y="14827250"/>
          <a:ext cx="9979634" cy="250825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333374</xdr:colOff>
      <xdr:row>103</xdr:row>
      <xdr:rowOff>158750</xdr:rowOff>
    </xdr:from>
    <xdr:to>
      <xdr:col>21</xdr:col>
      <xdr:colOff>583502</xdr:colOff>
      <xdr:row>141</xdr:row>
      <xdr:rowOff>111125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3374" y="19780250"/>
          <a:ext cx="12918378" cy="7191375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90</xdr:row>
      <xdr:rowOff>111125</xdr:rowOff>
    </xdr:from>
    <xdr:to>
      <xdr:col>22</xdr:col>
      <xdr:colOff>163477</xdr:colOff>
      <xdr:row>103</xdr:row>
      <xdr:rowOff>111125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8625" y="17256125"/>
          <a:ext cx="13006352" cy="2476500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349250</xdr:colOff>
      <xdr:row>141</xdr:row>
      <xdr:rowOff>0</xdr:rowOff>
    </xdr:from>
    <xdr:to>
      <xdr:col>21</xdr:col>
      <xdr:colOff>460376</xdr:colOff>
      <xdr:row>152</xdr:row>
      <xdr:rowOff>40755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49250" y="26860500"/>
          <a:ext cx="12779376" cy="21362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1\Desktop\PROGRAMMI%20UTILI\FONDAZIONI%20DIRETTE\CARICO%20LIMITE%20BRICH-HANS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DATI"/>
      <sheetName val="COMBINAZIONI"/>
      <sheetName val="FOGLIO DEPOSITO"/>
      <sheetName val="CONDIZIONI DRENATE"/>
      <sheetName val="CONDIZIONI NON DRENATE"/>
      <sheetName val="Formule coefficienti correttivi"/>
    </sheetNames>
    <sheetDataSet>
      <sheetData sheetId="0"/>
      <sheetData sheetId="1"/>
      <sheetData sheetId="2"/>
      <sheetData sheetId="3">
        <row r="3">
          <cell r="R3">
            <v>-100</v>
          </cell>
          <cell r="U3">
            <v>-100</v>
          </cell>
        </row>
        <row r="4">
          <cell r="R4">
            <v>-99</v>
          </cell>
          <cell r="U4">
            <v>-99</v>
          </cell>
        </row>
        <row r="5">
          <cell r="R5">
            <v>-98</v>
          </cell>
          <cell r="U5">
            <v>-98</v>
          </cell>
        </row>
        <row r="6">
          <cell r="R6">
            <v>-97</v>
          </cell>
          <cell r="U6">
            <v>-97</v>
          </cell>
        </row>
        <row r="7">
          <cell r="R7">
            <v>-96</v>
          </cell>
          <cell r="U7">
            <v>-96</v>
          </cell>
        </row>
        <row r="8">
          <cell r="R8">
            <v>-95</v>
          </cell>
          <cell r="U8">
            <v>-95</v>
          </cell>
        </row>
        <row r="9">
          <cell r="R9">
            <v>-94</v>
          </cell>
          <cell r="U9">
            <v>-94</v>
          </cell>
        </row>
        <row r="10">
          <cell r="R10">
            <v>-93</v>
          </cell>
          <cell r="U10">
            <v>-93</v>
          </cell>
        </row>
        <row r="11">
          <cell r="R11">
            <v>-92</v>
          </cell>
          <cell r="U11">
            <v>-92</v>
          </cell>
        </row>
        <row r="12">
          <cell r="R12">
            <v>-91</v>
          </cell>
          <cell r="U12">
            <v>-91</v>
          </cell>
        </row>
        <row r="13">
          <cell r="R13">
            <v>-90</v>
          </cell>
          <cell r="U13">
            <v>-90</v>
          </cell>
        </row>
        <row r="14">
          <cell r="R14">
            <v>-89</v>
          </cell>
          <cell r="U14">
            <v>-89</v>
          </cell>
        </row>
        <row r="15">
          <cell r="R15">
            <v>-88</v>
          </cell>
          <cell r="U15">
            <v>-88</v>
          </cell>
        </row>
        <row r="16">
          <cell r="R16">
            <v>-87</v>
          </cell>
          <cell r="U16">
            <v>-87</v>
          </cell>
        </row>
        <row r="17">
          <cell r="R17">
            <v>-86</v>
          </cell>
          <cell r="U17">
            <v>-86</v>
          </cell>
        </row>
        <row r="18">
          <cell r="R18">
            <v>-85</v>
          </cell>
          <cell r="U18">
            <v>-85</v>
          </cell>
        </row>
        <row r="19">
          <cell r="R19">
            <v>-84</v>
          </cell>
          <cell r="U19">
            <v>-84</v>
          </cell>
        </row>
        <row r="20">
          <cell r="E20" t="str">
            <v>APPROCCIO 1 --- comb (A1+M1+R1)</v>
          </cell>
          <cell r="R20">
            <v>-83</v>
          </cell>
          <cell r="U20">
            <v>-83</v>
          </cell>
        </row>
        <row r="21">
          <cell r="E21" t="str">
            <v>APPROCCIO 1 --- comb (A2+M2+R2)</v>
          </cell>
          <cell r="R21">
            <v>-82</v>
          </cell>
          <cell r="U21">
            <v>-82</v>
          </cell>
        </row>
        <row r="22">
          <cell r="E22" t="str">
            <v xml:space="preserve"> APPROCCIO 2 --- comb (A1+M1+R3)</v>
          </cell>
          <cell r="R22">
            <v>-81</v>
          </cell>
          <cell r="U22">
            <v>-81</v>
          </cell>
        </row>
        <row r="23">
          <cell r="R23">
            <v>-80</v>
          </cell>
          <cell r="U23">
            <v>-80</v>
          </cell>
        </row>
        <row r="24">
          <cell r="R24">
            <v>-79</v>
          </cell>
          <cell r="U24">
            <v>-79</v>
          </cell>
        </row>
        <row r="25">
          <cell r="R25">
            <v>-78</v>
          </cell>
          <cell r="U25">
            <v>-78</v>
          </cell>
        </row>
        <row r="26">
          <cell r="F26" t="str">
            <v>secondo Meyerhof, 1963</v>
          </cell>
          <cell r="I26" t="str">
            <v>si</v>
          </cell>
          <cell r="R26">
            <v>-77</v>
          </cell>
          <cell r="U26">
            <v>-77</v>
          </cell>
        </row>
        <row r="27">
          <cell r="F27" t="str">
            <v>secondo Hansen, 1970</v>
          </cell>
          <cell r="I27" t="str">
            <v>no</v>
          </cell>
          <cell r="R27">
            <v>-76</v>
          </cell>
          <cell r="U27">
            <v>-76</v>
          </cell>
        </row>
        <row r="28">
          <cell r="F28" t="str">
            <v>Secondo Vesic, 1973</v>
          </cell>
          <cell r="R28">
            <v>-75</v>
          </cell>
          <cell r="U28">
            <v>-75</v>
          </cell>
        </row>
        <row r="29">
          <cell r="R29">
            <v>-74</v>
          </cell>
          <cell r="U29">
            <v>-74</v>
          </cell>
        </row>
        <row r="30">
          <cell r="R30">
            <v>-73</v>
          </cell>
          <cell r="U30">
            <v>-73</v>
          </cell>
        </row>
        <row r="31">
          <cell r="R31">
            <v>-72</v>
          </cell>
          <cell r="U31">
            <v>-72</v>
          </cell>
        </row>
        <row r="32">
          <cell r="R32">
            <v>-71</v>
          </cell>
          <cell r="U32">
            <v>-71</v>
          </cell>
        </row>
        <row r="33">
          <cell r="R33">
            <v>-70</v>
          </cell>
          <cell r="U33">
            <v>-70</v>
          </cell>
        </row>
        <row r="34">
          <cell r="R34">
            <v>-69</v>
          </cell>
          <cell r="U34">
            <v>-69</v>
          </cell>
        </row>
        <row r="35">
          <cell r="R35">
            <v>-68</v>
          </cell>
          <cell r="U35">
            <v>-68</v>
          </cell>
        </row>
        <row r="36">
          <cell r="R36">
            <v>-67</v>
          </cell>
          <cell r="U36">
            <v>-67</v>
          </cell>
        </row>
        <row r="37">
          <cell r="R37">
            <v>-66</v>
          </cell>
          <cell r="U37">
            <v>-66</v>
          </cell>
        </row>
        <row r="38">
          <cell r="R38">
            <v>-65</v>
          </cell>
          <cell r="U38">
            <v>-65</v>
          </cell>
        </row>
        <row r="39">
          <cell r="R39">
            <v>-64</v>
          </cell>
          <cell r="U39">
            <v>-64</v>
          </cell>
        </row>
        <row r="40">
          <cell r="R40">
            <v>-63</v>
          </cell>
          <cell r="U40">
            <v>-63</v>
          </cell>
        </row>
        <row r="41">
          <cell r="R41">
            <v>-62</v>
          </cell>
          <cell r="U41">
            <v>-62</v>
          </cell>
        </row>
        <row r="42">
          <cell r="R42">
            <v>-61</v>
          </cell>
          <cell r="U42">
            <v>-61</v>
          </cell>
        </row>
        <row r="43">
          <cell r="R43">
            <v>-60</v>
          </cell>
          <cell r="U43">
            <v>-60</v>
          </cell>
        </row>
        <row r="44">
          <cell r="R44">
            <v>-59</v>
          </cell>
          <cell r="U44">
            <v>-59</v>
          </cell>
        </row>
        <row r="45">
          <cell r="R45">
            <v>-58</v>
          </cell>
          <cell r="U45">
            <v>-58</v>
          </cell>
        </row>
        <row r="46">
          <cell r="R46">
            <v>-57</v>
          </cell>
          <cell r="U46">
            <v>-57</v>
          </cell>
        </row>
        <row r="47">
          <cell r="R47">
            <v>-56</v>
          </cell>
          <cell r="U47">
            <v>-56</v>
          </cell>
        </row>
        <row r="48">
          <cell r="R48">
            <v>-55</v>
          </cell>
          <cell r="U48">
            <v>-55</v>
          </cell>
        </row>
        <row r="49">
          <cell r="R49">
            <v>-54</v>
          </cell>
          <cell r="U49">
            <v>-54</v>
          </cell>
        </row>
        <row r="50">
          <cell r="R50">
            <v>-53</v>
          </cell>
          <cell r="U50">
            <v>-53</v>
          </cell>
        </row>
        <row r="51">
          <cell r="R51">
            <v>-52</v>
          </cell>
          <cell r="U51">
            <v>-52</v>
          </cell>
        </row>
        <row r="52">
          <cell r="R52">
            <v>-51</v>
          </cell>
          <cell r="U52">
            <v>-51</v>
          </cell>
        </row>
        <row r="53">
          <cell r="R53">
            <v>-50</v>
          </cell>
          <cell r="U53">
            <v>-50</v>
          </cell>
        </row>
        <row r="54">
          <cell r="R54">
            <v>-49</v>
          </cell>
          <cell r="U54">
            <v>-49</v>
          </cell>
        </row>
        <row r="55">
          <cell r="R55">
            <v>-48</v>
          </cell>
          <cell r="U55">
            <v>-48</v>
          </cell>
        </row>
        <row r="56">
          <cell r="R56">
            <v>-47</v>
          </cell>
          <cell r="U56">
            <v>-47</v>
          </cell>
        </row>
        <row r="57">
          <cell r="R57">
            <v>-46</v>
          </cell>
          <cell r="U57">
            <v>-46</v>
          </cell>
        </row>
        <row r="58">
          <cell r="R58">
            <v>-45</v>
          </cell>
          <cell r="U58">
            <v>-45</v>
          </cell>
        </row>
        <row r="59">
          <cell r="R59">
            <v>-44</v>
          </cell>
          <cell r="U59">
            <v>-44</v>
          </cell>
        </row>
        <row r="60">
          <cell r="R60">
            <v>-43</v>
          </cell>
          <cell r="U60">
            <v>-43</v>
          </cell>
        </row>
        <row r="61">
          <cell r="R61">
            <v>-42</v>
          </cell>
          <cell r="U61">
            <v>-42</v>
          </cell>
        </row>
        <row r="62">
          <cell r="R62">
            <v>-41</v>
          </cell>
          <cell r="U62">
            <v>-41</v>
          </cell>
        </row>
        <row r="63">
          <cell r="R63">
            <v>-40</v>
          </cell>
          <cell r="U63">
            <v>-40</v>
          </cell>
        </row>
        <row r="64">
          <cell r="R64">
            <v>-39</v>
          </cell>
          <cell r="U64">
            <v>-39</v>
          </cell>
        </row>
        <row r="65">
          <cell r="R65">
            <v>-38</v>
          </cell>
          <cell r="U65">
            <v>-38</v>
          </cell>
        </row>
        <row r="66">
          <cell r="R66">
            <v>-37</v>
          </cell>
          <cell r="U66">
            <v>-37</v>
          </cell>
        </row>
        <row r="67">
          <cell r="R67">
            <v>-36</v>
          </cell>
          <cell r="U67">
            <v>-36</v>
          </cell>
        </row>
        <row r="68">
          <cell r="R68">
            <v>-35</v>
          </cell>
          <cell r="U68">
            <v>-35</v>
          </cell>
        </row>
        <row r="69">
          <cell r="R69">
            <v>-34</v>
          </cell>
          <cell r="U69">
            <v>-34</v>
          </cell>
        </row>
        <row r="70">
          <cell r="R70">
            <v>-33</v>
          </cell>
          <cell r="U70">
            <v>-33</v>
          </cell>
        </row>
        <row r="71">
          <cell r="R71">
            <v>-32</v>
          </cell>
          <cell r="U71">
            <v>-32</v>
          </cell>
        </row>
        <row r="72">
          <cell r="R72">
            <v>-31</v>
          </cell>
          <cell r="U72">
            <v>-31</v>
          </cell>
        </row>
        <row r="73">
          <cell r="R73">
            <v>-30</v>
          </cell>
          <cell r="U73">
            <v>-30</v>
          </cell>
        </row>
        <row r="74">
          <cell r="R74">
            <v>-29</v>
          </cell>
          <cell r="U74">
            <v>-29</v>
          </cell>
        </row>
        <row r="75">
          <cell r="R75">
            <v>-28</v>
          </cell>
          <cell r="U75">
            <v>-28</v>
          </cell>
        </row>
        <row r="76">
          <cell r="R76">
            <v>-27</v>
          </cell>
          <cell r="U76">
            <v>-27</v>
          </cell>
        </row>
        <row r="77">
          <cell r="R77">
            <v>-26</v>
          </cell>
          <cell r="U77">
            <v>-26</v>
          </cell>
        </row>
        <row r="78">
          <cell r="R78">
            <v>-25</v>
          </cell>
          <cell r="U78">
            <v>-25</v>
          </cell>
        </row>
        <row r="79">
          <cell r="R79">
            <v>-24</v>
          </cell>
          <cell r="U79">
            <v>-24</v>
          </cell>
        </row>
        <row r="80">
          <cell r="R80">
            <v>-23</v>
          </cell>
          <cell r="U80">
            <v>-23</v>
          </cell>
        </row>
        <row r="81">
          <cell r="R81">
            <v>-22</v>
          </cell>
          <cell r="U81">
            <v>-22</v>
          </cell>
        </row>
        <row r="82">
          <cell r="R82">
            <v>-21</v>
          </cell>
          <cell r="U82">
            <v>-21</v>
          </cell>
        </row>
        <row r="83">
          <cell r="R83">
            <v>-20</v>
          </cell>
          <cell r="U83">
            <v>-20</v>
          </cell>
        </row>
        <row r="84">
          <cell r="R84">
            <v>-19</v>
          </cell>
          <cell r="U84">
            <v>-19</v>
          </cell>
        </row>
        <row r="85">
          <cell r="R85">
            <v>-18</v>
          </cell>
          <cell r="U85">
            <v>-18</v>
          </cell>
        </row>
        <row r="86">
          <cell r="R86">
            <v>-17</v>
          </cell>
          <cell r="U86">
            <v>-17</v>
          </cell>
        </row>
        <row r="87">
          <cell r="R87">
            <v>-16</v>
          </cell>
          <cell r="U87">
            <v>-16</v>
          </cell>
        </row>
        <row r="88">
          <cell r="R88">
            <v>-15</v>
          </cell>
          <cell r="U88">
            <v>-15</v>
          </cell>
        </row>
        <row r="89">
          <cell r="R89">
            <v>-14</v>
          </cell>
          <cell r="U89">
            <v>-14</v>
          </cell>
        </row>
        <row r="90">
          <cell r="R90">
            <v>-13</v>
          </cell>
          <cell r="U90">
            <v>-13</v>
          </cell>
        </row>
        <row r="91">
          <cell r="R91">
            <v>-12</v>
          </cell>
          <cell r="U91">
            <v>-12</v>
          </cell>
        </row>
        <row r="92">
          <cell r="R92">
            <v>-11</v>
          </cell>
          <cell r="U92">
            <v>-11</v>
          </cell>
        </row>
        <row r="93">
          <cell r="R93">
            <v>-10</v>
          </cell>
          <cell r="U93">
            <v>-10</v>
          </cell>
        </row>
        <row r="94">
          <cell r="R94">
            <v>-9</v>
          </cell>
          <cell r="U94">
            <v>-9</v>
          </cell>
        </row>
        <row r="95">
          <cell r="R95">
            <v>-8</v>
          </cell>
          <cell r="U95">
            <v>-8</v>
          </cell>
        </row>
        <row r="96">
          <cell r="R96">
            <v>-7</v>
          </cell>
          <cell r="U96">
            <v>-7</v>
          </cell>
        </row>
        <row r="97">
          <cell r="R97">
            <v>-6</v>
          </cell>
          <cell r="U97">
            <v>-6</v>
          </cell>
        </row>
        <row r="98">
          <cell r="R98">
            <v>-5</v>
          </cell>
          <cell r="U98">
            <v>-5</v>
          </cell>
        </row>
        <row r="99">
          <cell r="R99">
            <v>-4</v>
          </cell>
          <cell r="U99">
            <v>-4</v>
          </cell>
        </row>
        <row r="100">
          <cell r="R100">
            <v>-3</v>
          </cell>
          <cell r="U100">
            <v>-3</v>
          </cell>
        </row>
        <row r="101">
          <cell r="R101">
            <v>-2</v>
          </cell>
          <cell r="U101">
            <v>-2</v>
          </cell>
        </row>
        <row r="102">
          <cell r="R102">
            <v>-1</v>
          </cell>
          <cell r="U102">
            <v>-1</v>
          </cell>
        </row>
        <row r="103">
          <cell r="R103">
            <v>0</v>
          </cell>
          <cell r="U103">
            <v>0</v>
          </cell>
        </row>
        <row r="104">
          <cell r="R104">
            <v>1</v>
          </cell>
          <cell r="U104">
            <v>1</v>
          </cell>
        </row>
        <row r="105">
          <cell r="R105">
            <v>2</v>
          </cell>
          <cell r="U105">
            <v>2</v>
          </cell>
        </row>
        <row r="106">
          <cell r="R106">
            <v>3</v>
          </cell>
          <cell r="U106">
            <v>3</v>
          </cell>
        </row>
        <row r="107">
          <cell r="R107">
            <v>4</v>
          </cell>
          <cell r="U107">
            <v>4</v>
          </cell>
        </row>
        <row r="108">
          <cell r="R108">
            <v>5</v>
          </cell>
          <cell r="U108">
            <v>5</v>
          </cell>
        </row>
        <row r="109">
          <cell r="R109">
            <v>6</v>
          </cell>
          <cell r="U109">
            <v>6</v>
          </cell>
        </row>
        <row r="110">
          <cell r="R110">
            <v>7</v>
          </cell>
          <cell r="U110">
            <v>7</v>
          </cell>
        </row>
        <row r="111">
          <cell r="R111">
            <v>8</v>
          </cell>
          <cell r="U111">
            <v>8</v>
          </cell>
        </row>
        <row r="112">
          <cell r="R112">
            <v>9</v>
          </cell>
          <cell r="U112">
            <v>9</v>
          </cell>
        </row>
        <row r="113">
          <cell r="R113">
            <v>10</v>
          </cell>
          <cell r="U113">
            <v>10</v>
          </cell>
        </row>
        <row r="114">
          <cell r="R114">
            <v>11</v>
          </cell>
          <cell r="U114">
            <v>11</v>
          </cell>
        </row>
        <row r="115">
          <cell r="R115">
            <v>12</v>
          </cell>
          <cell r="U115">
            <v>12</v>
          </cell>
        </row>
        <row r="116">
          <cell r="R116">
            <v>13</v>
          </cell>
          <cell r="U116">
            <v>13</v>
          </cell>
        </row>
        <row r="117">
          <cell r="R117">
            <v>14</v>
          </cell>
          <cell r="U117">
            <v>14</v>
          </cell>
        </row>
        <row r="118">
          <cell r="R118">
            <v>15</v>
          </cell>
          <cell r="U118">
            <v>15</v>
          </cell>
        </row>
        <row r="119">
          <cell r="R119">
            <v>16</v>
          </cell>
          <cell r="U119">
            <v>16</v>
          </cell>
        </row>
        <row r="120">
          <cell r="R120">
            <v>17</v>
          </cell>
          <cell r="U120">
            <v>17</v>
          </cell>
        </row>
        <row r="121">
          <cell r="R121">
            <v>18</v>
          </cell>
          <cell r="U121">
            <v>18</v>
          </cell>
        </row>
        <row r="122">
          <cell r="R122">
            <v>19</v>
          </cell>
          <cell r="U122">
            <v>19</v>
          </cell>
        </row>
        <row r="123">
          <cell r="R123">
            <v>20</v>
          </cell>
          <cell r="U123">
            <v>20</v>
          </cell>
        </row>
        <row r="124">
          <cell r="R124">
            <v>21</v>
          </cell>
          <cell r="U124">
            <v>21</v>
          </cell>
        </row>
        <row r="125">
          <cell r="R125">
            <v>22</v>
          </cell>
          <cell r="U125">
            <v>22</v>
          </cell>
        </row>
        <row r="126">
          <cell r="R126">
            <v>23</v>
          </cell>
          <cell r="U126">
            <v>23</v>
          </cell>
        </row>
        <row r="127">
          <cell r="R127">
            <v>24</v>
          </cell>
          <cell r="U127">
            <v>24</v>
          </cell>
        </row>
        <row r="128">
          <cell r="R128">
            <v>25</v>
          </cell>
          <cell r="U128">
            <v>25</v>
          </cell>
        </row>
        <row r="129">
          <cell r="R129">
            <v>26</v>
          </cell>
          <cell r="U129">
            <v>26</v>
          </cell>
        </row>
        <row r="130">
          <cell r="R130">
            <v>27</v>
          </cell>
          <cell r="U130">
            <v>27</v>
          </cell>
        </row>
        <row r="131">
          <cell r="R131">
            <v>28</v>
          </cell>
          <cell r="U131">
            <v>28</v>
          </cell>
        </row>
        <row r="132">
          <cell r="R132">
            <v>29</v>
          </cell>
          <cell r="U132">
            <v>29</v>
          </cell>
        </row>
        <row r="133">
          <cell r="R133">
            <v>30</v>
          </cell>
          <cell r="U133">
            <v>30</v>
          </cell>
        </row>
        <row r="134">
          <cell r="R134">
            <v>31</v>
          </cell>
          <cell r="U134">
            <v>31</v>
          </cell>
        </row>
        <row r="135">
          <cell r="R135">
            <v>32</v>
          </cell>
          <cell r="U135">
            <v>32</v>
          </cell>
        </row>
        <row r="136">
          <cell r="R136">
            <v>33</v>
          </cell>
          <cell r="U136">
            <v>33</v>
          </cell>
        </row>
        <row r="137">
          <cell r="R137">
            <v>34</v>
          </cell>
          <cell r="U137">
            <v>34</v>
          </cell>
        </row>
        <row r="138">
          <cell r="R138">
            <v>35</v>
          </cell>
          <cell r="U138">
            <v>35</v>
          </cell>
        </row>
        <row r="139">
          <cell r="R139">
            <v>36</v>
          </cell>
          <cell r="U139">
            <v>36</v>
          </cell>
        </row>
        <row r="140">
          <cell r="R140">
            <v>37</v>
          </cell>
          <cell r="U140">
            <v>37</v>
          </cell>
        </row>
        <row r="141">
          <cell r="R141">
            <v>38</v>
          </cell>
          <cell r="U141">
            <v>38</v>
          </cell>
        </row>
        <row r="142">
          <cell r="R142">
            <v>39</v>
          </cell>
          <cell r="U142">
            <v>39</v>
          </cell>
        </row>
        <row r="143">
          <cell r="R143">
            <v>40</v>
          </cell>
          <cell r="U143">
            <v>40</v>
          </cell>
        </row>
        <row r="144">
          <cell r="R144">
            <v>41</v>
          </cell>
          <cell r="U144">
            <v>41</v>
          </cell>
        </row>
        <row r="145">
          <cell r="R145">
            <v>42</v>
          </cell>
          <cell r="U145">
            <v>42</v>
          </cell>
        </row>
        <row r="146">
          <cell r="R146">
            <v>43</v>
          </cell>
          <cell r="U146">
            <v>43</v>
          </cell>
        </row>
        <row r="147">
          <cell r="R147">
            <v>44</v>
          </cell>
          <cell r="U147">
            <v>44</v>
          </cell>
        </row>
        <row r="148">
          <cell r="R148">
            <v>45</v>
          </cell>
          <cell r="U148">
            <v>45</v>
          </cell>
        </row>
        <row r="149">
          <cell r="R149">
            <v>46</v>
          </cell>
          <cell r="U149">
            <v>46</v>
          </cell>
        </row>
        <row r="150">
          <cell r="R150">
            <v>47</v>
          </cell>
          <cell r="U150">
            <v>47</v>
          </cell>
        </row>
        <row r="151">
          <cell r="R151">
            <v>48</v>
          </cell>
          <cell r="U151">
            <v>48</v>
          </cell>
        </row>
        <row r="152">
          <cell r="R152">
            <v>49</v>
          </cell>
          <cell r="U152">
            <v>49</v>
          </cell>
        </row>
        <row r="153">
          <cell r="R153">
            <v>50</v>
          </cell>
          <cell r="U153">
            <v>50</v>
          </cell>
        </row>
        <row r="154">
          <cell r="R154">
            <v>51</v>
          </cell>
          <cell r="U154">
            <v>51</v>
          </cell>
        </row>
        <row r="155">
          <cell r="R155">
            <v>52</v>
          </cell>
          <cell r="U155">
            <v>52</v>
          </cell>
        </row>
        <row r="156">
          <cell r="R156">
            <v>53</v>
          </cell>
          <cell r="U156">
            <v>53</v>
          </cell>
        </row>
        <row r="157">
          <cell r="R157">
            <v>54</v>
          </cell>
          <cell r="U157">
            <v>54</v>
          </cell>
        </row>
        <row r="158">
          <cell r="R158">
            <v>55</v>
          </cell>
          <cell r="U158">
            <v>55</v>
          </cell>
        </row>
        <row r="159">
          <cell r="R159">
            <v>56</v>
          </cell>
          <cell r="U159">
            <v>56</v>
          </cell>
        </row>
        <row r="160">
          <cell r="R160">
            <v>57</v>
          </cell>
          <cell r="U160">
            <v>57</v>
          </cell>
        </row>
        <row r="161">
          <cell r="R161">
            <v>58</v>
          </cell>
          <cell r="U161">
            <v>58</v>
          </cell>
        </row>
        <row r="162">
          <cell r="R162">
            <v>59</v>
          </cell>
          <cell r="U162">
            <v>59</v>
          </cell>
        </row>
        <row r="163">
          <cell r="R163">
            <v>60</v>
          </cell>
          <cell r="U163">
            <v>60</v>
          </cell>
        </row>
        <row r="164">
          <cell r="R164">
            <v>61</v>
          </cell>
          <cell r="U164">
            <v>61</v>
          </cell>
        </row>
        <row r="165">
          <cell r="R165">
            <v>62</v>
          </cell>
          <cell r="U165">
            <v>62</v>
          </cell>
        </row>
        <row r="166">
          <cell r="R166">
            <v>63</v>
          </cell>
          <cell r="U166">
            <v>63</v>
          </cell>
        </row>
        <row r="167">
          <cell r="R167">
            <v>64</v>
          </cell>
          <cell r="U167">
            <v>64</v>
          </cell>
        </row>
        <row r="168">
          <cell r="R168">
            <v>65</v>
          </cell>
          <cell r="U168">
            <v>65</v>
          </cell>
        </row>
        <row r="169">
          <cell r="R169">
            <v>66</v>
          </cell>
          <cell r="U169">
            <v>66</v>
          </cell>
        </row>
        <row r="170">
          <cell r="R170">
            <v>67</v>
          </cell>
          <cell r="U170">
            <v>67</v>
          </cell>
        </row>
        <row r="171">
          <cell r="R171">
            <v>68</v>
          </cell>
          <cell r="U171">
            <v>68</v>
          </cell>
        </row>
        <row r="172">
          <cell r="R172">
            <v>69</v>
          </cell>
          <cell r="U172">
            <v>69</v>
          </cell>
        </row>
        <row r="173">
          <cell r="R173">
            <v>70</v>
          </cell>
          <cell r="U173">
            <v>70</v>
          </cell>
        </row>
        <row r="174">
          <cell r="R174">
            <v>71</v>
          </cell>
          <cell r="U174">
            <v>71</v>
          </cell>
        </row>
        <row r="175">
          <cell r="R175">
            <v>72</v>
          </cell>
          <cell r="U175">
            <v>72</v>
          </cell>
        </row>
        <row r="176">
          <cell r="R176">
            <v>73</v>
          </cell>
          <cell r="U176">
            <v>73</v>
          </cell>
        </row>
        <row r="177">
          <cell r="R177">
            <v>74</v>
          </cell>
          <cell r="U177">
            <v>74</v>
          </cell>
        </row>
        <row r="178">
          <cell r="R178">
            <v>75</v>
          </cell>
          <cell r="U178">
            <v>75</v>
          </cell>
        </row>
        <row r="179">
          <cell r="R179">
            <v>76</v>
          </cell>
          <cell r="U179">
            <v>76</v>
          </cell>
        </row>
        <row r="180">
          <cell r="R180">
            <v>77</v>
          </cell>
          <cell r="U180">
            <v>77</v>
          </cell>
        </row>
        <row r="181">
          <cell r="R181">
            <v>78</v>
          </cell>
          <cell r="U181">
            <v>78</v>
          </cell>
        </row>
        <row r="182">
          <cell r="R182">
            <v>79</v>
          </cell>
          <cell r="U182">
            <v>79</v>
          </cell>
        </row>
        <row r="183">
          <cell r="R183">
            <v>80</v>
          </cell>
          <cell r="U183">
            <v>80</v>
          </cell>
        </row>
        <row r="184">
          <cell r="R184">
            <v>81</v>
          </cell>
          <cell r="U184">
            <v>81</v>
          </cell>
        </row>
        <row r="185">
          <cell r="R185">
            <v>82</v>
          </cell>
          <cell r="U185">
            <v>82</v>
          </cell>
        </row>
        <row r="186">
          <cell r="R186">
            <v>83</v>
          </cell>
          <cell r="U186">
            <v>83</v>
          </cell>
        </row>
        <row r="187">
          <cell r="R187">
            <v>84</v>
          </cell>
          <cell r="U187">
            <v>84</v>
          </cell>
        </row>
        <row r="188">
          <cell r="R188">
            <v>85</v>
          </cell>
          <cell r="U188">
            <v>85</v>
          </cell>
        </row>
        <row r="189">
          <cell r="R189">
            <v>86</v>
          </cell>
          <cell r="U189">
            <v>86</v>
          </cell>
        </row>
        <row r="190">
          <cell r="R190">
            <v>87</v>
          </cell>
          <cell r="U190">
            <v>87</v>
          </cell>
        </row>
        <row r="191">
          <cell r="R191">
            <v>88</v>
          </cell>
          <cell r="U191">
            <v>88</v>
          </cell>
        </row>
        <row r="192">
          <cell r="R192">
            <v>89</v>
          </cell>
          <cell r="U192">
            <v>89</v>
          </cell>
        </row>
        <row r="193">
          <cell r="R193">
            <v>90</v>
          </cell>
          <cell r="U193">
            <v>90</v>
          </cell>
        </row>
        <row r="194">
          <cell r="R194">
            <v>91</v>
          </cell>
          <cell r="U194">
            <v>91</v>
          </cell>
        </row>
        <row r="195">
          <cell r="R195">
            <v>92</v>
          </cell>
          <cell r="U195">
            <v>92</v>
          </cell>
        </row>
        <row r="196">
          <cell r="R196">
            <v>93</v>
          </cell>
          <cell r="U196">
            <v>93</v>
          </cell>
        </row>
        <row r="197">
          <cell r="R197">
            <v>94</v>
          </cell>
          <cell r="U197">
            <v>94</v>
          </cell>
        </row>
        <row r="198">
          <cell r="R198">
            <v>95</v>
          </cell>
          <cell r="U198">
            <v>95</v>
          </cell>
        </row>
        <row r="199">
          <cell r="R199">
            <v>96</v>
          </cell>
          <cell r="U199">
            <v>96</v>
          </cell>
        </row>
        <row r="200">
          <cell r="R200">
            <v>97</v>
          </cell>
          <cell r="U200">
            <v>97</v>
          </cell>
        </row>
        <row r="201">
          <cell r="R201">
            <v>98</v>
          </cell>
          <cell r="U201">
            <v>98</v>
          </cell>
        </row>
        <row r="202">
          <cell r="R202">
            <v>99</v>
          </cell>
          <cell r="U202">
            <v>99</v>
          </cell>
        </row>
        <row r="203">
          <cell r="R203">
            <v>100</v>
          </cell>
          <cell r="U203">
            <v>100</v>
          </cell>
        </row>
      </sheetData>
      <sheetData sheetId="4"/>
      <sheetData sheetId="5"/>
      <sheetData sheetId="6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2D4CEFE-D87C-4ECE-A9B4-1AFE89B875C0}" diskRevisions="1" version="3" protected="1">
  <header guid="{0777A8B5-B63E-4135-96AB-8F4FA481D2BE}" dateTime="2020-06-21T18:44:27" maxSheetId="9" userName="Davide" r:id="rId1">
    <sheetIdMap count="8">
      <sheetId val="1"/>
      <sheetId val="2"/>
      <sheetId val="3"/>
      <sheetId val="4"/>
      <sheetId val="5"/>
      <sheetId val="6"/>
      <sheetId val="7"/>
      <sheetId val="8"/>
    </sheetIdMap>
  </header>
  <header guid="{7B7DC6FA-430B-4C09-A9FE-BB4B70F40991}" dateTime="2020-06-21T18:44:43" maxSheetId="9" userName="Davide" r:id="rId2">
    <sheetIdMap count="8">
      <sheetId val="1"/>
      <sheetId val="2"/>
      <sheetId val="3"/>
      <sheetId val="4"/>
      <sheetId val="5"/>
      <sheetId val="6"/>
      <sheetId val="7"/>
      <sheetId val="8"/>
    </sheetIdMap>
  </header>
  <header guid="{42D4CEFE-D87C-4ECE-A9B4-1AFE89B875C0}" dateTime="2020-06-21T18:53:24" maxSheetId="9" userName="Davide" r:id="rId3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665FEC6-985A-4058-98C4-6E3C4FA2FD00}" action="delete"/>
  <rcv guid="{4665FEC6-985A-4058-98C4-6E3C4FA2FD0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665FEC6-985A-4058-98C4-6E3C4FA2FD00}" action="delete"/>
  <rcv guid="{4665FEC6-985A-4058-98C4-6E3C4FA2FD0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davidecicchini.it/" TargetMode="External"/><Relationship Id="rId4" Type="http://schemas.openxmlformats.org/officeDocument/2006/relationships/hyperlink" Target="http://www.davidecicchini.i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printerSettings" Target="../printerSettings/printerSettings11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www.geostru.com/geoapp/parametri-sismici.aspx" TargetMode="External"/><Relationship Id="rId4" Type="http://schemas.openxmlformats.org/officeDocument/2006/relationships/hyperlink" Target="http://myspacework.com/applicazioni-online/calcolo-online-dei-parametri-per-la-generazione-degli-spettri-sismici.html" TargetMode="External"/><Relationship Id="rId9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comments" Target="../comments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7" Type="http://schemas.openxmlformats.org/officeDocument/2006/relationships/comments" Target="../comments4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vmlDrawing" Target="../drawings/vmlDrawing4.v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showGridLines="0" showRowColHeaders="0" tabSelected="1" workbookViewId="0">
      <selection activeCell="I39" sqref="I39:K39"/>
    </sheetView>
  </sheetViews>
  <sheetFormatPr defaultColWidth="9.140625" defaultRowHeight="15" x14ac:dyDescent="0.25"/>
  <cols>
    <col min="1" max="1" width="3.7109375" style="130" customWidth="1"/>
    <col min="2" max="16384" width="9.140625" style="130"/>
  </cols>
  <sheetData>
    <row r="1" spans="2:12" x14ac:dyDescent="0.2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x14ac:dyDescent="0.2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2:12" x14ac:dyDescent="0.2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5.75" x14ac:dyDescent="0.25">
      <c r="B5" s="59" t="s">
        <v>348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2:12" ht="15.75" x14ac:dyDescent="0.25">
      <c r="B6" s="59" t="s">
        <v>349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2:12" ht="15.75" x14ac:dyDescent="0.25">
      <c r="B7" s="59" t="s">
        <v>449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2:12" ht="15.75" x14ac:dyDescent="0.25">
      <c r="B8" s="59" t="s">
        <v>350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2:12" ht="15.75" x14ac:dyDescent="0.25">
      <c r="B9" s="59" t="s">
        <v>351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2:12" ht="15.75" x14ac:dyDescent="0.25">
      <c r="B10" s="59" t="s">
        <v>457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2:12" ht="15.75" x14ac:dyDescent="0.25">
      <c r="B11" s="59" t="s">
        <v>352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2:12" ht="15.75" x14ac:dyDescent="0.25">
      <c r="B12" s="59" t="s">
        <v>353</v>
      </c>
      <c r="C12" s="131"/>
      <c r="D12" s="131"/>
      <c r="E12" s="131"/>
      <c r="F12" s="131"/>
      <c r="G12" s="131"/>
      <c r="H12" s="131"/>
      <c r="I12" s="156"/>
      <c r="J12" s="131"/>
      <c r="K12" s="131"/>
      <c r="L12" s="131"/>
    </row>
    <row r="13" spans="2:12" ht="15.75" x14ac:dyDescent="0.25">
      <c r="B13" s="59" t="s">
        <v>354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</row>
    <row r="14" spans="2:12" ht="15.75" x14ac:dyDescent="0.25">
      <c r="B14" s="59" t="s">
        <v>355</v>
      </c>
      <c r="C14" s="131"/>
      <c r="D14" s="131"/>
      <c r="E14" s="131"/>
      <c r="F14" s="131"/>
      <c r="G14" s="131"/>
      <c r="H14" s="131"/>
      <c r="I14" s="157"/>
      <c r="J14" s="131"/>
      <c r="K14" s="131"/>
      <c r="L14" s="131"/>
    </row>
    <row r="15" spans="2:12" ht="15.75" x14ac:dyDescent="0.25">
      <c r="B15" s="59" t="s">
        <v>356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</row>
    <row r="16" spans="2:12" ht="15.75" x14ac:dyDescent="0.25">
      <c r="B16" s="59" t="s">
        <v>357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2:12" ht="15.75" x14ac:dyDescent="0.25">
      <c r="B17" s="59" t="s">
        <v>358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</row>
    <row r="18" spans="2:12" ht="15.75" x14ac:dyDescent="0.25">
      <c r="B18" s="59" t="s">
        <v>5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2:12" x14ac:dyDescent="0.25"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</row>
    <row r="20" spans="2:12" x14ac:dyDescent="0.25">
      <c r="B20" s="131"/>
      <c r="C20" s="131"/>
      <c r="D20" s="253" t="s">
        <v>6</v>
      </c>
      <c r="E20" s="254"/>
      <c r="F20" s="254"/>
      <c r="G20" s="255"/>
      <c r="H20" s="253" t="s">
        <v>7</v>
      </c>
      <c r="I20" s="254"/>
      <c r="J20" s="254"/>
      <c r="K20" s="255"/>
      <c r="L20" s="131"/>
    </row>
    <row r="21" spans="2:12" x14ac:dyDescent="0.25">
      <c r="B21" s="256" t="s">
        <v>8</v>
      </c>
      <c r="C21" s="257"/>
      <c r="D21" s="260" t="s">
        <v>9</v>
      </c>
      <c r="E21" s="261"/>
      <c r="F21" s="261"/>
      <c r="G21" s="262"/>
      <c r="H21" s="260"/>
      <c r="I21" s="261"/>
      <c r="J21" s="261"/>
      <c r="K21" s="262"/>
      <c r="L21" s="131"/>
    </row>
    <row r="22" spans="2:12" ht="15" customHeight="1" x14ac:dyDescent="0.25">
      <c r="B22" s="258"/>
      <c r="C22" s="259"/>
      <c r="D22" s="263" t="s">
        <v>10</v>
      </c>
      <c r="E22" s="264"/>
      <c r="F22" s="264"/>
      <c r="G22" s="265"/>
      <c r="H22" s="263" t="s">
        <v>11</v>
      </c>
      <c r="I22" s="264"/>
      <c r="J22" s="264"/>
      <c r="K22" s="265"/>
      <c r="L22" s="131"/>
    </row>
    <row r="23" spans="2:12" x14ac:dyDescent="0.25">
      <c r="B23" s="236" t="s">
        <v>12</v>
      </c>
      <c r="C23" s="237"/>
      <c r="D23" s="240" t="s">
        <v>13</v>
      </c>
      <c r="E23" s="241"/>
      <c r="F23" s="244" t="s">
        <v>14</v>
      </c>
      <c r="G23" s="245"/>
      <c r="H23" s="240" t="s">
        <v>15</v>
      </c>
      <c r="I23" s="241"/>
      <c r="J23" s="241"/>
      <c r="K23" s="248"/>
      <c r="L23" s="131"/>
    </row>
    <row r="24" spans="2:12" x14ac:dyDescent="0.25">
      <c r="B24" s="238"/>
      <c r="C24" s="239"/>
      <c r="D24" s="242"/>
      <c r="E24" s="243"/>
      <c r="F24" s="246"/>
      <c r="G24" s="247"/>
      <c r="H24" s="242"/>
      <c r="I24" s="243"/>
      <c r="J24" s="243"/>
      <c r="K24" s="249"/>
      <c r="L24" s="131"/>
    </row>
    <row r="25" spans="2:12" x14ac:dyDescent="0.25"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</row>
    <row r="26" spans="2:12" ht="15.75" x14ac:dyDescent="0.25">
      <c r="B26" s="59" t="s">
        <v>399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spans="2:12" ht="15.75" x14ac:dyDescent="0.25">
      <c r="B27" s="59" t="s">
        <v>403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2:12" ht="15.75" x14ac:dyDescent="0.25">
      <c r="B28" s="59" t="s">
        <v>404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</row>
    <row r="29" spans="2:12" ht="15.75" x14ac:dyDescent="0.25">
      <c r="B29" s="59" t="s">
        <v>405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2:12" ht="15.75" x14ac:dyDescent="0.25">
      <c r="B30" s="59" t="s">
        <v>406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</row>
    <row r="31" spans="2:12" ht="15.75" x14ac:dyDescent="0.25">
      <c r="B31" s="59" t="s">
        <v>407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</row>
    <row r="32" spans="2:12" ht="15.75" x14ac:dyDescent="0.25">
      <c r="B32" s="59" t="s">
        <v>408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33" spans="2:12" ht="15.75" x14ac:dyDescent="0.25">
      <c r="B33" s="59"/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2:12" x14ac:dyDescent="0.25"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2:12" x14ac:dyDescent="0.25">
      <c r="B35" s="251" t="s">
        <v>456</v>
      </c>
      <c r="C35" s="251"/>
      <c r="D35" s="251"/>
      <c r="E35" s="131"/>
      <c r="F35" s="131"/>
      <c r="G35" s="131"/>
      <c r="H35" s="131"/>
      <c r="I35" s="131"/>
      <c r="J35" s="131"/>
      <c r="K35" s="131"/>
      <c r="L35" s="131"/>
    </row>
    <row r="36" spans="2:12" x14ac:dyDescent="0.25">
      <c r="B36" s="252">
        <v>44003</v>
      </c>
      <c r="C36" s="251"/>
      <c r="D36" s="251"/>
      <c r="F36" s="131"/>
      <c r="G36" s="131"/>
      <c r="H36" s="131"/>
      <c r="I36" s="131"/>
      <c r="J36" s="131"/>
      <c r="K36" s="131"/>
      <c r="L36" s="131"/>
    </row>
    <row r="37" spans="2:12" x14ac:dyDescent="0.25">
      <c r="B37" s="250" t="s">
        <v>17</v>
      </c>
      <c r="C37" s="250"/>
      <c r="D37" s="250"/>
      <c r="E37" s="131"/>
      <c r="F37" s="131"/>
      <c r="G37" s="131"/>
      <c r="H37" s="131"/>
      <c r="I37" s="234" t="s">
        <v>16</v>
      </c>
      <c r="J37" s="234"/>
      <c r="K37" s="234"/>
      <c r="L37" s="131"/>
    </row>
    <row r="38" spans="2:12" x14ac:dyDescent="0.25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2:12" x14ac:dyDescent="0.25">
      <c r="I39" s="235" t="s">
        <v>17</v>
      </c>
      <c r="J39" s="235"/>
      <c r="K39" s="235"/>
    </row>
  </sheetData>
  <sheetProtection algorithmName="SHA-512" hashValue="bDdjcUbLaxKDZ4pvbxNVP1NLg9vzEPkrbliK14tLBudtvW0cca7/n/uxk4aEodrVw9XcbFuWz+RmIjptEuLchA==" saltValue="WG7xht3/cYfWwSUNUMHs5g==" spinCount="100000" sheet="1" selectLockedCells="1"/>
  <customSheetViews>
    <customSheetView guid="{4665FEC6-985A-4058-98C4-6E3C4FA2FD00}" showGridLines="0" showRowCol="0">
      <selection activeCell="I39" sqref="I39:K39"/>
      <pageMargins left="0.7" right="0.7" top="0.75" bottom="0.75" header="0.3" footer="0.3"/>
      <pageSetup paperSize="9" orientation="portrait" verticalDpi="0" r:id="rId1"/>
    </customSheetView>
    <customSheetView guid="{0B137F07-03B3-4E41-AE6C-8ED78830E82B}" showGridLines="0" showRowCol="0">
      <selection activeCell="I40" sqref="I40:K40"/>
      <pageMargins left="0.7" right="0.7" top="0.75" bottom="0.75" header="0.3" footer="0.3"/>
      <pageSetup paperSize="9" orientation="portrait" verticalDpi="0" r:id="rId2"/>
    </customSheetView>
    <customSheetView guid="{20357F05-553F-42A2-AC78-E7E06E1ED012}" showGridLines="0" showRowCol="0">
      <selection activeCell="I40" sqref="I40:K40"/>
      <pageMargins left="0.7" right="0.7" top="0.75" bottom="0.75" header="0.3" footer="0.3"/>
      <pageSetup paperSize="9" orientation="portrait" verticalDpi="0" r:id="rId3"/>
    </customSheetView>
  </customSheetViews>
  <mergeCells count="16">
    <mergeCell ref="D20:G20"/>
    <mergeCell ref="H20:K20"/>
    <mergeCell ref="B21:C22"/>
    <mergeCell ref="D21:G21"/>
    <mergeCell ref="H21:K21"/>
    <mergeCell ref="D22:G22"/>
    <mergeCell ref="H22:K22"/>
    <mergeCell ref="I37:K37"/>
    <mergeCell ref="I39:K39"/>
    <mergeCell ref="B23:C24"/>
    <mergeCell ref="D23:E24"/>
    <mergeCell ref="F23:G24"/>
    <mergeCell ref="H23:K24"/>
    <mergeCell ref="B37:D37"/>
    <mergeCell ref="B35:D35"/>
    <mergeCell ref="B36:D36"/>
  </mergeCells>
  <hyperlinks>
    <hyperlink ref="I39" r:id="rId4"/>
    <hyperlink ref="B37" r:id="rId5"/>
  </hyperlinks>
  <pageMargins left="0.7" right="0.7" top="0.75" bottom="0.75" header="0.3" footer="0.3"/>
  <pageSetup paperSize="9" orientation="portrait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03"/>
  <sheetViews>
    <sheetView topLeftCell="A37" zoomScaleNormal="100" workbookViewId="0">
      <selection activeCell="E46" sqref="E46"/>
    </sheetView>
  </sheetViews>
  <sheetFormatPr defaultRowHeight="15" x14ac:dyDescent="0.25"/>
  <cols>
    <col min="2" max="2" width="48" customWidth="1"/>
    <col min="4" max="4" width="11.85546875" customWidth="1"/>
    <col min="6" max="6" width="46.42578125" customWidth="1"/>
    <col min="9" max="9" width="10" customWidth="1"/>
    <col min="11" max="11" width="10.140625" bestFit="1" customWidth="1"/>
    <col min="12" max="12" width="10" customWidth="1"/>
    <col min="13" max="13" width="17.42578125" customWidth="1"/>
    <col min="14" max="14" width="16.28515625" customWidth="1"/>
    <col min="15" max="15" width="11.5703125" customWidth="1"/>
    <col min="16" max="16" width="10.28515625" customWidth="1"/>
    <col min="17" max="17" width="10.140625" customWidth="1"/>
    <col min="18" max="19" width="11.42578125" customWidth="1"/>
    <col min="20" max="20" width="12.28515625" customWidth="1"/>
    <col min="22" max="22" width="16.42578125" customWidth="1"/>
    <col min="23" max="23" width="10.42578125" customWidth="1"/>
    <col min="24" max="24" width="11.85546875" customWidth="1"/>
    <col min="28" max="28" width="10.42578125" customWidth="1"/>
    <col min="30" max="30" width="12.7109375" bestFit="1" customWidth="1"/>
    <col min="40" max="40" width="10.5703125" customWidth="1"/>
  </cols>
  <sheetData>
    <row r="1" spans="1:22" x14ac:dyDescent="0.25">
      <c r="B1" t="s">
        <v>20</v>
      </c>
      <c r="Q1" s="39"/>
      <c r="R1" s="39"/>
      <c r="S1" s="71"/>
      <c r="U1" s="65"/>
    </row>
    <row r="2" spans="1:22" x14ac:dyDescent="0.25">
      <c r="P2" s="40"/>
      <c r="Q2" s="39"/>
      <c r="R2" s="39"/>
      <c r="S2" s="73"/>
      <c r="T2" s="73"/>
    </row>
    <row r="3" spans="1:22" ht="23.25" x14ac:dyDescent="0.25">
      <c r="A3" s="4" t="s">
        <v>21</v>
      </c>
      <c r="B3" t="s">
        <v>22</v>
      </c>
      <c r="P3" s="40"/>
      <c r="Q3" s="39"/>
      <c r="R3" s="159">
        <f>R4-1</f>
        <v>-100</v>
      </c>
      <c r="S3" s="73">
        <f>DATI!$E$49/200*R3</f>
        <v>-1.6</v>
      </c>
      <c r="T3" s="73"/>
      <c r="U3" s="159">
        <f t="shared" ref="U3:U66" si="0">U4-1</f>
        <v>-100</v>
      </c>
      <c r="V3" s="73">
        <f>DATI!$E$50/200*R3</f>
        <v>-1.6</v>
      </c>
    </row>
    <row r="4" spans="1:22" x14ac:dyDescent="0.25">
      <c r="P4" s="40"/>
      <c r="Q4" s="39"/>
      <c r="R4" s="159">
        <f t="shared" ref="R4:R67" si="1">R5-1</f>
        <v>-99</v>
      </c>
      <c r="S4" s="73">
        <f>DATI!$E$49/200*R4</f>
        <v>-1.5840000000000001</v>
      </c>
      <c r="T4" s="73"/>
      <c r="U4" s="159">
        <f t="shared" si="0"/>
        <v>-99</v>
      </c>
      <c r="V4" s="73">
        <f>DATI!$E$50/200*R4</f>
        <v>-1.5840000000000001</v>
      </c>
    </row>
    <row r="5" spans="1:22" ht="23.25" x14ac:dyDescent="0.25">
      <c r="A5" s="4" t="s">
        <v>23</v>
      </c>
      <c r="B5" t="s">
        <v>24</v>
      </c>
      <c r="P5" s="40"/>
      <c r="Q5" s="39"/>
      <c r="R5" s="159">
        <f t="shared" si="1"/>
        <v>-98</v>
      </c>
      <c r="S5" s="73">
        <f>DATI!$E$49/200*R5</f>
        <v>-1.5680000000000001</v>
      </c>
      <c r="T5" s="73"/>
      <c r="U5" s="159">
        <f t="shared" si="0"/>
        <v>-98</v>
      </c>
      <c r="V5" s="73">
        <f>DATI!$E$50/200*R5</f>
        <v>-1.5680000000000001</v>
      </c>
    </row>
    <row r="6" spans="1:22" x14ac:dyDescent="0.25">
      <c r="P6" s="40"/>
      <c r="Q6" s="39"/>
      <c r="R6" s="159">
        <f t="shared" si="1"/>
        <v>-97</v>
      </c>
      <c r="S6" s="73">
        <f>DATI!$E$49/200*R6</f>
        <v>-1.552</v>
      </c>
      <c r="T6" s="73"/>
      <c r="U6" s="159">
        <f t="shared" si="0"/>
        <v>-97</v>
      </c>
      <c r="V6" s="73">
        <f>DATI!$E$50/200*R6</f>
        <v>-1.552</v>
      </c>
    </row>
    <row r="7" spans="1:22" ht="23.25" x14ac:dyDescent="0.25">
      <c r="A7" s="4" t="s">
        <v>25</v>
      </c>
      <c r="B7" t="s">
        <v>26</v>
      </c>
      <c r="P7" s="40"/>
      <c r="Q7" s="39"/>
      <c r="R7" s="159">
        <f t="shared" si="1"/>
        <v>-96</v>
      </c>
      <c r="S7" s="73">
        <f>DATI!$E$49/200*R7</f>
        <v>-1.536</v>
      </c>
      <c r="T7" s="73"/>
      <c r="U7" s="159">
        <f t="shared" si="0"/>
        <v>-96</v>
      </c>
      <c r="V7" s="73">
        <f>DATI!$E$50/200*R7</f>
        <v>-1.536</v>
      </c>
    </row>
    <row r="8" spans="1:22" x14ac:dyDescent="0.25">
      <c r="P8" s="40"/>
      <c r="Q8" s="39"/>
      <c r="R8" s="159">
        <f t="shared" si="1"/>
        <v>-95</v>
      </c>
      <c r="S8" s="73">
        <f>DATI!$E$49/200*R8</f>
        <v>-1.52</v>
      </c>
      <c r="T8" s="73"/>
      <c r="U8" s="159">
        <f t="shared" si="0"/>
        <v>-95</v>
      </c>
      <c r="V8" s="73">
        <f>DATI!$E$50/200*R8</f>
        <v>-1.52</v>
      </c>
    </row>
    <row r="9" spans="1:22" ht="15.75" thickBot="1" x14ac:dyDescent="0.3">
      <c r="P9" s="40"/>
      <c r="Q9" s="39"/>
      <c r="R9" s="159">
        <f t="shared" si="1"/>
        <v>-94</v>
      </c>
      <c r="S9" s="73">
        <f>DATI!$E$49/200*R9</f>
        <v>-1.504</v>
      </c>
      <c r="T9" s="73"/>
      <c r="U9" s="159">
        <f t="shared" si="0"/>
        <v>-94</v>
      </c>
      <c r="V9" s="73">
        <f>DATI!$E$50/200*R9</f>
        <v>-1.504</v>
      </c>
    </row>
    <row r="10" spans="1:22" ht="16.5" thickTop="1" thickBot="1" x14ac:dyDescent="0.3">
      <c r="A10" s="2" t="s">
        <v>27</v>
      </c>
      <c r="B10" s="118"/>
      <c r="C10" s="10" t="s">
        <v>28</v>
      </c>
      <c r="D10" s="6" t="str">
        <f>IF(C10="Q","",IF(C10="N","","FATAL ERROR! Inserisci si oppure no"))</f>
        <v/>
      </c>
      <c r="E10">
        <v>1</v>
      </c>
      <c r="P10" s="40"/>
      <c r="Q10" s="39"/>
      <c r="R10" s="159">
        <f t="shared" si="1"/>
        <v>-93</v>
      </c>
      <c r="S10" s="73">
        <f>DATI!$E$49/200*R10</f>
        <v>-1.488</v>
      </c>
      <c r="T10" s="73"/>
      <c r="U10" s="159">
        <f t="shared" si="0"/>
        <v>-93</v>
      </c>
      <c r="V10" s="73">
        <f>DATI!$E$50/200*R10</f>
        <v>-1.488</v>
      </c>
    </row>
    <row r="11" spans="1:22" ht="15.75" thickTop="1" x14ac:dyDescent="0.25">
      <c r="E11">
        <v>2</v>
      </c>
      <c r="P11" s="40"/>
      <c r="Q11" s="39"/>
      <c r="R11" s="159">
        <f t="shared" si="1"/>
        <v>-92</v>
      </c>
      <c r="S11" s="73">
        <f>DATI!$E$49/200*R11</f>
        <v>-1.472</v>
      </c>
      <c r="T11" s="73"/>
      <c r="U11" s="159">
        <f t="shared" si="0"/>
        <v>-92</v>
      </c>
      <c r="V11" s="73">
        <f>DATI!$E$50/200*R11</f>
        <v>-1.472</v>
      </c>
    </row>
    <row r="12" spans="1:22" x14ac:dyDescent="0.25">
      <c r="E12">
        <v>3</v>
      </c>
      <c r="P12" s="40"/>
      <c r="Q12" s="151"/>
      <c r="R12" s="159">
        <f t="shared" si="1"/>
        <v>-91</v>
      </c>
      <c r="S12" s="73">
        <f>DATI!$E$49/200*R12</f>
        <v>-1.456</v>
      </c>
      <c r="T12" s="73"/>
      <c r="U12" s="159">
        <f t="shared" si="0"/>
        <v>-91</v>
      </c>
      <c r="V12" s="73">
        <f>DATI!$E$50/200*R12</f>
        <v>-1.456</v>
      </c>
    </row>
    <row r="13" spans="1:22" x14ac:dyDescent="0.25">
      <c r="P13" s="40"/>
      <c r="Q13" s="39"/>
      <c r="R13" s="159">
        <f t="shared" si="1"/>
        <v>-90</v>
      </c>
      <c r="S13" s="73">
        <f>DATI!$E$49/200*R13</f>
        <v>-1.44</v>
      </c>
      <c r="T13" s="73"/>
      <c r="U13" s="159">
        <f t="shared" si="0"/>
        <v>-90</v>
      </c>
      <c r="V13" s="73">
        <f>DATI!$E$50/200*R13</f>
        <v>-1.44</v>
      </c>
    </row>
    <row r="14" spans="1:22" x14ac:dyDescent="0.25">
      <c r="P14" s="40"/>
      <c r="Q14" s="39"/>
      <c r="R14" s="159">
        <f t="shared" si="1"/>
        <v>-89</v>
      </c>
      <c r="S14" s="73">
        <f>DATI!$E$49/200*R14</f>
        <v>-1.4239999999999999</v>
      </c>
      <c r="T14" s="73"/>
      <c r="U14" s="159">
        <f t="shared" si="0"/>
        <v>-89</v>
      </c>
      <c r="V14" s="73">
        <f>DATI!$E$50/200*R14</f>
        <v>-1.4239999999999999</v>
      </c>
    </row>
    <row r="15" spans="1:22" ht="15.75" thickBot="1" x14ac:dyDescent="0.3">
      <c r="P15" s="40"/>
      <c r="Q15" s="39"/>
      <c r="R15" s="159">
        <f t="shared" si="1"/>
        <v>-88</v>
      </c>
      <c r="S15" s="73">
        <f>DATI!$E$49/200*R15</f>
        <v>-1.4079999999999999</v>
      </c>
      <c r="T15" s="73"/>
      <c r="U15" s="159">
        <f t="shared" si="0"/>
        <v>-88</v>
      </c>
      <c r="V15" s="73">
        <f>DATI!$E$50/200*R15</f>
        <v>-1.4079999999999999</v>
      </c>
    </row>
    <row r="16" spans="1:22" ht="17.25" thickTop="1" thickBot="1" x14ac:dyDescent="0.3">
      <c r="B16" t="s">
        <v>30</v>
      </c>
      <c r="E16" s="4">
        <v>1</v>
      </c>
      <c r="F16" s="5" t="s">
        <v>31</v>
      </c>
      <c r="G16" s="17">
        <f>IF('VER. GEO CONDIZIONI DRENATE'!E50='FOGLIO DEPOSITO'!F16,1,IF('VER. GEO CONDIZIONI DRENATE'!E50='FOGLIO DEPOSITO'!F17,2,IF('VER. GEO CONDIZIONI DRENATE'!E50='FOGLIO DEPOSITO'!F18,3,"")))</f>
        <v>3</v>
      </c>
      <c r="H16" s="4"/>
      <c r="I16" t="s">
        <v>32</v>
      </c>
      <c r="P16" s="40"/>
      <c r="Q16" s="39"/>
      <c r="R16" s="159">
        <f t="shared" si="1"/>
        <v>-87</v>
      </c>
      <c r="S16" s="73">
        <f>DATI!$E$49/200*R16</f>
        <v>-1.3920000000000001</v>
      </c>
      <c r="T16" s="73"/>
      <c r="U16" s="159">
        <f t="shared" si="0"/>
        <v>-87</v>
      </c>
      <c r="V16" s="73">
        <f>DATI!$E$50/200*R16</f>
        <v>-1.3920000000000001</v>
      </c>
    </row>
    <row r="17" spans="2:22" ht="15.75" thickTop="1" x14ac:dyDescent="0.25">
      <c r="B17" t="s">
        <v>33</v>
      </c>
      <c r="E17" s="4">
        <v>2</v>
      </c>
      <c r="F17" s="5" t="s">
        <v>34</v>
      </c>
      <c r="G17" s="4"/>
      <c r="H17" s="4"/>
      <c r="I17" t="s">
        <v>29</v>
      </c>
      <c r="P17" s="40"/>
      <c r="Q17" s="39"/>
      <c r="R17" s="159">
        <f t="shared" si="1"/>
        <v>-86</v>
      </c>
      <c r="S17" s="73">
        <f>DATI!$E$49/200*R17</f>
        <v>-1.3760000000000001</v>
      </c>
      <c r="T17" s="73"/>
      <c r="U17" s="159">
        <f t="shared" si="0"/>
        <v>-86</v>
      </c>
      <c r="V17" s="73">
        <f>DATI!$E$50/200*R17</f>
        <v>-1.3760000000000001</v>
      </c>
    </row>
    <row r="18" spans="2:22" x14ac:dyDescent="0.25">
      <c r="E18" s="4">
        <v>3</v>
      </c>
      <c r="F18" s="5" t="s">
        <v>35</v>
      </c>
      <c r="G18" s="4"/>
      <c r="H18" s="4"/>
      <c r="P18" s="40"/>
      <c r="Q18" s="39"/>
      <c r="R18" s="159">
        <f t="shared" si="1"/>
        <v>-85</v>
      </c>
      <c r="S18" s="73">
        <f>DATI!$E$49/200*R18</f>
        <v>-1.36</v>
      </c>
      <c r="T18" s="73"/>
      <c r="U18" s="159">
        <f t="shared" si="0"/>
        <v>-85</v>
      </c>
      <c r="V18" s="73">
        <f>DATI!$E$50/200*R18</f>
        <v>-1.36</v>
      </c>
    </row>
    <row r="19" spans="2:22" x14ac:dyDescent="0.25">
      <c r="P19" s="40"/>
      <c r="Q19" s="39"/>
      <c r="R19" s="159">
        <f t="shared" si="1"/>
        <v>-84</v>
      </c>
      <c r="S19" s="73">
        <f>DATI!$E$49/200*R19</f>
        <v>-1.3440000000000001</v>
      </c>
      <c r="T19" s="73"/>
      <c r="U19" s="159">
        <f t="shared" si="0"/>
        <v>-84</v>
      </c>
      <c r="V19" s="73">
        <f>DATI!$E$50/200*R19</f>
        <v>-1.3440000000000001</v>
      </c>
    </row>
    <row r="20" spans="2:22" x14ac:dyDescent="0.25">
      <c r="B20" s="62"/>
      <c r="C20" s="62"/>
      <c r="D20" s="62"/>
      <c r="E20" s="28"/>
      <c r="F20" s="28"/>
      <c r="G20" s="28"/>
      <c r="H20" s="28"/>
      <c r="I20" s="28"/>
      <c r="J20" s="28"/>
      <c r="K20" s="28"/>
      <c r="P20" s="40"/>
      <c r="Q20" s="39"/>
      <c r="R20" s="159">
        <f t="shared" si="1"/>
        <v>-83</v>
      </c>
      <c r="S20" s="73">
        <f>DATI!$E$49/200*R20</f>
        <v>-1.3280000000000001</v>
      </c>
      <c r="T20" s="73"/>
      <c r="U20" s="159">
        <f t="shared" si="0"/>
        <v>-83</v>
      </c>
      <c r="V20" s="73">
        <f>DATI!$E$50/200*R20</f>
        <v>-1.3280000000000001</v>
      </c>
    </row>
    <row r="21" spans="2:22" x14ac:dyDescent="0.25">
      <c r="B21" s="83"/>
      <c r="C21" s="83"/>
      <c r="D21" s="83"/>
      <c r="E21" s="38"/>
      <c r="F21" s="38"/>
      <c r="G21" s="38"/>
      <c r="H21" s="38"/>
      <c r="I21" s="38"/>
      <c r="J21" s="38"/>
      <c r="K21" s="38"/>
      <c r="P21" s="40"/>
      <c r="Q21" s="39"/>
      <c r="R21" s="159">
        <f t="shared" si="1"/>
        <v>-82</v>
      </c>
      <c r="S21" s="73">
        <f>DATI!$E$49/200*R21</f>
        <v>-1.3120000000000001</v>
      </c>
      <c r="T21" s="73"/>
      <c r="U21" s="159">
        <f t="shared" si="0"/>
        <v>-82</v>
      </c>
      <c r="V21" s="73">
        <f>DATI!$E$50/200*R21</f>
        <v>-1.3120000000000001</v>
      </c>
    </row>
    <row r="22" spans="2:22" ht="15.75" x14ac:dyDescent="0.25">
      <c r="B22" s="41" t="s">
        <v>53</v>
      </c>
      <c r="C22" s="42"/>
      <c r="D22" s="42"/>
      <c r="E22" s="42"/>
      <c r="F22" s="42"/>
      <c r="G22" s="43"/>
      <c r="H22" s="82"/>
      <c r="I22" s="79"/>
      <c r="J22" s="79"/>
      <c r="K22" s="79"/>
      <c r="L22" s="80"/>
      <c r="P22" s="40"/>
      <c r="Q22" s="39"/>
      <c r="R22" s="159">
        <f t="shared" si="1"/>
        <v>-81</v>
      </c>
      <c r="S22" s="73">
        <f>DATI!$E$49/200*R22</f>
        <v>-1.296</v>
      </c>
      <c r="T22" s="73"/>
      <c r="U22" s="159">
        <f t="shared" si="0"/>
        <v>-81</v>
      </c>
      <c r="V22" s="73">
        <f>DATI!$E$50/200*R22</f>
        <v>-1.296</v>
      </c>
    </row>
    <row r="23" spans="2:22" ht="15.75" x14ac:dyDescent="0.25">
      <c r="B23" s="44"/>
      <c r="C23" s="19"/>
      <c r="D23" s="266" t="s">
        <v>54</v>
      </c>
      <c r="E23" s="266"/>
      <c r="F23" s="266" t="s">
        <v>55</v>
      </c>
      <c r="G23" s="267"/>
      <c r="H23" s="76"/>
      <c r="I23" s="28"/>
      <c r="J23" s="28"/>
      <c r="K23" s="28"/>
      <c r="L23" s="72"/>
      <c r="P23" s="40"/>
      <c r="Q23" s="39"/>
      <c r="R23" s="159">
        <f t="shared" si="1"/>
        <v>-80</v>
      </c>
      <c r="S23" s="73">
        <f>DATI!$E$49/200*R23</f>
        <v>-1.28</v>
      </c>
      <c r="T23" s="73"/>
      <c r="U23" s="159">
        <f t="shared" si="0"/>
        <v>-80</v>
      </c>
      <c r="V23" s="73">
        <f>DATI!$E$50/200*R23</f>
        <v>-1.28</v>
      </c>
    </row>
    <row r="24" spans="2:22" x14ac:dyDescent="0.25">
      <c r="B24" s="44"/>
      <c r="C24" s="19"/>
      <c r="D24" s="268" t="s">
        <v>56</v>
      </c>
      <c r="E24" s="268"/>
      <c r="F24" s="268" t="s">
        <v>57</v>
      </c>
      <c r="G24" s="269"/>
      <c r="H24" s="76"/>
      <c r="I24" s="28"/>
      <c r="J24" s="28"/>
      <c r="K24" s="28"/>
      <c r="L24" s="72"/>
      <c r="P24" s="40"/>
      <c r="Q24" s="39"/>
      <c r="R24" s="159">
        <f t="shared" si="1"/>
        <v>-79</v>
      </c>
      <c r="S24" s="73">
        <f>DATI!$E$49/200*R24</f>
        <v>-1.264</v>
      </c>
      <c r="T24" s="73"/>
      <c r="U24" s="159">
        <f t="shared" si="0"/>
        <v>-79</v>
      </c>
      <c r="V24" s="73">
        <f>DATI!$E$50/200*R24</f>
        <v>-1.264</v>
      </c>
    </row>
    <row r="25" spans="2:22" x14ac:dyDescent="0.25">
      <c r="B25" s="44"/>
      <c r="C25" s="116" t="s">
        <v>38</v>
      </c>
      <c r="D25" s="120">
        <v>0.9</v>
      </c>
      <c r="E25" s="120">
        <f>IF(DATI!C158='FOGLIO DEPOSITO'!I31,1,1.3)</f>
        <v>1</v>
      </c>
      <c r="F25" s="120">
        <v>1</v>
      </c>
      <c r="G25" s="45">
        <v>1</v>
      </c>
      <c r="H25" s="76"/>
      <c r="I25" s="103" t="s">
        <v>58</v>
      </c>
      <c r="J25" s="28"/>
      <c r="K25" s="28"/>
      <c r="L25" s="72"/>
      <c r="P25" s="40"/>
      <c r="Q25" s="39"/>
      <c r="R25" s="159">
        <f t="shared" si="1"/>
        <v>-78</v>
      </c>
      <c r="S25" s="73">
        <f>DATI!$E$49/200*R25</f>
        <v>-1.248</v>
      </c>
      <c r="T25" s="73"/>
      <c r="U25" s="159">
        <f t="shared" si="0"/>
        <v>-78</v>
      </c>
      <c r="V25" s="73">
        <f>DATI!$E$50/200*R25</f>
        <v>-1.248</v>
      </c>
    </row>
    <row r="26" spans="2:22" x14ac:dyDescent="0.25">
      <c r="B26" s="44"/>
      <c r="C26" s="116" t="s">
        <v>39</v>
      </c>
      <c r="D26" s="120">
        <v>0</v>
      </c>
      <c r="E26" s="120">
        <f>IF(DATI!C158='FOGLIO DEPOSITO'!I31,1,1.5)</f>
        <v>1</v>
      </c>
      <c r="F26" s="120">
        <v>0</v>
      </c>
      <c r="G26" s="45">
        <f>IF(DATI!C158='FOGLIO DEPOSITO'!I31,1,1.3)</f>
        <v>1</v>
      </c>
      <c r="H26" s="76"/>
      <c r="I26" s="103" t="s">
        <v>59</v>
      </c>
      <c r="J26" s="28"/>
      <c r="K26" s="28"/>
      <c r="L26" s="72"/>
      <c r="P26" s="40"/>
      <c r="Q26" s="39"/>
      <c r="R26" s="159">
        <f t="shared" si="1"/>
        <v>-77</v>
      </c>
      <c r="S26" s="73">
        <f>DATI!$E$49/200*R26</f>
        <v>-1.232</v>
      </c>
      <c r="T26" s="73"/>
      <c r="U26" s="159">
        <f t="shared" si="0"/>
        <v>-77</v>
      </c>
      <c r="V26" s="73">
        <f>DATI!$E$50/200*R26</f>
        <v>-1.232</v>
      </c>
    </row>
    <row r="27" spans="2:22" x14ac:dyDescent="0.25">
      <c r="B27" s="44"/>
      <c r="C27" s="116" t="s">
        <v>40</v>
      </c>
      <c r="D27" s="120">
        <v>0</v>
      </c>
      <c r="E27" s="120">
        <f>IF(DATI!C158='FOGLIO DEPOSITO'!I31,1,1.5)</f>
        <v>1</v>
      </c>
      <c r="F27" s="120">
        <v>0</v>
      </c>
      <c r="G27" s="45">
        <f>IF(DATI!C158='FOGLIO DEPOSITO'!I31,1,1.3)</f>
        <v>1</v>
      </c>
      <c r="H27" s="76"/>
      <c r="I27" s="103" t="s">
        <v>60</v>
      </c>
      <c r="J27" s="28"/>
      <c r="K27" s="28"/>
      <c r="L27" s="72"/>
      <c r="P27" s="40"/>
      <c r="Q27" s="39"/>
      <c r="R27" s="159">
        <f t="shared" si="1"/>
        <v>-76</v>
      </c>
      <c r="S27" s="73">
        <f>DATI!$E$49/200*R27</f>
        <v>-1.216</v>
      </c>
      <c r="T27" s="73"/>
      <c r="U27" s="159">
        <f t="shared" si="0"/>
        <v>-76</v>
      </c>
      <c r="V27" s="73">
        <f>DATI!$E$50/200*R27</f>
        <v>-1.216</v>
      </c>
    </row>
    <row r="28" spans="2:22" ht="15.75" thickBot="1" x14ac:dyDescent="0.3">
      <c r="B28" s="44"/>
      <c r="C28" s="19"/>
      <c r="D28" s="19"/>
      <c r="E28" s="15"/>
      <c r="F28" s="19"/>
      <c r="G28" s="46"/>
      <c r="H28" s="76"/>
      <c r="I28" s="19" t="s">
        <v>61</v>
      </c>
      <c r="J28" s="28"/>
      <c r="K28" s="28"/>
      <c r="L28" s="72"/>
      <c r="P28" s="40"/>
      <c r="Q28" s="39"/>
      <c r="R28" s="159">
        <f t="shared" si="1"/>
        <v>-75</v>
      </c>
      <c r="S28" s="73">
        <f>DATI!$E$49/200*R28</f>
        <v>-1.2</v>
      </c>
      <c r="T28" s="73"/>
      <c r="U28" s="159">
        <f t="shared" si="0"/>
        <v>-75</v>
      </c>
      <c r="V28" s="73">
        <f>DATI!$E$50/200*R28</f>
        <v>-1.2</v>
      </c>
    </row>
    <row r="29" spans="2:22" ht="17.25" thickTop="1" thickBot="1" x14ac:dyDescent="0.3">
      <c r="B29" s="44"/>
      <c r="C29" s="19"/>
      <c r="D29" s="116" t="s">
        <v>62</v>
      </c>
      <c r="E29" s="116" t="s">
        <v>63</v>
      </c>
      <c r="F29" s="19"/>
      <c r="G29" s="46"/>
      <c r="H29" s="76"/>
      <c r="I29" s="21">
        <f>IF(DATI!C154='FOGLIO DEPOSITO'!I25,1,IF(DATI!C154='FOGLIO DEPOSITO'!I26,2,IF(DATI!C154='FOGLIO DEPOSITO'!I27,3,0)))</f>
        <v>3</v>
      </c>
      <c r="J29" s="28"/>
      <c r="K29" s="28"/>
      <c r="L29" s="72"/>
      <c r="P29" s="40"/>
      <c r="Q29" s="39"/>
      <c r="R29" s="159">
        <f t="shared" si="1"/>
        <v>-74</v>
      </c>
      <c r="S29" s="73">
        <f>DATI!$E$49/200*R29</f>
        <v>-1.1839999999999999</v>
      </c>
      <c r="T29" s="73"/>
      <c r="U29" s="159">
        <f t="shared" si="0"/>
        <v>-74</v>
      </c>
      <c r="V29" s="73">
        <f>DATI!$E$50/200*R29</f>
        <v>-1.1839999999999999</v>
      </c>
    </row>
    <row r="30" spans="2:22" ht="15.75" thickTop="1" x14ac:dyDescent="0.25">
      <c r="B30" s="44"/>
      <c r="C30" s="116" t="s">
        <v>64</v>
      </c>
      <c r="D30" s="120">
        <v>1</v>
      </c>
      <c r="E30" s="120">
        <v>1.25</v>
      </c>
      <c r="F30" s="19"/>
      <c r="G30" s="46"/>
      <c r="H30" s="76"/>
      <c r="I30" s="28"/>
      <c r="J30" s="28"/>
      <c r="K30" s="28"/>
      <c r="L30" s="72"/>
      <c r="P30" s="40"/>
      <c r="Q30" s="39"/>
      <c r="R30" s="159">
        <f t="shared" si="1"/>
        <v>-73</v>
      </c>
      <c r="S30" s="73">
        <f>DATI!$E$49/200*R30</f>
        <v>-1.1679999999999999</v>
      </c>
      <c r="T30" s="73"/>
      <c r="U30" s="159">
        <f t="shared" si="0"/>
        <v>-73</v>
      </c>
      <c r="V30" s="73">
        <f>DATI!$E$50/200*R30</f>
        <v>-1.1679999999999999</v>
      </c>
    </row>
    <row r="31" spans="2:22" x14ac:dyDescent="0.25">
      <c r="B31" s="44"/>
      <c r="C31" s="116" t="s">
        <v>65</v>
      </c>
      <c r="D31" s="120">
        <v>1</v>
      </c>
      <c r="E31" s="120">
        <v>1.25</v>
      </c>
      <c r="F31" s="19"/>
      <c r="G31" s="46"/>
      <c r="H31" s="76"/>
      <c r="I31" s="28" t="s">
        <v>66</v>
      </c>
      <c r="J31" s="28"/>
      <c r="K31" s="28"/>
      <c r="L31" s="72"/>
      <c r="P31" s="40"/>
      <c r="Q31" s="39"/>
      <c r="R31" s="159">
        <f t="shared" si="1"/>
        <v>-72</v>
      </c>
      <c r="S31" s="73">
        <f>DATI!$E$49/200*R31</f>
        <v>-1.1520000000000001</v>
      </c>
      <c r="T31" s="73"/>
      <c r="U31" s="159">
        <f t="shared" si="0"/>
        <v>-72</v>
      </c>
      <c r="V31" s="73">
        <f>DATI!$E$50/200*R31</f>
        <v>-1.1520000000000001</v>
      </c>
    </row>
    <row r="32" spans="2:22" x14ac:dyDescent="0.25">
      <c r="B32" s="44"/>
      <c r="C32" s="116" t="s">
        <v>67</v>
      </c>
      <c r="D32" s="120">
        <v>1</v>
      </c>
      <c r="E32" s="120">
        <v>1.4</v>
      </c>
      <c r="F32" s="19"/>
      <c r="G32" s="46"/>
      <c r="H32" s="76"/>
      <c r="I32" s="28" t="s">
        <v>112</v>
      </c>
      <c r="J32" s="28"/>
      <c r="K32" s="28"/>
      <c r="L32" s="72"/>
      <c r="P32" s="40"/>
      <c r="Q32" s="39"/>
      <c r="R32" s="159">
        <f t="shared" si="1"/>
        <v>-71</v>
      </c>
      <c r="S32" s="73">
        <f>DATI!$E$49/200*R32</f>
        <v>-1.1360000000000001</v>
      </c>
      <c r="T32" s="73"/>
      <c r="U32" s="159">
        <f t="shared" si="0"/>
        <v>-71</v>
      </c>
      <c r="V32" s="73">
        <f>DATI!$E$50/200*R32</f>
        <v>-1.1360000000000001</v>
      </c>
    </row>
    <row r="33" spans="2:22" x14ac:dyDescent="0.25">
      <c r="B33" s="44"/>
      <c r="C33" s="47" t="s">
        <v>68</v>
      </c>
      <c r="D33" s="120">
        <v>1</v>
      </c>
      <c r="E33" s="120">
        <v>1</v>
      </c>
      <c r="F33" s="19"/>
      <c r="G33" s="46"/>
      <c r="H33" s="76"/>
      <c r="I33" s="28"/>
      <c r="J33" s="28"/>
      <c r="K33" s="28"/>
      <c r="L33" s="72"/>
      <c r="P33" s="40"/>
      <c r="Q33" s="39"/>
      <c r="R33" s="159">
        <f t="shared" si="1"/>
        <v>-70</v>
      </c>
      <c r="S33" s="73">
        <f>DATI!$E$49/200*R33</f>
        <v>-1.1200000000000001</v>
      </c>
      <c r="T33" s="73"/>
      <c r="U33" s="159">
        <f t="shared" si="0"/>
        <v>-70</v>
      </c>
      <c r="V33" s="73">
        <f>DATI!$E$50/200*R33</f>
        <v>-1.1200000000000001</v>
      </c>
    </row>
    <row r="34" spans="2:22" x14ac:dyDescent="0.25">
      <c r="B34" s="44"/>
      <c r="C34" s="19"/>
      <c r="D34" s="19"/>
      <c r="E34" s="15"/>
      <c r="F34" s="19"/>
      <c r="G34" s="46"/>
      <c r="H34" s="76"/>
      <c r="I34" s="28"/>
      <c r="J34" s="28"/>
      <c r="K34" s="28"/>
      <c r="L34" s="72"/>
      <c r="P34" s="40"/>
      <c r="Q34" s="39"/>
      <c r="R34" s="159">
        <f t="shared" si="1"/>
        <v>-69</v>
      </c>
      <c r="S34" s="73">
        <f>DATI!$E$49/200*R34</f>
        <v>-1.1040000000000001</v>
      </c>
      <c r="T34" s="73"/>
      <c r="U34" s="159">
        <f t="shared" si="0"/>
        <v>-69</v>
      </c>
      <c r="V34" s="73">
        <f>DATI!$E$50/200*R34</f>
        <v>-1.1040000000000001</v>
      </c>
    </row>
    <row r="35" spans="2:22" x14ac:dyDescent="0.25">
      <c r="B35" s="44"/>
      <c r="C35" s="19"/>
      <c r="D35" s="116" t="s">
        <v>69</v>
      </c>
      <c r="E35" s="116" t="s">
        <v>70</v>
      </c>
      <c r="F35" s="116" t="s">
        <v>71</v>
      </c>
      <c r="G35" s="46"/>
      <c r="H35" s="76"/>
      <c r="I35" s="28"/>
      <c r="J35" s="28"/>
      <c r="K35" s="28"/>
      <c r="L35" s="72"/>
      <c r="P35" s="40"/>
      <c r="Q35" s="39"/>
      <c r="R35" s="159">
        <f t="shared" si="1"/>
        <v>-68</v>
      </c>
      <c r="S35" s="73">
        <f>DATI!$E$49/200*R35</f>
        <v>-1.0880000000000001</v>
      </c>
      <c r="T35" s="73"/>
      <c r="U35" s="159">
        <f t="shared" si="0"/>
        <v>-68</v>
      </c>
      <c r="V35" s="73">
        <f>DATI!$E$50/200*R35</f>
        <v>-1.0880000000000001</v>
      </c>
    </row>
    <row r="36" spans="2:22" x14ac:dyDescent="0.25">
      <c r="B36" s="76"/>
      <c r="C36" s="101" t="s">
        <v>72</v>
      </c>
      <c r="D36" s="120">
        <v>1</v>
      </c>
      <c r="E36" s="120">
        <v>1.8</v>
      </c>
      <c r="F36" s="120">
        <v>2.2999999999999998</v>
      </c>
      <c r="G36" s="46"/>
      <c r="H36" s="76"/>
      <c r="I36" s="28"/>
      <c r="J36" s="28"/>
      <c r="K36" s="28"/>
      <c r="L36" s="72"/>
      <c r="P36" s="40"/>
      <c r="Q36" s="39"/>
      <c r="R36" s="159">
        <f t="shared" si="1"/>
        <v>-67</v>
      </c>
      <c r="S36" s="73">
        <f>DATI!$E$49/200*R36</f>
        <v>-1.0720000000000001</v>
      </c>
      <c r="T36" s="73"/>
      <c r="U36" s="159">
        <f t="shared" si="0"/>
        <v>-67</v>
      </c>
      <c r="V36" s="73">
        <f>DATI!$E$50/200*R36</f>
        <v>-1.0720000000000001</v>
      </c>
    </row>
    <row r="37" spans="2:22" x14ac:dyDescent="0.25">
      <c r="B37" s="77"/>
      <c r="C37" s="102" t="s">
        <v>73</v>
      </c>
      <c r="D37" s="48">
        <v>1</v>
      </c>
      <c r="E37" s="48">
        <v>1.1000000000000001</v>
      </c>
      <c r="F37" s="48">
        <v>1.1000000000000001</v>
      </c>
      <c r="G37" s="49"/>
      <c r="H37" s="77"/>
      <c r="I37" s="38"/>
      <c r="J37" s="38"/>
      <c r="K37" s="38"/>
      <c r="L37" s="78"/>
      <c r="P37" s="40"/>
      <c r="Q37" s="39"/>
      <c r="R37" s="159">
        <f t="shared" si="1"/>
        <v>-66</v>
      </c>
      <c r="S37" s="73">
        <f>DATI!$E$49/200*R37</f>
        <v>-1.056</v>
      </c>
      <c r="T37" s="73"/>
      <c r="U37" s="159">
        <f t="shared" si="0"/>
        <v>-66</v>
      </c>
      <c r="V37" s="73">
        <f>DATI!$E$50/200*R37</f>
        <v>-1.056</v>
      </c>
    </row>
    <row r="38" spans="2:22" x14ac:dyDescent="0.25">
      <c r="P38" s="40"/>
      <c r="Q38" s="39"/>
      <c r="R38" s="159">
        <f t="shared" si="1"/>
        <v>-65</v>
      </c>
      <c r="S38" s="73">
        <f>DATI!$E$49/200*R38</f>
        <v>-1.04</v>
      </c>
      <c r="T38" s="73"/>
      <c r="U38" s="159">
        <f t="shared" si="0"/>
        <v>-65</v>
      </c>
      <c r="V38" s="73">
        <f>DATI!$E$50/200*R38</f>
        <v>-1.04</v>
      </c>
    </row>
    <row r="39" spans="2:22" x14ac:dyDescent="0.25">
      <c r="G39" t="s">
        <v>84</v>
      </c>
      <c r="P39" s="40"/>
      <c r="Q39" s="39"/>
      <c r="R39" s="159">
        <f t="shared" si="1"/>
        <v>-64</v>
      </c>
      <c r="S39" s="73">
        <f>DATI!$E$49/200*R39</f>
        <v>-1.024</v>
      </c>
      <c r="T39" s="73"/>
      <c r="U39" s="159">
        <f t="shared" si="0"/>
        <v>-64</v>
      </c>
      <c r="V39" s="73">
        <f>DATI!$E$50/200*R39</f>
        <v>-1.024</v>
      </c>
    </row>
    <row r="40" spans="2:22" x14ac:dyDescent="0.25">
      <c r="C40" s="27"/>
      <c r="D40" t="s">
        <v>85</v>
      </c>
      <c r="E40" s="27">
        <f>10</f>
        <v>10</v>
      </c>
      <c r="P40" s="40"/>
      <c r="Q40" s="39"/>
      <c r="R40" s="159">
        <f t="shared" si="1"/>
        <v>-63</v>
      </c>
      <c r="S40" s="73">
        <f>DATI!$E$49/200*R40</f>
        <v>-1.008</v>
      </c>
      <c r="T40" s="73"/>
      <c r="U40" s="159">
        <f t="shared" si="0"/>
        <v>-63</v>
      </c>
      <c r="V40" s="73">
        <f>DATI!$E$50/200*R40</f>
        <v>-1.008</v>
      </c>
    </row>
    <row r="41" spans="2:22" x14ac:dyDescent="0.25">
      <c r="C41" s="27"/>
      <c r="D41" t="s">
        <v>90</v>
      </c>
      <c r="E41" s="27">
        <v>15</v>
      </c>
      <c r="G41" s="82"/>
      <c r="H41" s="115" t="s">
        <v>86</v>
      </c>
      <c r="I41" s="93" t="s">
        <v>87</v>
      </c>
      <c r="J41" s="93" t="s">
        <v>88</v>
      </c>
      <c r="K41" s="79"/>
      <c r="L41" s="79" t="s">
        <v>4</v>
      </c>
      <c r="M41" s="80" t="s">
        <v>89</v>
      </c>
      <c r="P41" s="40"/>
      <c r="Q41" s="39"/>
      <c r="R41" s="159">
        <f t="shared" si="1"/>
        <v>-62</v>
      </c>
      <c r="S41" s="73">
        <f>DATI!$E$49/200*R41</f>
        <v>-0.99199999999999999</v>
      </c>
      <c r="T41" s="73"/>
      <c r="U41" s="159">
        <f t="shared" si="0"/>
        <v>-62</v>
      </c>
      <c r="V41" s="73">
        <f>DATI!$E$50/200*R41</f>
        <v>-0.99199999999999999</v>
      </c>
    </row>
    <row r="42" spans="2:22" x14ac:dyDescent="0.25">
      <c r="D42" t="s">
        <v>92</v>
      </c>
      <c r="E42" s="27">
        <v>20</v>
      </c>
      <c r="G42" s="76" t="s">
        <v>4</v>
      </c>
      <c r="H42" s="40">
        <v>1</v>
      </c>
      <c r="I42" s="94">
        <v>1</v>
      </c>
      <c r="J42" s="95">
        <v>1</v>
      </c>
      <c r="K42" s="28"/>
      <c r="L42" s="28" t="s">
        <v>76</v>
      </c>
      <c r="M42" s="72" t="s">
        <v>91</v>
      </c>
      <c r="P42" s="40"/>
      <c r="Q42" s="39"/>
      <c r="R42" s="159">
        <f t="shared" si="1"/>
        <v>-61</v>
      </c>
      <c r="S42" s="73">
        <f>DATI!$E$49/200*R42</f>
        <v>-0.97599999999999998</v>
      </c>
      <c r="T42" s="73"/>
      <c r="U42" s="159">
        <f t="shared" si="0"/>
        <v>-61</v>
      </c>
      <c r="V42" s="73">
        <f>DATI!$E$50/200*R42</f>
        <v>-0.97599999999999998</v>
      </c>
    </row>
    <row r="43" spans="2:22" x14ac:dyDescent="0.25">
      <c r="D43" t="s">
        <v>95</v>
      </c>
      <c r="E43" s="27">
        <v>25</v>
      </c>
      <c r="G43" s="76" t="s">
        <v>76</v>
      </c>
      <c r="H43" s="40">
        <f>MIN(1.4-0.4*DATI!E16*DATI!E15/DATI!E21,1.2)</f>
        <v>1.2</v>
      </c>
      <c r="I43" s="94">
        <f>1.1*DATI!E17^(-0.2)</f>
        <v>1.3985544712248459</v>
      </c>
      <c r="J43" s="95">
        <v>1.2</v>
      </c>
      <c r="K43" s="28"/>
      <c r="L43" s="28" t="s">
        <v>93</v>
      </c>
      <c r="M43" s="72" t="s">
        <v>94</v>
      </c>
      <c r="P43" s="40"/>
      <c r="Q43" s="39"/>
      <c r="R43" s="159">
        <f t="shared" si="1"/>
        <v>-60</v>
      </c>
      <c r="S43" s="73">
        <f>DATI!$E$49/200*R43</f>
        <v>-0.96</v>
      </c>
      <c r="T43" s="73"/>
      <c r="U43" s="159">
        <f t="shared" si="0"/>
        <v>-60</v>
      </c>
      <c r="V43" s="73">
        <f>DATI!$E$50/200*R43</f>
        <v>-0.96</v>
      </c>
    </row>
    <row r="44" spans="2:22" x14ac:dyDescent="0.25">
      <c r="D44" t="s">
        <v>98</v>
      </c>
      <c r="E44" s="27">
        <v>30</v>
      </c>
      <c r="G44" s="76" t="s">
        <v>93</v>
      </c>
      <c r="H44" s="40">
        <f>MIN(1.7-0.6*DATI!E16*DATI!E15/DATI!E21,1.5)</f>
        <v>1.4695060167244542</v>
      </c>
      <c r="I44" s="94">
        <f>1.05*DATI!E17^(-0.33)</f>
        <v>1.5604949067512102</v>
      </c>
      <c r="J44" s="96">
        <v>1.2</v>
      </c>
      <c r="K44" s="28"/>
      <c r="L44" s="28" t="s">
        <v>96</v>
      </c>
      <c r="M44" s="72" t="s">
        <v>97</v>
      </c>
      <c r="P44" s="40"/>
      <c r="Q44" s="39"/>
      <c r="R44" s="159">
        <f t="shared" si="1"/>
        <v>-59</v>
      </c>
      <c r="S44" s="73">
        <f>DATI!$E$49/200*R44</f>
        <v>-0.94400000000000006</v>
      </c>
      <c r="T44" s="73"/>
      <c r="U44" s="159">
        <f t="shared" si="0"/>
        <v>-59</v>
      </c>
      <c r="V44" s="73">
        <f>DATI!$E$50/200*R44</f>
        <v>-0.94400000000000006</v>
      </c>
    </row>
    <row r="45" spans="2:22" x14ac:dyDescent="0.25">
      <c r="D45" s="130" t="s">
        <v>459</v>
      </c>
      <c r="E45" s="159">
        <v>35</v>
      </c>
      <c r="G45" s="76" t="s">
        <v>96</v>
      </c>
      <c r="H45" s="40">
        <f>MIN(2.4-1.5*DATI!E16*DATI!E15/DATI!E21,1.8)</f>
        <v>1.8</v>
      </c>
      <c r="I45" s="97">
        <f>1.25*DATI!E17^(-0.5)</f>
        <v>2.2783831768015288</v>
      </c>
      <c r="J45" s="95">
        <v>1.4</v>
      </c>
      <c r="K45" s="28"/>
      <c r="L45" s="28" t="s">
        <v>99</v>
      </c>
      <c r="M45" s="72"/>
      <c r="P45" s="40"/>
      <c r="Q45" s="39"/>
      <c r="R45" s="159">
        <f t="shared" si="1"/>
        <v>-58</v>
      </c>
      <c r="S45" s="73">
        <f>DATI!$E$49/200*R45</f>
        <v>-0.92800000000000005</v>
      </c>
      <c r="T45" s="73"/>
      <c r="U45" s="159">
        <f t="shared" si="0"/>
        <v>-58</v>
      </c>
      <c r="V45" s="73">
        <f>DATI!$E$50/200*R45</f>
        <v>-0.92800000000000005</v>
      </c>
    </row>
    <row r="46" spans="2:22" x14ac:dyDescent="0.25">
      <c r="D46" t="s">
        <v>454</v>
      </c>
      <c r="E46" s="27">
        <v>37</v>
      </c>
      <c r="G46" s="77" t="s">
        <v>99</v>
      </c>
      <c r="H46" s="63">
        <f>MIN(2-1.1*DATI!E16*DATI!E15/DATI!E21,1.6)</f>
        <v>1.5774276973281662</v>
      </c>
      <c r="I46" s="98">
        <f>1.15*DATI!E17^(-0.4)</f>
        <v>1.8589651242400489</v>
      </c>
      <c r="J46" s="38"/>
      <c r="K46" s="38"/>
      <c r="L46" s="38"/>
      <c r="M46" s="78"/>
      <c r="P46" s="40"/>
      <c r="Q46" s="39"/>
      <c r="R46" s="159">
        <f t="shared" si="1"/>
        <v>-57</v>
      </c>
      <c r="S46" s="73">
        <f>DATI!$E$49/200*R46</f>
        <v>-0.91200000000000003</v>
      </c>
      <c r="T46" s="73"/>
      <c r="U46" s="159">
        <f t="shared" si="0"/>
        <v>-57</v>
      </c>
      <c r="V46" s="73">
        <f>DATI!$E$50/200*R46</f>
        <v>-0.91200000000000003</v>
      </c>
    </row>
    <row r="47" spans="2:22" x14ac:dyDescent="0.25">
      <c r="D47" t="s">
        <v>100</v>
      </c>
      <c r="E47" s="27">
        <v>45</v>
      </c>
      <c r="P47" s="40"/>
      <c r="Q47" s="39"/>
      <c r="R47" s="159">
        <f t="shared" si="1"/>
        <v>-56</v>
      </c>
      <c r="S47" s="73">
        <f>DATI!$E$49/200*R47</f>
        <v>-0.89600000000000002</v>
      </c>
      <c r="T47" s="73"/>
      <c r="U47" s="159">
        <f t="shared" si="0"/>
        <v>-56</v>
      </c>
      <c r="V47" s="73">
        <f>DATI!$E$50/200*R47</f>
        <v>-0.89600000000000002</v>
      </c>
    </row>
    <row r="48" spans="2:22" x14ac:dyDescent="0.25">
      <c r="D48" t="s">
        <v>101</v>
      </c>
      <c r="E48" s="27">
        <v>50</v>
      </c>
      <c r="G48" s="70" t="s">
        <v>104</v>
      </c>
      <c r="H48" s="27"/>
      <c r="K48" s="2" t="s">
        <v>121</v>
      </c>
      <c r="L48" s="117" t="s">
        <v>122</v>
      </c>
      <c r="M48" s="108">
        <f>VLOOKUP(DATI!E5,'FOGLIO DEPOSITO'!D40:E51,2,FALSE)</f>
        <v>35</v>
      </c>
      <c r="P48" s="40"/>
      <c r="Q48" s="39"/>
      <c r="R48" s="159">
        <f t="shared" si="1"/>
        <v>-55</v>
      </c>
      <c r="S48" s="73">
        <f>DATI!$E$49/200*R48</f>
        <v>-0.88</v>
      </c>
      <c r="T48" s="73"/>
      <c r="U48" s="159">
        <f t="shared" si="0"/>
        <v>-55</v>
      </c>
      <c r="V48" s="73">
        <f>DATI!$E$50/200*R48</f>
        <v>-0.88</v>
      </c>
    </row>
    <row r="49" spans="2:22" x14ac:dyDescent="0.25">
      <c r="D49" t="s">
        <v>102</v>
      </c>
      <c r="E49" s="27">
        <v>55</v>
      </c>
      <c r="G49" s="119" t="s">
        <v>4</v>
      </c>
      <c r="H49" s="119" t="s">
        <v>105</v>
      </c>
      <c r="K49" s="2" t="s">
        <v>123</v>
      </c>
      <c r="L49" s="117" t="s">
        <v>124</v>
      </c>
      <c r="M49" s="108">
        <f>M50+8</f>
        <v>37.049999999999997</v>
      </c>
      <c r="P49" s="40"/>
      <c r="Q49" s="39"/>
      <c r="R49" s="159">
        <f t="shared" si="1"/>
        <v>-54</v>
      </c>
      <c r="S49" s="73">
        <f>DATI!$E$49/200*R49</f>
        <v>-0.86399999999999999</v>
      </c>
      <c r="T49" s="73"/>
      <c r="U49" s="159">
        <f t="shared" si="0"/>
        <v>-54</v>
      </c>
      <c r="V49" s="73">
        <f>DATI!$E$50/200*R49</f>
        <v>-0.86399999999999999</v>
      </c>
    </row>
    <row r="50" spans="2:22" x14ac:dyDescent="0.25">
      <c r="D50" t="s">
        <v>103</v>
      </c>
      <c r="E50" s="27">
        <v>60</v>
      </c>
      <c r="G50" s="119" t="s">
        <v>106</v>
      </c>
      <c r="H50" s="119" t="s">
        <v>106</v>
      </c>
      <c r="K50" s="2" t="s">
        <v>125</v>
      </c>
      <c r="L50" s="117" t="s">
        <v>126</v>
      </c>
      <c r="M50" s="108">
        <f>M48*0.83</f>
        <v>29.049999999999997</v>
      </c>
      <c r="P50" s="40"/>
      <c r="Q50" s="39"/>
      <c r="R50" s="159">
        <f t="shared" si="1"/>
        <v>-53</v>
      </c>
      <c r="S50" s="73">
        <f>DATI!$E$49/200*R50</f>
        <v>-0.84799999999999998</v>
      </c>
      <c r="T50" s="73"/>
      <c r="U50" s="159">
        <f t="shared" si="0"/>
        <v>-53</v>
      </c>
      <c r="V50" s="73">
        <f>DATI!$E$50/200*R50</f>
        <v>-0.84799999999999998</v>
      </c>
    </row>
    <row r="51" spans="2:22" x14ac:dyDescent="0.25">
      <c r="D51" t="s">
        <v>455</v>
      </c>
      <c r="E51" s="27">
        <v>67</v>
      </c>
      <c r="F51" s="99" t="s">
        <v>107</v>
      </c>
      <c r="G51" s="119">
        <v>0.38</v>
      </c>
      <c r="H51" s="119">
        <v>0.38</v>
      </c>
      <c r="K51" s="2" t="s">
        <v>127</v>
      </c>
      <c r="L51" s="117" t="s">
        <v>128</v>
      </c>
      <c r="M51" s="108">
        <f>(0.83*M48)/1.5</f>
        <v>19.366666666666664</v>
      </c>
      <c r="P51" s="40"/>
      <c r="Q51" s="39"/>
      <c r="R51" s="159">
        <f t="shared" si="1"/>
        <v>-52</v>
      </c>
      <c r="S51" s="73">
        <f>DATI!$E$49/200*R51</f>
        <v>-0.83200000000000007</v>
      </c>
      <c r="U51" s="159">
        <f t="shared" si="0"/>
        <v>-52</v>
      </c>
      <c r="V51" s="73">
        <f>DATI!$E$50/200*R51</f>
        <v>-0.83200000000000007</v>
      </c>
    </row>
    <row r="52" spans="2:22" x14ac:dyDescent="0.25">
      <c r="F52" s="99" t="s">
        <v>108</v>
      </c>
      <c r="G52" s="119">
        <v>0.38</v>
      </c>
      <c r="H52" s="119">
        <v>0.38</v>
      </c>
      <c r="K52" s="2" t="s">
        <v>129</v>
      </c>
      <c r="L52" s="55" t="s">
        <v>130</v>
      </c>
      <c r="M52" s="108">
        <f>0.3*M50^(2/3)</f>
        <v>2.8349931412728426</v>
      </c>
      <c r="P52" s="40"/>
      <c r="Q52" s="39"/>
      <c r="R52" s="159">
        <f t="shared" si="1"/>
        <v>-51</v>
      </c>
      <c r="S52" s="73">
        <f>DATI!$E$49/200*R52</f>
        <v>-0.81600000000000006</v>
      </c>
      <c r="U52" s="159">
        <f t="shared" si="0"/>
        <v>-51</v>
      </c>
      <c r="V52" s="73">
        <f>DATI!$E$50/200*R52</f>
        <v>-0.81600000000000006</v>
      </c>
    </row>
    <row r="53" spans="2:22" ht="15.75" thickBot="1" x14ac:dyDescent="0.3">
      <c r="F53" s="99" t="s">
        <v>109</v>
      </c>
      <c r="G53" s="119">
        <v>0.38</v>
      </c>
      <c r="H53" s="119">
        <v>0.38</v>
      </c>
      <c r="K53" s="2" t="s">
        <v>131</v>
      </c>
      <c r="L53" s="117" t="s">
        <v>132</v>
      </c>
      <c r="M53" s="108">
        <f>0.7*M52</f>
        <v>1.9844951988909898</v>
      </c>
      <c r="P53" s="40"/>
      <c r="Q53" s="39"/>
      <c r="R53" s="159">
        <f t="shared" si="1"/>
        <v>-50</v>
      </c>
      <c r="S53" s="73">
        <f>DATI!$E$49/200*R53</f>
        <v>-0.8</v>
      </c>
      <c r="U53" s="159">
        <f t="shared" si="0"/>
        <v>-50</v>
      </c>
      <c r="V53" s="73">
        <f>DATI!$E$50/200*R53</f>
        <v>-0.8</v>
      </c>
    </row>
    <row r="54" spans="2:22" ht="16.5" thickTop="1" thickBot="1" x14ac:dyDescent="0.3">
      <c r="B54" t="s">
        <v>175</v>
      </c>
      <c r="C54" s="81"/>
      <c r="D54" s="52" t="s">
        <v>29</v>
      </c>
      <c r="F54" s="88"/>
      <c r="G54" s="57" t="s">
        <v>110</v>
      </c>
      <c r="H54" s="57" t="s">
        <v>110</v>
      </c>
      <c r="K54" s="2" t="s">
        <v>133</v>
      </c>
      <c r="L54" s="117" t="s">
        <v>134</v>
      </c>
      <c r="M54" s="108">
        <f>M53/1.5</f>
        <v>1.3229967992606599</v>
      </c>
      <c r="P54" s="40"/>
      <c r="Q54" s="39"/>
      <c r="R54" s="159">
        <f t="shared" si="1"/>
        <v>-49</v>
      </c>
      <c r="S54" s="73">
        <f>DATI!$E$49/200*R54</f>
        <v>-0.78400000000000003</v>
      </c>
      <c r="U54" s="159">
        <f t="shared" si="0"/>
        <v>-49</v>
      </c>
      <c r="V54" s="73">
        <f>DATI!$E$50/200*R54</f>
        <v>-0.78400000000000003</v>
      </c>
    </row>
    <row r="55" spans="2:22" ht="15.75" thickTop="1" x14ac:dyDescent="0.25">
      <c r="F55" s="88"/>
      <c r="G55" s="89">
        <f>IF(DATI!E22&lt;=0.1,G53,IF(DATI!E22&lt;=0.2,G52,G51))</f>
        <v>0.38</v>
      </c>
      <c r="H55" s="89">
        <f>IF(DATI!E22&lt;=0.1,H53,IF(DATI!E22&lt;=0.2,H52,H51))</f>
        <v>0.38</v>
      </c>
      <c r="K55" s="2" t="s">
        <v>135</v>
      </c>
      <c r="L55" s="117" t="s">
        <v>136</v>
      </c>
      <c r="M55" s="108">
        <f>(2.25*M53)/1.5</f>
        <v>2.9767427983364847</v>
      </c>
      <c r="P55" s="40"/>
      <c r="Q55" s="39"/>
      <c r="R55" s="159">
        <f t="shared" si="1"/>
        <v>-48</v>
      </c>
      <c r="S55" s="73">
        <f>DATI!$E$49/200*R55</f>
        <v>-0.76800000000000002</v>
      </c>
      <c r="U55" s="159">
        <f t="shared" si="0"/>
        <v>-48</v>
      </c>
      <c r="V55" s="73">
        <f>DATI!$E$50/200*R55</f>
        <v>-0.76800000000000002</v>
      </c>
    </row>
    <row r="56" spans="2:22" x14ac:dyDescent="0.25">
      <c r="K56" s="2" t="s">
        <v>137</v>
      </c>
      <c r="L56" s="117" t="s">
        <v>138</v>
      </c>
      <c r="M56" s="109">
        <f>22000*((0.83*M48+8)/10)^0.3</f>
        <v>32588.107818695287</v>
      </c>
      <c r="P56" s="40"/>
      <c r="Q56" s="39"/>
      <c r="R56" s="159">
        <f t="shared" si="1"/>
        <v>-47</v>
      </c>
      <c r="S56" s="73">
        <f>DATI!$E$49/200*R56</f>
        <v>-0.752</v>
      </c>
      <c r="U56" s="159">
        <f t="shared" si="0"/>
        <v>-47</v>
      </c>
      <c r="V56" s="73">
        <f>DATI!$E$50/200*R56</f>
        <v>-0.752</v>
      </c>
    </row>
    <row r="57" spans="2:22" x14ac:dyDescent="0.25">
      <c r="H57" s="27"/>
      <c r="I57" s="27"/>
      <c r="R57" s="159">
        <f t="shared" si="1"/>
        <v>-46</v>
      </c>
      <c r="S57" s="73">
        <f>DATI!$E$49/200*R57</f>
        <v>-0.73599999999999999</v>
      </c>
      <c r="U57" s="159">
        <f t="shared" si="0"/>
        <v>-46</v>
      </c>
      <c r="V57" s="73">
        <f>DATI!$E$50/200*R57</f>
        <v>-0.73599999999999999</v>
      </c>
    </row>
    <row r="58" spans="2:22" ht="15.75" thickBot="1" x14ac:dyDescent="0.3">
      <c r="R58" s="159">
        <f t="shared" si="1"/>
        <v>-45</v>
      </c>
      <c r="S58" s="73">
        <f>DATI!$E$49/200*R58</f>
        <v>-0.72</v>
      </c>
      <c r="U58" s="159">
        <f t="shared" si="0"/>
        <v>-45</v>
      </c>
      <c r="V58" s="73">
        <f>DATI!$E$50/200*R58</f>
        <v>-0.72</v>
      </c>
    </row>
    <row r="59" spans="2:22" ht="16.5" thickTop="1" thickBot="1" x14ac:dyDescent="0.3">
      <c r="B59" s="123" t="s">
        <v>79</v>
      </c>
      <c r="C59" s="123"/>
      <c r="D59" s="123"/>
      <c r="E59" s="123"/>
      <c r="F59" s="3">
        <f>MAXA('VER. GEO CONDIZIONI DRENATE'!D45,'VER. GEO CONDIZIONI NON DRENATE'!D45)</f>
        <v>4.6727489075174287</v>
      </c>
      <c r="G59" s="5" t="s">
        <v>0</v>
      </c>
      <c r="I59" s="32">
        <f>IF(DATI!E117="si",DATI!E118,DATI!E118+10)</f>
        <v>3</v>
      </c>
      <c r="R59" s="159">
        <f t="shared" si="1"/>
        <v>-44</v>
      </c>
      <c r="S59" s="73">
        <f>DATI!$E$49/200*R59</f>
        <v>-0.70399999999999996</v>
      </c>
      <c r="U59" s="159">
        <f t="shared" si="0"/>
        <v>-44</v>
      </c>
      <c r="V59" s="73">
        <f>DATI!$E$50/200*R59</f>
        <v>-0.70399999999999996</v>
      </c>
    </row>
    <row r="60" spans="2:22" ht="15.75" thickTop="1" x14ac:dyDescent="0.25">
      <c r="R60" s="159">
        <f t="shared" si="1"/>
        <v>-43</v>
      </c>
      <c r="S60" s="73">
        <f>DATI!$E$49/200*R60</f>
        <v>-0.68800000000000006</v>
      </c>
      <c r="U60" s="159">
        <f t="shared" si="0"/>
        <v>-43</v>
      </c>
      <c r="V60" s="73">
        <f>DATI!$E$50/200*R60</f>
        <v>-0.68800000000000006</v>
      </c>
    </row>
    <row r="61" spans="2:22" x14ac:dyDescent="0.25">
      <c r="B61" t="s">
        <v>113</v>
      </c>
      <c r="C61" s="74">
        <f>IF(DATI!E117="si",DATI!E118,DATI!E118+10)</f>
        <v>3</v>
      </c>
      <c r="R61" s="159">
        <f t="shared" si="1"/>
        <v>-42</v>
      </c>
      <c r="S61" s="73">
        <f>DATI!$E$49/200*R61</f>
        <v>-0.67200000000000004</v>
      </c>
      <c r="U61" s="159">
        <f t="shared" si="0"/>
        <v>-42</v>
      </c>
      <c r="V61" s="73">
        <f>DATI!$E$50/200*R61</f>
        <v>-0.67200000000000004</v>
      </c>
    </row>
    <row r="62" spans="2:22" x14ac:dyDescent="0.25">
      <c r="R62" s="159">
        <f t="shared" si="1"/>
        <v>-41</v>
      </c>
      <c r="S62" s="73">
        <f>DATI!$E$49/200*R62</f>
        <v>-0.65600000000000003</v>
      </c>
      <c r="U62" s="159">
        <f t="shared" si="0"/>
        <v>-41</v>
      </c>
      <c r="V62" s="73">
        <f>DATI!$E$50/200*R62</f>
        <v>-0.65600000000000003</v>
      </c>
    </row>
    <row r="63" spans="2:22" x14ac:dyDescent="0.25">
      <c r="R63" s="159">
        <f t="shared" si="1"/>
        <v>-40</v>
      </c>
      <c r="S63" s="73">
        <f>DATI!$E$49/200*R63</f>
        <v>-0.64</v>
      </c>
      <c r="U63" s="159">
        <f t="shared" si="0"/>
        <v>-40</v>
      </c>
      <c r="V63" s="73">
        <f>DATI!$E$50/200*R63</f>
        <v>-0.64</v>
      </c>
    </row>
    <row r="64" spans="2:22" x14ac:dyDescent="0.25">
      <c r="R64" s="159">
        <f t="shared" si="1"/>
        <v>-39</v>
      </c>
      <c r="S64" s="73">
        <f>DATI!$E$49/200*R64</f>
        <v>-0.624</v>
      </c>
      <c r="U64" s="159">
        <f t="shared" si="0"/>
        <v>-39</v>
      </c>
      <c r="V64" s="73">
        <f>DATI!$E$50/200*R64</f>
        <v>-0.624</v>
      </c>
    </row>
    <row r="65" spans="2:22" x14ac:dyDescent="0.25">
      <c r="R65" s="159">
        <f t="shared" si="1"/>
        <v>-38</v>
      </c>
      <c r="S65" s="73">
        <f>DATI!$E$49/200*R65</f>
        <v>-0.60799999999999998</v>
      </c>
      <c r="U65" s="159">
        <f t="shared" si="0"/>
        <v>-38</v>
      </c>
      <c r="V65" s="73">
        <f>DATI!$E$50/200*R65</f>
        <v>-0.60799999999999998</v>
      </c>
    </row>
    <row r="66" spans="2:22" x14ac:dyDescent="0.25">
      <c r="B66" t="s">
        <v>384</v>
      </c>
      <c r="C66" s="2">
        <f>(DATI!E95*DATI!E161+DATI!F95*DATI!E162+DATI!G95*DATI!E163)/(DATI!E94*DATI!E161+DATI!F94*DATI!E162+DATI!G94*DATI!E163)</f>
        <v>1</v>
      </c>
      <c r="R66" s="159">
        <f t="shared" si="1"/>
        <v>-37</v>
      </c>
      <c r="S66" s="73">
        <f>DATI!$E$49/200*R66</f>
        <v>-0.59199999999999997</v>
      </c>
      <c r="U66" s="159">
        <f t="shared" si="0"/>
        <v>-37</v>
      </c>
      <c r="V66" s="73">
        <f>DATI!$E$50/200*R66</f>
        <v>-0.59199999999999997</v>
      </c>
    </row>
    <row r="67" spans="2:22" x14ac:dyDescent="0.25">
      <c r="R67" s="159">
        <f t="shared" si="1"/>
        <v>-36</v>
      </c>
      <c r="S67" s="73">
        <f>DATI!$E$49/200*R67</f>
        <v>-0.57600000000000007</v>
      </c>
      <c r="U67" s="159">
        <f t="shared" ref="U67:U101" si="2">U68-1</f>
        <v>-36</v>
      </c>
      <c r="V67" s="73">
        <f>DATI!$E$50/200*R67</f>
        <v>-0.57600000000000007</v>
      </c>
    </row>
    <row r="68" spans="2:22" x14ac:dyDescent="0.25">
      <c r="B68" s="166" t="s">
        <v>392</v>
      </c>
      <c r="C68" s="166"/>
      <c r="D68" s="124">
        <f>DATI!E99*DATI!E161+DATI!F99*DATI!E162+DATI!G99*DATI!E163</f>
        <v>82.024386617639522</v>
      </c>
      <c r="R68" s="159">
        <f t="shared" ref="R68:R101" si="3">R69-1</f>
        <v>-35</v>
      </c>
      <c r="S68" s="73">
        <f>DATI!$E$49/200*R68</f>
        <v>-0.56000000000000005</v>
      </c>
      <c r="U68" s="159">
        <f t="shared" si="2"/>
        <v>-35</v>
      </c>
      <c r="V68" s="73">
        <f>DATI!$E$50/200*R68</f>
        <v>-0.56000000000000005</v>
      </c>
    </row>
    <row r="69" spans="2:22" x14ac:dyDescent="0.25">
      <c r="R69" s="159">
        <f t="shared" si="3"/>
        <v>-34</v>
      </c>
      <c r="S69" s="73">
        <f>DATI!$E$49/200*R69</f>
        <v>-0.54400000000000004</v>
      </c>
      <c r="U69" s="159">
        <f t="shared" si="2"/>
        <v>-34</v>
      </c>
      <c r="V69" s="73">
        <f>DATI!$E$50/200*R69</f>
        <v>-0.54400000000000004</v>
      </c>
    </row>
    <row r="70" spans="2:22" x14ac:dyDescent="0.25">
      <c r="B70" s="167" t="s">
        <v>393</v>
      </c>
      <c r="C70" s="168"/>
      <c r="D70" s="124">
        <f>DATI!E99*DATI!E161+DATI!F99*DATI!E162+DATI!G99*DATI!E163</f>
        <v>82.024386617639522</v>
      </c>
      <c r="R70" s="159">
        <f t="shared" si="3"/>
        <v>-33</v>
      </c>
      <c r="S70" s="73">
        <f>DATI!$E$49/200*R70</f>
        <v>-0.52800000000000002</v>
      </c>
      <c r="U70" s="159">
        <f t="shared" si="2"/>
        <v>-33</v>
      </c>
      <c r="V70" s="73">
        <f>DATI!$E$50/200*R70</f>
        <v>-0.52800000000000002</v>
      </c>
    </row>
    <row r="71" spans="2:22" x14ac:dyDescent="0.25">
      <c r="R71" s="159">
        <f t="shared" si="3"/>
        <v>-32</v>
      </c>
      <c r="S71" s="73">
        <f>DATI!$E$49/200*R71</f>
        <v>-0.51200000000000001</v>
      </c>
      <c r="U71" s="159">
        <f t="shared" si="2"/>
        <v>-32</v>
      </c>
      <c r="V71" s="73">
        <f>DATI!$E$50/200*R71</f>
        <v>-0.51200000000000001</v>
      </c>
    </row>
    <row r="72" spans="2:22" x14ac:dyDescent="0.25">
      <c r="R72" s="159">
        <f t="shared" si="3"/>
        <v>-31</v>
      </c>
      <c r="S72" s="73">
        <f>DATI!$E$49/200*R72</f>
        <v>-0.496</v>
      </c>
      <c r="U72" s="159">
        <f t="shared" si="2"/>
        <v>-31</v>
      </c>
      <c r="V72" s="73">
        <f>DATI!$E$50/200*R72</f>
        <v>-0.496</v>
      </c>
    </row>
    <row r="73" spans="2:22" x14ac:dyDescent="0.25">
      <c r="R73" s="159">
        <f t="shared" si="3"/>
        <v>-30</v>
      </c>
      <c r="S73" s="73">
        <f>DATI!$E$49/200*R73</f>
        <v>-0.48</v>
      </c>
      <c r="U73" s="159">
        <f t="shared" si="2"/>
        <v>-30</v>
      </c>
      <c r="V73" s="73">
        <f>DATI!$E$50/200*R73</f>
        <v>-0.48</v>
      </c>
    </row>
    <row r="74" spans="2:22" x14ac:dyDescent="0.25">
      <c r="R74" s="159">
        <f t="shared" si="3"/>
        <v>-29</v>
      </c>
      <c r="S74" s="73">
        <f>DATI!$E$49/200*R74</f>
        <v>-0.46400000000000002</v>
      </c>
      <c r="U74" s="159">
        <f t="shared" si="2"/>
        <v>-29</v>
      </c>
      <c r="V74" s="73">
        <f>DATI!$E$50/200*R74</f>
        <v>-0.46400000000000002</v>
      </c>
    </row>
    <row r="75" spans="2:22" x14ac:dyDescent="0.25">
      <c r="I75" s="2"/>
      <c r="R75" s="159">
        <f t="shared" si="3"/>
        <v>-28</v>
      </c>
      <c r="S75" s="73">
        <f>DATI!$E$49/200*R75</f>
        <v>-0.44800000000000001</v>
      </c>
      <c r="U75" s="159">
        <f t="shared" si="2"/>
        <v>-28</v>
      </c>
      <c r="V75" s="73">
        <f>DATI!$E$50/200*R75</f>
        <v>-0.44800000000000001</v>
      </c>
    </row>
    <row r="76" spans="2:22" x14ac:dyDescent="0.25">
      <c r="R76" s="159">
        <f t="shared" si="3"/>
        <v>-27</v>
      </c>
      <c r="S76" s="73">
        <f>DATI!$E$49/200*R76</f>
        <v>-0.432</v>
      </c>
      <c r="U76" s="159">
        <f t="shared" si="2"/>
        <v>-27</v>
      </c>
      <c r="V76" s="73">
        <f>DATI!$E$50/200*R76</f>
        <v>-0.432</v>
      </c>
    </row>
    <row r="77" spans="2:22" x14ac:dyDescent="0.25">
      <c r="R77" s="159">
        <f t="shared" si="3"/>
        <v>-26</v>
      </c>
      <c r="S77" s="73">
        <f>DATI!$E$49/200*R77</f>
        <v>-0.41600000000000004</v>
      </c>
      <c r="U77" s="159">
        <f t="shared" si="2"/>
        <v>-26</v>
      </c>
      <c r="V77" s="73">
        <f>DATI!$E$50/200*R77</f>
        <v>-0.41600000000000004</v>
      </c>
    </row>
    <row r="78" spans="2:22" x14ac:dyDescent="0.25">
      <c r="C78" s="270" t="s">
        <v>427</v>
      </c>
      <c r="D78" s="270"/>
      <c r="E78" s="270"/>
      <c r="F78" s="220" t="s">
        <v>432</v>
      </c>
      <c r="G78" s="220" t="s">
        <v>435</v>
      </c>
      <c r="H78" s="220" t="s">
        <v>441</v>
      </c>
      <c r="I78" s="227"/>
      <c r="J78" s="228"/>
      <c r="R78" s="159">
        <f t="shared" si="3"/>
        <v>-25</v>
      </c>
      <c r="S78" s="73">
        <f>DATI!$E$49/200*R78</f>
        <v>-0.4</v>
      </c>
      <c r="U78" s="159">
        <f t="shared" si="2"/>
        <v>-25</v>
      </c>
      <c r="V78" s="73">
        <f>DATI!$E$50/200*R78</f>
        <v>-0.4</v>
      </c>
    </row>
    <row r="79" spans="2:22" x14ac:dyDescent="0.25">
      <c r="C79" s="220" t="s">
        <v>428</v>
      </c>
      <c r="D79" s="220" t="s">
        <v>429</v>
      </c>
      <c r="E79" s="220" t="s">
        <v>430</v>
      </c>
      <c r="F79" s="221" t="s">
        <v>431</v>
      </c>
      <c r="G79" s="119"/>
      <c r="H79" s="223"/>
      <c r="R79" s="159">
        <f t="shared" si="3"/>
        <v>-24</v>
      </c>
      <c r="S79" s="73">
        <f>DATI!$E$49/200*R79</f>
        <v>-0.38400000000000001</v>
      </c>
      <c r="U79" s="159">
        <f t="shared" si="2"/>
        <v>-24</v>
      </c>
      <c r="V79" s="73">
        <f>DATI!$E$50/200*R79</f>
        <v>-0.38400000000000001</v>
      </c>
    </row>
    <row r="80" spans="2:22" x14ac:dyDescent="0.25">
      <c r="B80" s="119" t="s">
        <v>433</v>
      </c>
      <c r="C80" s="119">
        <v>15300</v>
      </c>
      <c r="D80" s="119">
        <v>2040</v>
      </c>
      <c r="E80" s="119">
        <f t="shared" ref="E80:E91" si="4">AVERAGE(C80:D80)</f>
        <v>8670</v>
      </c>
      <c r="F80" s="219">
        <v>0.5</v>
      </c>
      <c r="G80" s="119" t="s">
        <v>3</v>
      </c>
      <c r="H80" s="223">
        <f>E80/((1-2*F80^2)/((1-F80)))</f>
        <v>8670</v>
      </c>
      <c r="I80" s="231">
        <v>0</v>
      </c>
      <c r="R80" s="159">
        <f t="shared" si="3"/>
        <v>-23</v>
      </c>
      <c r="S80" s="73">
        <f>DATI!$E$49/200*R80</f>
        <v>-0.36799999999999999</v>
      </c>
      <c r="U80" s="159">
        <f t="shared" si="2"/>
        <v>-23</v>
      </c>
      <c r="V80" s="73">
        <f>DATI!$E$50/200*R80</f>
        <v>-0.36799999999999999</v>
      </c>
    </row>
    <row r="81" spans="2:22" x14ac:dyDescent="0.25">
      <c r="B81" s="119" t="s">
        <v>417</v>
      </c>
      <c r="C81" s="119">
        <v>25500</v>
      </c>
      <c r="D81" s="119">
        <v>5100</v>
      </c>
      <c r="E81" s="119">
        <f t="shared" si="4"/>
        <v>15300</v>
      </c>
      <c r="F81" s="219">
        <v>0.4</v>
      </c>
      <c r="G81" s="119" t="s">
        <v>3</v>
      </c>
      <c r="H81" s="223">
        <f t="shared" ref="H81:H91" si="5">E81/((1-2*F81^2)/((1-F81)))</f>
        <v>13500</v>
      </c>
      <c r="I81" s="231">
        <v>0</v>
      </c>
      <c r="R81" s="159">
        <f t="shared" si="3"/>
        <v>-22</v>
      </c>
      <c r="S81" s="73">
        <f>DATI!$E$49/200*R81</f>
        <v>-0.35199999999999998</v>
      </c>
      <c r="U81" s="159">
        <f t="shared" si="2"/>
        <v>-22</v>
      </c>
      <c r="V81" s="73">
        <f>DATI!$E$50/200*R81</f>
        <v>-0.35199999999999998</v>
      </c>
    </row>
    <row r="82" spans="2:22" x14ac:dyDescent="0.25">
      <c r="B82" s="119" t="s">
        <v>418</v>
      </c>
      <c r="C82" s="119">
        <v>51000</v>
      </c>
      <c r="D82" s="119">
        <v>15300</v>
      </c>
      <c r="E82" s="119">
        <f t="shared" si="4"/>
        <v>33150</v>
      </c>
      <c r="F82" s="219">
        <v>0.3</v>
      </c>
      <c r="G82" s="119" t="s">
        <v>3</v>
      </c>
      <c r="H82" s="223">
        <f t="shared" si="5"/>
        <v>28298.780487804877</v>
      </c>
      <c r="I82" s="231">
        <v>0</v>
      </c>
      <c r="R82" s="159">
        <f t="shared" si="3"/>
        <v>-21</v>
      </c>
      <c r="S82" s="73">
        <f>DATI!$E$49/200*R82</f>
        <v>-0.33600000000000002</v>
      </c>
      <c r="U82" s="159">
        <f t="shared" si="2"/>
        <v>-21</v>
      </c>
      <c r="V82" s="73">
        <f>DATI!$E$50/200*R82</f>
        <v>-0.33600000000000002</v>
      </c>
    </row>
    <row r="83" spans="2:22" x14ac:dyDescent="0.25">
      <c r="B83" s="119" t="s">
        <v>434</v>
      </c>
      <c r="C83" s="119">
        <v>102000</v>
      </c>
      <c r="D83" s="119">
        <v>51000</v>
      </c>
      <c r="E83" s="119">
        <f t="shared" si="4"/>
        <v>76500</v>
      </c>
      <c r="F83" s="219">
        <v>0.1</v>
      </c>
      <c r="G83" s="119" t="s">
        <v>3</v>
      </c>
      <c r="H83" s="223">
        <f t="shared" si="5"/>
        <v>70255.102040816331</v>
      </c>
      <c r="I83" s="226">
        <v>0</v>
      </c>
      <c r="R83" s="159">
        <f t="shared" si="3"/>
        <v>-20</v>
      </c>
      <c r="S83" s="73">
        <f>DATI!$E$49/200*R83</f>
        <v>-0.32</v>
      </c>
      <c r="U83" s="159">
        <f t="shared" si="2"/>
        <v>-20</v>
      </c>
      <c r="V83" s="73">
        <f>DATI!$E$50/200*R83</f>
        <v>-0.32</v>
      </c>
    </row>
    <row r="84" spans="2:22" x14ac:dyDescent="0.25">
      <c r="B84" s="119" t="s">
        <v>419</v>
      </c>
      <c r="C84" s="119">
        <v>255000</v>
      </c>
      <c r="D84" s="119">
        <v>25500</v>
      </c>
      <c r="E84" s="119">
        <f t="shared" si="4"/>
        <v>140250</v>
      </c>
      <c r="F84" s="219">
        <v>0.25</v>
      </c>
      <c r="G84" s="119" t="s">
        <v>3</v>
      </c>
      <c r="H84" s="223">
        <f t="shared" si="5"/>
        <v>120214.28571428571</v>
      </c>
      <c r="I84" s="226">
        <v>0</v>
      </c>
      <c r="R84" s="159">
        <f t="shared" si="3"/>
        <v>-19</v>
      </c>
      <c r="S84" s="73">
        <f>DATI!$E$49/200*R84</f>
        <v>-0.30399999999999999</v>
      </c>
      <c r="U84" s="159">
        <f t="shared" si="2"/>
        <v>-19</v>
      </c>
      <c r="V84" s="73">
        <f>DATI!$E$50/200*R84</f>
        <v>-0.30399999999999999</v>
      </c>
    </row>
    <row r="85" spans="2:22" x14ac:dyDescent="0.25">
      <c r="B85" s="119" t="s">
        <v>424</v>
      </c>
      <c r="C85" s="119">
        <v>20400</v>
      </c>
      <c r="D85" s="119">
        <v>2040</v>
      </c>
      <c r="E85" s="119">
        <f t="shared" si="4"/>
        <v>11220</v>
      </c>
      <c r="F85" s="219">
        <v>0.35</v>
      </c>
      <c r="G85" s="119" t="s">
        <v>3</v>
      </c>
      <c r="H85" s="223">
        <f t="shared" si="5"/>
        <v>9659.6026490066233</v>
      </c>
      <c r="I85" s="226">
        <v>0</v>
      </c>
      <c r="J85" s="218"/>
      <c r="R85" s="159">
        <f t="shared" si="3"/>
        <v>-18</v>
      </c>
      <c r="S85" s="73">
        <f>DATI!$E$49/200*R85</f>
        <v>-0.28800000000000003</v>
      </c>
      <c r="U85" s="159">
        <f t="shared" si="2"/>
        <v>-18</v>
      </c>
      <c r="V85" s="73">
        <f>DATI!$E$50/200*R85</f>
        <v>-0.28800000000000003</v>
      </c>
    </row>
    <row r="86" spans="2:22" x14ac:dyDescent="0.25">
      <c r="B86" s="222" t="s">
        <v>421</v>
      </c>
      <c r="C86" s="119">
        <v>20400</v>
      </c>
      <c r="D86" s="119">
        <v>5100</v>
      </c>
      <c r="E86" s="119">
        <f t="shared" si="4"/>
        <v>12750</v>
      </c>
      <c r="F86" s="219">
        <v>0.3</v>
      </c>
      <c r="G86" s="119" t="str">
        <f>IF(E86&lt;30000,"0-0,3",IF(E86&lt;50000,"0,3-0,7","0,7-1"))</f>
        <v>0-0,3</v>
      </c>
      <c r="H86" s="223">
        <f t="shared" si="5"/>
        <v>10884.146341463415</v>
      </c>
      <c r="I86" s="226">
        <v>1</v>
      </c>
      <c r="R86" s="159">
        <f t="shared" si="3"/>
        <v>-17</v>
      </c>
      <c r="S86" s="73">
        <f>DATI!$E$49/200*R86</f>
        <v>-0.27200000000000002</v>
      </c>
      <c r="U86" s="159">
        <f t="shared" si="2"/>
        <v>-17</v>
      </c>
      <c r="V86" s="73">
        <f>DATI!$E$50/200*R86</f>
        <v>-0.27200000000000002</v>
      </c>
    </row>
    <row r="87" spans="2:22" x14ac:dyDescent="0.25">
      <c r="B87" s="222" t="s">
        <v>422</v>
      </c>
      <c r="C87" s="119">
        <v>25500</v>
      </c>
      <c r="D87" s="119">
        <v>10200</v>
      </c>
      <c r="E87" s="119">
        <f t="shared" si="4"/>
        <v>17850</v>
      </c>
      <c r="F87" s="219">
        <v>0.35</v>
      </c>
      <c r="G87" s="119" t="str">
        <f t="shared" ref="G87:G91" si="6">IF(E87&lt;30000,"0-0,3",IF(E87&lt;50000,"0,3-0,7","0,7-1"))</f>
        <v>0-0,3</v>
      </c>
      <c r="H87" s="223">
        <f t="shared" si="5"/>
        <v>15367.549668874173</v>
      </c>
      <c r="I87" s="226">
        <v>1</v>
      </c>
      <c r="R87" s="159">
        <f t="shared" si="3"/>
        <v>-16</v>
      </c>
      <c r="S87" s="73">
        <f>DATI!$E$49/200*R87</f>
        <v>-0.25600000000000001</v>
      </c>
      <c r="U87" s="159">
        <f t="shared" si="2"/>
        <v>-16</v>
      </c>
      <c r="V87" s="73">
        <f>DATI!$E$50/200*R87</f>
        <v>-0.25600000000000001</v>
      </c>
    </row>
    <row r="88" spans="2:22" x14ac:dyDescent="0.25">
      <c r="B88" s="222" t="s">
        <v>423</v>
      </c>
      <c r="C88" s="119">
        <v>81600</v>
      </c>
      <c r="D88" s="119">
        <v>51000</v>
      </c>
      <c r="E88" s="119">
        <f t="shared" si="4"/>
        <v>66300</v>
      </c>
      <c r="F88" s="219">
        <v>0.2</v>
      </c>
      <c r="G88" s="119" t="str">
        <f t="shared" si="6"/>
        <v>0,7-1</v>
      </c>
      <c r="H88" s="223">
        <f t="shared" si="5"/>
        <v>57652.17391304348</v>
      </c>
      <c r="I88" s="226">
        <v>1</v>
      </c>
      <c r="R88" s="159">
        <f t="shared" si="3"/>
        <v>-15</v>
      </c>
      <c r="S88" s="73">
        <f>DATI!$E$49/200*R88</f>
        <v>-0.24</v>
      </c>
      <c r="U88" s="159">
        <f t="shared" si="2"/>
        <v>-15</v>
      </c>
      <c r="V88" s="73">
        <f>DATI!$E$50/200*R88</f>
        <v>-0.24</v>
      </c>
    </row>
    <row r="89" spans="2:22" x14ac:dyDescent="0.25">
      <c r="B89" s="222" t="s">
        <v>425</v>
      </c>
      <c r="C89" s="119">
        <v>153000</v>
      </c>
      <c r="D89" s="119">
        <v>51000</v>
      </c>
      <c r="E89" s="119">
        <f t="shared" si="4"/>
        <v>102000</v>
      </c>
      <c r="F89" s="219">
        <v>0.4</v>
      </c>
      <c r="G89" s="119" t="str">
        <f t="shared" si="6"/>
        <v>0,7-1</v>
      </c>
      <c r="H89" s="223">
        <f t="shared" si="5"/>
        <v>90000</v>
      </c>
      <c r="I89" s="226">
        <v>1</v>
      </c>
      <c r="R89" s="159">
        <f t="shared" si="3"/>
        <v>-14</v>
      </c>
      <c r="S89" s="73">
        <f>DATI!$E$49/200*R89</f>
        <v>-0.224</v>
      </c>
      <c r="U89" s="159">
        <f t="shared" si="2"/>
        <v>-14</v>
      </c>
      <c r="V89" s="73">
        <f>DATI!$E$50/200*R89</f>
        <v>-0.224</v>
      </c>
    </row>
    <row r="90" spans="2:22" x14ac:dyDescent="0.25">
      <c r="B90" s="222" t="s">
        <v>426</v>
      </c>
      <c r="C90" s="119">
        <v>204000</v>
      </c>
      <c r="D90" s="119">
        <v>10200</v>
      </c>
      <c r="E90" s="119">
        <f t="shared" si="4"/>
        <v>107100</v>
      </c>
      <c r="F90" s="219">
        <v>0.3</v>
      </c>
      <c r="G90" s="119" t="str">
        <f t="shared" si="6"/>
        <v>0,7-1</v>
      </c>
      <c r="H90" s="223">
        <f t="shared" si="5"/>
        <v>91426.829268292684</v>
      </c>
      <c r="I90" s="226">
        <v>1</v>
      </c>
      <c r="R90" s="159">
        <f t="shared" si="3"/>
        <v>-13</v>
      </c>
      <c r="S90" s="73">
        <f>DATI!$E$49/200*R90</f>
        <v>-0.20800000000000002</v>
      </c>
      <c r="U90" s="159">
        <f t="shared" si="2"/>
        <v>-13</v>
      </c>
      <c r="V90" s="73">
        <f>DATI!$E$50/200*R90</f>
        <v>-0.20800000000000002</v>
      </c>
    </row>
    <row r="91" spans="2:22" x14ac:dyDescent="0.25">
      <c r="B91" s="222" t="s">
        <v>420</v>
      </c>
      <c r="C91" s="119">
        <v>61200</v>
      </c>
      <c r="D91" s="119">
        <v>15300</v>
      </c>
      <c r="E91" s="119">
        <f t="shared" si="4"/>
        <v>38250</v>
      </c>
      <c r="F91" s="219">
        <v>0.2</v>
      </c>
      <c r="G91" s="119" t="str">
        <f t="shared" si="6"/>
        <v>0,3-0,7</v>
      </c>
      <c r="H91" s="223">
        <f t="shared" si="5"/>
        <v>33260.869565217392</v>
      </c>
      <c r="I91" s="226">
        <v>1</v>
      </c>
      <c r="R91" s="159">
        <f t="shared" si="3"/>
        <v>-12</v>
      </c>
      <c r="S91" s="73">
        <f>DATI!$E$49/200*R91</f>
        <v>-0.192</v>
      </c>
      <c r="U91" s="159">
        <f t="shared" si="2"/>
        <v>-12</v>
      </c>
      <c r="V91" s="73">
        <f>DATI!$E$50/200*R91</f>
        <v>-0.192</v>
      </c>
    </row>
    <row r="92" spans="2:22" x14ac:dyDescent="0.25">
      <c r="C92" s="159"/>
      <c r="D92" s="159"/>
      <c r="E92" s="159"/>
      <c r="R92" s="159">
        <f t="shared" si="3"/>
        <v>-11</v>
      </c>
      <c r="S92" s="73">
        <f>DATI!$E$49/200*R92</f>
        <v>-0.17599999999999999</v>
      </c>
      <c r="U92" s="159">
        <f t="shared" si="2"/>
        <v>-11</v>
      </c>
      <c r="V92" s="73">
        <f>DATI!$E$50/200*R92</f>
        <v>-0.17599999999999999</v>
      </c>
    </row>
    <row r="93" spans="2:22" x14ac:dyDescent="0.25">
      <c r="B93" s="28"/>
      <c r="C93" s="40"/>
      <c r="D93" s="28"/>
      <c r="E93" s="28"/>
      <c r="F93" s="28"/>
      <c r="R93" s="159">
        <f t="shared" si="3"/>
        <v>-10</v>
      </c>
      <c r="S93" s="73">
        <f>DATI!$E$49/200*R93</f>
        <v>-0.16</v>
      </c>
      <c r="U93" s="159">
        <f t="shared" si="2"/>
        <v>-10</v>
      </c>
      <c r="V93" s="73">
        <f>DATI!$E$50/200*R93</f>
        <v>-0.16</v>
      </c>
    </row>
    <row r="94" spans="2:22" x14ac:dyDescent="0.25">
      <c r="B94" s="28"/>
      <c r="C94" s="40" t="s">
        <v>76</v>
      </c>
      <c r="D94" s="40" t="s">
        <v>1</v>
      </c>
      <c r="E94" s="28"/>
      <c r="F94" s="28"/>
      <c r="R94" s="159">
        <f t="shared" si="3"/>
        <v>-9</v>
      </c>
      <c r="S94" s="73">
        <f>DATI!$E$49/200*R94</f>
        <v>-0.14400000000000002</v>
      </c>
      <c r="U94" s="159">
        <f t="shared" si="2"/>
        <v>-9</v>
      </c>
      <c r="V94" s="73">
        <f>DATI!$E$50/200*R94</f>
        <v>-0.14400000000000002</v>
      </c>
    </row>
    <row r="95" spans="2:22" x14ac:dyDescent="0.25">
      <c r="B95" s="40"/>
      <c r="C95" s="39">
        <f>DATI!E49</f>
        <v>3.2</v>
      </c>
      <c r="D95" s="39">
        <f>DATI!E50</f>
        <v>3.2</v>
      </c>
      <c r="E95" s="230">
        <f>D95/C95</f>
        <v>1</v>
      </c>
      <c r="F95" s="28"/>
      <c r="R95" s="159">
        <f t="shared" si="3"/>
        <v>-8</v>
      </c>
      <c r="S95" s="73">
        <f>DATI!$E$49/200*R95</f>
        <v>-0.128</v>
      </c>
      <c r="U95" s="159">
        <f t="shared" si="2"/>
        <v>-8</v>
      </c>
      <c r="V95" s="73">
        <f>DATI!$E$50/200*R95</f>
        <v>-0.128</v>
      </c>
    </row>
    <row r="96" spans="2:22" x14ac:dyDescent="0.25">
      <c r="B96" s="40"/>
      <c r="C96" s="28"/>
      <c r="D96" s="28"/>
      <c r="E96" s="28"/>
      <c r="F96" s="28"/>
      <c r="R96" s="159">
        <f t="shared" si="3"/>
        <v>-7</v>
      </c>
      <c r="S96" s="73">
        <f>DATI!$E$49/200*R96</f>
        <v>-0.112</v>
      </c>
      <c r="U96" s="159">
        <f t="shared" si="2"/>
        <v>-7</v>
      </c>
      <c r="V96" s="73">
        <f>DATI!$E$50/200*R96</f>
        <v>-0.112</v>
      </c>
    </row>
    <row r="97" spans="2:22" x14ac:dyDescent="0.25">
      <c r="B97" s="40"/>
      <c r="C97" s="159">
        <v>1</v>
      </c>
      <c r="D97" s="159">
        <v>1.06</v>
      </c>
      <c r="E97" s="212">
        <f>VLOOKUP('FOGLIO DEPOSITO'!E95,'FOGLIO DEPOSITO'!C97:D101,2,TRUE)</f>
        <v>1.06</v>
      </c>
      <c r="F97" s="28"/>
      <c r="R97" s="159">
        <f t="shared" si="3"/>
        <v>-6</v>
      </c>
      <c r="S97" s="73">
        <f>DATI!$E$49/200*R97</f>
        <v>-9.6000000000000002E-2</v>
      </c>
      <c r="U97" s="159">
        <f t="shared" si="2"/>
        <v>-6</v>
      </c>
      <c r="V97" s="73">
        <f>DATI!$E$50/200*R97</f>
        <v>-9.6000000000000002E-2</v>
      </c>
    </row>
    <row r="98" spans="2:22" x14ac:dyDescent="0.25">
      <c r="B98" s="40"/>
      <c r="C98" s="40">
        <v>2</v>
      </c>
      <c r="D98" s="40">
        <v>1.0900000000000001</v>
      </c>
      <c r="E98" s="28"/>
      <c r="F98" s="28"/>
      <c r="R98" s="159">
        <f t="shared" si="3"/>
        <v>-5</v>
      </c>
      <c r="S98" s="73">
        <f>DATI!$E$49/200*R98</f>
        <v>-0.08</v>
      </c>
      <c r="U98" s="159">
        <f t="shared" si="2"/>
        <v>-5</v>
      </c>
      <c r="V98" s="73">
        <f>DATI!$E$50/200*R98</f>
        <v>-0.08</v>
      </c>
    </row>
    <row r="99" spans="2:22" x14ac:dyDescent="0.25">
      <c r="B99" s="40"/>
      <c r="C99" s="40">
        <v>5</v>
      </c>
      <c r="D99" s="40">
        <v>1.22</v>
      </c>
      <c r="E99" s="28"/>
      <c r="F99" s="28"/>
      <c r="R99" s="159">
        <f t="shared" si="3"/>
        <v>-4</v>
      </c>
      <c r="S99" s="73">
        <f>DATI!$E$49/200*R99</f>
        <v>-6.4000000000000001E-2</v>
      </c>
      <c r="U99" s="159">
        <f t="shared" si="2"/>
        <v>-4</v>
      </c>
      <c r="V99" s="73">
        <f>DATI!$E$50/200*R99</f>
        <v>-6.4000000000000001E-2</v>
      </c>
    </row>
    <row r="100" spans="2:22" x14ac:dyDescent="0.25">
      <c r="B100" s="40"/>
      <c r="C100" s="40">
        <v>10</v>
      </c>
      <c r="D100" s="40">
        <v>1.41</v>
      </c>
      <c r="E100" s="28"/>
      <c r="F100" s="28"/>
      <c r="R100" s="159">
        <f t="shared" si="3"/>
        <v>-3</v>
      </c>
      <c r="S100" s="73">
        <f>DATI!$E$49/200*R100</f>
        <v>-4.8000000000000001E-2</v>
      </c>
      <c r="U100" s="159">
        <f t="shared" si="2"/>
        <v>-3</v>
      </c>
      <c r="V100" s="73">
        <f>DATI!$E$50/200*R100</f>
        <v>-4.8000000000000001E-2</v>
      </c>
    </row>
    <row r="101" spans="2:22" x14ac:dyDescent="0.25">
      <c r="B101" s="40"/>
      <c r="C101" s="226">
        <v>100</v>
      </c>
      <c r="D101" s="226">
        <v>2.7</v>
      </c>
      <c r="E101" s="28"/>
      <c r="F101" s="28"/>
      <c r="R101" s="159">
        <f t="shared" si="3"/>
        <v>-2</v>
      </c>
      <c r="S101" s="73">
        <f>DATI!$E$49/200*R101</f>
        <v>-3.2000000000000001E-2</v>
      </c>
      <c r="U101" s="159">
        <f t="shared" si="2"/>
        <v>-2</v>
      </c>
      <c r="V101" s="73">
        <f>DATI!$E$50/200*R101</f>
        <v>-3.2000000000000001E-2</v>
      </c>
    </row>
    <row r="102" spans="2:22" x14ac:dyDescent="0.25">
      <c r="B102" s="40"/>
      <c r="C102" s="28"/>
      <c r="D102" s="28"/>
      <c r="E102" s="28"/>
      <c r="F102" s="28"/>
      <c r="R102" s="159">
        <f>R103-1</f>
        <v>-1</v>
      </c>
      <c r="S102" s="73">
        <f>DATI!$E$49/200*R102</f>
        <v>-1.6E-2</v>
      </c>
      <c r="U102" s="159">
        <f>U103-1</f>
        <v>-1</v>
      </c>
      <c r="V102" s="73">
        <f>DATI!$E$50/200*R102</f>
        <v>-1.6E-2</v>
      </c>
    </row>
    <row r="103" spans="2:22" x14ac:dyDescent="0.25">
      <c r="B103" s="40"/>
      <c r="C103" s="28"/>
      <c r="D103" s="28"/>
      <c r="E103" s="28"/>
      <c r="F103" s="28"/>
      <c r="R103" s="159">
        <v>0</v>
      </c>
      <c r="S103" s="73">
        <f>DATI!$E$49/200*R103</f>
        <v>0</v>
      </c>
      <c r="U103" s="159">
        <v>0</v>
      </c>
      <c r="V103" s="73">
        <f>DATI!$E$50/200*R103</f>
        <v>0</v>
      </c>
    </row>
    <row r="104" spans="2:22" x14ac:dyDescent="0.25">
      <c r="B104" s="40"/>
      <c r="C104" s="28"/>
      <c r="D104" s="28"/>
      <c r="E104" s="28"/>
      <c r="F104" s="28"/>
      <c r="R104" s="159">
        <f>R103+1</f>
        <v>1</v>
      </c>
      <c r="S104" s="73">
        <f>DATI!$E$49/200*R104</f>
        <v>1.6E-2</v>
      </c>
      <c r="U104" s="159">
        <f>U103+1</f>
        <v>1</v>
      </c>
      <c r="V104" s="73">
        <f>DATI!$E$50/200*R104</f>
        <v>1.6E-2</v>
      </c>
    </row>
    <row r="105" spans="2:22" x14ac:dyDescent="0.25">
      <c r="B105" s="40"/>
      <c r="C105" s="28"/>
      <c r="D105" s="28"/>
      <c r="E105" s="28"/>
      <c r="F105" s="28"/>
      <c r="R105" s="159">
        <f t="shared" ref="R105:R168" si="7">R104+1</f>
        <v>2</v>
      </c>
      <c r="S105" s="73">
        <f>DATI!$E$49/200*R105</f>
        <v>3.2000000000000001E-2</v>
      </c>
      <c r="U105" s="159">
        <f t="shared" ref="U105:U168" si="8">U104+1</f>
        <v>2</v>
      </c>
      <c r="V105" s="73">
        <f>DATI!$E$50/200*R105</f>
        <v>3.2000000000000001E-2</v>
      </c>
    </row>
    <row r="106" spans="2:22" x14ac:dyDescent="0.25">
      <c r="B106" s="40"/>
      <c r="C106" s="28"/>
      <c r="D106" s="28"/>
      <c r="E106" s="28"/>
      <c r="F106" s="28"/>
      <c r="R106" s="159">
        <f t="shared" si="7"/>
        <v>3</v>
      </c>
      <c r="S106" s="73">
        <f>DATI!$E$49/200*R106</f>
        <v>4.8000000000000001E-2</v>
      </c>
      <c r="U106" s="159">
        <f t="shared" si="8"/>
        <v>3</v>
      </c>
      <c r="V106" s="73">
        <f>DATI!$E$50/200*R106</f>
        <v>4.8000000000000001E-2</v>
      </c>
    </row>
    <row r="107" spans="2:22" x14ac:dyDescent="0.25">
      <c r="B107" s="28"/>
      <c r="C107" s="28"/>
      <c r="D107" s="28"/>
      <c r="E107" s="28"/>
      <c r="F107" s="28"/>
      <c r="R107" s="159">
        <f t="shared" si="7"/>
        <v>4</v>
      </c>
      <c r="S107" s="73">
        <f>DATI!$E$49/200*R107</f>
        <v>6.4000000000000001E-2</v>
      </c>
      <c r="U107" s="159">
        <f t="shared" si="8"/>
        <v>4</v>
      </c>
      <c r="V107" s="73">
        <f>DATI!$E$50/200*R107</f>
        <v>6.4000000000000001E-2</v>
      </c>
    </row>
    <row r="108" spans="2:22" x14ac:dyDescent="0.25">
      <c r="B108" s="28"/>
      <c r="C108" s="28"/>
      <c r="D108" s="28"/>
      <c r="E108" s="28"/>
      <c r="F108" s="28"/>
      <c r="R108" s="159">
        <f t="shared" si="7"/>
        <v>5</v>
      </c>
      <c r="S108" s="73">
        <f>DATI!$E$49/200*R108</f>
        <v>0.08</v>
      </c>
      <c r="U108" s="159">
        <f t="shared" si="8"/>
        <v>5</v>
      </c>
      <c r="V108" s="73">
        <f>DATI!$E$50/200*R108</f>
        <v>0.08</v>
      </c>
    </row>
    <row r="109" spans="2:22" x14ac:dyDescent="0.25">
      <c r="B109" s="28"/>
      <c r="C109" s="28"/>
      <c r="D109" s="28"/>
      <c r="E109" s="28"/>
      <c r="F109" s="28"/>
      <c r="R109" s="159">
        <f t="shared" si="7"/>
        <v>6</v>
      </c>
      <c r="S109" s="73">
        <f>DATI!$E$49/200*R109</f>
        <v>9.6000000000000002E-2</v>
      </c>
      <c r="U109" s="159">
        <f t="shared" si="8"/>
        <v>6</v>
      </c>
      <c r="V109" s="73">
        <f>DATI!$E$50/200*R109</f>
        <v>9.6000000000000002E-2</v>
      </c>
    </row>
    <row r="110" spans="2:22" x14ac:dyDescent="0.25">
      <c r="B110" s="28"/>
      <c r="C110" s="28"/>
      <c r="D110" s="28"/>
      <c r="E110" s="28"/>
      <c r="F110" s="28"/>
      <c r="R110" s="159">
        <f t="shared" si="7"/>
        <v>7</v>
      </c>
      <c r="S110" s="73">
        <f>DATI!$E$49/200*R110</f>
        <v>0.112</v>
      </c>
      <c r="U110" s="159">
        <f t="shared" si="8"/>
        <v>7</v>
      </c>
      <c r="V110" s="73">
        <f>DATI!$E$50/200*R110</f>
        <v>0.112</v>
      </c>
    </row>
    <row r="111" spans="2:22" x14ac:dyDescent="0.25">
      <c r="B111" s="28"/>
      <c r="C111" s="28"/>
      <c r="D111" s="28"/>
      <c r="E111" s="28"/>
      <c r="F111" s="28"/>
      <c r="R111" s="159">
        <f t="shared" si="7"/>
        <v>8</v>
      </c>
      <c r="S111" s="73">
        <f>DATI!$E$49/200*R111</f>
        <v>0.128</v>
      </c>
      <c r="U111" s="159">
        <f t="shared" si="8"/>
        <v>8</v>
      </c>
      <c r="V111" s="73">
        <f>DATI!$E$50/200*R111</f>
        <v>0.128</v>
      </c>
    </row>
    <row r="112" spans="2:22" x14ac:dyDescent="0.25">
      <c r="B112" s="28"/>
      <c r="C112" s="28"/>
      <c r="D112" s="28"/>
      <c r="E112" s="28"/>
      <c r="F112" s="28"/>
      <c r="R112" s="159">
        <f t="shared" si="7"/>
        <v>9</v>
      </c>
      <c r="S112" s="73">
        <f>DATI!$E$49/200*R112</f>
        <v>0.14400000000000002</v>
      </c>
      <c r="U112" s="159">
        <f t="shared" si="8"/>
        <v>9</v>
      </c>
      <c r="V112" s="73">
        <f>DATI!$E$50/200*R112</f>
        <v>0.14400000000000002</v>
      </c>
    </row>
    <row r="113" spans="2:22" x14ac:dyDescent="0.25">
      <c r="B113" s="28"/>
      <c r="C113" s="28"/>
      <c r="D113" s="28"/>
      <c r="E113" s="28"/>
      <c r="F113" s="28"/>
      <c r="R113" s="159">
        <f t="shared" si="7"/>
        <v>10</v>
      </c>
      <c r="S113" s="73">
        <f>DATI!$E$49/200*R113</f>
        <v>0.16</v>
      </c>
      <c r="U113" s="159">
        <f t="shared" si="8"/>
        <v>10</v>
      </c>
      <c r="V113" s="73">
        <f>DATI!$E$50/200*R113</f>
        <v>0.16</v>
      </c>
    </row>
    <row r="114" spans="2:22" x14ac:dyDescent="0.25">
      <c r="R114" s="159">
        <f t="shared" si="7"/>
        <v>11</v>
      </c>
      <c r="S114" s="73">
        <f>DATI!$E$49/200*R114</f>
        <v>0.17599999999999999</v>
      </c>
      <c r="U114" s="159">
        <f t="shared" si="8"/>
        <v>11</v>
      </c>
      <c r="V114" s="73">
        <f>DATI!$E$50/200*R114</f>
        <v>0.17599999999999999</v>
      </c>
    </row>
    <row r="115" spans="2:22" x14ac:dyDescent="0.25">
      <c r="R115" s="159">
        <f t="shared" si="7"/>
        <v>12</v>
      </c>
      <c r="S115" s="73">
        <f>DATI!$E$49/200*R115</f>
        <v>0.192</v>
      </c>
      <c r="U115" s="159">
        <f t="shared" si="8"/>
        <v>12</v>
      </c>
      <c r="V115" s="73">
        <f>DATI!$E$50/200*R115</f>
        <v>0.192</v>
      </c>
    </row>
    <row r="116" spans="2:22" x14ac:dyDescent="0.25">
      <c r="R116" s="159">
        <f t="shared" si="7"/>
        <v>13</v>
      </c>
      <c r="S116" s="73">
        <f>DATI!$E$49/200*R116</f>
        <v>0.20800000000000002</v>
      </c>
      <c r="U116" s="159">
        <f t="shared" si="8"/>
        <v>13</v>
      </c>
      <c r="V116" s="73">
        <f>DATI!$E$50/200*R116</f>
        <v>0.20800000000000002</v>
      </c>
    </row>
    <row r="117" spans="2:22" x14ac:dyDescent="0.25">
      <c r="R117" s="159">
        <f t="shared" si="7"/>
        <v>14</v>
      </c>
      <c r="S117" s="73">
        <f>DATI!$E$49/200*R117</f>
        <v>0.224</v>
      </c>
      <c r="U117" s="159">
        <f t="shared" si="8"/>
        <v>14</v>
      </c>
      <c r="V117" s="73">
        <f>DATI!$E$50/200*R117</f>
        <v>0.224</v>
      </c>
    </row>
    <row r="118" spans="2:22" x14ac:dyDescent="0.25">
      <c r="R118" s="159">
        <f t="shared" si="7"/>
        <v>15</v>
      </c>
      <c r="S118" s="73">
        <f>DATI!$E$49/200*R118</f>
        <v>0.24</v>
      </c>
      <c r="U118" s="159">
        <f t="shared" si="8"/>
        <v>15</v>
      </c>
      <c r="V118" s="73">
        <f>DATI!$E$50/200*R118</f>
        <v>0.24</v>
      </c>
    </row>
    <row r="119" spans="2:22" x14ac:dyDescent="0.25">
      <c r="R119" s="159">
        <f t="shared" si="7"/>
        <v>16</v>
      </c>
      <c r="S119" s="73">
        <f>DATI!$E$49/200*R119</f>
        <v>0.25600000000000001</v>
      </c>
      <c r="U119" s="159">
        <f t="shared" si="8"/>
        <v>16</v>
      </c>
      <c r="V119" s="73">
        <f>DATI!$E$50/200*R119</f>
        <v>0.25600000000000001</v>
      </c>
    </row>
    <row r="120" spans="2:22" x14ac:dyDescent="0.25">
      <c r="R120" s="159">
        <f t="shared" si="7"/>
        <v>17</v>
      </c>
      <c r="S120" s="73">
        <f>DATI!$E$49/200*R120</f>
        <v>0.27200000000000002</v>
      </c>
      <c r="U120" s="159">
        <f t="shared" si="8"/>
        <v>17</v>
      </c>
      <c r="V120" s="73">
        <f>DATI!$E$50/200*R120</f>
        <v>0.27200000000000002</v>
      </c>
    </row>
    <row r="121" spans="2:22" x14ac:dyDescent="0.25">
      <c r="R121" s="159">
        <f t="shared" si="7"/>
        <v>18</v>
      </c>
      <c r="S121" s="73">
        <f>DATI!$E$49/200*R121</f>
        <v>0.28800000000000003</v>
      </c>
      <c r="U121" s="159">
        <f t="shared" si="8"/>
        <v>18</v>
      </c>
      <c r="V121" s="73">
        <f>DATI!$E$50/200*R121</f>
        <v>0.28800000000000003</v>
      </c>
    </row>
    <row r="122" spans="2:22" x14ac:dyDescent="0.25">
      <c r="R122" s="159">
        <f t="shared" si="7"/>
        <v>19</v>
      </c>
      <c r="S122" s="73">
        <f>DATI!$E$49/200*R122</f>
        <v>0.30399999999999999</v>
      </c>
      <c r="U122" s="159">
        <f t="shared" si="8"/>
        <v>19</v>
      </c>
      <c r="V122" s="73">
        <f>DATI!$E$50/200*R122</f>
        <v>0.30399999999999999</v>
      </c>
    </row>
    <row r="123" spans="2:22" x14ac:dyDescent="0.25">
      <c r="R123" s="159">
        <f t="shared" si="7"/>
        <v>20</v>
      </c>
      <c r="S123" s="73">
        <f>DATI!$E$49/200*R123</f>
        <v>0.32</v>
      </c>
      <c r="U123" s="159">
        <f t="shared" si="8"/>
        <v>20</v>
      </c>
      <c r="V123" s="73">
        <f>DATI!$E$50/200*R123</f>
        <v>0.32</v>
      </c>
    </row>
    <row r="124" spans="2:22" x14ac:dyDescent="0.25">
      <c r="R124" s="159">
        <f t="shared" si="7"/>
        <v>21</v>
      </c>
      <c r="S124" s="73">
        <f>DATI!$E$49/200*R124</f>
        <v>0.33600000000000002</v>
      </c>
      <c r="U124" s="159">
        <f t="shared" si="8"/>
        <v>21</v>
      </c>
      <c r="V124" s="73">
        <f>DATI!$E$50/200*R124</f>
        <v>0.33600000000000002</v>
      </c>
    </row>
    <row r="125" spans="2:22" x14ac:dyDescent="0.25">
      <c r="R125" s="159">
        <f t="shared" si="7"/>
        <v>22</v>
      </c>
      <c r="S125" s="73">
        <f>DATI!$E$49/200*R125</f>
        <v>0.35199999999999998</v>
      </c>
      <c r="U125" s="159">
        <f t="shared" si="8"/>
        <v>22</v>
      </c>
      <c r="V125" s="73">
        <f>DATI!$E$50/200*R125</f>
        <v>0.35199999999999998</v>
      </c>
    </row>
    <row r="126" spans="2:22" x14ac:dyDescent="0.25">
      <c r="R126" s="159">
        <f t="shared" si="7"/>
        <v>23</v>
      </c>
      <c r="S126" s="73">
        <f>DATI!$E$49/200*R126</f>
        <v>0.36799999999999999</v>
      </c>
      <c r="U126" s="159">
        <f t="shared" si="8"/>
        <v>23</v>
      </c>
      <c r="V126" s="73">
        <f>DATI!$E$50/200*R126</f>
        <v>0.36799999999999999</v>
      </c>
    </row>
    <row r="127" spans="2:22" x14ac:dyDescent="0.25">
      <c r="R127" s="159">
        <f t="shared" si="7"/>
        <v>24</v>
      </c>
      <c r="S127" s="73">
        <f>DATI!$E$49/200*R127</f>
        <v>0.38400000000000001</v>
      </c>
      <c r="U127" s="159">
        <f t="shared" si="8"/>
        <v>24</v>
      </c>
      <c r="V127" s="73">
        <f>DATI!$E$50/200*R127</f>
        <v>0.38400000000000001</v>
      </c>
    </row>
    <row r="128" spans="2:22" x14ac:dyDescent="0.25">
      <c r="R128" s="159">
        <f t="shared" si="7"/>
        <v>25</v>
      </c>
      <c r="S128" s="73">
        <f>DATI!$E$49/200*R128</f>
        <v>0.4</v>
      </c>
      <c r="U128" s="159">
        <f t="shared" si="8"/>
        <v>25</v>
      </c>
      <c r="V128" s="73">
        <f>DATI!$E$50/200*R128</f>
        <v>0.4</v>
      </c>
    </row>
    <row r="129" spans="18:22" x14ac:dyDescent="0.25">
      <c r="R129" s="159">
        <f t="shared" si="7"/>
        <v>26</v>
      </c>
      <c r="S129" s="73">
        <f>DATI!$E$49/200*R129</f>
        <v>0.41600000000000004</v>
      </c>
      <c r="U129" s="159">
        <f t="shared" si="8"/>
        <v>26</v>
      </c>
      <c r="V129" s="73">
        <f>DATI!$E$50/200*R129</f>
        <v>0.41600000000000004</v>
      </c>
    </row>
    <row r="130" spans="18:22" x14ac:dyDescent="0.25">
      <c r="R130" s="159">
        <f t="shared" si="7"/>
        <v>27</v>
      </c>
      <c r="S130" s="73">
        <f>DATI!$E$49/200*R130</f>
        <v>0.432</v>
      </c>
      <c r="U130" s="159">
        <f t="shared" si="8"/>
        <v>27</v>
      </c>
      <c r="V130" s="73">
        <f>DATI!$E$50/200*R130</f>
        <v>0.432</v>
      </c>
    </row>
    <row r="131" spans="18:22" x14ac:dyDescent="0.25">
      <c r="R131" s="159">
        <f t="shared" si="7"/>
        <v>28</v>
      </c>
      <c r="S131" s="73">
        <f>DATI!$E$49/200*R131</f>
        <v>0.44800000000000001</v>
      </c>
      <c r="U131" s="159">
        <f t="shared" si="8"/>
        <v>28</v>
      </c>
      <c r="V131" s="73">
        <f>DATI!$E$50/200*R131</f>
        <v>0.44800000000000001</v>
      </c>
    </row>
    <row r="132" spans="18:22" x14ac:dyDescent="0.25">
      <c r="R132" s="159">
        <f t="shared" si="7"/>
        <v>29</v>
      </c>
      <c r="S132" s="73">
        <f>DATI!$E$49/200*R132</f>
        <v>0.46400000000000002</v>
      </c>
      <c r="U132" s="159">
        <f t="shared" si="8"/>
        <v>29</v>
      </c>
      <c r="V132" s="73">
        <f>DATI!$E$50/200*R132</f>
        <v>0.46400000000000002</v>
      </c>
    </row>
    <row r="133" spans="18:22" x14ac:dyDescent="0.25">
      <c r="R133" s="159">
        <f t="shared" si="7"/>
        <v>30</v>
      </c>
      <c r="S133" s="73">
        <f>DATI!$E$49/200*R133</f>
        <v>0.48</v>
      </c>
      <c r="U133" s="159">
        <f t="shared" si="8"/>
        <v>30</v>
      </c>
      <c r="V133" s="73">
        <f>DATI!$E$50/200*R133</f>
        <v>0.48</v>
      </c>
    </row>
    <row r="134" spans="18:22" x14ac:dyDescent="0.25">
      <c r="R134" s="159">
        <f t="shared" si="7"/>
        <v>31</v>
      </c>
      <c r="S134" s="73">
        <f>DATI!$E$49/200*R134</f>
        <v>0.496</v>
      </c>
      <c r="U134" s="159">
        <f t="shared" si="8"/>
        <v>31</v>
      </c>
      <c r="V134" s="73">
        <f>DATI!$E$50/200*R134</f>
        <v>0.496</v>
      </c>
    </row>
    <row r="135" spans="18:22" x14ac:dyDescent="0.25">
      <c r="R135" s="159">
        <f t="shared" si="7"/>
        <v>32</v>
      </c>
      <c r="S135" s="73">
        <f>DATI!$E$49/200*R135</f>
        <v>0.51200000000000001</v>
      </c>
      <c r="U135" s="159">
        <f t="shared" si="8"/>
        <v>32</v>
      </c>
      <c r="V135" s="73">
        <f>DATI!$E$50/200*R135</f>
        <v>0.51200000000000001</v>
      </c>
    </row>
    <row r="136" spans="18:22" x14ac:dyDescent="0.25">
      <c r="R136" s="159">
        <f t="shared" si="7"/>
        <v>33</v>
      </c>
      <c r="S136" s="73">
        <f>DATI!$E$49/200*R136</f>
        <v>0.52800000000000002</v>
      </c>
      <c r="U136" s="159">
        <f t="shared" si="8"/>
        <v>33</v>
      </c>
      <c r="V136" s="73">
        <f>DATI!$E$50/200*R136</f>
        <v>0.52800000000000002</v>
      </c>
    </row>
    <row r="137" spans="18:22" x14ac:dyDescent="0.25">
      <c r="R137" s="159">
        <f t="shared" si="7"/>
        <v>34</v>
      </c>
      <c r="S137" s="73">
        <f>DATI!$E$49/200*R137</f>
        <v>0.54400000000000004</v>
      </c>
      <c r="U137" s="159">
        <f t="shared" si="8"/>
        <v>34</v>
      </c>
      <c r="V137" s="73">
        <f>DATI!$E$50/200*R137</f>
        <v>0.54400000000000004</v>
      </c>
    </row>
    <row r="138" spans="18:22" x14ac:dyDescent="0.25">
      <c r="R138" s="159">
        <f t="shared" si="7"/>
        <v>35</v>
      </c>
      <c r="S138" s="73">
        <f>DATI!$E$49/200*R138</f>
        <v>0.56000000000000005</v>
      </c>
      <c r="U138" s="159">
        <f t="shared" si="8"/>
        <v>35</v>
      </c>
      <c r="V138" s="73">
        <f>DATI!$E$50/200*R138</f>
        <v>0.56000000000000005</v>
      </c>
    </row>
    <row r="139" spans="18:22" x14ac:dyDescent="0.25">
      <c r="R139" s="159">
        <f t="shared" si="7"/>
        <v>36</v>
      </c>
      <c r="S139" s="73">
        <f>DATI!$E$49/200*R139</f>
        <v>0.57600000000000007</v>
      </c>
      <c r="U139" s="159">
        <f t="shared" si="8"/>
        <v>36</v>
      </c>
      <c r="V139" s="73">
        <f>DATI!$E$50/200*R139</f>
        <v>0.57600000000000007</v>
      </c>
    </row>
    <row r="140" spans="18:22" x14ac:dyDescent="0.25">
      <c r="R140" s="159">
        <f t="shared" si="7"/>
        <v>37</v>
      </c>
      <c r="S140" s="73">
        <f>DATI!$E$49/200*R140</f>
        <v>0.59199999999999997</v>
      </c>
      <c r="U140" s="159">
        <f t="shared" si="8"/>
        <v>37</v>
      </c>
      <c r="V140" s="73">
        <f>DATI!$E$50/200*R140</f>
        <v>0.59199999999999997</v>
      </c>
    </row>
    <row r="141" spans="18:22" x14ac:dyDescent="0.25">
      <c r="R141" s="159">
        <f t="shared" si="7"/>
        <v>38</v>
      </c>
      <c r="S141" s="73">
        <f>DATI!$E$49/200*R141</f>
        <v>0.60799999999999998</v>
      </c>
      <c r="U141" s="159">
        <f t="shared" si="8"/>
        <v>38</v>
      </c>
      <c r="V141" s="73">
        <f>DATI!$E$50/200*R141</f>
        <v>0.60799999999999998</v>
      </c>
    </row>
    <row r="142" spans="18:22" x14ac:dyDescent="0.25">
      <c r="R142" s="159">
        <f t="shared" si="7"/>
        <v>39</v>
      </c>
      <c r="S142" s="73">
        <f>DATI!$E$49/200*R142</f>
        <v>0.624</v>
      </c>
      <c r="U142" s="159">
        <f t="shared" si="8"/>
        <v>39</v>
      </c>
      <c r="V142" s="73">
        <f>DATI!$E$50/200*R142</f>
        <v>0.624</v>
      </c>
    </row>
    <row r="143" spans="18:22" x14ac:dyDescent="0.25">
      <c r="R143" s="159">
        <f t="shared" si="7"/>
        <v>40</v>
      </c>
      <c r="S143" s="73">
        <f>DATI!$E$49/200*R143</f>
        <v>0.64</v>
      </c>
      <c r="U143" s="159">
        <f t="shared" si="8"/>
        <v>40</v>
      </c>
      <c r="V143" s="73">
        <f>DATI!$E$50/200*R143</f>
        <v>0.64</v>
      </c>
    </row>
    <row r="144" spans="18:22" x14ac:dyDescent="0.25">
      <c r="R144" s="159">
        <f t="shared" si="7"/>
        <v>41</v>
      </c>
      <c r="S144" s="73">
        <f>DATI!$E$49/200*R144</f>
        <v>0.65600000000000003</v>
      </c>
      <c r="U144" s="159">
        <f t="shared" si="8"/>
        <v>41</v>
      </c>
      <c r="V144" s="73">
        <f>DATI!$E$50/200*R144</f>
        <v>0.65600000000000003</v>
      </c>
    </row>
    <row r="145" spans="18:22" x14ac:dyDescent="0.25">
      <c r="R145" s="159">
        <f t="shared" si="7"/>
        <v>42</v>
      </c>
      <c r="S145" s="73">
        <f>DATI!$E$49/200*R145</f>
        <v>0.67200000000000004</v>
      </c>
      <c r="U145" s="159">
        <f t="shared" si="8"/>
        <v>42</v>
      </c>
      <c r="V145" s="73">
        <f>DATI!$E$50/200*R145</f>
        <v>0.67200000000000004</v>
      </c>
    </row>
    <row r="146" spans="18:22" x14ac:dyDescent="0.25">
      <c r="R146" s="159">
        <f t="shared" si="7"/>
        <v>43</v>
      </c>
      <c r="S146" s="73">
        <f>DATI!$E$49/200*R146</f>
        <v>0.68800000000000006</v>
      </c>
      <c r="U146" s="159">
        <f t="shared" si="8"/>
        <v>43</v>
      </c>
      <c r="V146" s="73">
        <f>DATI!$E$50/200*R146</f>
        <v>0.68800000000000006</v>
      </c>
    </row>
    <row r="147" spans="18:22" x14ac:dyDescent="0.25">
      <c r="R147" s="159">
        <f t="shared" si="7"/>
        <v>44</v>
      </c>
      <c r="S147" s="73">
        <f>DATI!$E$49/200*R147</f>
        <v>0.70399999999999996</v>
      </c>
      <c r="U147" s="159">
        <f t="shared" si="8"/>
        <v>44</v>
      </c>
      <c r="V147" s="73">
        <f>DATI!$E$50/200*R147</f>
        <v>0.70399999999999996</v>
      </c>
    </row>
    <row r="148" spans="18:22" x14ac:dyDescent="0.25">
      <c r="R148" s="159">
        <f t="shared" si="7"/>
        <v>45</v>
      </c>
      <c r="S148" s="73">
        <f>DATI!$E$49/200*R148</f>
        <v>0.72</v>
      </c>
      <c r="U148" s="159">
        <f t="shared" si="8"/>
        <v>45</v>
      </c>
      <c r="V148" s="73">
        <f>DATI!$E$50/200*R148</f>
        <v>0.72</v>
      </c>
    </row>
    <row r="149" spans="18:22" x14ac:dyDescent="0.25">
      <c r="R149" s="159">
        <f t="shared" si="7"/>
        <v>46</v>
      </c>
      <c r="S149" s="73">
        <f>DATI!$E$49/200*R149</f>
        <v>0.73599999999999999</v>
      </c>
      <c r="U149" s="159">
        <f t="shared" si="8"/>
        <v>46</v>
      </c>
      <c r="V149" s="73">
        <f>DATI!$E$50/200*R149</f>
        <v>0.73599999999999999</v>
      </c>
    </row>
    <row r="150" spans="18:22" x14ac:dyDescent="0.25">
      <c r="R150" s="159">
        <f t="shared" si="7"/>
        <v>47</v>
      </c>
      <c r="S150" s="73">
        <f>DATI!$E$49/200*R150</f>
        <v>0.752</v>
      </c>
      <c r="U150" s="159">
        <f t="shared" si="8"/>
        <v>47</v>
      </c>
      <c r="V150" s="73">
        <f>DATI!$E$50/200*R150</f>
        <v>0.752</v>
      </c>
    </row>
    <row r="151" spans="18:22" x14ac:dyDescent="0.25">
      <c r="R151" s="159">
        <f t="shared" si="7"/>
        <v>48</v>
      </c>
      <c r="S151" s="73">
        <f>DATI!$E$49/200*R151</f>
        <v>0.76800000000000002</v>
      </c>
      <c r="U151" s="159">
        <f t="shared" si="8"/>
        <v>48</v>
      </c>
      <c r="V151" s="73">
        <f>DATI!$E$50/200*R151</f>
        <v>0.76800000000000002</v>
      </c>
    </row>
    <row r="152" spans="18:22" x14ac:dyDescent="0.25">
      <c r="R152" s="159">
        <f t="shared" si="7"/>
        <v>49</v>
      </c>
      <c r="S152" s="73">
        <f>DATI!$E$49/200*R152</f>
        <v>0.78400000000000003</v>
      </c>
      <c r="U152" s="159">
        <f t="shared" si="8"/>
        <v>49</v>
      </c>
      <c r="V152" s="73">
        <f>DATI!$E$50/200*R152</f>
        <v>0.78400000000000003</v>
      </c>
    </row>
    <row r="153" spans="18:22" x14ac:dyDescent="0.25">
      <c r="R153" s="159">
        <f t="shared" si="7"/>
        <v>50</v>
      </c>
      <c r="S153" s="73">
        <f>DATI!$E$49/200*R153</f>
        <v>0.8</v>
      </c>
      <c r="U153" s="159">
        <f t="shared" si="8"/>
        <v>50</v>
      </c>
      <c r="V153" s="73">
        <f>DATI!$E$50/200*R153</f>
        <v>0.8</v>
      </c>
    </row>
    <row r="154" spans="18:22" x14ac:dyDescent="0.25">
      <c r="R154" s="159">
        <f t="shared" si="7"/>
        <v>51</v>
      </c>
      <c r="S154" s="73">
        <f>DATI!$E$49/200*R154</f>
        <v>0.81600000000000006</v>
      </c>
      <c r="U154" s="159">
        <f t="shared" si="8"/>
        <v>51</v>
      </c>
      <c r="V154" s="73">
        <f>DATI!$E$50/200*R154</f>
        <v>0.81600000000000006</v>
      </c>
    </row>
    <row r="155" spans="18:22" x14ac:dyDescent="0.25">
      <c r="R155" s="159">
        <f t="shared" si="7"/>
        <v>52</v>
      </c>
      <c r="S155" s="73">
        <f>DATI!$E$49/200*R155</f>
        <v>0.83200000000000007</v>
      </c>
      <c r="U155" s="159">
        <f t="shared" si="8"/>
        <v>52</v>
      </c>
      <c r="V155" s="73">
        <f>DATI!$E$50/200*R155</f>
        <v>0.83200000000000007</v>
      </c>
    </row>
    <row r="156" spans="18:22" x14ac:dyDescent="0.25">
      <c r="R156" s="159">
        <f t="shared" si="7"/>
        <v>53</v>
      </c>
      <c r="S156" s="73">
        <f>DATI!$E$49/200*R156</f>
        <v>0.84799999999999998</v>
      </c>
      <c r="U156" s="159">
        <f t="shared" si="8"/>
        <v>53</v>
      </c>
      <c r="V156" s="73">
        <f>DATI!$E$50/200*R156</f>
        <v>0.84799999999999998</v>
      </c>
    </row>
    <row r="157" spans="18:22" x14ac:dyDescent="0.25">
      <c r="R157" s="159">
        <f t="shared" si="7"/>
        <v>54</v>
      </c>
      <c r="S157" s="73">
        <f>DATI!$E$49/200*R157</f>
        <v>0.86399999999999999</v>
      </c>
      <c r="U157" s="159">
        <f t="shared" si="8"/>
        <v>54</v>
      </c>
      <c r="V157" s="73">
        <f>DATI!$E$50/200*R157</f>
        <v>0.86399999999999999</v>
      </c>
    </row>
    <row r="158" spans="18:22" x14ac:dyDescent="0.25">
      <c r="R158" s="159">
        <f t="shared" si="7"/>
        <v>55</v>
      </c>
      <c r="S158" s="73">
        <f>DATI!$E$49/200*R158</f>
        <v>0.88</v>
      </c>
      <c r="U158" s="159">
        <f t="shared" si="8"/>
        <v>55</v>
      </c>
      <c r="V158" s="73">
        <f>DATI!$E$50/200*R158</f>
        <v>0.88</v>
      </c>
    </row>
    <row r="159" spans="18:22" x14ac:dyDescent="0.25">
      <c r="R159" s="159">
        <f t="shared" si="7"/>
        <v>56</v>
      </c>
      <c r="S159" s="73">
        <f>DATI!$E$49/200*R159</f>
        <v>0.89600000000000002</v>
      </c>
      <c r="U159" s="159">
        <f t="shared" si="8"/>
        <v>56</v>
      </c>
      <c r="V159" s="73">
        <f>DATI!$E$50/200*R159</f>
        <v>0.89600000000000002</v>
      </c>
    </row>
    <row r="160" spans="18:22" x14ac:dyDescent="0.25">
      <c r="R160" s="159">
        <f t="shared" si="7"/>
        <v>57</v>
      </c>
      <c r="S160" s="73">
        <f>DATI!$E$49/200*R160</f>
        <v>0.91200000000000003</v>
      </c>
      <c r="U160" s="159">
        <f t="shared" si="8"/>
        <v>57</v>
      </c>
      <c r="V160" s="73">
        <f>DATI!$E$50/200*R160</f>
        <v>0.91200000000000003</v>
      </c>
    </row>
    <row r="161" spans="18:22" x14ac:dyDescent="0.25">
      <c r="R161" s="159">
        <f t="shared" si="7"/>
        <v>58</v>
      </c>
      <c r="S161" s="73">
        <f>DATI!$E$49/200*R161</f>
        <v>0.92800000000000005</v>
      </c>
      <c r="U161" s="159">
        <f t="shared" si="8"/>
        <v>58</v>
      </c>
      <c r="V161" s="73">
        <f>DATI!$E$50/200*R161</f>
        <v>0.92800000000000005</v>
      </c>
    </row>
    <row r="162" spans="18:22" x14ac:dyDescent="0.25">
      <c r="R162" s="159">
        <f t="shared" si="7"/>
        <v>59</v>
      </c>
      <c r="S162" s="73">
        <f>DATI!$E$49/200*R162</f>
        <v>0.94400000000000006</v>
      </c>
      <c r="U162" s="159">
        <f t="shared" si="8"/>
        <v>59</v>
      </c>
      <c r="V162" s="73">
        <f>DATI!$E$50/200*R162</f>
        <v>0.94400000000000006</v>
      </c>
    </row>
    <row r="163" spans="18:22" x14ac:dyDescent="0.25">
      <c r="R163" s="159">
        <f t="shared" si="7"/>
        <v>60</v>
      </c>
      <c r="S163" s="73">
        <f>DATI!$E$49/200*R163</f>
        <v>0.96</v>
      </c>
      <c r="U163" s="159">
        <f t="shared" si="8"/>
        <v>60</v>
      </c>
      <c r="V163" s="73">
        <f>DATI!$E$50/200*R163</f>
        <v>0.96</v>
      </c>
    </row>
    <row r="164" spans="18:22" x14ac:dyDescent="0.25">
      <c r="R164" s="159">
        <f t="shared" si="7"/>
        <v>61</v>
      </c>
      <c r="S164" s="73">
        <f>DATI!$E$49/200*R164</f>
        <v>0.97599999999999998</v>
      </c>
      <c r="U164" s="159">
        <f t="shared" si="8"/>
        <v>61</v>
      </c>
      <c r="V164" s="73">
        <f>DATI!$E$50/200*R164</f>
        <v>0.97599999999999998</v>
      </c>
    </row>
    <row r="165" spans="18:22" x14ac:dyDescent="0.25">
      <c r="R165" s="159">
        <f t="shared" si="7"/>
        <v>62</v>
      </c>
      <c r="S165" s="73">
        <f>DATI!$E$49/200*R165</f>
        <v>0.99199999999999999</v>
      </c>
      <c r="U165" s="159">
        <f t="shared" si="8"/>
        <v>62</v>
      </c>
      <c r="V165" s="73">
        <f>DATI!$E$50/200*R165</f>
        <v>0.99199999999999999</v>
      </c>
    </row>
    <row r="166" spans="18:22" x14ac:dyDescent="0.25">
      <c r="R166" s="159">
        <f t="shared" si="7"/>
        <v>63</v>
      </c>
      <c r="S166" s="73">
        <f>DATI!$E$49/200*R166</f>
        <v>1.008</v>
      </c>
      <c r="U166" s="159">
        <f t="shared" si="8"/>
        <v>63</v>
      </c>
      <c r="V166" s="73">
        <f>DATI!$E$50/200*R166</f>
        <v>1.008</v>
      </c>
    </row>
    <row r="167" spans="18:22" x14ac:dyDescent="0.25">
      <c r="R167" s="159">
        <f t="shared" si="7"/>
        <v>64</v>
      </c>
      <c r="S167" s="73">
        <f>DATI!$E$49/200*R167</f>
        <v>1.024</v>
      </c>
      <c r="U167" s="159">
        <f t="shared" si="8"/>
        <v>64</v>
      </c>
      <c r="V167" s="73">
        <f>DATI!$E$50/200*R167</f>
        <v>1.024</v>
      </c>
    </row>
    <row r="168" spans="18:22" x14ac:dyDescent="0.25">
      <c r="R168" s="159">
        <f t="shared" si="7"/>
        <v>65</v>
      </c>
      <c r="S168" s="73">
        <f>DATI!$E$49/200*R168</f>
        <v>1.04</v>
      </c>
      <c r="U168" s="159">
        <f t="shared" si="8"/>
        <v>65</v>
      </c>
      <c r="V168" s="73">
        <f>DATI!$E$50/200*R168</f>
        <v>1.04</v>
      </c>
    </row>
    <row r="169" spans="18:22" x14ac:dyDescent="0.25">
      <c r="R169" s="159">
        <f t="shared" ref="R169:R203" si="9">R168+1</f>
        <v>66</v>
      </c>
      <c r="S169" s="73">
        <f>DATI!$E$49/200*R169</f>
        <v>1.056</v>
      </c>
      <c r="U169" s="159">
        <f t="shared" ref="U169:U203" si="10">U168+1</f>
        <v>66</v>
      </c>
      <c r="V169" s="73">
        <f>DATI!$E$50/200*R169</f>
        <v>1.056</v>
      </c>
    </row>
    <row r="170" spans="18:22" x14ac:dyDescent="0.25">
      <c r="R170" s="159">
        <f t="shared" si="9"/>
        <v>67</v>
      </c>
      <c r="S170" s="73">
        <f>DATI!$E$49/200*R170</f>
        <v>1.0720000000000001</v>
      </c>
      <c r="U170" s="159">
        <f t="shared" si="10"/>
        <v>67</v>
      </c>
      <c r="V170" s="73">
        <f>DATI!$E$50/200*R170</f>
        <v>1.0720000000000001</v>
      </c>
    </row>
    <row r="171" spans="18:22" x14ac:dyDescent="0.25">
      <c r="R171" s="159">
        <f t="shared" si="9"/>
        <v>68</v>
      </c>
      <c r="S171" s="73">
        <f>DATI!$E$49/200*R171</f>
        <v>1.0880000000000001</v>
      </c>
      <c r="U171" s="159">
        <f t="shared" si="10"/>
        <v>68</v>
      </c>
      <c r="V171" s="73">
        <f>DATI!$E$50/200*R171</f>
        <v>1.0880000000000001</v>
      </c>
    </row>
    <row r="172" spans="18:22" x14ac:dyDescent="0.25">
      <c r="R172" s="159">
        <f t="shared" si="9"/>
        <v>69</v>
      </c>
      <c r="S172" s="73">
        <f>DATI!$E$49/200*R172</f>
        <v>1.1040000000000001</v>
      </c>
      <c r="U172" s="159">
        <f t="shared" si="10"/>
        <v>69</v>
      </c>
      <c r="V172" s="73">
        <f>DATI!$E$50/200*R172</f>
        <v>1.1040000000000001</v>
      </c>
    </row>
    <row r="173" spans="18:22" x14ac:dyDescent="0.25">
      <c r="R173" s="159">
        <f t="shared" si="9"/>
        <v>70</v>
      </c>
      <c r="S173" s="73">
        <f>DATI!$E$49/200*R173</f>
        <v>1.1200000000000001</v>
      </c>
      <c r="U173" s="159">
        <f t="shared" si="10"/>
        <v>70</v>
      </c>
      <c r="V173" s="73">
        <f>DATI!$E$50/200*R173</f>
        <v>1.1200000000000001</v>
      </c>
    </row>
    <row r="174" spans="18:22" x14ac:dyDescent="0.25">
      <c r="R174" s="159">
        <f t="shared" si="9"/>
        <v>71</v>
      </c>
      <c r="S174" s="73">
        <f>DATI!$E$49/200*R174</f>
        <v>1.1360000000000001</v>
      </c>
      <c r="U174" s="159">
        <f t="shared" si="10"/>
        <v>71</v>
      </c>
      <c r="V174" s="73">
        <f>DATI!$E$50/200*R174</f>
        <v>1.1360000000000001</v>
      </c>
    </row>
    <row r="175" spans="18:22" x14ac:dyDescent="0.25">
      <c r="R175" s="159">
        <f t="shared" si="9"/>
        <v>72</v>
      </c>
      <c r="S175" s="73">
        <f>DATI!$E$49/200*R175</f>
        <v>1.1520000000000001</v>
      </c>
      <c r="U175" s="159">
        <f t="shared" si="10"/>
        <v>72</v>
      </c>
      <c r="V175" s="73">
        <f>DATI!$E$50/200*R175</f>
        <v>1.1520000000000001</v>
      </c>
    </row>
    <row r="176" spans="18:22" x14ac:dyDescent="0.25">
      <c r="R176" s="159">
        <f t="shared" si="9"/>
        <v>73</v>
      </c>
      <c r="S176" s="73">
        <f>DATI!$E$49/200*R176</f>
        <v>1.1679999999999999</v>
      </c>
      <c r="U176" s="159">
        <f t="shared" si="10"/>
        <v>73</v>
      </c>
      <c r="V176" s="73">
        <f>DATI!$E$50/200*R176</f>
        <v>1.1679999999999999</v>
      </c>
    </row>
    <row r="177" spans="18:22" x14ac:dyDescent="0.25">
      <c r="R177" s="159">
        <f t="shared" si="9"/>
        <v>74</v>
      </c>
      <c r="S177" s="73">
        <f>DATI!$E$49/200*R177</f>
        <v>1.1839999999999999</v>
      </c>
      <c r="U177" s="159">
        <f t="shared" si="10"/>
        <v>74</v>
      </c>
      <c r="V177" s="73">
        <f>DATI!$E$50/200*R177</f>
        <v>1.1839999999999999</v>
      </c>
    </row>
    <row r="178" spans="18:22" x14ac:dyDescent="0.25">
      <c r="R178" s="159">
        <f t="shared" si="9"/>
        <v>75</v>
      </c>
      <c r="S178" s="73">
        <f>DATI!$E$49/200*R178</f>
        <v>1.2</v>
      </c>
      <c r="U178" s="159">
        <f t="shared" si="10"/>
        <v>75</v>
      </c>
      <c r="V178" s="73">
        <f>DATI!$E$50/200*R178</f>
        <v>1.2</v>
      </c>
    </row>
    <row r="179" spans="18:22" x14ac:dyDescent="0.25">
      <c r="R179" s="159">
        <f t="shared" si="9"/>
        <v>76</v>
      </c>
      <c r="S179" s="73">
        <f>DATI!$E$49/200*R179</f>
        <v>1.216</v>
      </c>
      <c r="U179" s="159">
        <f t="shared" si="10"/>
        <v>76</v>
      </c>
      <c r="V179" s="73">
        <f>DATI!$E$50/200*R179</f>
        <v>1.216</v>
      </c>
    </row>
    <row r="180" spans="18:22" x14ac:dyDescent="0.25">
      <c r="R180" s="159">
        <f t="shared" si="9"/>
        <v>77</v>
      </c>
      <c r="S180" s="73">
        <f>DATI!$E$49/200*R180</f>
        <v>1.232</v>
      </c>
      <c r="U180" s="159">
        <f t="shared" si="10"/>
        <v>77</v>
      </c>
      <c r="V180" s="73">
        <f>DATI!$E$50/200*R180</f>
        <v>1.232</v>
      </c>
    </row>
    <row r="181" spans="18:22" x14ac:dyDescent="0.25">
      <c r="R181" s="159">
        <f t="shared" si="9"/>
        <v>78</v>
      </c>
      <c r="S181" s="73">
        <f>DATI!$E$49/200*R181</f>
        <v>1.248</v>
      </c>
      <c r="U181" s="159">
        <f t="shared" si="10"/>
        <v>78</v>
      </c>
      <c r="V181" s="73">
        <f>DATI!$E$50/200*R181</f>
        <v>1.248</v>
      </c>
    </row>
    <row r="182" spans="18:22" x14ac:dyDescent="0.25">
      <c r="R182" s="159">
        <f t="shared" si="9"/>
        <v>79</v>
      </c>
      <c r="S182" s="73">
        <f>DATI!$E$49/200*R182</f>
        <v>1.264</v>
      </c>
      <c r="U182" s="159">
        <f t="shared" si="10"/>
        <v>79</v>
      </c>
      <c r="V182" s="73">
        <f>DATI!$E$50/200*R182</f>
        <v>1.264</v>
      </c>
    </row>
    <row r="183" spans="18:22" x14ac:dyDescent="0.25">
      <c r="R183" s="159">
        <f t="shared" si="9"/>
        <v>80</v>
      </c>
      <c r="S183" s="73">
        <f>DATI!$E$49/200*R183</f>
        <v>1.28</v>
      </c>
      <c r="U183" s="159">
        <f t="shared" si="10"/>
        <v>80</v>
      </c>
      <c r="V183" s="73">
        <f>DATI!$E$50/200*R183</f>
        <v>1.28</v>
      </c>
    </row>
    <row r="184" spans="18:22" x14ac:dyDescent="0.25">
      <c r="R184" s="159">
        <f t="shared" si="9"/>
        <v>81</v>
      </c>
      <c r="S184" s="73">
        <f>DATI!$E$49/200*R184</f>
        <v>1.296</v>
      </c>
      <c r="U184" s="159">
        <f t="shared" si="10"/>
        <v>81</v>
      </c>
      <c r="V184" s="73">
        <f>DATI!$E$50/200*R184</f>
        <v>1.296</v>
      </c>
    </row>
    <row r="185" spans="18:22" x14ac:dyDescent="0.25">
      <c r="R185" s="159">
        <f t="shared" si="9"/>
        <v>82</v>
      </c>
      <c r="S185" s="73">
        <f>DATI!$E$49/200*R185</f>
        <v>1.3120000000000001</v>
      </c>
      <c r="U185" s="159">
        <f t="shared" si="10"/>
        <v>82</v>
      </c>
      <c r="V185" s="73">
        <f>DATI!$E$50/200*R185</f>
        <v>1.3120000000000001</v>
      </c>
    </row>
    <row r="186" spans="18:22" x14ac:dyDescent="0.25">
      <c r="R186" s="159">
        <f t="shared" si="9"/>
        <v>83</v>
      </c>
      <c r="S186" s="73">
        <f>DATI!$E$49/200*R186</f>
        <v>1.3280000000000001</v>
      </c>
      <c r="U186" s="159">
        <f t="shared" si="10"/>
        <v>83</v>
      </c>
      <c r="V186" s="73">
        <f>DATI!$E$50/200*R186</f>
        <v>1.3280000000000001</v>
      </c>
    </row>
    <row r="187" spans="18:22" x14ac:dyDescent="0.25">
      <c r="R187" s="159">
        <f t="shared" si="9"/>
        <v>84</v>
      </c>
      <c r="S187" s="73">
        <f>DATI!$E$49/200*R187</f>
        <v>1.3440000000000001</v>
      </c>
      <c r="U187" s="159">
        <f t="shared" si="10"/>
        <v>84</v>
      </c>
      <c r="V187" s="73">
        <f>DATI!$E$50/200*R187</f>
        <v>1.3440000000000001</v>
      </c>
    </row>
    <row r="188" spans="18:22" x14ac:dyDescent="0.25">
      <c r="R188" s="159">
        <f t="shared" si="9"/>
        <v>85</v>
      </c>
      <c r="S188" s="73">
        <f>DATI!$E$49/200*R188</f>
        <v>1.36</v>
      </c>
      <c r="U188" s="159">
        <f t="shared" si="10"/>
        <v>85</v>
      </c>
      <c r="V188" s="73">
        <f>DATI!$E$50/200*R188</f>
        <v>1.36</v>
      </c>
    </row>
    <row r="189" spans="18:22" x14ac:dyDescent="0.25">
      <c r="R189" s="159">
        <f t="shared" si="9"/>
        <v>86</v>
      </c>
      <c r="S189" s="73">
        <f>DATI!$E$49/200*R189</f>
        <v>1.3760000000000001</v>
      </c>
      <c r="U189" s="159">
        <f t="shared" si="10"/>
        <v>86</v>
      </c>
      <c r="V189" s="73">
        <f>DATI!$E$50/200*R189</f>
        <v>1.3760000000000001</v>
      </c>
    </row>
    <row r="190" spans="18:22" x14ac:dyDescent="0.25">
      <c r="R190" s="159">
        <f t="shared" si="9"/>
        <v>87</v>
      </c>
      <c r="S190" s="73">
        <f>DATI!$E$49/200*R190</f>
        <v>1.3920000000000001</v>
      </c>
      <c r="U190" s="159">
        <f t="shared" si="10"/>
        <v>87</v>
      </c>
      <c r="V190" s="73">
        <f>DATI!$E$50/200*R190</f>
        <v>1.3920000000000001</v>
      </c>
    </row>
    <row r="191" spans="18:22" x14ac:dyDescent="0.25">
      <c r="R191" s="159">
        <f t="shared" si="9"/>
        <v>88</v>
      </c>
      <c r="S191" s="73">
        <f>DATI!$E$49/200*R191</f>
        <v>1.4079999999999999</v>
      </c>
      <c r="U191" s="159">
        <f t="shared" si="10"/>
        <v>88</v>
      </c>
      <c r="V191" s="73">
        <f>DATI!$E$50/200*R191</f>
        <v>1.4079999999999999</v>
      </c>
    </row>
    <row r="192" spans="18:22" x14ac:dyDescent="0.25">
      <c r="R192" s="159">
        <f t="shared" si="9"/>
        <v>89</v>
      </c>
      <c r="S192" s="73">
        <f>DATI!$E$49/200*R192</f>
        <v>1.4239999999999999</v>
      </c>
      <c r="U192" s="159">
        <f t="shared" si="10"/>
        <v>89</v>
      </c>
      <c r="V192" s="73">
        <f>DATI!$E$50/200*R192</f>
        <v>1.4239999999999999</v>
      </c>
    </row>
    <row r="193" spans="18:22" x14ac:dyDescent="0.25">
      <c r="R193" s="159">
        <f t="shared" si="9"/>
        <v>90</v>
      </c>
      <c r="S193" s="73">
        <f>DATI!$E$49/200*R193</f>
        <v>1.44</v>
      </c>
      <c r="U193" s="159">
        <f t="shared" si="10"/>
        <v>90</v>
      </c>
      <c r="V193" s="73">
        <f>DATI!$E$50/200*R193</f>
        <v>1.44</v>
      </c>
    </row>
    <row r="194" spans="18:22" x14ac:dyDescent="0.25">
      <c r="R194" s="159">
        <f t="shared" si="9"/>
        <v>91</v>
      </c>
      <c r="S194" s="73">
        <f>DATI!$E$49/200*R194</f>
        <v>1.456</v>
      </c>
      <c r="U194" s="159">
        <f t="shared" si="10"/>
        <v>91</v>
      </c>
      <c r="V194" s="73">
        <f>DATI!$E$50/200*R194</f>
        <v>1.456</v>
      </c>
    </row>
    <row r="195" spans="18:22" x14ac:dyDescent="0.25">
      <c r="R195" s="159">
        <f t="shared" si="9"/>
        <v>92</v>
      </c>
      <c r="S195" s="73">
        <f>DATI!$E$49/200*R195</f>
        <v>1.472</v>
      </c>
      <c r="U195" s="159">
        <f t="shared" si="10"/>
        <v>92</v>
      </c>
      <c r="V195" s="73">
        <f>DATI!$E$50/200*R195</f>
        <v>1.472</v>
      </c>
    </row>
    <row r="196" spans="18:22" x14ac:dyDescent="0.25">
      <c r="R196" s="159">
        <f t="shared" si="9"/>
        <v>93</v>
      </c>
      <c r="S196" s="73">
        <f>DATI!$E$49/200*R196</f>
        <v>1.488</v>
      </c>
      <c r="U196" s="159">
        <f t="shared" si="10"/>
        <v>93</v>
      </c>
      <c r="V196" s="73">
        <f>DATI!$E$50/200*R196</f>
        <v>1.488</v>
      </c>
    </row>
    <row r="197" spans="18:22" x14ac:dyDescent="0.25">
      <c r="R197" s="159">
        <f t="shared" si="9"/>
        <v>94</v>
      </c>
      <c r="S197" s="73">
        <f>DATI!$E$49/200*R197</f>
        <v>1.504</v>
      </c>
      <c r="U197" s="159">
        <f t="shared" si="10"/>
        <v>94</v>
      </c>
      <c r="V197" s="73">
        <f>DATI!$E$50/200*R197</f>
        <v>1.504</v>
      </c>
    </row>
    <row r="198" spans="18:22" x14ac:dyDescent="0.25">
      <c r="R198" s="159">
        <f t="shared" si="9"/>
        <v>95</v>
      </c>
      <c r="S198" s="73">
        <f>DATI!$E$49/200*R198</f>
        <v>1.52</v>
      </c>
      <c r="U198" s="159">
        <f t="shared" si="10"/>
        <v>95</v>
      </c>
      <c r="V198" s="73">
        <f>DATI!$E$50/200*R198</f>
        <v>1.52</v>
      </c>
    </row>
    <row r="199" spans="18:22" x14ac:dyDescent="0.25">
      <c r="R199" s="159">
        <f t="shared" si="9"/>
        <v>96</v>
      </c>
      <c r="S199" s="73">
        <f>DATI!$E$49/200*R199</f>
        <v>1.536</v>
      </c>
      <c r="U199" s="159">
        <f t="shared" si="10"/>
        <v>96</v>
      </c>
      <c r="V199" s="73">
        <f>DATI!$E$50/200*R199</f>
        <v>1.536</v>
      </c>
    </row>
    <row r="200" spans="18:22" x14ac:dyDescent="0.25">
      <c r="R200" s="159">
        <f t="shared" si="9"/>
        <v>97</v>
      </c>
      <c r="S200" s="73">
        <f>DATI!$E$49/200*R200</f>
        <v>1.552</v>
      </c>
      <c r="U200" s="159">
        <f t="shared" si="10"/>
        <v>97</v>
      </c>
      <c r="V200" s="73">
        <f>DATI!$E$50/200*R200</f>
        <v>1.552</v>
      </c>
    </row>
    <row r="201" spans="18:22" x14ac:dyDescent="0.25">
      <c r="R201" s="159">
        <f t="shared" si="9"/>
        <v>98</v>
      </c>
      <c r="S201" s="73">
        <f>DATI!$E$49/200*R201</f>
        <v>1.5680000000000001</v>
      </c>
      <c r="U201" s="159">
        <f t="shared" si="10"/>
        <v>98</v>
      </c>
      <c r="V201" s="73">
        <f>DATI!$E$50/200*R201</f>
        <v>1.5680000000000001</v>
      </c>
    </row>
    <row r="202" spans="18:22" x14ac:dyDescent="0.25">
      <c r="R202" s="159">
        <f t="shared" si="9"/>
        <v>99</v>
      </c>
      <c r="S202" s="73">
        <f>DATI!$E$49/200*R202</f>
        <v>1.5840000000000001</v>
      </c>
      <c r="U202" s="159">
        <f t="shared" si="10"/>
        <v>99</v>
      </c>
      <c r="V202" s="73">
        <f>DATI!$E$50/200*R202</f>
        <v>1.5840000000000001</v>
      </c>
    </row>
    <row r="203" spans="18:22" x14ac:dyDescent="0.25">
      <c r="R203" s="159">
        <f t="shared" si="9"/>
        <v>100</v>
      </c>
      <c r="S203" s="73">
        <f>DATI!$E$49/200*R203</f>
        <v>1.6</v>
      </c>
      <c r="U203" s="159">
        <f t="shared" si="10"/>
        <v>100</v>
      </c>
      <c r="V203" s="73">
        <f>DATI!$E$50/200*R203</f>
        <v>1.6</v>
      </c>
    </row>
  </sheetData>
  <protectedRanges>
    <protectedRange sqref="C10" name="Intervallo4"/>
    <protectedRange sqref="C10" name="Intervallo1"/>
    <protectedRange sqref="I29" name="Intervallo1_1"/>
    <protectedRange sqref="G16" name="Intervallo1_2"/>
    <protectedRange sqref="I59" name="Intervallo1_3"/>
    <protectedRange sqref="C61" name="Intervallo1_9"/>
    <protectedRange sqref="C61" name="Intervallo1_5_1"/>
  </protectedRanges>
  <customSheetViews>
    <customSheetView guid="{4665FEC6-985A-4058-98C4-6E3C4FA2FD00}" state="hidden" topLeftCell="A37">
      <selection activeCell="E46" sqref="E46"/>
      <pageMargins left="0.7" right="0.7" top="0.75" bottom="0.75" header="0.3" footer="0.3"/>
      <pageSetup paperSize="9" orientation="portrait" r:id="rId1"/>
    </customSheetView>
    <customSheetView guid="{0B137F07-03B3-4E41-AE6C-8ED78830E82B}" state="hidden" topLeftCell="A37">
      <selection activeCell="D51" sqref="D51"/>
      <pageMargins left="0.7" right="0.7" top="0.75" bottom="0.75" header="0.3" footer="0.3"/>
      <pageSetup paperSize="9" orientation="portrait" r:id="rId2"/>
    </customSheetView>
    <customSheetView guid="{20357F05-553F-42A2-AC78-E7E06E1ED012}" state="hidden" topLeftCell="A37">
      <selection activeCell="D51" sqref="D51"/>
      <pageMargins left="0.7" right="0.7" top="0.75" bottom="0.75" header="0.3" footer="0.3"/>
      <pageSetup paperSize="9" orientation="portrait" r:id="rId3"/>
    </customSheetView>
  </customSheetViews>
  <mergeCells count="5">
    <mergeCell ref="F23:G23"/>
    <mergeCell ref="F24:G24"/>
    <mergeCell ref="D24:E24"/>
    <mergeCell ref="D23:E23"/>
    <mergeCell ref="C78:E78"/>
  </mergeCells>
  <dataValidations count="1">
    <dataValidation type="list" allowBlank="1" showInputMessage="1" showErrorMessage="1" sqref="D54">
      <formula1>sn</formula1>
    </dataValidation>
  </dataValidations>
  <pageMargins left="0.7" right="0.7" top="0.75" bottom="0.75" header="0.3" footer="0.3"/>
  <pageSetup paperSize="9" orientation="portrait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81"/>
  <sheetViews>
    <sheetView showGridLines="0" showRowColHeaders="0" zoomScaleNormal="100" workbookViewId="0">
      <selection activeCell="C13" sqref="C13"/>
    </sheetView>
  </sheetViews>
  <sheetFormatPr defaultRowHeight="15" x14ac:dyDescent="0.25"/>
  <cols>
    <col min="1" max="1" width="3.42578125" customWidth="1"/>
    <col min="2" max="2" width="3.42578125" style="130" customWidth="1"/>
    <col min="3" max="3" width="60.140625" customWidth="1"/>
    <col min="4" max="4" width="12" customWidth="1"/>
    <col min="5" max="7" width="14.42578125" customWidth="1"/>
    <col min="8" max="8" width="9.140625" customWidth="1"/>
    <col min="11" max="11" width="7.5703125" customWidth="1"/>
    <col min="12" max="12" width="17" customWidth="1"/>
    <col min="16" max="16" width="11.140625" customWidth="1"/>
  </cols>
  <sheetData>
    <row r="1" spans="1:21" x14ac:dyDescent="0.25"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21" x14ac:dyDescent="0.25">
      <c r="B2" s="131"/>
      <c r="C2" s="1" t="s">
        <v>114</v>
      </c>
      <c r="D2" s="131"/>
      <c r="E2" s="131"/>
      <c r="F2" s="131"/>
      <c r="G2" s="131"/>
      <c r="H2" s="131"/>
      <c r="I2" s="131"/>
      <c r="J2" s="131"/>
      <c r="K2" s="131"/>
    </row>
    <row r="3" spans="1:21" x14ac:dyDescent="0.25">
      <c r="B3" s="131"/>
      <c r="C3" s="1" t="s">
        <v>115</v>
      </c>
      <c r="D3" s="131"/>
      <c r="E3" s="131"/>
      <c r="F3" s="131"/>
      <c r="G3" s="131"/>
      <c r="H3" s="131"/>
      <c r="I3" s="131"/>
      <c r="J3" s="131"/>
      <c r="K3" s="131"/>
    </row>
    <row r="4" spans="1:21" ht="11.25" customHeight="1" thickBot="1" x14ac:dyDescent="0.3">
      <c r="B4" s="131"/>
      <c r="C4" s="1"/>
      <c r="D4" s="131"/>
      <c r="E4" s="131"/>
      <c r="F4" s="131"/>
      <c r="G4" s="131"/>
      <c r="H4" s="131"/>
      <c r="I4" s="131"/>
      <c r="J4" s="131"/>
      <c r="K4" s="131"/>
    </row>
    <row r="5" spans="1:21" ht="16.5" thickTop="1" thickBot="1" x14ac:dyDescent="0.3">
      <c r="A5" s="2"/>
      <c r="B5" s="131"/>
      <c r="C5" s="131" t="s">
        <v>116</v>
      </c>
      <c r="D5" s="131"/>
      <c r="E5" s="52" t="s">
        <v>459</v>
      </c>
      <c r="F5" s="131"/>
      <c r="G5" s="131"/>
      <c r="H5" s="131"/>
      <c r="I5" s="131"/>
      <c r="J5" s="131"/>
      <c r="K5" s="131"/>
      <c r="M5" s="2"/>
      <c r="N5" s="2"/>
      <c r="O5" s="2"/>
      <c r="P5" s="2"/>
      <c r="Q5" s="2"/>
      <c r="R5" s="2"/>
      <c r="S5" s="2"/>
      <c r="T5" s="2"/>
      <c r="U5" s="2"/>
    </row>
    <row r="6" spans="1:21" ht="19.5" thickTop="1" thickBot="1" x14ac:dyDescent="0.3">
      <c r="A6" s="2"/>
      <c r="B6" s="131"/>
      <c r="C6" s="131" t="s">
        <v>117</v>
      </c>
      <c r="D6" s="53" t="s">
        <v>118</v>
      </c>
      <c r="E6" s="67">
        <v>25</v>
      </c>
      <c r="F6" s="131"/>
      <c r="G6" s="131"/>
      <c r="H6" s="131"/>
      <c r="I6" s="131"/>
      <c r="J6" s="131"/>
      <c r="K6" s="131"/>
      <c r="M6" s="2"/>
      <c r="N6" s="2"/>
      <c r="O6" s="2"/>
      <c r="P6" s="2"/>
      <c r="Q6" s="2"/>
      <c r="R6" s="2"/>
      <c r="S6" s="2"/>
      <c r="T6" s="2"/>
      <c r="U6" s="2"/>
    </row>
    <row r="7" spans="1:21" s="130" customFormat="1" ht="19.5" thickTop="1" thickBot="1" x14ac:dyDescent="0.3">
      <c r="A7" s="131"/>
      <c r="B7" s="131"/>
      <c r="C7" s="131" t="s">
        <v>346</v>
      </c>
      <c r="D7" s="53" t="s">
        <v>347</v>
      </c>
      <c r="E7" s="67">
        <v>24</v>
      </c>
      <c r="F7" s="131"/>
      <c r="G7" s="131"/>
      <c r="H7" s="131"/>
      <c r="I7" s="131"/>
      <c r="J7" s="131"/>
      <c r="K7" s="131"/>
      <c r="M7" s="131"/>
      <c r="N7" s="131"/>
      <c r="O7" s="131"/>
      <c r="P7" s="131"/>
      <c r="Q7" s="131"/>
      <c r="R7" s="131"/>
      <c r="S7" s="131"/>
      <c r="T7" s="131"/>
      <c r="U7" s="131"/>
    </row>
    <row r="8" spans="1:21" ht="16.5" thickTop="1" thickBot="1" x14ac:dyDescent="0.3">
      <c r="A8" s="2"/>
      <c r="B8" s="131"/>
      <c r="C8" s="131" t="s">
        <v>119</v>
      </c>
      <c r="D8" s="158" t="s">
        <v>120</v>
      </c>
      <c r="E8" s="68">
        <v>0.1</v>
      </c>
      <c r="F8" s="131"/>
      <c r="G8" s="131"/>
      <c r="H8" s="131"/>
      <c r="I8" s="131"/>
      <c r="J8" s="131"/>
      <c r="K8" s="131"/>
      <c r="M8" s="2"/>
      <c r="N8" s="2"/>
      <c r="O8" s="2"/>
      <c r="P8" s="2"/>
      <c r="Q8" s="2"/>
      <c r="R8" s="2"/>
      <c r="S8" s="2"/>
      <c r="T8" s="2"/>
      <c r="U8" s="2"/>
    </row>
    <row r="9" spans="1:21" ht="15.75" thickTop="1" x14ac:dyDescent="0.25">
      <c r="A9" s="2"/>
      <c r="B9" s="131"/>
      <c r="C9" s="131"/>
      <c r="D9" s="158"/>
      <c r="E9" s="183"/>
      <c r="F9" s="131"/>
      <c r="G9" s="131"/>
      <c r="H9" s="131"/>
      <c r="I9" s="131"/>
      <c r="J9" s="131"/>
      <c r="K9" s="131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5">
      <c r="A10" s="2"/>
      <c r="B10" s="131"/>
      <c r="C10" s="131"/>
      <c r="D10" s="131"/>
      <c r="E10" s="131"/>
      <c r="F10" s="131"/>
      <c r="G10" s="131"/>
      <c r="H10" s="131"/>
      <c r="I10" s="131"/>
      <c r="J10" s="131"/>
      <c r="K10" s="106"/>
      <c r="L10" s="107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2"/>
      <c r="B11" s="131"/>
      <c r="C11" s="1" t="s">
        <v>344</v>
      </c>
      <c r="D11" s="158"/>
      <c r="E11" s="183"/>
      <c r="F11" s="131"/>
      <c r="G11" s="131"/>
      <c r="H11" s="131"/>
      <c r="I11" s="131"/>
      <c r="J11" s="131"/>
      <c r="K11" s="131"/>
      <c r="L11" s="105"/>
      <c r="M11" s="2"/>
      <c r="Q11" s="2"/>
      <c r="R11" s="2"/>
      <c r="S11" s="2"/>
      <c r="T11" s="2"/>
      <c r="U11" s="2"/>
    </row>
    <row r="12" spans="1:21" ht="15.75" thickBot="1" x14ac:dyDescent="0.3">
      <c r="A12" s="2"/>
      <c r="B12" s="131"/>
      <c r="C12" s="131"/>
      <c r="D12" s="158"/>
      <c r="E12" s="183"/>
      <c r="F12" s="131"/>
      <c r="G12" s="131"/>
      <c r="H12" s="131"/>
      <c r="I12" s="131"/>
      <c r="J12" s="131"/>
      <c r="K12" s="131"/>
      <c r="M12" s="2"/>
      <c r="Q12" s="2"/>
      <c r="R12" s="2"/>
      <c r="S12" s="2"/>
      <c r="T12" s="2"/>
      <c r="U12" s="2"/>
    </row>
    <row r="13" spans="1:21" ht="16.5" customHeight="1" thickTop="1" thickBot="1" x14ac:dyDescent="0.3">
      <c r="A13" s="2"/>
      <c r="B13" s="131"/>
      <c r="C13" s="182" t="s">
        <v>139</v>
      </c>
      <c r="D13" s="184"/>
      <c r="E13" s="185"/>
      <c r="F13" s="84"/>
      <c r="G13" s="131"/>
      <c r="H13" s="92"/>
      <c r="I13" s="92"/>
      <c r="J13" s="92"/>
      <c r="K13" s="92"/>
      <c r="L13" s="2"/>
    </row>
    <row r="14" spans="1:21" ht="16.5" thickTop="1" thickBot="1" x14ac:dyDescent="0.3">
      <c r="A14" s="2"/>
      <c r="B14" s="131"/>
      <c r="C14" s="131"/>
      <c r="D14" s="131"/>
      <c r="E14" s="131"/>
      <c r="F14" s="84"/>
      <c r="G14" s="131"/>
      <c r="H14" s="92"/>
      <c r="I14" s="92"/>
      <c r="J14" s="92"/>
      <c r="K14" s="92"/>
      <c r="L14" s="2"/>
    </row>
    <row r="15" spans="1:21" ht="19.5" thickTop="1" thickBot="1" x14ac:dyDescent="0.3">
      <c r="A15" s="2"/>
      <c r="B15" s="131"/>
      <c r="C15" s="131" t="s">
        <v>140</v>
      </c>
      <c r="D15" s="158" t="s">
        <v>141</v>
      </c>
      <c r="E15" s="194">
        <f>0.16*9.81</f>
        <v>1.5696000000000001</v>
      </c>
      <c r="F15" s="186"/>
      <c r="G15" s="15"/>
      <c r="H15" s="92"/>
      <c r="I15" s="92"/>
      <c r="J15" s="92"/>
      <c r="K15" s="92"/>
      <c r="L15" s="2"/>
    </row>
    <row r="16" spans="1:21" ht="19.5" customHeight="1" thickTop="1" thickBot="1" x14ac:dyDescent="0.3">
      <c r="A16" s="2"/>
      <c r="B16" s="131"/>
      <c r="C16" s="131" t="s">
        <v>345</v>
      </c>
      <c r="D16" s="158" t="s">
        <v>143</v>
      </c>
      <c r="E16" s="195">
        <v>2.4</v>
      </c>
      <c r="F16" s="186"/>
      <c r="G16" s="87"/>
      <c r="H16" s="92"/>
      <c r="I16" s="92"/>
      <c r="J16" s="92"/>
      <c r="K16" s="92"/>
      <c r="L16" s="2"/>
    </row>
    <row r="17" spans="1:14" ht="19.5" thickTop="1" thickBot="1" x14ac:dyDescent="0.3">
      <c r="A17" s="2"/>
      <c r="B17" s="131"/>
      <c r="C17" s="131" t="s">
        <v>144</v>
      </c>
      <c r="D17" s="158" t="s">
        <v>145</v>
      </c>
      <c r="E17" s="196">
        <v>0.30099999999999999</v>
      </c>
      <c r="F17" s="186"/>
      <c r="G17" s="87"/>
      <c r="H17" s="92"/>
      <c r="I17" s="92"/>
      <c r="J17" s="92"/>
      <c r="K17" s="92"/>
      <c r="L17" s="2"/>
    </row>
    <row r="18" spans="1:14" ht="16.5" thickTop="1" thickBot="1" x14ac:dyDescent="0.3">
      <c r="A18" s="2"/>
      <c r="B18" s="131"/>
      <c r="C18" s="131" t="s">
        <v>146</v>
      </c>
      <c r="D18" s="131"/>
      <c r="E18" s="52" t="s">
        <v>93</v>
      </c>
      <c r="F18" s="186"/>
      <c r="G18" s="131"/>
      <c r="H18" s="92"/>
      <c r="I18" s="92"/>
      <c r="J18" s="92"/>
      <c r="K18" s="92"/>
      <c r="L18" s="2"/>
    </row>
    <row r="19" spans="1:14" ht="16.5" thickTop="1" thickBot="1" x14ac:dyDescent="0.3">
      <c r="A19" s="2"/>
      <c r="B19" s="131"/>
      <c r="C19" s="131" t="s">
        <v>147</v>
      </c>
      <c r="D19" s="131"/>
      <c r="E19" s="52" t="s">
        <v>89</v>
      </c>
      <c r="F19" s="186"/>
      <c r="G19" s="131"/>
      <c r="H19" s="92"/>
      <c r="I19" s="92"/>
      <c r="J19" s="92"/>
      <c r="K19" s="92"/>
      <c r="L19" s="2"/>
    </row>
    <row r="20" spans="1:14" ht="16.5" thickTop="1" x14ac:dyDescent="0.25">
      <c r="A20" s="2"/>
      <c r="B20" s="131"/>
      <c r="C20" s="131"/>
      <c r="D20" s="131"/>
      <c r="E20" s="131"/>
      <c r="F20" s="19"/>
      <c r="G20" s="15"/>
      <c r="H20" s="113"/>
      <c r="I20" s="114"/>
      <c r="J20" s="131"/>
      <c r="K20" s="131"/>
      <c r="L20" s="2"/>
    </row>
    <row r="21" spans="1:14" x14ac:dyDescent="0.25">
      <c r="A21" s="2"/>
      <c r="B21" s="131"/>
      <c r="C21" s="131" t="s">
        <v>148</v>
      </c>
      <c r="D21" s="172" t="s">
        <v>149</v>
      </c>
      <c r="E21" s="187">
        <v>9.8059999999999992</v>
      </c>
      <c r="F21" s="177"/>
      <c r="G21" s="19"/>
      <c r="H21" s="88"/>
      <c r="I21" s="88"/>
      <c r="J21" s="88"/>
      <c r="K21" s="88"/>
      <c r="L21" s="2"/>
    </row>
    <row r="22" spans="1:14" x14ac:dyDescent="0.25">
      <c r="A22" s="2"/>
      <c r="B22" s="131"/>
      <c r="C22" s="66" t="s">
        <v>150</v>
      </c>
      <c r="D22" s="172" t="s">
        <v>151</v>
      </c>
      <c r="E22" s="85">
        <f>E15/9.806</f>
        <v>0.16006526616357333</v>
      </c>
      <c r="F22" s="177"/>
      <c r="G22" s="19"/>
      <c r="H22" s="88"/>
      <c r="I22" s="88"/>
      <c r="J22" s="88"/>
      <c r="K22" s="88"/>
      <c r="L22" s="2"/>
      <c r="M22" s="15"/>
      <c r="N22" s="15"/>
    </row>
    <row r="23" spans="1:14" ht="18" x14ac:dyDescent="0.25">
      <c r="A23" s="2"/>
      <c r="B23" s="131"/>
      <c r="C23" s="66" t="s">
        <v>152</v>
      </c>
      <c r="D23" s="172" t="s">
        <v>153</v>
      </c>
      <c r="E23" s="86">
        <f>IF(E19="T1",1,IF(E19="T2",1.2,IF(E19="T3",1.2,IF(E19="T4",1.4,""))))</f>
        <v>1</v>
      </c>
      <c r="F23" s="177"/>
      <c r="G23" s="19"/>
      <c r="H23" s="88"/>
      <c r="I23" s="131"/>
      <c r="J23" s="131"/>
      <c r="K23" s="131"/>
      <c r="L23" s="2"/>
      <c r="M23" s="15"/>
      <c r="N23" s="15"/>
    </row>
    <row r="24" spans="1:14" ht="18" x14ac:dyDescent="0.25">
      <c r="A24" s="2"/>
      <c r="B24" s="131"/>
      <c r="C24" s="66" t="s">
        <v>154</v>
      </c>
      <c r="D24" s="172" t="s">
        <v>155</v>
      </c>
      <c r="E24" s="86">
        <f>IF(E18="A",'FOGLIO DEPOSITO'!H42,IF(E18="B",'FOGLIO DEPOSITO'!H43,IF(E18="C",'FOGLIO DEPOSITO'!H44,IF(E18="D",'FOGLIO DEPOSITO'!H45,IF(E18="E",'FOGLIO DEPOSITO'!H46,"")))))</f>
        <v>1.4695060167244542</v>
      </c>
      <c r="F24" s="177"/>
      <c r="G24" s="19"/>
      <c r="H24" s="88"/>
      <c r="I24" s="131"/>
      <c r="J24" s="131"/>
      <c r="K24" s="131"/>
      <c r="L24" s="2"/>
      <c r="M24" s="15"/>
      <c r="N24" s="15"/>
    </row>
    <row r="25" spans="1:14" x14ac:dyDescent="0.25">
      <c r="A25" s="2"/>
      <c r="B25" s="131"/>
      <c r="C25" s="66" t="s">
        <v>156</v>
      </c>
      <c r="D25" s="172" t="s">
        <v>157</v>
      </c>
      <c r="E25" s="86">
        <f>E23*E24</f>
        <v>1.4695060167244542</v>
      </c>
      <c r="F25" s="177"/>
      <c r="G25" s="19"/>
      <c r="H25" s="88"/>
      <c r="I25" s="131"/>
      <c r="J25" s="131"/>
      <c r="K25" s="131"/>
      <c r="L25" s="2"/>
      <c r="M25" s="15"/>
      <c r="N25" s="15"/>
    </row>
    <row r="26" spans="1:14" x14ac:dyDescent="0.25">
      <c r="A26" s="2"/>
      <c r="B26" s="131"/>
      <c r="C26" s="66" t="s">
        <v>158</v>
      </c>
      <c r="D26" s="172" t="s">
        <v>159</v>
      </c>
      <c r="E26" s="86">
        <f>E25*E22</f>
        <v>0.23521687169597222</v>
      </c>
      <c r="F26" s="177"/>
      <c r="G26" s="19"/>
      <c r="H26" s="88"/>
      <c r="I26" s="131"/>
      <c r="J26" s="131"/>
      <c r="K26" s="131"/>
      <c r="L26" s="2"/>
      <c r="M26" s="15"/>
      <c r="N26" s="15"/>
    </row>
    <row r="27" spans="1:14" ht="18" x14ac:dyDescent="0.25">
      <c r="A27" s="2"/>
      <c r="B27" s="131"/>
      <c r="C27" s="66" t="s">
        <v>160</v>
      </c>
      <c r="D27" s="172" t="s">
        <v>161</v>
      </c>
      <c r="E27" s="86">
        <f>IF(E18="A",'FOGLIO DEPOSITO'!I42,IF(E18="B",'FOGLIO DEPOSITO'!I43,IF(E18="C",'FOGLIO DEPOSITO'!I44,IF(E18="D",'FOGLIO DEPOSITO'!I45,IF(E18="E",'FOGLIO DEPOSITO'!I46,"")))))</f>
        <v>1.5604949067512102</v>
      </c>
      <c r="F27" s="177"/>
      <c r="G27" s="19"/>
      <c r="H27" s="88"/>
      <c r="I27" s="131"/>
      <c r="J27" s="131"/>
      <c r="K27" s="131"/>
      <c r="L27" s="2"/>
      <c r="M27" s="15"/>
      <c r="N27" s="15"/>
    </row>
    <row r="28" spans="1:14" ht="18" x14ac:dyDescent="0.25">
      <c r="A28" s="2"/>
      <c r="B28" s="131"/>
      <c r="C28" s="66" t="s">
        <v>162</v>
      </c>
      <c r="D28" s="172" t="s">
        <v>163</v>
      </c>
      <c r="E28" s="188">
        <f>E29/3</f>
        <v>0.15656965564403807</v>
      </c>
      <c r="F28" s="177"/>
      <c r="G28" s="19"/>
      <c r="H28" s="88"/>
      <c r="I28" s="131"/>
      <c r="J28" s="131"/>
      <c r="K28" s="131"/>
      <c r="L28" s="2"/>
      <c r="M28" s="15"/>
      <c r="N28" s="15"/>
    </row>
    <row r="29" spans="1:14" ht="18" x14ac:dyDescent="0.25">
      <c r="A29" s="2"/>
      <c r="B29" s="131"/>
      <c r="C29" s="66" t="s">
        <v>164</v>
      </c>
      <c r="D29" s="172" t="s">
        <v>165</v>
      </c>
      <c r="E29" s="188">
        <f>E27*E17</f>
        <v>0.46970896693211422</v>
      </c>
      <c r="F29" s="177"/>
      <c r="G29" s="19"/>
      <c r="H29" s="88"/>
      <c r="I29" s="131"/>
      <c r="J29" s="131"/>
      <c r="K29" s="131"/>
      <c r="L29" s="2"/>
      <c r="M29" s="15"/>
      <c r="N29" s="15"/>
    </row>
    <row r="30" spans="1:14" ht="18" x14ac:dyDescent="0.25">
      <c r="A30" s="2"/>
      <c r="B30" s="131"/>
      <c r="C30" s="66" t="s">
        <v>166</v>
      </c>
      <c r="D30" s="172" t="s">
        <v>167</v>
      </c>
      <c r="E30" s="188">
        <f>4*E15/E21+1.6</f>
        <v>2.2402610646542933</v>
      </c>
      <c r="F30" s="177"/>
      <c r="G30" s="19"/>
      <c r="H30" s="88"/>
      <c r="I30" s="131"/>
      <c r="J30" s="131"/>
      <c r="K30" s="131"/>
      <c r="L30" s="2"/>
      <c r="M30" s="15"/>
      <c r="N30" s="15"/>
    </row>
    <row r="31" spans="1:14" x14ac:dyDescent="0.25">
      <c r="A31" s="2"/>
      <c r="B31" s="131"/>
      <c r="C31" s="66" t="s">
        <v>168</v>
      </c>
      <c r="D31" s="111" t="s">
        <v>19</v>
      </c>
      <c r="E31" s="110">
        <v>5</v>
      </c>
      <c r="F31" s="177"/>
      <c r="G31" s="19"/>
      <c r="H31" s="88"/>
      <c r="I31" s="131"/>
      <c r="J31" s="131"/>
      <c r="K31" s="131"/>
      <c r="L31" s="2"/>
      <c r="M31" s="15"/>
      <c r="N31" s="15"/>
    </row>
    <row r="32" spans="1:14" x14ac:dyDescent="0.25">
      <c r="A32" s="2"/>
      <c r="B32" s="131"/>
      <c r="C32" s="131" t="s">
        <v>169</v>
      </c>
      <c r="D32" s="111" t="s">
        <v>170</v>
      </c>
      <c r="E32" s="56">
        <f>(10/(5+E31))^0.5</f>
        <v>1</v>
      </c>
      <c r="F32" s="177"/>
      <c r="G32" s="19"/>
      <c r="H32" s="88"/>
      <c r="I32" s="88"/>
      <c r="J32" s="88"/>
      <c r="K32" s="88"/>
      <c r="L32" s="2"/>
      <c r="M32" s="15"/>
      <c r="N32" s="15"/>
    </row>
    <row r="33" spans="1:21" x14ac:dyDescent="0.25">
      <c r="A33" s="2"/>
      <c r="B33" s="131"/>
      <c r="C33" s="131" t="s">
        <v>173</v>
      </c>
      <c r="D33" s="172" t="s">
        <v>82</v>
      </c>
      <c r="E33" s="121">
        <f>DATI!E35*E25*E22</f>
        <v>8.938241124446944E-2</v>
      </c>
      <c r="F33" s="15"/>
      <c r="G33" s="19"/>
      <c r="H33" s="88"/>
      <c r="I33" s="88"/>
      <c r="J33" s="88"/>
      <c r="K33" s="88"/>
      <c r="L33" s="2"/>
      <c r="M33" s="15"/>
      <c r="N33" s="15"/>
    </row>
    <row r="34" spans="1:21" x14ac:dyDescent="0.25">
      <c r="A34" s="2"/>
      <c r="B34" s="131"/>
      <c r="C34" s="131" t="s">
        <v>174</v>
      </c>
      <c r="D34" s="172" t="s">
        <v>83</v>
      </c>
      <c r="E34" s="189">
        <f>0.5*E33</f>
        <v>4.469120562223472E-2</v>
      </c>
      <c r="F34" s="15"/>
      <c r="G34" s="19"/>
      <c r="H34" s="88"/>
      <c r="I34" s="88"/>
      <c r="J34" s="88"/>
      <c r="K34" s="88"/>
      <c r="L34" s="2"/>
      <c r="M34" s="15"/>
      <c r="N34" s="15"/>
    </row>
    <row r="35" spans="1:21" x14ac:dyDescent="0.25">
      <c r="A35" s="2"/>
      <c r="B35" s="131"/>
      <c r="C35" t="s">
        <v>171</v>
      </c>
      <c r="D35" s="112" t="s">
        <v>172</v>
      </c>
      <c r="E35" s="56">
        <f>IF('FOGLIO DEPOSITO'!D54="si",1,IF(DATI!E18="A",'FOGLIO DEPOSITO'!G55,'FOGLIO DEPOSITO'!H55))</f>
        <v>0.38</v>
      </c>
      <c r="F35" s="19"/>
      <c r="G35" s="19"/>
      <c r="H35" s="88"/>
      <c r="I35" s="88"/>
      <c r="J35" s="88"/>
      <c r="K35" s="88"/>
      <c r="L35" s="2"/>
      <c r="M35" s="15"/>
      <c r="N35" s="15"/>
    </row>
    <row r="36" spans="1:21" x14ac:dyDescent="0.25">
      <c r="A36" s="2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131"/>
      <c r="C37" s="1" t="s">
        <v>74</v>
      </c>
      <c r="D37" s="131"/>
      <c r="E37" s="131"/>
      <c r="F37" s="131"/>
      <c r="G37" s="131"/>
      <c r="H37" s="131"/>
      <c r="I37" s="131"/>
      <c r="J37" s="131"/>
      <c r="K37" s="131"/>
      <c r="N37" s="2"/>
      <c r="O37" s="2"/>
      <c r="P37" s="2"/>
      <c r="Q37" s="2"/>
      <c r="R37" s="2"/>
      <c r="S37" s="2"/>
      <c r="T37" s="2"/>
      <c r="U37" s="2"/>
    </row>
    <row r="38" spans="1:21" s="130" customFormat="1" ht="8.25" customHeight="1" x14ac:dyDescent="0.25">
      <c r="A38" s="131"/>
      <c r="B38" s="131"/>
      <c r="C38" s="1"/>
      <c r="D38" s="131"/>
      <c r="E38" s="131"/>
      <c r="F38" s="131"/>
      <c r="G38" s="131"/>
      <c r="H38" s="131"/>
      <c r="I38" s="131"/>
      <c r="J38" s="131"/>
      <c r="K38" s="131"/>
      <c r="N38" s="131"/>
      <c r="O38" s="131"/>
      <c r="P38" s="131"/>
      <c r="Q38" s="131"/>
      <c r="R38" s="131"/>
      <c r="S38" s="131"/>
      <c r="T38" s="131"/>
      <c r="U38" s="131"/>
    </row>
    <row r="39" spans="1:21" x14ac:dyDescent="0.25">
      <c r="A39" s="2"/>
      <c r="B39" s="131"/>
      <c r="C39" s="1" t="s">
        <v>359</v>
      </c>
      <c r="D39" s="131"/>
      <c r="E39" s="131"/>
      <c r="F39" s="131"/>
      <c r="G39" s="131"/>
      <c r="H39" s="131"/>
      <c r="I39" s="131"/>
      <c r="J39" s="131"/>
      <c r="K39" s="131"/>
      <c r="N39" s="2"/>
      <c r="O39" s="2"/>
      <c r="P39" s="2"/>
      <c r="Q39" s="2"/>
      <c r="R39" s="2"/>
      <c r="S39" s="2"/>
      <c r="T39" s="2"/>
      <c r="U39" s="2"/>
    </row>
    <row r="40" spans="1:21" s="130" customFormat="1" ht="8.25" customHeight="1" x14ac:dyDescent="0.25">
      <c r="A40" s="131"/>
      <c r="B40" s="131"/>
      <c r="C40" s="1"/>
      <c r="D40" s="131"/>
      <c r="E40" s="131"/>
      <c r="F40" s="131"/>
      <c r="G40" s="131"/>
      <c r="H40" s="131"/>
      <c r="I40" s="131"/>
      <c r="J40" s="131"/>
      <c r="K40" s="131"/>
      <c r="N40" s="131"/>
      <c r="O40" s="131"/>
      <c r="P40" s="131"/>
      <c r="Q40" s="131"/>
      <c r="R40" s="131"/>
      <c r="S40" s="131"/>
      <c r="T40" s="131"/>
      <c r="U40" s="131"/>
    </row>
    <row r="41" spans="1:21" x14ac:dyDescent="0.25">
      <c r="A41" s="2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N45" s="2"/>
      <c r="O45" s="2"/>
      <c r="P45" s="2"/>
      <c r="Q45" s="2"/>
      <c r="R45" s="2"/>
      <c r="S45" s="2"/>
      <c r="T45" s="2"/>
      <c r="U45" s="2"/>
    </row>
    <row r="46" spans="1:21" s="130" customFormat="1" x14ac:dyDescent="0.2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N46" s="131"/>
      <c r="O46" s="131"/>
      <c r="P46" s="131"/>
      <c r="Q46" s="131"/>
      <c r="R46" s="131"/>
      <c r="S46" s="131"/>
      <c r="T46" s="131"/>
      <c r="U46" s="131"/>
    </row>
    <row r="47" spans="1:21" s="130" customFormat="1" x14ac:dyDescent="0.2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N47" s="131"/>
      <c r="O47" s="131"/>
      <c r="P47" s="131"/>
      <c r="Q47" s="131"/>
      <c r="R47" s="131"/>
      <c r="S47" s="131"/>
      <c r="T47" s="131"/>
      <c r="U47" s="131"/>
    </row>
    <row r="48" spans="1:21" s="130" customFormat="1" ht="15.75" thickBot="1" x14ac:dyDescent="0.3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N48" s="131"/>
      <c r="O48" s="131"/>
      <c r="P48" s="131"/>
      <c r="Q48" s="131"/>
      <c r="R48" s="131"/>
      <c r="S48" s="131"/>
      <c r="T48" s="131"/>
      <c r="U48" s="131"/>
    </row>
    <row r="49" spans="1:21" s="130" customFormat="1" ht="16.5" thickTop="1" thickBot="1" x14ac:dyDescent="0.3">
      <c r="A49" s="131"/>
      <c r="B49" s="131"/>
      <c r="C49" s="131" t="s">
        <v>75</v>
      </c>
      <c r="D49" s="158" t="s">
        <v>76</v>
      </c>
      <c r="E49" s="68">
        <v>3.2</v>
      </c>
      <c r="F49" s="178"/>
      <c r="G49" s="131"/>
      <c r="H49" s="131"/>
      <c r="I49" s="131"/>
      <c r="J49" s="131"/>
      <c r="K49" s="131"/>
      <c r="N49" s="131"/>
      <c r="O49" s="131"/>
      <c r="P49" s="131"/>
      <c r="Q49" s="131"/>
      <c r="R49" s="131"/>
      <c r="S49" s="131"/>
      <c r="T49" s="131"/>
      <c r="U49" s="131"/>
    </row>
    <row r="50" spans="1:21" ht="16.5" thickTop="1" thickBot="1" x14ac:dyDescent="0.3">
      <c r="A50" s="2"/>
      <c r="B50" s="131"/>
      <c r="C50" s="131" t="s">
        <v>77</v>
      </c>
      <c r="D50" s="158" t="s">
        <v>1</v>
      </c>
      <c r="E50" s="68">
        <v>3.2</v>
      </c>
      <c r="F50" s="178"/>
      <c r="G50" s="131"/>
      <c r="H50" s="131"/>
      <c r="I50" s="131"/>
      <c r="J50" s="131"/>
      <c r="K50" s="131"/>
      <c r="N50" s="2"/>
      <c r="O50" s="2"/>
      <c r="P50" s="2"/>
      <c r="Q50" s="2"/>
      <c r="R50" s="2"/>
      <c r="S50" s="2"/>
      <c r="T50" s="2"/>
      <c r="U50" s="2"/>
    </row>
    <row r="51" spans="1:21" ht="16.5" thickTop="1" thickBot="1" x14ac:dyDescent="0.3">
      <c r="A51" s="2"/>
      <c r="B51" s="131"/>
      <c r="C51" s="131" t="s">
        <v>78</v>
      </c>
      <c r="D51" s="158" t="s">
        <v>47</v>
      </c>
      <c r="E51" s="68">
        <v>1.2</v>
      </c>
      <c r="F51" s="178"/>
      <c r="G51" s="131"/>
      <c r="H51" s="131"/>
      <c r="I51" s="131"/>
      <c r="J51" s="131"/>
      <c r="K51" s="131"/>
      <c r="N51" s="2"/>
      <c r="O51" s="2"/>
      <c r="P51" s="2"/>
      <c r="Q51" s="2"/>
      <c r="R51" s="2"/>
      <c r="S51" s="2"/>
      <c r="T51" s="2"/>
      <c r="U51" s="2"/>
    </row>
    <row r="52" spans="1:21" ht="16.5" thickTop="1" thickBot="1" x14ac:dyDescent="0.3">
      <c r="A52" s="2"/>
      <c r="B52" s="131"/>
      <c r="C52" s="131" t="s">
        <v>338</v>
      </c>
      <c r="D52" s="158" t="s">
        <v>96</v>
      </c>
      <c r="E52" s="68">
        <v>1.2</v>
      </c>
      <c r="F52" s="131"/>
      <c r="G52" s="131"/>
      <c r="H52" s="131"/>
      <c r="I52" s="131"/>
      <c r="J52" s="131"/>
      <c r="K52" s="131"/>
      <c r="N52" s="2"/>
      <c r="O52" s="2"/>
      <c r="P52" s="2"/>
      <c r="Q52" s="2"/>
      <c r="R52" s="2"/>
      <c r="S52" s="2"/>
      <c r="T52" s="2"/>
      <c r="U52" s="2"/>
    </row>
    <row r="53" spans="1:21" ht="15.75" thickTop="1" x14ac:dyDescent="0.25">
      <c r="A53" s="2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131"/>
      <c r="C55" s="1" t="s">
        <v>360</v>
      </c>
      <c r="D55" s="131"/>
      <c r="E55" s="131"/>
      <c r="F55" s="131"/>
      <c r="G55" s="131"/>
      <c r="H55" s="131"/>
      <c r="I55" s="131"/>
      <c r="J55" s="131"/>
      <c r="K55" s="131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131"/>
      <c r="C61" s="131"/>
      <c r="D61" s="158"/>
      <c r="E61" s="15"/>
      <c r="F61" s="178"/>
      <c r="G61" s="131"/>
      <c r="H61" s="131"/>
      <c r="I61" s="131"/>
      <c r="J61" s="131"/>
      <c r="K61" s="131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131"/>
      <c r="C62" s="66"/>
      <c r="D62" s="50"/>
      <c r="E62" s="15"/>
      <c r="F62" s="178"/>
      <c r="G62" s="131"/>
      <c r="H62" s="131"/>
      <c r="I62" s="131"/>
      <c r="J62" s="131"/>
      <c r="K62" s="131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131"/>
      <c r="C63" s="66"/>
      <c r="D63" s="50"/>
      <c r="E63" s="15"/>
      <c r="F63" s="178"/>
      <c r="G63" s="131"/>
      <c r="H63" s="131"/>
      <c r="I63" s="131"/>
      <c r="J63" s="131"/>
      <c r="K63" s="131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thickBot="1" x14ac:dyDescent="0.3">
      <c r="A66" s="2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6.5" thickTop="1" thickBot="1" x14ac:dyDescent="0.3">
      <c r="A67" s="2"/>
      <c r="B67" s="131"/>
      <c r="C67" s="131" t="s">
        <v>184</v>
      </c>
      <c r="D67" s="132" t="s">
        <v>18</v>
      </c>
      <c r="E67" s="197">
        <v>0</v>
      </c>
      <c r="F67" s="131"/>
      <c r="G67" s="131"/>
      <c r="H67" s="131"/>
      <c r="I67" s="131"/>
      <c r="J67" s="131"/>
      <c r="K67" s="131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6.5" thickTop="1" thickBot="1" x14ac:dyDescent="0.3">
      <c r="A68" s="2"/>
      <c r="B68" s="131"/>
      <c r="C68" s="131" t="s">
        <v>185</v>
      </c>
      <c r="D68" s="132" t="s">
        <v>186</v>
      </c>
      <c r="E68" s="197">
        <v>0</v>
      </c>
      <c r="F68" s="178"/>
      <c r="G68" s="131"/>
      <c r="H68" s="131"/>
      <c r="I68" s="131"/>
      <c r="J68" s="131"/>
      <c r="K68" s="131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thickTop="1" x14ac:dyDescent="0.25">
      <c r="A69" s="2"/>
      <c r="B69" s="131"/>
      <c r="C69" s="66"/>
      <c r="D69" s="50"/>
      <c r="E69" s="15"/>
      <c r="F69" s="178"/>
      <c r="G69" s="131"/>
      <c r="H69" s="131"/>
      <c r="I69" s="131"/>
      <c r="J69" s="131"/>
      <c r="K69" s="131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131"/>
      <c r="C70" s="66"/>
      <c r="D70" s="50"/>
      <c r="E70" s="15"/>
      <c r="F70" s="178"/>
      <c r="G70" s="131"/>
      <c r="H70" s="131"/>
      <c r="I70" s="131"/>
      <c r="J70" s="131"/>
      <c r="K70" s="131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131"/>
      <c r="C71" s="1" t="s">
        <v>361</v>
      </c>
      <c r="D71" s="131"/>
      <c r="E71" s="131"/>
      <c r="F71" s="131"/>
      <c r="G71" s="131"/>
      <c r="H71" s="131"/>
      <c r="I71" s="131"/>
      <c r="J71" s="131"/>
      <c r="K71" s="131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8.25" customHeight="1" x14ac:dyDescent="0.25">
      <c r="A72" s="2"/>
      <c r="B72" s="131"/>
      <c r="C72" s="131"/>
      <c r="D72" s="50"/>
      <c r="E72" s="91"/>
      <c r="F72" s="131"/>
      <c r="G72" s="131"/>
      <c r="H72" s="131"/>
      <c r="I72" s="131"/>
      <c r="J72" s="131"/>
      <c r="K72" s="131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2"/>
      <c r="B73" s="131"/>
      <c r="C73" s="11" t="s">
        <v>400</v>
      </c>
      <c r="D73" s="131"/>
      <c r="E73" s="178"/>
      <c r="F73" s="131"/>
      <c r="G73" s="131"/>
      <c r="H73" s="131"/>
      <c r="I73" s="131"/>
      <c r="J73" s="131"/>
      <c r="K73" s="131"/>
      <c r="L73" s="2"/>
      <c r="M73" s="2"/>
      <c r="R73" s="2"/>
      <c r="S73" s="2"/>
      <c r="T73" s="2"/>
      <c r="U73" s="2"/>
    </row>
    <row r="74" spans="1:21" x14ac:dyDescent="0.25">
      <c r="A74" s="2"/>
      <c r="B74" s="131"/>
      <c r="C74" s="11" t="s">
        <v>401</v>
      </c>
      <c r="D74" s="131"/>
      <c r="E74" s="178"/>
      <c r="F74" s="131"/>
      <c r="G74" s="131"/>
      <c r="H74" s="131"/>
      <c r="I74" s="131"/>
      <c r="J74" s="131"/>
      <c r="K74" s="131"/>
      <c r="L74" s="2"/>
      <c r="M74" s="2"/>
      <c r="R74" s="2"/>
      <c r="S74" s="2"/>
      <c r="T74" s="2"/>
      <c r="U74" s="2"/>
    </row>
    <row r="75" spans="1:21" x14ac:dyDescent="0.25">
      <c r="A75" s="2"/>
      <c r="B75" s="131"/>
      <c r="C75" s="11" t="s">
        <v>36</v>
      </c>
      <c r="D75" s="131"/>
      <c r="E75" s="178"/>
      <c r="F75" s="131"/>
      <c r="G75" s="131"/>
      <c r="H75" s="131"/>
      <c r="I75" s="131"/>
      <c r="J75" s="131"/>
      <c r="K75" s="131"/>
      <c r="L75" s="2"/>
      <c r="M75" s="2"/>
      <c r="R75" s="2"/>
      <c r="S75" s="2"/>
      <c r="T75" s="2"/>
      <c r="U75" s="2"/>
    </row>
    <row r="76" spans="1:21" x14ac:dyDescent="0.25">
      <c r="A76" s="2"/>
      <c r="B76" s="131"/>
      <c r="C76" s="131" t="s">
        <v>37</v>
      </c>
      <c r="D76" s="131"/>
      <c r="E76" s="131"/>
      <c r="F76" s="131"/>
      <c r="G76" s="131"/>
      <c r="H76" s="131"/>
      <c r="I76" s="131"/>
      <c r="J76" s="131"/>
      <c r="K76" s="131"/>
      <c r="L76" s="2"/>
      <c r="M76" s="2"/>
      <c r="Q76" s="64"/>
      <c r="R76" s="2"/>
      <c r="S76" s="2"/>
      <c r="T76" s="2"/>
      <c r="U76" s="2"/>
    </row>
    <row r="77" spans="1:21" x14ac:dyDescent="0.25">
      <c r="A77" s="2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2"/>
      <c r="M77" s="2"/>
      <c r="R77" s="2"/>
      <c r="S77" s="2"/>
      <c r="T77" s="2"/>
      <c r="U77" s="2"/>
    </row>
    <row r="78" spans="1:21" x14ac:dyDescent="0.25">
      <c r="A78" s="2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2"/>
      <c r="M78" s="2"/>
      <c r="R78" s="2"/>
      <c r="S78" s="2"/>
      <c r="T78" s="2"/>
      <c r="U78" s="2"/>
    </row>
    <row r="79" spans="1:21" x14ac:dyDescent="0.25">
      <c r="A79" s="2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2"/>
      <c r="M79" s="2"/>
      <c r="R79" s="2"/>
      <c r="S79" s="2"/>
      <c r="T79" s="2"/>
      <c r="U79" s="2"/>
    </row>
    <row r="80" spans="1:21" x14ac:dyDescent="0.25">
      <c r="A80" s="2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M80" s="2"/>
      <c r="R80" s="2"/>
      <c r="S80" s="2"/>
      <c r="T80" s="2"/>
      <c r="U80" s="2"/>
    </row>
    <row r="81" spans="1:21" x14ac:dyDescent="0.25">
      <c r="A81" s="2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M81" s="2"/>
      <c r="R81" s="2"/>
      <c r="S81" s="2"/>
      <c r="T81" s="2"/>
      <c r="U81" s="2"/>
    </row>
    <row r="82" spans="1:21" x14ac:dyDescent="0.25">
      <c r="A82" s="2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M82" s="2"/>
      <c r="R82" s="2"/>
      <c r="S82" s="2"/>
      <c r="T82" s="2"/>
      <c r="U82" s="2"/>
    </row>
    <row r="83" spans="1:21" x14ac:dyDescent="0.25">
      <c r="A83" s="2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2"/>
      <c r="M83" s="2"/>
      <c r="R83" s="2"/>
      <c r="S83" s="2"/>
      <c r="T83" s="2"/>
      <c r="U83" s="2"/>
    </row>
    <row r="84" spans="1:21" x14ac:dyDescent="0.25">
      <c r="A84" s="2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2"/>
      <c r="M84" s="2"/>
      <c r="R84" s="2"/>
      <c r="S84" s="2"/>
      <c r="T84" s="2"/>
      <c r="U84" s="2"/>
    </row>
    <row r="85" spans="1:21" x14ac:dyDescent="0.25">
      <c r="A85" s="2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2"/>
      <c r="M85" s="2"/>
      <c r="R85" s="2"/>
      <c r="S85" s="2"/>
      <c r="T85" s="2"/>
      <c r="U85" s="2"/>
    </row>
    <row r="86" spans="1:21" x14ac:dyDescent="0.25">
      <c r="A86" s="2"/>
      <c r="B86" s="131"/>
      <c r="C86" s="131"/>
      <c r="D86" s="131"/>
      <c r="E86" s="131"/>
      <c r="F86" s="178"/>
      <c r="G86" s="131"/>
      <c r="H86" s="131"/>
      <c r="I86" s="131"/>
      <c r="J86" s="131"/>
      <c r="K86" s="131"/>
      <c r="L86" s="2"/>
      <c r="M86" s="2"/>
      <c r="R86" s="2"/>
      <c r="S86" s="2"/>
      <c r="T86" s="2"/>
      <c r="U86" s="2"/>
    </row>
    <row r="87" spans="1:21" x14ac:dyDescent="0.25">
      <c r="A87" s="2"/>
      <c r="B87" s="131"/>
      <c r="C87" s="131"/>
      <c r="D87" s="131"/>
      <c r="E87" s="131"/>
      <c r="F87" s="178"/>
      <c r="G87" s="131"/>
      <c r="H87" s="131"/>
      <c r="I87" s="131"/>
      <c r="J87" s="131"/>
      <c r="K87" s="131"/>
      <c r="L87" s="2"/>
      <c r="M87" s="2"/>
      <c r="R87" s="2"/>
      <c r="S87" s="2"/>
      <c r="T87" s="2"/>
      <c r="U87" s="2"/>
    </row>
    <row r="88" spans="1:21" x14ac:dyDescent="0.25">
      <c r="A88" s="2"/>
      <c r="B88" s="131"/>
      <c r="C88" s="131"/>
      <c r="D88" s="131"/>
      <c r="E88" s="131"/>
      <c r="F88" s="178"/>
      <c r="G88" s="131"/>
      <c r="H88" s="131"/>
      <c r="I88" s="131"/>
      <c r="J88" s="131"/>
      <c r="K88" s="131"/>
      <c r="L88" s="2"/>
      <c r="M88" s="2"/>
      <c r="R88" s="2"/>
      <c r="S88" s="2"/>
      <c r="T88" s="2"/>
      <c r="U88" s="2"/>
    </row>
    <row r="89" spans="1:21" x14ac:dyDescent="0.25">
      <c r="A89" s="2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2"/>
      <c r="M89" s="2"/>
      <c r="R89" s="2"/>
      <c r="S89" s="2"/>
      <c r="T89" s="2"/>
      <c r="U89" s="2"/>
    </row>
    <row r="90" spans="1:21" s="130" customFormat="1" x14ac:dyDescent="0.2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R90" s="131"/>
      <c r="S90" s="131"/>
      <c r="T90" s="131"/>
      <c r="U90" s="131"/>
    </row>
    <row r="91" spans="1:21" x14ac:dyDescent="0.25">
      <c r="A91" s="2"/>
      <c r="B91" s="131"/>
      <c r="C91" s="131"/>
      <c r="D91" s="131"/>
      <c r="E91" s="273" t="s">
        <v>402</v>
      </c>
      <c r="F91" s="273"/>
      <c r="G91" s="273"/>
      <c r="H91" s="131"/>
      <c r="I91" s="131"/>
      <c r="J91" s="131"/>
      <c r="K91" s="131"/>
      <c r="R91" s="2"/>
      <c r="S91" s="2"/>
      <c r="T91" s="2"/>
      <c r="U91" s="2"/>
    </row>
    <row r="92" spans="1:21" ht="15.75" thickBot="1" x14ac:dyDescent="0.3">
      <c r="A92" s="2"/>
      <c r="B92" s="131"/>
      <c r="C92" s="131"/>
      <c r="D92" s="131"/>
      <c r="E92" s="158" t="s">
        <v>38</v>
      </c>
      <c r="F92" s="158" t="s">
        <v>39</v>
      </c>
      <c r="G92" s="158" t="s">
        <v>40</v>
      </c>
      <c r="H92" s="131"/>
      <c r="I92" s="131"/>
      <c r="J92" s="131"/>
      <c r="K92" s="131"/>
      <c r="R92" s="2"/>
      <c r="S92" s="2"/>
      <c r="T92" s="2"/>
      <c r="U92" s="2"/>
    </row>
    <row r="93" spans="1:21" ht="16.5" thickTop="1" thickBot="1" x14ac:dyDescent="0.3">
      <c r="A93" s="2"/>
      <c r="B93" s="131"/>
      <c r="C93" s="131" t="s">
        <v>41</v>
      </c>
      <c r="D93" s="158" t="s">
        <v>42</v>
      </c>
      <c r="E93" s="198">
        <v>250</v>
      </c>
      <c r="F93" s="198">
        <v>350</v>
      </c>
      <c r="G93" s="198">
        <v>180</v>
      </c>
      <c r="H93" s="178"/>
      <c r="I93" s="131"/>
      <c r="J93" s="131"/>
      <c r="K93" s="131"/>
      <c r="R93" s="2"/>
      <c r="S93" s="2"/>
      <c r="T93" s="2"/>
      <c r="U93" s="2"/>
    </row>
    <row r="94" spans="1:21" ht="16.5" thickTop="1" thickBot="1" x14ac:dyDescent="0.3">
      <c r="A94" s="2"/>
      <c r="B94" s="131"/>
      <c r="C94" s="131" t="s">
        <v>43</v>
      </c>
      <c r="D94" s="158" t="s">
        <v>372</v>
      </c>
      <c r="E94" s="198">
        <v>15</v>
      </c>
      <c r="F94" s="198">
        <v>25</v>
      </c>
      <c r="G94" s="198">
        <v>18</v>
      </c>
      <c r="H94" s="178"/>
      <c r="I94" s="131"/>
      <c r="J94" s="131"/>
      <c r="K94" s="131"/>
      <c r="R94" s="2"/>
      <c r="S94" s="2"/>
      <c r="T94" s="2"/>
      <c r="U94" s="2"/>
    </row>
    <row r="95" spans="1:21" ht="16.5" thickTop="1" thickBot="1" x14ac:dyDescent="0.3">
      <c r="A95" s="2"/>
      <c r="B95" s="131"/>
      <c r="C95" s="131" t="s">
        <v>44</v>
      </c>
      <c r="D95" s="158" t="s">
        <v>373</v>
      </c>
      <c r="E95" s="198">
        <v>15</v>
      </c>
      <c r="F95" s="198">
        <v>25</v>
      </c>
      <c r="G95" s="198">
        <v>18</v>
      </c>
      <c r="H95" s="178"/>
      <c r="I95" s="131"/>
      <c r="J95" s="131"/>
      <c r="K95" s="131"/>
      <c r="R95" s="2"/>
      <c r="S95" s="2"/>
      <c r="T95" s="2"/>
      <c r="U95" s="2"/>
    </row>
    <row r="96" spans="1:21" ht="16.5" thickTop="1" thickBot="1" x14ac:dyDescent="0.3">
      <c r="A96" s="2"/>
      <c r="B96" s="131"/>
      <c r="C96" s="131" t="s">
        <v>450</v>
      </c>
      <c r="D96" s="158" t="s">
        <v>370</v>
      </c>
      <c r="E96" s="198">
        <v>35</v>
      </c>
      <c r="F96" s="198">
        <v>25</v>
      </c>
      <c r="G96" s="198">
        <v>42</v>
      </c>
      <c r="H96" s="178"/>
      <c r="I96" s="131"/>
      <c r="J96" s="131"/>
      <c r="K96" s="131"/>
      <c r="R96" s="2"/>
      <c r="S96" s="2"/>
      <c r="T96" s="2"/>
      <c r="U96" s="2"/>
    </row>
    <row r="97" spans="1:21" ht="16.5" thickTop="1" thickBot="1" x14ac:dyDescent="0.3">
      <c r="A97" s="2"/>
      <c r="B97" s="131"/>
      <c r="C97" s="131" t="s">
        <v>45</v>
      </c>
      <c r="D97" s="158" t="s">
        <v>371</v>
      </c>
      <c r="E97" s="198">
        <v>35</v>
      </c>
      <c r="F97" s="198">
        <v>25</v>
      </c>
      <c r="G97" s="198">
        <v>42</v>
      </c>
      <c r="H97" s="178"/>
      <c r="I97" s="131"/>
      <c r="J97" s="131"/>
      <c r="K97" s="131"/>
      <c r="O97" s="64"/>
      <c r="R97" s="2"/>
      <c r="S97" s="2"/>
      <c r="T97" s="2"/>
      <c r="U97" s="2"/>
    </row>
    <row r="98" spans="1:21" ht="15.75" thickTop="1" x14ac:dyDescent="0.25">
      <c r="A98" s="2"/>
      <c r="B98" s="131"/>
      <c r="C98" s="131"/>
      <c r="D98" s="158"/>
      <c r="E98" s="15"/>
      <c r="F98" s="15"/>
      <c r="G98" s="15"/>
      <c r="H98" s="178"/>
      <c r="I98" s="131"/>
      <c r="J98" s="131"/>
      <c r="K98" s="131"/>
      <c r="O98" s="64"/>
      <c r="R98" s="2"/>
      <c r="S98" s="2"/>
      <c r="T98" s="2"/>
      <c r="U98" s="2"/>
    </row>
    <row r="99" spans="1:21" x14ac:dyDescent="0.25">
      <c r="A99" s="2"/>
      <c r="B99" s="131"/>
      <c r="C99" s="131" t="s">
        <v>46</v>
      </c>
      <c r="D99" s="158" t="s">
        <v>47</v>
      </c>
      <c r="E99" s="190">
        <f>(E94^2+E95^2)^0.5</f>
        <v>21.213203435596427</v>
      </c>
      <c r="F99" s="190">
        <f>(F94^2+F95^2)^0.5</f>
        <v>35.355339059327378</v>
      </c>
      <c r="G99" s="190">
        <f>(G94^2+G95^2)^0.5</f>
        <v>25.45584412271571</v>
      </c>
      <c r="H99" s="178"/>
      <c r="I99" s="131"/>
      <c r="J99" s="131"/>
      <c r="K99" s="131"/>
      <c r="O99" s="64"/>
      <c r="R99" s="2"/>
      <c r="S99" s="2"/>
      <c r="T99" s="2"/>
      <c r="U99" s="2"/>
    </row>
    <row r="100" spans="1:21" ht="15.75" thickBot="1" x14ac:dyDescent="0.3">
      <c r="A100" s="2"/>
      <c r="B100" s="131"/>
      <c r="C100" s="131"/>
      <c r="D100" s="178"/>
      <c r="E100" s="15"/>
      <c r="F100" s="178"/>
      <c r="G100" s="131"/>
      <c r="H100" s="131"/>
      <c r="I100" s="131"/>
      <c r="J100" s="131"/>
      <c r="K100" s="131"/>
      <c r="O100" s="64"/>
      <c r="R100" s="2"/>
      <c r="S100" s="2"/>
      <c r="T100" s="2"/>
      <c r="U100" s="2"/>
    </row>
    <row r="101" spans="1:21" s="130" customFormat="1" ht="16.5" thickTop="1" thickBot="1" x14ac:dyDescent="0.3">
      <c r="A101" s="131"/>
      <c r="B101" s="131"/>
      <c r="C101" s="131" t="s">
        <v>458</v>
      </c>
      <c r="D101" s="233"/>
      <c r="E101" s="52" t="s">
        <v>32</v>
      </c>
      <c r="F101" s="233"/>
      <c r="G101" s="131"/>
      <c r="H101" s="131"/>
      <c r="I101" s="131"/>
      <c r="J101" s="131"/>
      <c r="K101" s="131"/>
      <c r="O101" s="64"/>
      <c r="R101" s="131"/>
      <c r="S101" s="131"/>
      <c r="T101" s="131"/>
      <c r="U101" s="131"/>
    </row>
    <row r="102" spans="1:21" s="130" customFormat="1" ht="16.5" thickTop="1" thickBot="1" x14ac:dyDescent="0.3">
      <c r="A102" s="131"/>
      <c r="B102" s="131"/>
      <c r="C102" s="131"/>
      <c r="D102" s="178"/>
      <c r="E102" s="15"/>
      <c r="F102" s="178"/>
      <c r="G102" s="131"/>
      <c r="H102" s="131"/>
      <c r="I102" s="131"/>
      <c r="J102" s="131"/>
      <c r="K102" s="131"/>
      <c r="O102" s="64"/>
      <c r="R102" s="131"/>
      <c r="S102" s="131"/>
      <c r="T102" s="131"/>
      <c r="U102" s="131"/>
    </row>
    <row r="103" spans="1:21" s="130" customFormat="1" ht="22.5" thickTop="1" thickBot="1" x14ac:dyDescent="0.3">
      <c r="A103" s="131"/>
      <c r="B103" s="131"/>
      <c r="C103" s="131" t="s">
        <v>362</v>
      </c>
      <c r="D103" s="158" t="s">
        <v>363</v>
      </c>
      <c r="E103" s="161">
        <v>0</v>
      </c>
      <c r="F103" s="191">
        <f>VLOOKUP(E103,'FOGLIO DEPOSITO'!R3:S203,2,FALSE)</f>
        <v>0</v>
      </c>
      <c r="G103" s="178" t="s">
        <v>0</v>
      </c>
      <c r="H103" s="131"/>
      <c r="I103" s="131"/>
      <c r="J103" s="131"/>
      <c r="K103" s="131"/>
      <c r="O103" s="64"/>
      <c r="R103" s="131"/>
      <c r="S103" s="131"/>
      <c r="T103" s="131"/>
      <c r="U103" s="131"/>
    </row>
    <row r="104" spans="1:21" s="130" customFormat="1" ht="22.5" thickTop="1" thickBot="1" x14ac:dyDescent="0.3">
      <c r="A104" s="131"/>
      <c r="B104" s="131"/>
      <c r="C104" s="131" t="s">
        <v>364</v>
      </c>
      <c r="D104" s="158" t="s">
        <v>365</v>
      </c>
      <c r="E104" s="161">
        <v>0</v>
      </c>
      <c r="F104" s="191">
        <f>VLOOKUP(E104,'FOGLIO DEPOSITO'!U3:V203,2,FALSE)</f>
        <v>0</v>
      </c>
      <c r="G104" s="178" t="s">
        <v>0</v>
      </c>
      <c r="H104" s="131"/>
      <c r="I104" s="131"/>
      <c r="J104" s="131"/>
      <c r="K104" s="131"/>
      <c r="O104" s="64"/>
      <c r="R104" s="131"/>
      <c r="S104" s="131"/>
      <c r="T104" s="131"/>
      <c r="U104" s="131"/>
    </row>
    <row r="105" spans="1:21" s="130" customFormat="1" ht="15.75" thickTop="1" x14ac:dyDescent="0.25">
      <c r="A105" s="131"/>
      <c r="B105" s="131"/>
      <c r="C105" s="131"/>
      <c r="D105" s="178"/>
      <c r="E105" s="15"/>
      <c r="F105" s="178"/>
      <c r="G105" s="131"/>
      <c r="H105" s="131"/>
      <c r="I105" s="131"/>
      <c r="J105" s="131"/>
      <c r="K105" s="131"/>
      <c r="O105" s="64"/>
      <c r="R105" s="131"/>
      <c r="S105" s="131"/>
      <c r="T105" s="131"/>
      <c r="U105" s="131"/>
    </row>
    <row r="106" spans="1:21" ht="15.75" x14ac:dyDescent="0.25">
      <c r="A106" s="2"/>
      <c r="B106" s="131"/>
      <c r="C106" s="22" t="s">
        <v>48</v>
      </c>
      <c r="D106" s="158"/>
      <c r="E106" s="15"/>
      <c r="F106" s="178"/>
      <c r="G106" s="131"/>
      <c r="H106" s="131"/>
      <c r="I106" s="131"/>
      <c r="J106" s="131"/>
      <c r="K106" s="131"/>
      <c r="O106" s="64"/>
      <c r="R106" s="2"/>
      <c r="S106" s="2"/>
      <c r="T106" s="2"/>
      <c r="U106" s="2"/>
    </row>
    <row r="107" spans="1:21" x14ac:dyDescent="0.25">
      <c r="A107" s="2"/>
      <c r="B107" s="131"/>
      <c r="C107" s="131" t="s">
        <v>49</v>
      </c>
      <c r="D107" s="158"/>
      <c r="E107" s="15"/>
      <c r="F107" s="178"/>
      <c r="G107" s="131"/>
      <c r="H107" s="131"/>
      <c r="I107" s="131"/>
      <c r="J107" s="131"/>
      <c r="K107" s="131"/>
      <c r="O107" s="64"/>
      <c r="R107" s="2"/>
      <c r="S107" s="2"/>
      <c r="T107" s="2"/>
      <c r="U107" s="2"/>
    </row>
    <row r="108" spans="1:21" x14ac:dyDescent="0.25">
      <c r="A108" s="2"/>
      <c r="B108" s="131"/>
      <c r="C108" s="131" t="s">
        <v>50</v>
      </c>
      <c r="D108" s="158"/>
      <c r="E108" s="15"/>
      <c r="F108" s="178"/>
      <c r="G108" s="131"/>
      <c r="H108" s="131"/>
      <c r="I108" s="131"/>
      <c r="J108" s="131"/>
      <c r="K108" s="131"/>
      <c r="O108" s="64"/>
      <c r="R108" s="2"/>
      <c r="S108" s="2"/>
      <c r="T108" s="2"/>
      <c r="U108" s="2"/>
    </row>
    <row r="109" spans="1:21" x14ac:dyDescent="0.25">
      <c r="A109" s="2"/>
      <c r="B109" s="131"/>
      <c r="C109" s="131" t="s">
        <v>51</v>
      </c>
      <c r="D109" s="158"/>
      <c r="E109" s="15"/>
      <c r="F109" s="178"/>
      <c r="G109" s="131"/>
      <c r="H109" s="131"/>
      <c r="I109" s="131"/>
      <c r="J109" s="131"/>
      <c r="K109" s="131"/>
      <c r="O109" s="64"/>
      <c r="R109" s="2"/>
      <c r="S109" s="2"/>
      <c r="T109" s="2"/>
      <c r="U109" s="2"/>
    </row>
    <row r="110" spans="1:21" x14ac:dyDescent="0.25">
      <c r="A110" s="2"/>
      <c r="B110" s="131"/>
      <c r="C110" s="131" t="s">
        <v>52</v>
      </c>
      <c r="D110" s="178"/>
      <c r="E110" s="15"/>
      <c r="F110" s="178"/>
      <c r="G110" s="131"/>
      <c r="H110" s="131"/>
      <c r="I110" s="131"/>
      <c r="J110" s="131"/>
      <c r="K110" s="131"/>
      <c r="O110" s="64"/>
      <c r="R110" s="2"/>
      <c r="S110" s="2"/>
      <c r="T110" s="2"/>
      <c r="U110" s="2"/>
    </row>
    <row r="111" spans="1:21" s="130" customFormat="1" x14ac:dyDescent="0.25">
      <c r="A111" s="131"/>
      <c r="B111" s="131"/>
      <c r="C111" s="131"/>
      <c r="D111" s="178"/>
      <c r="E111" s="15"/>
      <c r="F111" s="178"/>
      <c r="G111" s="131"/>
      <c r="H111" s="131"/>
      <c r="I111" s="131"/>
      <c r="J111" s="131"/>
      <c r="K111" s="131"/>
      <c r="O111" s="64"/>
      <c r="R111" s="131"/>
      <c r="S111" s="131"/>
      <c r="T111" s="131"/>
      <c r="U111" s="131"/>
    </row>
    <row r="112" spans="1:21" x14ac:dyDescent="0.25">
      <c r="A112" s="2"/>
      <c r="B112" s="131"/>
      <c r="C112" s="131"/>
      <c r="D112" s="131"/>
      <c r="E112" s="131"/>
      <c r="F112" s="131"/>
      <c r="G112" s="61"/>
      <c r="H112" s="131"/>
      <c r="I112" s="131"/>
      <c r="J112" s="131"/>
      <c r="K112" s="131"/>
      <c r="R112" s="2"/>
      <c r="S112" s="2"/>
      <c r="T112" s="2"/>
      <c r="U112" s="2"/>
    </row>
    <row r="113" spans="1:21" x14ac:dyDescent="0.25">
      <c r="A113" s="2"/>
      <c r="B113" s="131"/>
      <c r="C113" s="1" t="s">
        <v>366</v>
      </c>
      <c r="D113" s="131"/>
      <c r="E113" s="131"/>
      <c r="F113" s="131"/>
      <c r="G113" s="131"/>
      <c r="H113" s="131"/>
      <c r="I113" s="131"/>
      <c r="J113" s="131"/>
      <c r="K113" s="131"/>
      <c r="O113" s="64"/>
      <c r="R113" s="2"/>
      <c r="S113" s="2"/>
      <c r="T113" s="2"/>
      <c r="U113" s="2"/>
    </row>
    <row r="114" spans="1:21" x14ac:dyDescent="0.25">
      <c r="A114" s="2"/>
      <c r="B114" s="131"/>
      <c r="C114" s="141"/>
      <c r="D114" s="131"/>
      <c r="E114" s="131"/>
      <c r="F114" s="131"/>
      <c r="G114" s="131"/>
      <c r="H114" s="131"/>
      <c r="I114" s="131"/>
      <c r="J114" s="131"/>
      <c r="K114" s="131"/>
      <c r="R114" s="2"/>
      <c r="S114" s="2"/>
      <c r="T114" s="2"/>
      <c r="U114" s="2"/>
    </row>
    <row r="115" spans="1:21" ht="16.5" customHeight="1" x14ac:dyDescent="0.25">
      <c r="A115" s="2"/>
      <c r="B115" s="131"/>
      <c r="C115" s="1" t="s">
        <v>367</v>
      </c>
      <c r="D115" s="131"/>
      <c r="E115" s="131"/>
      <c r="F115" s="178"/>
      <c r="G115" s="60"/>
      <c r="H115" s="60"/>
      <c r="I115" s="131"/>
      <c r="J115" s="131"/>
      <c r="K115" s="131"/>
      <c r="R115" s="2"/>
      <c r="S115" s="2"/>
      <c r="T115" s="2"/>
      <c r="U115" s="2"/>
    </row>
    <row r="116" spans="1:21" ht="10.5" customHeight="1" thickBot="1" x14ac:dyDescent="0.3">
      <c r="A116" s="2"/>
      <c r="B116" s="131"/>
      <c r="C116" s="131"/>
      <c r="D116" s="131"/>
      <c r="E116" s="131"/>
      <c r="F116" s="178"/>
      <c r="G116" s="60"/>
      <c r="H116" s="60"/>
      <c r="I116" s="131"/>
      <c r="J116" s="131"/>
      <c r="K116" s="131"/>
      <c r="R116" s="2"/>
      <c r="S116" s="2"/>
      <c r="T116" s="2"/>
      <c r="U116" s="2"/>
    </row>
    <row r="117" spans="1:21" ht="16.5" customHeight="1" thickTop="1" thickBot="1" x14ac:dyDescent="0.3">
      <c r="A117" s="2"/>
      <c r="B117" s="131"/>
      <c r="C117" s="131" t="s">
        <v>180</v>
      </c>
      <c r="D117" s="131"/>
      <c r="E117" s="52" t="s">
        <v>32</v>
      </c>
      <c r="F117" s="178"/>
      <c r="G117" s="60"/>
      <c r="H117" s="60"/>
      <c r="I117" s="131"/>
      <c r="J117" s="131"/>
      <c r="K117" s="131"/>
      <c r="R117" s="2"/>
      <c r="S117" s="2"/>
      <c r="T117" s="2"/>
      <c r="U117" s="2"/>
    </row>
    <row r="118" spans="1:21" ht="16.5" customHeight="1" thickTop="1" thickBot="1" x14ac:dyDescent="0.3">
      <c r="A118" s="2"/>
      <c r="B118" s="131"/>
      <c r="C118" s="131" t="s">
        <v>368</v>
      </c>
      <c r="D118" s="132" t="s">
        <v>181</v>
      </c>
      <c r="E118" s="68">
        <v>3</v>
      </c>
      <c r="F118" s="178"/>
      <c r="G118" s="60"/>
      <c r="H118" s="60"/>
      <c r="I118" s="131"/>
      <c r="J118" s="131"/>
      <c r="K118" s="131"/>
      <c r="R118" s="2"/>
      <c r="S118" s="2"/>
      <c r="T118" s="2"/>
      <c r="U118" s="2"/>
    </row>
    <row r="119" spans="1:21" ht="16.5" customHeight="1" thickTop="1" thickBot="1" x14ac:dyDescent="0.3">
      <c r="A119" s="2"/>
      <c r="B119" s="131"/>
      <c r="C119" s="131" t="s">
        <v>182</v>
      </c>
      <c r="D119" s="132" t="s">
        <v>183</v>
      </c>
      <c r="E119" s="75">
        <v>10</v>
      </c>
      <c r="F119" s="178"/>
      <c r="G119" s="60"/>
      <c r="H119" s="60"/>
      <c r="I119" s="131"/>
      <c r="J119" s="131"/>
      <c r="K119" s="131"/>
      <c r="R119" s="2"/>
      <c r="S119" s="2"/>
      <c r="T119" s="2"/>
      <c r="U119" s="2"/>
    </row>
    <row r="120" spans="1:21" ht="16.5" customHeight="1" thickTop="1" x14ac:dyDescent="0.25">
      <c r="A120" s="2"/>
      <c r="B120" s="131"/>
      <c r="C120" s="131"/>
      <c r="D120" s="132"/>
      <c r="E120" s="192"/>
      <c r="F120" s="178"/>
      <c r="G120" s="60"/>
      <c r="H120" s="60"/>
      <c r="I120" s="131"/>
      <c r="J120" s="131"/>
      <c r="K120" s="131"/>
      <c r="R120" s="2"/>
      <c r="S120" s="2"/>
      <c r="T120" s="2"/>
      <c r="U120" s="2"/>
    </row>
    <row r="121" spans="1:21" x14ac:dyDescent="0.25">
      <c r="A121" s="2"/>
      <c r="B121" s="131"/>
      <c r="C121" s="131"/>
      <c r="D121" s="132"/>
      <c r="E121" s="192"/>
      <c r="F121" s="178"/>
      <c r="G121" s="183"/>
      <c r="H121" s="60"/>
      <c r="I121" s="131"/>
      <c r="J121" s="131"/>
      <c r="K121" s="131"/>
      <c r="R121" s="2"/>
      <c r="S121" s="2"/>
      <c r="T121" s="2"/>
      <c r="U121" s="2"/>
    </row>
    <row r="122" spans="1:21" x14ac:dyDescent="0.25">
      <c r="A122" s="2"/>
      <c r="B122" s="131"/>
      <c r="C122" s="1" t="s">
        <v>369</v>
      </c>
      <c r="D122" s="132"/>
      <c r="E122" s="15"/>
      <c r="F122" s="178"/>
      <c r="G122" s="60"/>
      <c r="H122" s="60"/>
      <c r="I122" s="131"/>
      <c r="J122" s="131"/>
      <c r="K122" s="131"/>
      <c r="R122" s="2"/>
      <c r="S122" s="2"/>
      <c r="T122" s="2"/>
      <c r="U122" s="2"/>
    </row>
    <row r="123" spans="1:21" s="130" customFormat="1" x14ac:dyDescent="0.25">
      <c r="A123" s="131"/>
      <c r="B123" s="131"/>
      <c r="C123" s="1"/>
      <c r="D123" s="132"/>
      <c r="E123" s="15"/>
      <c r="F123" s="178"/>
      <c r="G123" s="60"/>
      <c r="H123" s="60"/>
      <c r="I123" s="131"/>
      <c r="J123" s="131"/>
      <c r="K123" s="131"/>
      <c r="R123" s="131"/>
      <c r="S123" s="131"/>
      <c r="T123" s="131"/>
      <c r="U123" s="131"/>
    </row>
    <row r="124" spans="1:21" s="130" customFormat="1" x14ac:dyDescent="0.25">
      <c r="A124" s="131"/>
      <c r="B124" s="131"/>
      <c r="C124" s="1"/>
      <c r="D124" s="132"/>
      <c r="E124" s="15"/>
      <c r="F124" s="178"/>
      <c r="G124" s="60"/>
      <c r="H124" s="60"/>
      <c r="I124" s="131"/>
      <c r="J124" s="131"/>
      <c r="K124" s="131"/>
      <c r="R124" s="131"/>
      <c r="S124" s="131"/>
      <c r="T124" s="131"/>
      <c r="U124" s="131"/>
    </row>
    <row r="125" spans="1:21" s="130" customFormat="1" x14ac:dyDescent="0.25">
      <c r="A125" s="131"/>
      <c r="B125" s="131"/>
      <c r="C125" s="1"/>
      <c r="D125" s="132"/>
      <c r="E125" s="15"/>
      <c r="F125" s="178"/>
      <c r="G125" s="60"/>
      <c r="H125" s="60"/>
      <c r="I125" s="131"/>
      <c r="J125" s="131"/>
      <c r="K125" s="131"/>
      <c r="R125" s="131"/>
      <c r="S125" s="131"/>
      <c r="T125" s="131"/>
      <c r="U125" s="131"/>
    </row>
    <row r="126" spans="1:21" s="130" customFormat="1" x14ac:dyDescent="0.25">
      <c r="A126" s="131"/>
      <c r="B126" s="131"/>
      <c r="C126" s="1"/>
      <c r="D126" s="132"/>
      <c r="E126" s="15"/>
      <c r="F126" s="178"/>
      <c r="G126" s="60"/>
      <c r="H126" s="60"/>
      <c r="I126" s="131"/>
      <c r="J126" s="131"/>
      <c r="K126" s="131"/>
      <c r="R126" s="131"/>
      <c r="S126" s="131"/>
      <c r="T126" s="131"/>
      <c r="U126" s="131"/>
    </row>
    <row r="127" spans="1:21" s="130" customFormat="1" x14ac:dyDescent="0.25">
      <c r="A127" s="131"/>
      <c r="B127" s="131"/>
      <c r="C127" s="1"/>
      <c r="D127" s="132"/>
      <c r="E127" s="15"/>
      <c r="F127" s="178"/>
      <c r="G127" s="60"/>
      <c r="H127" s="60"/>
      <c r="I127" s="131"/>
      <c r="J127" s="131"/>
      <c r="K127" s="131"/>
      <c r="R127" s="131"/>
      <c r="S127" s="131"/>
      <c r="T127" s="131"/>
      <c r="U127" s="131"/>
    </row>
    <row r="128" spans="1:21" s="130" customFormat="1" x14ac:dyDescent="0.25">
      <c r="A128" s="131"/>
      <c r="B128" s="131"/>
      <c r="C128" s="1"/>
      <c r="D128" s="132"/>
      <c r="E128" s="15"/>
      <c r="F128" s="178"/>
      <c r="G128" s="60"/>
      <c r="H128" s="60"/>
      <c r="I128" s="131"/>
      <c r="J128" s="131"/>
      <c r="K128" s="131"/>
      <c r="R128" s="131"/>
      <c r="S128" s="131"/>
      <c r="T128" s="131"/>
      <c r="U128" s="131"/>
    </row>
    <row r="129" spans="1:21" s="130" customFormat="1" x14ac:dyDescent="0.25">
      <c r="A129" s="131"/>
      <c r="B129" s="131"/>
      <c r="C129" s="1"/>
      <c r="D129" s="132"/>
      <c r="E129" s="15"/>
      <c r="F129" s="178"/>
      <c r="G129" s="60"/>
      <c r="H129" s="60"/>
      <c r="I129" s="131"/>
      <c r="J129" s="131"/>
      <c r="K129" s="131"/>
      <c r="R129" s="131"/>
      <c r="S129" s="131"/>
      <c r="T129" s="131"/>
      <c r="U129" s="131"/>
    </row>
    <row r="130" spans="1:21" s="130" customFormat="1" x14ac:dyDescent="0.25">
      <c r="A130" s="131"/>
      <c r="B130" s="131"/>
      <c r="C130" s="1"/>
      <c r="D130" s="132"/>
      <c r="E130" s="15"/>
      <c r="F130" s="178"/>
      <c r="G130" s="60"/>
      <c r="H130" s="60"/>
      <c r="I130" s="131"/>
      <c r="J130" s="131"/>
      <c r="K130" s="131"/>
      <c r="R130" s="131"/>
      <c r="S130" s="131"/>
      <c r="T130" s="131"/>
      <c r="U130" s="131"/>
    </row>
    <row r="131" spans="1:21" ht="15.75" thickBot="1" x14ac:dyDescent="0.3">
      <c r="A131" s="2"/>
      <c r="B131" s="131"/>
      <c r="C131" s="141"/>
      <c r="D131" s="132"/>
      <c r="E131" s="15"/>
      <c r="F131" s="178"/>
      <c r="G131" s="60"/>
      <c r="H131" s="60"/>
      <c r="I131" s="131"/>
      <c r="J131" s="131"/>
      <c r="K131" s="131"/>
      <c r="R131" s="2"/>
      <c r="S131" s="2"/>
      <c r="T131" s="2"/>
      <c r="U131" s="2"/>
    </row>
    <row r="132" spans="1:21" s="130" customFormat="1" ht="16.5" thickTop="1" thickBot="1" x14ac:dyDescent="0.3">
      <c r="A132" s="131"/>
      <c r="B132" s="131"/>
      <c r="C132" s="232" t="s">
        <v>426</v>
      </c>
      <c r="D132" s="132"/>
      <c r="E132" s="15"/>
      <c r="F132" s="212"/>
      <c r="G132" s="60"/>
      <c r="H132" s="60"/>
      <c r="I132" s="131"/>
      <c r="J132" s="131"/>
      <c r="K132" s="131"/>
      <c r="R132" s="131"/>
      <c r="S132" s="131"/>
      <c r="T132" s="131"/>
      <c r="U132" s="131"/>
    </row>
    <row r="133" spans="1:21" s="130" customFormat="1" ht="9.75" customHeight="1" thickTop="1" x14ac:dyDescent="0.25">
      <c r="A133" s="131"/>
      <c r="B133" s="131"/>
      <c r="C133" s="224"/>
      <c r="D133" s="132"/>
      <c r="E133" s="15"/>
      <c r="F133" s="212"/>
      <c r="G133" s="60"/>
      <c r="H133" s="60"/>
      <c r="I133" s="131"/>
      <c r="J133" s="131"/>
      <c r="K133" s="131"/>
      <c r="R133" s="131"/>
      <c r="S133" s="131"/>
      <c r="T133" s="131"/>
      <c r="U133" s="131"/>
    </row>
    <row r="134" spans="1:21" s="130" customFormat="1" x14ac:dyDescent="0.25">
      <c r="A134" s="131"/>
      <c r="B134" s="131"/>
      <c r="C134" s="131" t="s">
        <v>438</v>
      </c>
      <c r="D134" s="132" t="s">
        <v>435</v>
      </c>
      <c r="E134" s="56" t="str">
        <f>VLOOKUP(C132,'FOGLIO DEPOSITO'!B80:G91,6,FALSE)</f>
        <v>0,7-1</v>
      </c>
      <c r="F134" s="212"/>
      <c r="G134" s="60"/>
      <c r="H134" s="60"/>
      <c r="I134" s="131"/>
      <c r="J134" s="131"/>
      <c r="K134" s="131"/>
      <c r="R134" s="131"/>
      <c r="S134" s="131"/>
      <c r="T134" s="131"/>
      <c r="U134" s="131"/>
    </row>
    <row r="135" spans="1:21" s="130" customFormat="1" x14ac:dyDescent="0.25">
      <c r="A135" s="131"/>
      <c r="B135" s="131"/>
      <c r="C135" s="131" t="s">
        <v>436</v>
      </c>
      <c r="D135" s="132" t="s">
        <v>99</v>
      </c>
      <c r="E135" s="225">
        <f>VLOOKUP(C132,'FOGLIO DEPOSITO'!B80:G91,4,FALSE)</f>
        <v>107100</v>
      </c>
      <c r="F135" s="212"/>
      <c r="G135" s="60"/>
      <c r="H135" s="60"/>
      <c r="I135" s="131"/>
      <c r="J135" s="131"/>
      <c r="K135" s="131"/>
      <c r="R135" s="131"/>
      <c r="S135" s="131"/>
      <c r="T135" s="131"/>
      <c r="U135" s="131"/>
    </row>
    <row r="136" spans="1:21" s="130" customFormat="1" x14ac:dyDescent="0.25">
      <c r="A136" s="131"/>
      <c r="B136" s="131"/>
      <c r="C136" s="131" t="s">
        <v>442</v>
      </c>
      <c r="D136" s="132" t="s">
        <v>193</v>
      </c>
      <c r="E136" s="225">
        <f>VLOOKUP(C132,'FOGLIO DEPOSITO'!B80:I91,7,FALSE)</f>
        <v>91426.829268292684</v>
      </c>
      <c r="F136" s="212"/>
      <c r="G136" s="60"/>
      <c r="H136" s="60"/>
      <c r="I136" s="131"/>
      <c r="J136" s="131"/>
      <c r="K136" s="131"/>
      <c r="R136" s="131"/>
      <c r="S136" s="131"/>
      <c r="T136" s="131"/>
      <c r="U136" s="131"/>
    </row>
    <row r="137" spans="1:21" s="130" customFormat="1" x14ac:dyDescent="0.25">
      <c r="A137" s="131"/>
      <c r="B137" s="131"/>
      <c r="C137" s="131" t="s">
        <v>437</v>
      </c>
      <c r="D137" s="132" t="s">
        <v>431</v>
      </c>
      <c r="E137" s="56">
        <f>VLOOKUP(C132,'FOGLIO DEPOSITO'!B80:G91,5,FALSE)</f>
        <v>0.3</v>
      </c>
      <c r="F137" s="212"/>
      <c r="G137" s="60"/>
      <c r="H137" s="60"/>
      <c r="I137" s="131"/>
      <c r="J137" s="131"/>
      <c r="K137" s="131"/>
      <c r="R137" s="131"/>
      <c r="S137" s="131"/>
      <c r="T137" s="131"/>
      <c r="U137" s="131"/>
    </row>
    <row r="138" spans="1:21" s="130" customFormat="1" x14ac:dyDescent="0.25">
      <c r="A138" s="131"/>
      <c r="B138" s="131"/>
      <c r="C138" s="131" t="s">
        <v>439</v>
      </c>
      <c r="D138" s="132" t="s">
        <v>440</v>
      </c>
      <c r="E138" s="229">
        <f>('FOGLIO DEPOSITO'!E97/(E49*E50)^0.5)*(1/(1-E137^2))*E136*10^-3</f>
        <v>33.280370544090054</v>
      </c>
      <c r="G138" s="60"/>
      <c r="H138" s="60"/>
      <c r="I138" s="131"/>
      <c r="J138" s="131"/>
      <c r="K138" s="131"/>
      <c r="R138" s="131"/>
      <c r="S138" s="131"/>
      <c r="T138" s="131"/>
      <c r="U138" s="131"/>
    </row>
    <row r="139" spans="1:21" ht="16.5" customHeight="1" thickBot="1" x14ac:dyDescent="0.3">
      <c r="A139" s="2"/>
      <c r="B139" s="131"/>
      <c r="C139" s="131"/>
      <c r="D139" s="131"/>
      <c r="E139" s="131"/>
      <c r="F139" s="178"/>
      <c r="G139" s="163"/>
      <c r="H139" s="163"/>
      <c r="I139" s="131"/>
      <c r="J139" s="131"/>
      <c r="K139" s="131"/>
      <c r="O139" s="64"/>
      <c r="R139" s="2"/>
      <c r="S139" s="2"/>
      <c r="T139" s="2"/>
      <c r="U139" s="2"/>
    </row>
    <row r="140" spans="1:21" ht="16.5" customHeight="1" thickTop="1" thickBot="1" x14ac:dyDescent="0.3">
      <c r="A140" s="2"/>
      <c r="B140" s="131"/>
      <c r="C140" s="131" t="s">
        <v>176</v>
      </c>
      <c r="D140" s="132" t="s">
        <v>14</v>
      </c>
      <c r="E140" s="197">
        <v>30</v>
      </c>
      <c r="F140" s="178"/>
      <c r="G140" s="163"/>
      <c r="H140" s="163"/>
      <c r="I140" s="131"/>
      <c r="J140" s="142"/>
      <c r="K140" s="142"/>
      <c r="L140" s="142"/>
      <c r="M140" s="142"/>
      <c r="N140" s="142"/>
      <c r="O140" s="2"/>
      <c r="P140" s="2"/>
      <c r="Q140" s="2"/>
      <c r="R140" s="2"/>
      <c r="S140" s="2"/>
      <c r="T140" s="2"/>
      <c r="U140" s="2"/>
    </row>
    <row r="141" spans="1:21" ht="16.5" customHeight="1" thickTop="1" thickBot="1" x14ac:dyDescent="0.3">
      <c r="A141" s="2"/>
      <c r="B141" s="131"/>
      <c r="C141" s="131" t="s">
        <v>178</v>
      </c>
      <c r="D141" s="158" t="s">
        <v>179</v>
      </c>
      <c r="E141" s="69">
        <v>15</v>
      </c>
      <c r="F141" s="178"/>
      <c r="G141" s="163"/>
      <c r="H141" s="163"/>
      <c r="I141" s="131"/>
      <c r="J141" s="142"/>
      <c r="K141" s="142"/>
      <c r="L141" s="142"/>
      <c r="M141" s="142"/>
      <c r="N141" s="142"/>
      <c r="O141" s="2"/>
      <c r="P141" s="2"/>
      <c r="Q141" s="2"/>
      <c r="R141" s="2"/>
      <c r="S141" s="2"/>
      <c r="T141" s="2"/>
      <c r="U141" s="2"/>
    </row>
    <row r="142" spans="1:21" ht="16.5" thickTop="1" thickBot="1" x14ac:dyDescent="0.3">
      <c r="A142" s="2"/>
      <c r="B142" s="131"/>
      <c r="C142" s="131" t="s">
        <v>187</v>
      </c>
      <c r="D142" s="158" t="s">
        <v>177</v>
      </c>
      <c r="E142" s="69">
        <v>100</v>
      </c>
      <c r="F142" s="178"/>
      <c r="G142" s="163"/>
      <c r="H142" s="163"/>
      <c r="I142" s="131"/>
      <c r="J142" s="142"/>
      <c r="K142" s="142"/>
      <c r="L142" s="142"/>
      <c r="M142" s="142"/>
      <c r="N142" s="142"/>
      <c r="O142" s="2"/>
      <c r="P142" s="2"/>
      <c r="Q142" s="2"/>
      <c r="R142" s="2"/>
      <c r="S142" s="2"/>
      <c r="T142" s="2"/>
      <c r="U142" s="2"/>
    </row>
    <row r="143" spans="1:21" s="130" customFormat="1" ht="16.5" thickTop="1" thickBot="1" x14ac:dyDescent="0.3">
      <c r="A143" s="131"/>
      <c r="B143" s="131"/>
      <c r="C143" s="131" t="s">
        <v>337</v>
      </c>
      <c r="D143" s="132" t="s">
        <v>332</v>
      </c>
      <c r="E143" s="67">
        <v>20</v>
      </c>
      <c r="F143" s="178"/>
      <c r="G143" s="163"/>
      <c r="H143" s="163"/>
      <c r="I143" s="131"/>
      <c r="J143" s="142"/>
      <c r="K143" s="142"/>
      <c r="L143" s="142"/>
      <c r="M143" s="142"/>
      <c r="N143" s="142"/>
      <c r="O143" s="131"/>
      <c r="P143" s="131"/>
      <c r="Q143" s="131"/>
      <c r="R143" s="131"/>
      <c r="S143" s="131"/>
      <c r="T143" s="131"/>
      <c r="U143" s="131"/>
    </row>
    <row r="144" spans="1:21" ht="16.5" thickTop="1" thickBot="1" x14ac:dyDescent="0.3">
      <c r="A144" s="2"/>
      <c r="B144" s="131"/>
      <c r="C144" s="131" t="s">
        <v>188</v>
      </c>
      <c r="D144" s="132" t="s">
        <v>331</v>
      </c>
      <c r="E144" s="67">
        <v>18</v>
      </c>
      <c r="F144" s="178"/>
      <c r="G144" s="163"/>
      <c r="H144" s="163"/>
      <c r="I144" s="131"/>
      <c r="J144" s="131"/>
      <c r="K144" s="131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6.5" thickTop="1" thickBot="1" x14ac:dyDescent="0.3">
      <c r="A145" s="2"/>
      <c r="B145" s="131"/>
      <c r="C145" s="131"/>
      <c r="D145" s="131"/>
      <c r="E145" s="131"/>
      <c r="F145" s="178"/>
      <c r="G145" s="163"/>
      <c r="H145" s="163"/>
      <c r="I145" s="131"/>
      <c r="J145" s="131"/>
      <c r="K145" s="131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6.5" thickTop="1" thickBot="1" x14ac:dyDescent="0.3">
      <c r="A146" s="2"/>
      <c r="B146" s="131"/>
      <c r="C146" s="137" t="s">
        <v>318</v>
      </c>
      <c r="D146" s="146" t="s">
        <v>273</v>
      </c>
      <c r="E146" s="52" t="s">
        <v>29</v>
      </c>
      <c r="F146" s="178"/>
      <c r="G146" s="131"/>
      <c r="H146" s="131"/>
      <c r="I146" s="131"/>
      <c r="J146" s="131"/>
      <c r="K146" s="131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s="130" customFormat="1" ht="16.5" thickTop="1" thickBot="1" x14ac:dyDescent="0.3">
      <c r="A147" s="131"/>
      <c r="B147" s="131"/>
      <c r="C147" s="137" t="s">
        <v>318</v>
      </c>
      <c r="D147" s="146" t="s">
        <v>319</v>
      </c>
      <c r="E147" s="52" t="s">
        <v>29</v>
      </c>
      <c r="F147" s="178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</row>
    <row r="148" spans="1:21" s="130" customFormat="1" ht="15.75" thickTop="1" x14ac:dyDescent="0.25">
      <c r="A148" s="131"/>
      <c r="B148" s="131"/>
      <c r="C148" s="137"/>
      <c r="D148" s="171"/>
      <c r="E148" s="15"/>
      <c r="F148" s="178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</row>
    <row r="149" spans="1:21" x14ac:dyDescent="0.25">
      <c r="A149" s="2"/>
      <c r="B149" s="131"/>
      <c r="C149" s="131"/>
      <c r="D149" s="132"/>
      <c r="E149" s="183"/>
      <c r="F149" s="178"/>
      <c r="G149" s="131"/>
      <c r="H149" s="131"/>
      <c r="I149" s="131"/>
      <c r="J149" s="131"/>
      <c r="K149" s="131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5">
      <c r="A150" s="2"/>
      <c r="B150" s="131"/>
      <c r="C150" s="1" t="s">
        <v>189</v>
      </c>
      <c r="D150" s="131"/>
      <c r="E150" s="131"/>
      <c r="F150" s="131"/>
      <c r="G150" s="131"/>
      <c r="H150" s="131"/>
      <c r="I150" s="131"/>
      <c r="J150" s="131"/>
      <c r="K150" s="131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.75" x14ac:dyDescent="0.25">
      <c r="A151" s="2"/>
      <c r="B151" s="131"/>
      <c r="C151" s="14"/>
      <c r="D151" s="131"/>
      <c r="E151" s="131"/>
      <c r="F151" s="131"/>
      <c r="G151" s="131"/>
      <c r="H151" s="131"/>
      <c r="I151" s="131"/>
      <c r="J151" s="131"/>
      <c r="K151" s="131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5">
      <c r="A152" s="2"/>
      <c r="B152" s="131"/>
      <c r="C152" s="13" t="s">
        <v>190</v>
      </c>
      <c r="D152" s="9"/>
      <c r="E152" s="131"/>
      <c r="F152" s="131"/>
      <c r="G152" s="131"/>
      <c r="H152" s="131"/>
      <c r="I152" s="131"/>
      <c r="J152" s="131"/>
      <c r="K152" s="131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6.75" customHeight="1" thickBot="1" x14ac:dyDescent="0.3">
      <c r="A153" s="2"/>
      <c r="B153" s="131"/>
      <c r="C153" s="131"/>
      <c r="D153" s="134"/>
      <c r="E153" s="131"/>
      <c r="F153" s="131"/>
      <c r="G153" s="131"/>
      <c r="H153" s="131"/>
      <c r="I153" s="131"/>
      <c r="J153" s="131"/>
      <c r="K153" s="131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7.25" customHeight="1" thickTop="1" thickBot="1" x14ac:dyDescent="0.3">
      <c r="A154" s="2"/>
      <c r="B154" s="131"/>
      <c r="C154" s="100" t="s">
        <v>60</v>
      </c>
      <c r="D154" s="51"/>
      <c r="E154" s="272" t="str">
        <f>IF(C154='FOGLIO DEPOSITO'!I27,"","Per le NTC18 si deve eseguire la verifica con l'approccio 2!")</f>
        <v/>
      </c>
      <c r="F154" s="272"/>
      <c r="G154" s="272"/>
      <c r="H154" s="272"/>
      <c r="I154" s="131"/>
      <c r="J154" s="131"/>
      <c r="K154" s="131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 customHeight="1" thickTop="1" x14ac:dyDescent="0.25">
      <c r="A155" s="2"/>
      <c r="B155" s="131"/>
      <c r="C155" s="131"/>
      <c r="D155" s="131"/>
      <c r="E155" s="272"/>
      <c r="F155" s="272"/>
      <c r="G155" s="272"/>
      <c r="H155" s="272"/>
      <c r="I155" s="131"/>
      <c r="J155" s="131"/>
      <c r="K155" s="131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5">
      <c r="A156" s="2"/>
      <c r="B156" s="131"/>
      <c r="C156" s="13" t="s">
        <v>111</v>
      </c>
      <c r="D156" s="131"/>
      <c r="E156" s="131"/>
      <c r="F156" s="131"/>
      <c r="G156" s="131"/>
      <c r="H156" s="131"/>
      <c r="I156" s="131"/>
      <c r="J156" s="131"/>
      <c r="K156" s="131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9" customHeight="1" thickBot="1" x14ac:dyDescent="0.3">
      <c r="A157" s="2"/>
      <c r="B157" s="131"/>
      <c r="C157" s="13"/>
      <c r="D157" s="131"/>
      <c r="E157" s="131"/>
      <c r="F157" s="131"/>
      <c r="G157" s="131"/>
      <c r="H157" s="131"/>
      <c r="I157" s="131"/>
      <c r="J157" s="131"/>
      <c r="K157" s="131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7.25" thickTop="1" thickBot="1" x14ac:dyDescent="0.3">
      <c r="A158" s="2"/>
      <c r="B158" s="131"/>
      <c r="C158" s="199" t="s">
        <v>66</v>
      </c>
      <c r="D158" s="131"/>
      <c r="E158" s="131"/>
      <c r="F158" s="131"/>
      <c r="G158" s="131"/>
      <c r="H158" s="131"/>
      <c r="I158" s="131"/>
      <c r="J158" s="131"/>
      <c r="K158" s="131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" customHeight="1" thickTop="1" x14ac:dyDescent="0.25">
      <c r="A159" s="2"/>
      <c r="B159" s="131"/>
      <c r="C159" s="160"/>
      <c r="D159" s="131"/>
      <c r="E159" s="131"/>
      <c r="F159" s="131"/>
      <c r="G159" s="131"/>
      <c r="H159" s="131"/>
      <c r="I159" s="131"/>
      <c r="J159" s="131"/>
      <c r="K159" s="131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" customHeight="1" x14ac:dyDescent="0.25">
      <c r="A160" s="2"/>
      <c r="B160" s="131"/>
      <c r="C160" s="271" t="str">
        <f>IF(C158="SISMICA ","Si esegue analisi sismica pseudo-statica Secondo la teoria di Paolucci e Pecker (1997)","")</f>
        <v>Si esegue analisi sismica pseudo-statica Secondo la teoria di Paolucci e Pecker (1997)</v>
      </c>
      <c r="D160" s="143" t="s">
        <v>191</v>
      </c>
      <c r="E160" s="278" t="s">
        <v>4</v>
      </c>
      <c r="F160" s="278"/>
      <c r="G160" s="131"/>
      <c r="H160" s="131"/>
      <c r="I160" s="131"/>
      <c r="J160" s="131"/>
      <c r="K160" s="131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" customHeight="1" x14ac:dyDescent="0.25">
      <c r="A161" s="2"/>
      <c r="B161" s="131"/>
      <c r="C161" s="271"/>
      <c r="D161" s="193" t="s">
        <v>327</v>
      </c>
      <c r="E161" s="174">
        <f>'FOGLIO DEPOSITO'!E25</f>
        <v>1</v>
      </c>
      <c r="F161" s="174">
        <f>IF(C154='FOGLIO DEPOSITO'!I28,1,0.9)</f>
        <v>0.9</v>
      </c>
      <c r="G161" s="131"/>
      <c r="H161" s="131"/>
      <c r="I161" s="131"/>
      <c r="J161" s="131"/>
      <c r="K161" s="131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" customHeight="1" x14ac:dyDescent="0.25">
      <c r="B162" s="131"/>
      <c r="C162" s="271"/>
      <c r="D162" s="193" t="s">
        <v>328</v>
      </c>
      <c r="E162" s="174">
        <f>'FOGLIO DEPOSITO'!E26</f>
        <v>1</v>
      </c>
      <c r="F162" s="174">
        <v>0.8</v>
      </c>
      <c r="G162" s="131"/>
      <c r="H162" s="131"/>
      <c r="I162" s="131"/>
      <c r="J162" s="131"/>
      <c r="K162" s="131"/>
    </row>
    <row r="163" spans="1:21" ht="15" customHeight="1" x14ac:dyDescent="0.25">
      <c r="B163" s="131"/>
      <c r="C163" s="160"/>
      <c r="D163" s="193" t="s">
        <v>329</v>
      </c>
      <c r="E163" s="174">
        <f>'FOGLIO DEPOSITO'!E27</f>
        <v>1</v>
      </c>
      <c r="F163" s="174">
        <f>0</f>
        <v>0</v>
      </c>
      <c r="G163" s="131"/>
      <c r="H163" s="131"/>
      <c r="I163" s="131"/>
      <c r="J163" s="131"/>
      <c r="K163" s="131"/>
    </row>
    <row r="164" spans="1:21" x14ac:dyDescent="0.25"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</row>
    <row r="165" spans="1:21" x14ac:dyDescent="0.25">
      <c r="B165" s="131"/>
      <c r="C165" s="131"/>
      <c r="D165" s="143" t="s">
        <v>192</v>
      </c>
      <c r="E165" s="274" t="s">
        <v>193</v>
      </c>
      <c r="F165" s="275"/>
      <c r="G165" s="131"/>
      <c r="H165" s="131"/>
      <c r="I165" s="131"/>
      <c r="J165" s="131"/>
      <c r="K165" s="131"/>
    </row>
    <row r="166" spans="1:21" x14ac:dyDescent="0.25">
      <c r="B166" s="131"/>
      <c r="C166" s="131"/>
      <c r="D166" s="173" t="s">
        <v>64</v>
      </c>
      <c r="E166" s="276">
        <f>IF(C154='FOGLIO DEPOSITO'!I28,1,IF('FOGLIO DEPOSITO'!$I$29=1,'FOGLIO DEPOSITO'!D30,IF('FOGLIO DEPOSITO'!$I$29=2,'FOGLIO DEPOSITO'!E30,IF('FOGLIO DEPOSITO'!$I$29=3,'FOGLIO DEPOSITO'!D30,0))))</f>
        <v>1</v>
      </c>
      <c r="F166" s="277"/>
      <c r="G166" s="131"/>
      <c r="H166" s="131"/>
      <c r="I166" s="131"/>
      <c r="J166" s="131"/>
      <c r="K166" s="131"/>
    </row>
    <row r="167" spans="1:21" x14ac:dyDescent="0.25">
      <c r="B167" s="131"/>
      <c r="C167" s="131"/>
      <c r="D167" s="173" t="s">
        <v>65</v>
      </c>
      <c r="E167" s="276">
        <f>IF(C154='FOGLIO DEPOSITO'!I28,1,IF('FOGLIO DEPOSITO'!$I$29=1,'FOGLIO DEPOSITO'!D31,IF('FOGLIO DEPOSITO'!$I$29=2,'FOGLIO DEPOSITO'!E31,IF('FOGLIO DEPOSITO'!$I$29=3,'FOGLIO DEPOSITO'!D31,0))))</f>
        <v>1</v>
      </c>
      <c r="F167" s="277"/>
      <c r="G167" s="131"/>
      <c r="H167" s="131"/>
      <c r="I167" s="131"/>
      <c r="J167" s="131"/>
      <c r="K167" s="131"/>
    </row>
    <row r="168" spans="1:21" x14ac:dyDescent="0.25">
      <c r="B168" s="131"/>
      <c r="C168" s="131"/>
      <c r="D168" s="173" t="s">
        <v>67</v>
      </c>
      <c r="E168" s="276">
        <f>IF(C154='FOGLIO DEPOSITO'!I28,1,IF('FOGLIO DEPOSITO'!$I$29=1,'FOGLIO DEPOSITO'!D32,IF('FOGLIO DEPOSITO'!$I$29=2,'FOGLIO DEPOSITO'!E32,IF('FOGLIO DEPOSITO'!$I$29=3,'FOGLIO DEPOSITO'!D32,0))))</f>
        <v>1</v>
      </c>
      <c r="F168" s="277"/>
      <c r="G168" s="131"/>
      <c r="H168" s="131"/>
      <c r="I168" s="131"/>
      <c r="J168" s="131"/>
      <c r="K168" s="131"/>
    </row>
    <row r="169" spans="1:21" x14ac:dyDescent="0.25">
      <c r="B169" s="131"/>
      <c r="C169" s="131"/>
      <c r="D169" s="138" t="s">
        <v>68</v>
      </c>
      <c r="E169" s="276">
        <f>IF(C154='FOGLIO DEPOSITO'!I28,1,IF('FOGLIO DEPOSITO'!$I$29=1,'FOGLIO DEPOSITO'!D33,IF('FOGLIO DEPOSITO'!$I$29=2,'FOGLIO DEPOSITO'!E33,IF('FOGLIO DEPOSITO'!$I$29=3,'FOGLIO DEPOSITO'!D33,0))))</f>
        <v>1</v>
      </c>
      <c r="F169" s="277"/>
      <c r="G169" s="131"/>
      <c r="H169" s="131"/>
      <c r="I169" s="131"/>
      <c r="J169" s="131"/>
      <c r="K169" s="131"/>
    </row>
    <row r="170" spans="1:21" x14ac:dyDescent="0.25"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1:21" x14ac:dyDescent="0.25">
      <c r="B171" s="131"/>
      <c r="C171" s="131"/>
      <c r="D171" s="143" t="s">
        <v>194</v>
      </c>
      <c r="E171" s="274" t="s">
        <v>195</v>
      </c>
      <c r="F171" s="275"/>
      <c r="G171" s="131"/>
      <c r="H171" s="131"/>
      <c r="I171" s="131"/>
      <c r="J171" s="131"/>
      <c r="K171" s="131"/>
    </row>
    <row r="172" spans="1:21" x14ac:dyDescent="0.25">
      <c r="B172" s="131"/>
      <c r="C172" s="131"/>
      <c r="D172" s="280" t="s">
        <v>196</v>
      </c>
      <c r="E172" s="279">
        <f>IF(C154='FOGLIO DEPOSITO'!I28,1,IF('FOGLIO DEPOSITO'!$I$29=1,'FOGLIO DEPOSITO'!D36,IF('FOGLIO DEPOSITO'!$I$29=2,'FOGLIO DEPOSITO'!E36,IF('FOGLIO DEPOSITO'!$I$29=3,'FOGLIO DEPOSITO'!F36,0))))</f>
        <v>2.2999999999999998</v>
      </c>
      <c r="F172" s="279"/>
      <c r="G172" s="131"/>
      <c r="H172" s="131"/>
      <c r="I172" s="131"/>
      <c r="J172" s="131"/>
      <c r="K172" s="131"/>
    </row>
    <row r="173" spans="1:21" x14ac:dyDescent="0.25">
      <c r="B173" s="131"/>
      <c r="C173" s="131"/>
      <c r="D173" s="280"/>
      <c r="E173" s="279"/>
      <c r="F173" s="279"/>
      <c r="G173" s="131"/>
      <c r="H173" s="131"/>
      <c r="I173" s="131"/>
      <c r="J173" s="131"/>
      <c r="K173" s="131"/>
    </row>
    <row r="174" spans="1:21" x14ac:dyDescent="0.25">
      <c r="B174" s="131"/>
      <c r="C174" s="131"/>
      <c r="D174" s="278" t="s">
        <v>73</v>
      </c>
      <c r="E174" s="279">
        <f>IF(C154='FOGLIO DEPOSITO'!I28,1,IF('FOGLIO DEPOSITO'!$I$29=1,'FOGLIO DEPOSITO'!D37,IF('FOGLIO DEPOSITO'!$I$29=2,'FOGLIO DEPOSITO'!E37,IF('FOGLIO DEPOSITO'!$I$29=3,'FOGLIO DEPOSITO'!F37,0))))</f>
        <v>1.1000000000000001</v>
      </c>
      <c r="F174" s="279"/>
      <c r="G174" s="131"/>
      <c r="H174" s="131"/>
      <c r="I174" s="131"/>
      <c r="J174" s="131"/>
      <c r="K174" s="131"/>
    </row>
    <row r="175" spans="1:21" x14ac:dyDescent="0.25">
      <c r="B175" s="131"/>
      <c r="C175" s="131"/>
      <c r="D175" s="278"/>
      <c r="E175" s="279"/>
      <c r="F175" s="279"/>
      <c r="G175" s="131"/>
      <c r="H175" s="131"/>
      <c r="I175" s="131"/>
      <c r="J175" s="131"/>
      <c r="K175" s="131"/>
    </row>
    <row r="176" spans="1:21" x14ac:dyDescent="0.25"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2:11" x14ac:dyDescent="0.25">
      <c r="B177" s="131"/>
      <c r="C177" s="131"/>
      <c r="D177" s="250" t="s">
        <v>452</v>
      </c>
      <c r="E177" s="250"/>
      <c r="F177" s="250"/>
      <c r="G177" s="131"/>
      <c r="H177" s="131"/>
      <c r="I177" s="131"/>
      <c r="J177" s="131"/>
      <c r="K177" s="131"/>
    </row>
    <row r="178" spans="2:11" x14ac:dyDescent="0.25"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</row>
    <row r="179" spans="2:11" x14ac:dyDescent="0.25">
      <c r="B179" s="131"/>
      <c r="C179" s="131"/>
      <c r="D179" s="250" t="s">
        <v>453</v>
      </c>
      <c r="E179" s="250"/>
      <c r="F179" s="250"/>
      <c r="G179" s="131"/>
      <c r="H179" s="131"/>
      <c r="I179" s="131"/>
      <c r="J179" s="131"/>
      <c r="K179" s="131"/>
    </row>
    <row r="180" spans="2:11" x14ac:dyDescent="0.25"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</row>
    <row r="181" spans="2:11" x14ac:dyDescent="0.25"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</row>
  </sheetData>
  <sheetProtection algorithmName="SHA-512" hashValue="NpRT2QoSHvnnhS/Ned9sGkTHNvZxRTfaSHwPgzW9lKSnWPDLwiGdIxPGFWX2RsNcYpyIDp22SEm2fNWKC0bUUw==" saltValue="vWH6tWbq9TCo3uiYDR7Asg==" spinCount="100000" sheet="1" selectLockedCells="1"/>
  <protectedRanges>
    <protectedRange sqref="E67:E68 E144 E122:E138 E140:E142" name="Intervallo1"/>
    <protectedRange sqref="C154:D154" name="Intervallo1_1"/>
    <protectedRange sqref="E140:E142 E52 E122:E138 E144" name="Intervallo1_5"/>
    <protectedRange sqref="E11:E12 E8:E9" name="Intervallo1_5_1"/>
    <protectedRange sqref="E15:E19" name="Intervallo1_4"/>
    <protectedRange sqref="E146" name="Intervallo1_4_1"/>
    <protectedRange sqref="E147:E148" name="Intervallo1_5_3"/>
    <protectedRange sqref="E143" name="Intervallo1_7"/>
    <protectedRange sqref="E93:G97" name="Intervallo1_6_1"/>
    <protectedRange sqref="E49:E51" name="Intervallo1_5_4"/>
  </protectedRanges>
  <dataConsolidate/>
  <customSheetViews>
    <customSheetView guid="{4665FEC6-985A-4058-98C4-6E3C4FA2FD00}" showGridLines="0" showRowCol="0">
      <selection activeCell="C13" sqref="C13"/>
      <pageMargins left="0.7" right="0.7" top="0.75" bottom="0.75" header="0.3" footer="0.3"/>
      <pageSetup paperSize="9" orientation="portrait" r:id="rId1"/>
    </customSheetView>
    <customSheetView guid="{0B137F07-03B3-4E41-AE6C-8ED78830E82B}" showGridLines="0" showRowCol="0" topLeftCell="A91">
      <selection activeCell="E103" sqref="E103"/>
      <pageMargins left="0.7" right="0.7" top="0.75" bottom="0.75" header="0.3" footer="0.3"/>
      <pageSetup paperSize="9" orientation="portrait" r:id="rId2"/>
    </customSheetView>
    <customSheetView guid="{20357F05-553F-42A2-AC78-E7E06E1ED012}" showGridLines="0" showRowCol="0">
      <selection activeCell="C131" sqref="C131"/>
      <pageMargins left="0.7" right="0.7" top="0.75" bottom="0.75" header="0.3" footer="0.3"/>
      <pageSetup paperSize="9" orientation="portrait" r:id="rId3"/>
    </customSheetView>
  </customSheetViews>
  <mergeCells count="16">
    <mergeCell ref="D177:F177"/>
    <mergeCell ref="D179:F179"/>
    <mergeCell ref="C160:C162"/>
    <mergeCell ref="E154:H155"/>
    <mergeCell ref="E91:G91"/>
    <mergeCell ref="E165:F165"/>
    <mergeCell ref="E166:F166"/>
    <mergeCell ref="E167:F167"/>
    <mergeCell ref="E169:F169"/>
    <mergeCell ref="E160:F160"/>
    <mergeCell ref="D174:D175"/>
    <mergeCell ref="E174:F175"/>
    <mergeCell ref="E168:F168"/>
    <mergeCell ref="E171:F171"/>
    <mergeCell ref="D172:D173"/>
    <mergeCell ref="E172:F173"/>
  </mergeCells>
  <dataValidations count="9">
    <dataValidation type="list" allowBlank="1" showInputMessage="1" showErrorMessage="1" sqref="C154">
      <formula1>COMBO</formula1>
    </dataValidation>
    <dataValidation type="list" allowBlank="1" showInputMessage="1" showErrorMessage="1" sqref="E117 E146:E148 E101">
      <formula1>sn</formula1>
    </dataValidation>
    <dataValidation type="list" allowBlank="1" showInputMessage="1" showErrorMessage="1" sqref="E5">
      <formula1>class</formula1>
    </dataValidation>
    <dataValidation type="list" allowBlank="1" showInputMessage="1" showErrorMessage="1" sqref="E19">
      <formula1>TOP</formula1>
    </dataValidation>
    <dataValidation type="list" allowBlank="1" showInputMessage="1" showErrorMessage="1" sqref="E18">
      <formula1>ss</formula1>
    </dataValidation>
    <dataValidation type="list" allowBlank="1" showInputMessage="1" showErrorMessage="1" sqref="C158">
      <formula1>SISM</formula1>
    </dataValidation>
    <dataValidation type="list" allowBlank="1" showInputMessage="1" showErrorMessage="1" sqref="E104">
      <formula1>lun</formula1>
    </dataValidation>
    <dataValidation type="list" allowBlank="1" showInputMessage="1" showErrorMessage="1" sqref="E103">
      <formula1>bas</formula1>
    </dataValidation>
    <dataValidation type="list" allowBlank="1" showInputMessage="1" showErrorMessage="1" sqref="C132:C133">
      <formula1>ter</formula1>
    </dataValidation>
  </dataValidations>
  <hyperlinks>
    <hyperlink ref="C13:E13" r:id="rId4" display="TROVA I PARAMETRI SISMICI"/>
    <hyperlink ref="C13" r:id="rId5"/>
    <hyperlink ref="D177" location="'tabelle NTC 18'!A1" display="Vai alla normativa NTC18 --&gt;"/>
    <hyperlink ref="D179" location="FORMULE!A1" display="Formule --&gt;"/>
  </hyperlinks>
  <pageMargins left="0.7" right="0.7" top="0.75" bottom="0.75" header="0.3" footer="0.3"/>
  <pageSetup paperSize="9" orientation="portrait" r:id="rId6"/>
  <drawing r:id="rId7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Z132"/>
  <sheetViews>
    <sheetView showGridLines="0" showRowColHeaders="0" zoomScale="90" zoomScaleNormal="90" workbookViewId="0">
      <selection activeCell="I97" sqref="I97"/>
    </sheetView>
  </sheetViews>
  <sheetFormatPr defaultRowHeight="15" x14ac:dyDescent="0.25"/>
  <cols>
    <col min="1" max="1" width="2.140625" customWidth="1"/>
    <col min="2" max="2" width="34.140625" customWidth="1"/>
    <col min="3" max="3" width="10.28515625" customWidth="1"/>
    <col min="4" max="4" width="11.140625" customWidth="1"/>
    <col min="5" max="5" width="10.140625" customWidth="1"/>
    <col min="6" max="6" width="10.42578125" bestFit="1" customWidth="1"/>
    <col min="7" max="7" width="9.5703125" customWidth="1"/>
    <col min="8" max="8" width="11.5703125" customWidth="1"/>
    <col min="10" max="10" width="10.28515625" bestFit="1" customWidth="1"/>
    <col min="11" max="11" width="13" customWidth="1"/>
    <col min="12" max="12" width="9.42578125" customWidth="1"/>
    <col min="13" max="13" width="8.7109375" customWidth="1"/>
    <col min="14" max="14" width="12" customWidth="1"/>
  </cols>
  <sheetData>
    <row r="1" spans="2:26" ht="9" customHeight="1" x14ac:dyDescent="0.25"/>
    <row r="2" spans="2:26" ht="23.25" x14ac:dyDescent="0.35">
      <c r="B2" s="127" t="s">
        <v>306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2:26" ht="6.75" customHeight="1" x14ac:dyDescent="0.2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2:26" ht="21" x14ac:dyDescent="0.35">
      <c r="B4" s="128" t="s">
        <v>7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2:26" s="130" customFormat="1" ht="21" x14ac:dyDescent="0.35">
      <c r="B5" s="128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2:26" s="130" customFormat="1" ht="18.75" x14ac:dyDescent="0.3">
      <c r="B6" s="133" t="s">
        <v>325</v>
      </c>
      <c r="C6" s="139"/>
      <c r="D6" s="200"/>
      <c r="E6" s="20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2:26" s="130" customFormat="1" ht="18.75" x14ac:dyDescent="0.3">
      <c r="B7" s="141"/>
      <c r="C7" s="139"/>
      <c r="D7" s="200"/>
      <c r="E7" s="20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</row>
    <row r="8" spans="2:26" s="130" customFormat="1" x14ac:dyDescent="0.25">
      <c r="B8" s="152" t="s">
        <v>111</v>
      </c>
      <c r="C8" s="134" t="str">
        <f>DATI!C154</f>
        <v xml:space="preserve"> APPROCCIO 2 --- Combinazione (A1+M1+R3)</v>
      </c>
      <c r="D8" s="104"/>
      <c r="E8" s="19"/>
      <c r="F8" s="131"/>
      <c r="G8" s="143" t="s">
        <v>191</v>
      </c>
      <c r="H8" s="173" t="s">
        <v>4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2:26" s="130" customFormat="1" x14ac:dyDescent="0.25">
      <c r="B9" s="147"/>
      <c r="C9" s="131"/>
      <c r="D9" s="131"/>
      <c r="E9" s="19"/>
      <c r="F9" s="131"/>
      <c r="G9" s="193" t="s">
        <v>340</v>
      </c>
      <c r="H9" s="174">
        <f>DATI!E161</f>
        <v>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</row>
    <row r="10" spans="2:26" s="130" customFormat="1" x14ac:dyDescent="0.25">
      <c r="B10" s="152" t="s">
        <v>197</v>
      </c>
      <c r="C10" s="134" t="str">
        <f>DATI!C158</f>
        <v xml:space="preserve">SISMICA </v>
      </c>
      <c r="D10" s="104"/>
      <c r="E10" s="19"/>
      <c r="F10" s="131"/>
      <c r="G10" s="193" t="s">
        <v>341</v>
      </c>
      <c r="H10" s="174">
        <f>DATI!E162</f>
        <v>1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2:26" s="130" customFormat="1" x14ac:dyDescent="0.25">
      <c r="B11" s="152"/>
      <c r="C11" s="152"/>
      <c r="D11" s="140"/>
      <c r="E11" s="131"/>
      <c r="F11" s="131"/>
      <c r="G11" s="193" t="s">
        <v>342</v>
      </c>
      <c r="H11" s="174">
        <f>DATI!E163</f>
        <v>1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</row>
    <row r="12" spans="2:26" s="130" customFormat="1" x14ac:dyDescent="0.25">
      <c r="B12" s="152"/>
      <c r="C12" s="131"/>
      <c r="D12" s="131"/>
      <c r="E12" s="131"/>
      <c r="F12" s="131"/>
      <c r="G12" s="152"/>
      <c r="H12" s="145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</row>
    <row r="13" spans="2:26" s="130" customFormat="1" x14ac:dyDescent="0.25">
      <c r="B13" s="152"/>
      <c r="C13" s="131"/>
      <c r="D13" s="131"/>
      <c r="E13" s="131"/>
      <c r="F13" s="131"/>
      <c r="G13" s="143" t="s">
        <v>192</v>
      </c>
      <c r="H13" s="144" t="s">
        <v>193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2:26" s="130" customFormat="1" x14ac:dyDescent="0.25">
      <c r="B14" s="152"/>
      <c r="C14" s="131"/>
      <c r="D14" s="131"/>
      <c r="E14" s="131"/>
      <c r="F14" s="131"/>
      <c r="G14" s="173" t="s">
        <v>64</v>
      </c>
      <c r="H14" s="174">
        <f>DATI!E166</f>
        <v>1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</row>
    <row r="15" spans="2:26" s="130" customFormat="1" x14ac:dyDescent="0.25">
      <c r="B15" s="152"/>
      <c r="C15" s="131"/>
      <c r="D15" s="131"/>
      <c r="E15" s="131"/>
      <c r="F15" s="131"/>
      <c r="G15" s="173" t="s">
        <v>65</v>
      </c>
      <c r="H15" s="174">
        <f>DATI!E167</f>
        <v>1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</row>
    <row r="16" spans="2:26" s="130" customFormat="1" x14ac:dyDescent="0.25">
      <c r="B16" s="152"/>
      <c r="C16" s="131"/>
      <c r="D16" s="131"/>
      <c r="E16" s="131"/>
      <c r="F16" s="131"/>
      <c r="G16" s="173" t="s">
        <v>67</v>
      </c>
      <c r="H16" s="174">
        <f>DATI!E168</f>
        <v>1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</row>
    <row r="17" spans="2:26" s="130" customFormat="1" x14ac:dyDescent="0.25">
      <c r="B17" s="152"/>
      <c r="C17" s="131"/>
      <c r="D17" s="131"/>
      <c r="E17" s="131"/>
      <c r="F17" s="131"/>
      <c r="G17" s="138" t="s">
        <v>68</v>
      </c>
      <c r="H17" s="174">
        <f>DATI!E169</f>
        <v>1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2:26" s="130" customFormat="1" x14ac:dyDescent="0.25">
      <c r="B18" s="152"/>
      <c r="C18" s="131"/>
      <c r="D18" s="131"/>
      <c r="E18" s="131"/>
      <c r="F18" s="131"/>
      <c r="G18" s="47"/>
      <c r="H18" s="153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</row>
    <row r="19" spans="2:26" s="130" customFormat="1" x14ac:dyDescent="0.25">
      <c r="B19" s="152"/>
      <c r="C19" s="131"/>
      <c r="D19" s="131"/>
      <c r="E19" s="131"/>
      <c r="F19" s="131"/>
      <c r="G19" s="143" t="s">
        <v>194</v>
      </c>
      <c r="H19" s="175" t="s">
        <v>195</v>
      </c>
      <c r="I19" s="155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</row>
    <row r="20" spans="2:26" s="130" customFormat="1" x14ac:dyDescent="0.25">
      <c r="B20" s="152"/>
      <c r="C20" s="131"/>
      <c r="D20" s="131"/>
      <c r="E20" s="131"/>
      <c r="F20" s="131"/>
      <c r="G20" s="280" t="s">
        <v>196</v>
      </c>
      <c r="H20" s="292">
        <f>DATI!E172</f>
        <v>2.2999999999999998</v>
      </c>
      <c r="I20" s="154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</row>
    <row r="21" spans="2:26" s="130" customFormat="1" x14ac:dyDescent="0.25">
      <c r="B21" s="152"/>
      <c r="C21" s="131"/>
      <c r="D21" s="131"/>
      <c r="E21" s="131"/>
      <c r="F21" s="131"/>
      <c r="G21" s="280"/>
      <c r="H21" s="293"/>
      <c r="I21" s="154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</row>
    <row r="22" spans="2:26" s="130" customFormat="1" x14ac:dyDescent="0.25">
      <c r="B22" s="152"/>
      <c r="C22" s="131"/>
      <c r="D22" s="131"/>
      <c r="E22" s="131"/>
      <c r="F22" s="131"/>
      <c r="G22" s="280" t="s">
        <v>343</v>
      </c>
      <c r="H22" s="292">
        <f>DATI!E174</f>
        <v>1.1000000000000001</v>
      </c>
      <c r="I22" s="154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2:26" s="130" customFormat="1" ht="15" customHeight="1" x14ac:dyDescent="0.25">
      <c r="B23" s="152"/>
      <c r="C23" s="131"/>
      <c r="D23" s="131"/>
      <c r="E23" s="131"/>
      <c r="F23" s="131"/>
      <c r="G23" s="280"/>
      <c r="H23" s="293"/>
      <c r="I23" s="154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2:26" s="130" customFormat="1" x14ac:dyDescent="0.25">
      <c r="B24" s="152"/>
      <c r="C24" s="131"/>
      <c r="D24" s="131"/>
      <c r="E24" s="131"/>
      <c r="F24" s="131"/>
      <c r="G24" s="47"/>
      <c r="H24" s="153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</row>
    <row r="25" spans="2:26" s="130" customFormat="1" x14ac:dyDescent="0.25">
      <c r="B25" s="152"/>
      <c r="C25" s="131"/>
      <c r="D25" s="131"/>
      <c r="E25" s="131"/>
      <c r="F25" s="131"/>
      <c r="G25" s="140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</row>
    <row r="26" spans="2:26" s="130" customFormat="1" ht="18" x14ac:dyDescent="0.25">
      <c r="B26" s="131" t="s">
        <v>140</v>
      </c>
      <c r="C26" s="131"/>
      <c r="D26" s="131"/>
      <c r="E26" s="131"/>
      <c r="F26" s="131"/>
      <c r="G26" s="158" t="s">
        <v>141</v>
      </c>
      <c r="H26" s="187">
        <f>DATI!E15</f>
        <v>1.5696000000000001</v>
      </c>
      <c r="I26" s="131"/>
      <c r="J26" s="131"/>
      <c r="K26" s="131"/>
      <c r="L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</row>
    <row r="27" spans="2:26" s="130" customFormat="1" ht="18" x14ac:dyDescent="0.25">
      <c r="B27" s="131" t="s">
        <v>142</v>
      </c>
      <c r="C27" s="131"/>
      <c r="D27" s="131"/>
      <c r="E27" s="131"/>
      <c r="F27" s="131"/>
      <c r="G27" s="158" t="s">
        <v>143</v>
      </c>
      <c r="H27" s="56">
        <f>DATI!E16</f>
        <v>2.4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</row>
    <row r="28" spans="2:26" s="130" customFormat="1" ht="18" x14ac:dyDescent="0.25">
      <c r="B28" s="131" t="s">
        <v>144</v>
      </c>
      <c r="C28" s="131"/>
      <c r="D28" s="131"/>
      <c r="E28" s="131"/>
      <c r="F28" s="131"/>
      <c r="G28" s="158" t="s">
        <v>145</v>
      </c>
      <c r="H28" s="188">
        <f>DATI!E17</f>
        <v>0.30099999999999999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</row>
    <row r="29" spans="2:26" s="130" customFormat="1" x14ac:dyDescent="0.25">
      <c r="B29" s="131" t="s">
        <v>146</v>
      </c>
      <c r="C29" s="131"/>
      <c r="D29" s="131"/>
      <c r="E29" s="131"/>
      <c r="F29" s="131"/>
      <c r="G29" s="131"/>
      <c r="H29" s="56" t="str">
        <f>DATI!E18</f>
        <v>C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</row>
    <row r="30" spans="2:26" s="130" customFormat="1" x14ac:dyDescent="0.25">
      <c r="B30" s="131" t="s">
        <v>147</v>
      </c>
      <c r="C30" s="131"/>
      <c r="D30" s="131"/>
      <c r="E30" s="131"/>
      <c r="F30" s="131"/>
      <c r="G30" s="131"/>
      <c r="H30" s="56" t="str">
        <f>DATI!E19</f>
        <v>T1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2:26" s="130" customFormat="1" x14ac:dyDescent="0.25">
      <c r="B31" s="131" t="s">
        <v>326</v>
      </c>
      <c r="C31" s="131"/>
      <c r="D31" s="131"/>
      <c r="E31" s="131"/>
      <c r="F31" s="131"/>
      <c r="G31" s="112" t="s">
        <v>172</v>
      </c>
      <c r="H31" s="121">
        <f>DATI!E35</f>
        <v>0.38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  <row r="32" spans="2:26" s="130" customFormat="1" x14ac:dyDescent="0.25">
      <c r="B32" s="131" t="s">
        <v>173</v>
      </c>
      <c r="C32" s="131"/>
      <c r="D32" s="131"/>
      <c r="E32" s="131"/>
      <c r="F32" s="131"/>
      <c r="G32" s="172" t="s">
        <v>82</v>
      </c>
      <c r="H32" s="121">
        <f>DATI!E33</f>
        <v>8.938241124446944E-2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</row>
    <row r="33" spans="2:26" s="130" customFormat="1" x14ac:dyDescent="0.25">
      <c r="B33" s="131" t="s">
        <v>174</v>
      </c>
      <c r="C33" s="131"/>
      <c r="D33" s="131"/>
      <c r="E33" s="131"/>
      <c r="F33" s="131"/>
      <c r="G33" s="172" t="s">
        <v>83</v>
      </c>
      <c r="H33" s="121">
        <f>DATI!E34</f>
        <v>4.469120562223472E-2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</row>
    <row r="34" spans="2:26" s="130" customFormat="1" ht="14.25" customHeight="1" x14ac:dyDescent="0.35">
      <c r="B34" s="128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</row>
    <row r="35" spans="2:26" ht="14.25" customHeight="1" x14ac:dyDescent="0.35">
      <c r="B35" s="129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</row>
    <row r="36" spans="2:26" ht="15.75" x14ac:dyDescent="0.25">
      <c r="B36" s="12" t="s">
        <v>307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</row>
    <row r="37" spans="2:26" x14ac:dyDescent="0.25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2:26" x14ac:dyDescent="0.25">
      <c r="B38" s="131" t="s">
        <v>200</v>
      </c>
      <c r="C38" s="138" t="s">
        <v>257</v>
      </c>
      <c r="D38" s="202">
        <v>1E-4</v>
      </c>
      <c r="E38" s="131"/>
      <c r="F38" s="131" t="s">
        <v>290</v>
      </c>
      <c r="G38" s="131"/>
      <c r="H38" s="173" t="s">
        <v>76</v>
      </c>
      <c r="I38" s="174">
        <f>DATI!E49</f>
        <v>3.2</v>
      </c>
      <c r="J38" s="131"/>
      <c r="K38" s="131" t="s">
        <v>295</v>
      </c>
      <c r="L38" s="131"/>
      <c r="M38" s="173" t="s">
        <v>202</v>
      </c>
      <c r="N38" s="190">
        <f>(DATI!E93*DATI!E161+DATI!F93*DATI!E162+DATI!E163*DATI!G93+IF(DATI!E101="si",(I44*DATI!E49*DATI!E50*DATI!E7+DATI!E51*DATI!E49*DATI!E50*DATI!E6),0))</f>
        <v>1111.7760000000001</v>
      </c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2:26" x14ac:dyDescent="0.25">
      <c r="B39" s="131" t="s">
        <v>187</v>
      </c>
      <c r="C39" s="173" t="s">
        <v>198</v>
      </c>
      <c r="D39" s="203">
        <f>IF(DATI!G139="Strato di fondazione:      ghiaia-sabbie",0,DATI!E142/DATI!E168)</f>
        <v>100</v>
      </c>
      <c r="E39" s="131"/>
      <c r="F39" s="131" t="s">
        <v>382</v>
      </c>
      <c r="G39" s="131"/>
      <c r="H39" s="173" t="s">
        <v>1</v>
      </c>
      <c r="I39" s="174">
        <f>DATI!E50</f>
        <v>3.2</v>
      </c>
      <c r="J39" s="131"/>
      <c r="K39" s="131" t="s">
        <v>296</v>
      </c>
      <c r="L39" s="131"/>
      <c r="M39" s="173" t="s">
        <v>205</v>
      </c>
      <c r="N39" s="204">
        <f>IF(DATI!C158='FOGLIO DEPOSITO'!I31,'VER. GEO CONDIZIONI NON DRENATE'!N43+DATI!E99*DATI!E161+DATI!F99*DATI!E162+DATI!G99*DATI!E163,DATI!E99*DATI!E161+DATI!F99*DATI!E162+DATI!G99*DATI!E163)</f>
        <v>181.39760626137078</v>
      </c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2:26" x14ac:dyDescent="0.25">
      <c r="B40" s="131" t="s">
        <v>396</v>
      </c>
      <c r="C40" s="138" t="s">
        <v>333</v>
      </c>
      <c r="D40" s="205">
        <f>DATI!E143/DATI!E169</f>
        <v>20</v>
      </c>
      <c r="E40" s="131"/>
      <c r="F40" s="131" t="s">
        <v>291</v>
      </c>
      <c r="G40" s="131"/>
      <c r="H40" s="173" t="s">
        <v>206</v>
      </c>
      <c r="I40" s="174">
        <f>D69</f>
        <v>2.8019920135486331</v>
      </c>
      <c r="J40" s="131"/>
      <c r="K40" s="131" t="s">
        <v>374</v>
      </c>
      <c r="L40" s="131"/>
      <c r="M40" s="173" t="s">
        <v>376</v>
      </c>
      <c r="N40" s="206">
        <f>DATI!E96*DATI!$E$161+DATI!F96*DATI!$E$162+DATI!G96*DATI!$E$163+IF(DATI!C158='FOGLIO DEPOSITO'!I31,N43,(DATI!E95*DATI!E161+DATI!F95*DATI!E162+DATI!G95*DATI!E163))*I42</f>
        <v>221.24786357247751</v>
      </c>
      <c r="O40" s="158"/>
      <c r="P40" s="178"/>
      <c r="Q40" s="178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2:26" x14ac:dyDescent="0.25">
      <c r="B41" s="131" t="s">
        <v>395</v>
      </c>
      <c r="C41" s="138" t="s">
        <v>334</v>
      </c>
      <c r="D41" s="205">
        <f>DATI!E144/DATI!E169</f>
        <v>18</v>
      </c>
      <c r="E41" s="131"/>
      <c r="F41" s="131" t="s">
        <v>383</v>
      </c>
      <c r="G41" s="131"/>
      <c r="H41" s="173" t="s">
        <v>80</v>
      </c>
      <c r="I41" s="174">
        <f>'VER. GEO CONDIZIONI NON DRENATE'!G69</f>
        <v>2.8019920135486331</v>
      </c>
      <c r="J41" s="131"/>
      <c r="K41" s="131" t="s">
        <v>375</v>
      </c>
      <c r="L41" s="131"/>
      <c r="M41" s="173" t="s">
        <v>377</v>
      </c>
      <c r="N41" s="206">
        <f>DATI!E97*DATI!$E$161+DATI!F97*DATI!$E$162+DATI!G97*DATI!$E$163+IF(DATI!C158='FOGLIO DEPOSITO'!I31,N43,(DATI!E95*DATI!E161+DATI!F95*DATI!E162+DATI!G95*DATI!E163))*I42</f>
        <v>221.24786357247751</v>
      </c>
      <c r="O41" s="158"/>
      <c r="P41" s="178"/>
      <c r="Q41" s="178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2:26" x14ac:dyDescent="0.25">
      <c r="B42" s="131" t="s">
        <v>397</v>
      </c>
      <c r="C42" s="138" t="s">
        <v>394</v>
      </c>
      <c r="D42" s="205">
        <f>(D40*IF((I43-I42)&lt;0,0,(I43-I42))+D41*I42)/(IF((I43-I42)&lt;0,0,(I43-I42))+I42)</f>
        <v>18</v>
      </c>
      <c r="E42" s="131"/>
      <c r="F42" s="131" t="s">
        <v>292</v>
      </c>
      <c r="G42" s="131"/>
      <c r="H42" s="173" t="s">
        <v>47</v>
      </c>
      <c r="I42" s="174">
        <f>DATI!E51</f>
        <v>1.2</v>
      </c>
      <c r="J42" s="131"/>
      <c r="K42" s="131"/>
      <c r="L42" s="131"/>
      <c r="M42" s="131"/>
      <c r="N42" s="131"/>
      <c r="O42" s="158"/>
      <c r="P42" s="178"/>
      <c r="Q42" s="178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2:26" x14ac:dyDescent="0.25">
      <c r="B43" s="131" t="s">
        <v>207</v>
      </c>
      <c r="C43" s="138" t="s">
        <v>18</v>
      </c>
      <c r="D43" s="202">
        <f>DATI!E67</f>
        <v>0</v>
      </c>
      <c r="E43" s="131"/>
      <c r="F43" s="131" t="s">
        <v>293</v>
      </c>
      <c r="G43" s="131"/>
      <c r="H43" s="173" t="s">
        <v>96</v>
      </c>
      <c r="I43" s="174">
        <f>DATI!E52</f>
        <v>1.2</v>
      </c>
      <c r="J43" s="131"/>
      <c r="K43" s="131" t="s">
        <v>390</v>
      </c>
      <c r="L43" s="131"/>
      <c r="M43" s="173" t="s">
        <v>391</v>
      </c>
      <c r="N43" s="190">
        <f>N38*H32</f>
        <v>99.373219643731261</v>
      </c>
      <c r="O43" s="131"/>
      <c r="P43" s="178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2:26" s="130" customFormat="1" x14ac:dyDescent="0.25">
      <c r="B44" s="131" t="s">
        <v>208</v>
      </c>
      <c r="C44" s="138" t="s">
        <v>199</v>
      </c>
      <c r="D44" s="202">
        <f>DATI!E68</f>
        <v>0</v>
      </c>
      <c r="E44" s="131"/>
      <c r="F44" s="131" t="s">
        <v>294</v>
      </c>
      <c r="G44" s="131"/>
      <c r="H44" s="173" t="s">
        <v>209</v>
      </c>
      <c r="I44" s="174">
        <f>DATI!E8</f>
        <v>0.1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2:26" ht="18.75" x14ac:dyDescent="0.25">
      <c r="B45" s="131" t="s">
        <v>210</v>
      </c>
      <c r="C45" s="138" t="s">
        <v>211</v>
      </c>
      <c r="D45" s="207">
        <f>I40/2*TAN(45+($D$38*PI()/180)/2)</f>
        <v>2.2693030041300686</v>
      </c>
      <c r="E45" s="131"/>
      <c r="F45" s="131"/>
      <c r="G45" s="131"/>
      <c r="H45" s="131"/>
      <c r="I45" s="131"/>
      <c r="J45" s="178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2:26" s="130" customFormat="1" x14ac:dyDescent="0.25">
      <c r="B46" s="131"/>
      <c r="C46" s="47"/>
      <c r="D46" s="183"/>
      <c r="E46" s="131"/>
      <c r="F46" s="131"/>
      <c r="G46" s="131"/>
      <c r="H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2:26" x14ac:dyDescent="0.25">
      <c r="B47" s="131"/>
      <c r="C47" s="131"/>
      <c r="D47" s="131"/>
      <c r="E47" s="131"/>
      <c r="F47" s="131"/>
      <c r="G47" s="131"/>
      <c r="H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</row>
    <row r="48" spans="2:26" ht="15.75" x14ac:dyDescent="0.25">
      <c r="B48" s="12" t="s">
        <v>308</v>
      </c>
      <c r="C48" s="131"/>
      <c r="D48" s="131"/>
      <c r="E48" s="131"/>
      <c r="F48" s="131"/>
      <c r="G48" s="131"/>
      <c r="H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</row>
    <row r="49" spans="2:26" x14ac:dyDescent="0.25">
      <c r="B49" s="131"/>
      <c r="C49" s="131"/>
      <c r="D49" s="131"/>
      <c r="E49" s="131"/>
      <c r="F49" s="131"/>
      <c r="G49" s="131"/>
      <c r="H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  <row r="50" spans="2:26" ht="21" x14ac:dyDescent="0.25">
      <c r="B50" s="131"/>
      <c r="C50" s="56" t="s">
        <v>258</v>
      </c>
      <c r="D50" s="174">
        <f>2*($D$52+1)*TAN($D$38*PI()/180)</f>
        <v>6.9813483324987092E-6</v>
      </c>
      <c r="E50" s="284" t="s">
        <v>304</v>
      </c>
      <c r="F50" s="285"/>
      <c r="G50" s="285"/>
      <c r="H50" s="131"/>
      <c r="L50" s="18"/>
      <c r="M50" s="19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</row>
    <row r="51" spans="2:26" ht="21" x14ac:dyDescent="0.25">
      <c r="B51" s="131"/>
      <c r="C51" s="56" t="s">
        <v>259</v>
      </c>
      <c r="D51" s="174">
        <f>($D$52-1)*(1/TAN($D$38*PI()/180))</f>
        <v>5.1416157233948798</v>
      </c>
      <c r="E51" s="284" t="s">
        <v>213</v>
      </c>
      <c r="F51" s="285"/>
      <c r="G51" s="285"/>
      <c r="H51" s="131"/>
      <c r="L51" s="19"/>
      <c r="M51" s="19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</row>
    <row r="52" spans="2:26" ht="21" x14ac:dyDescent="0.25">
      <c r="B52" s="131"/>
      <c r="C52" s="56" t="s">
        <v>260</v>
      </c>
      <c r="D52" s="174">
        <f>(TAN(PI()/4+($D$38*PI()/180)/2))^2*EXP(PI()*TAN($D$38*PI()/180))</f>
        <v>1.0000089738123246</v>
      </c>
      <c r="E52" s="284" t="s">
        <v>215</v>
      </c>
      <c r="F52" s="285"/>
      <c r="G52" s="285"/>
      <c r="H52" s="131"/>
      <c r="L52" s="15"/>
      <c r="M52" s="19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</row>
    <row r="53" spans="2:26" x14ac:dyDescent="0.25">
      <c r="B53" s="131"/>
      <c r="C53" s="131"/>
      <c r="D53" s="131"/>
      <c r="E53" s="131"/>
      <c r="F53" s="131"/>
      <c r="G53" s="131"/>
      <c r="H53" s="131"/>
      <c r="L53" s="15"/>
      <c r="M53" s="19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</row>
    <row r="54" spans="2:26" x14ac:dyDescent="0.25"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</row>
    <row r="55" spans="2:26" ht="15.75" x14ac:dyDescent="0.25">
      <c r="B55" s="12" t="s">
        <v>309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  <row r="56" spans="2:26" x14ac:dyDescent="0.25"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</row>
    <row r="57" spans="2:26" ht="23.25" customHeight="1" x14ac:dyDescent="0.25">
      <c r="B57" s="12"/>
      <c r="C57" s="291" t="s">
        <v>298</v>
      </c>
      <c r="D57" s="291"/>
      <c r="E57" s="131"/>
      <c r="F57" s="291" t="s">
        <v>299</v>
      </c>
      <c r="G57" s="291"/>
      <c r="H57" s="131"/>
      <c r="I57" s="291" t="s">
        <v>300</v>
      </c>
      <c r="J57" s="291"/>
      <c r="K57" s="131"/>
      <c r="L57" s="291" t="s">
        <v>301</v>
      </c>
      <c r="M57" s="291"/>
      <c r="N57" s="131"/>
      <c r="O57" s="291" t="s">
        <v>303</v>
      </c>
      <c r="P57" s="291"/>
      <c r="Q57" s="131"/>
      <c r="R57" s="291" t="s">
        <v>388</v>
      </c>
      <c r="S57" s="291"/>
      <c r="T57" s="131"/>
      <c r="U57" s="131"/>
      <c r="V57" s="131"/>
      <c r="W57" s="131"/>
      <c r="X57" s="131"/>
      <c r="Y57" s="131"/>
      <c r="Z57" s="131"/>
    </row>
    <row r="58" spans="2:26" ht="24.75" customHeight="1" x14ac:dyDescent="0.25">
      <c r="B58" s="12"/>
      <c r="C58" s="291"/>
      <c r="D58" s="291"/>
      <c r="E58" s="131"/>
      <c r="F58" s="291"/>
      <c r="G58" s="291"/>
      <c r="H58" s="131"/>
      <c r="I58" s="291"/>
      <c r="J58" s="291"/>
      <c r="K58" s="131"/>
      <c r="L58" s="291"/>
      <c r="M58" s="291"/>
      <c r="N58" s="131"/>
      <c r="O58" s="291"/>
      <c r="P58" s="291"/>
      <c r="Q58" s="131"/>
      <c r="R58" s="291"/>
      <c r="S58" s="291"/>
      <c r="T58" s="131"/>
      <c r="U58" s="131"/>
      <c r="V58" s="131"/>
      <c r="W58" s="131"/>
      <c r="X58" s="131"/>
      <c r="Y58" s="131"/>
      <c r="Z58" s="131"/>
    </row>
    <row r="59" spans="2:26" ht="23.25" x14ac:dyDescent="0.25">
      <c r="B59" s="131"/>
      <c r="C59" s="56" t="s">
        <v>261</v>
      </c>
      <c r="D59" s="121">
        <f>IF(I40=0,0,IF(DATI!E146="si",1,1+0.2*I40/'VER. GEO CONDIZIONI NON DRENATE'!I41))</f>
        <v>1.2</v>
      </c>
      <c r="E59" s="131"/>
      <c r="F59" s="56" t="s">
        <v>262</v>
      </c>
      <c r="G59" s="121">
        <f>IF(I40=0,0,IF(I43&lt;=I40,1+0.4*I43/I40,1+0.4*ATAN(I43/I40)))</f>
        <v>1.1713066981201332</v>
      </c>
      <c r="H59" s="131"/>
      <c r="I59" s="56" t="s">
        <v>263</v>
      </c>
      <c r="J59" s="122">
        <f>IF(I40=0,0,IF(D39=0,0,IF((1-(J60*'VER. GEO CONDIZIONI NON DRENATE'!N39)/(I40*'VER. GEO CONDIZIONI NON DRENATE'!I41*D39*D51))&lt;0,0,1-(J60*'VER. GEO CONDIZIONI NON DRENATE'!N39)/(I40*'VER. GEO CONDIZIONI NON DRENATE'!I41*D39*D51))))</f>
        <v>0.93259541958064263</v>
      </c>
      <c r="K59" s="178"/>
      <c r="L59" s="56" t="s">
        <v>264</v>
      </c>
      <c r="M59" s="121">
        <f>1-2*(D43*PI()/180)/(2+PI())</f>
        <v>1</v>
      </c>
      <c r="N59" s="131"/>
      <c r="O59" s="56" t="s">
        <v>265</v>
      </c>
      <c r="P59" s="121">
        <f>1-2*(D43*PI()/180)/(2+PI())</f>
        <v>1</v>
      </c>
      <c r="Q59" s="131"/>
      <c r="R59" s="56" t="s">
        <v>389</v>
      </c>
      <c r="S59" s="121">
        <f>IF(DATI!C158='FOGLIO DEPOSITO'!I31,1-0.32*H32,1)</f>
        <v>0.9713976284017698</v>
      </c>
      <c r="T59" s="131"/>
      <c r="U59" s="131"/>
      <c r="V59" s="131"/>
      <c r="W59" s="131"/>
      <c r="X59" s="131"/>
      <c r="Y59" s="131"/>
      <c r="Z59" s="131"/>
    </row>
    <row r="60" spans="2:26" x14ac:dyDescent="0.25">
      <c r="B60" s="131"/>
      <c r="C60" s="178"/>
      <c r="D60" s="8"/>
      <c r="E60" s="131"/>
      <c r="F60" s="178"/>
      <c r="G60" s="8"/>
      <c r="H60" s="131"/>
      <c r="I60" s="149" t="s">
        <v>330</v>
      </c>
      <c r="J60" s="165">
        <f>IF(I40=0,"",(2+I40/'VER. GEO CONDIZIONI NON DRENATE'!I41)/(1+I40/'VER. GEO CONDIZIONI NON DRENATE'!I41))</f>
        <v>1.5</v>
      </c>
      <c r="K60" s="178"/>
      <c r="L60" s="8"/>
      <c r="M60" s="131"/>
      <c r="N60" s="178"/>
      <c r="O60" s="8"/>
      <c r="P60" s="131"/>
      <c r="Q60" s="178"/>
      <c r="R60" s="131"/>
      <c r="S60" s="131"/>
      <c r="T60" s="131"/>
      <c r="U60" s="131"/>
      <c r="V60" s="131"/>
      <c r="W60" s="131"/>
      <c r="X60" s="131"/>
      <c r="Y60" s="131"/>
      <c r="Z60" s="131"/>
    </row>
    <row r="61" spans="2:26" s="130" customFormat="1" x14ac:dyDescent="0.25">
      <c r="B61" s="131"/>
      <c r="C61" s="178"/>
      <c r="D61" s="8"/>
      <c r="E61" s="131"/>
      <c r="F61" s="178"/>
      <c r="G61" s="8"/>
      <c r="H61" s="131"/>
      <c r="I61" s="149" t="s">
        <v>379</v>
      </c>
      <c r="J61" s="165">
        <f>IF(I41=0,"",(2+I41/'VER. GEO CONDIZIONI NON DRENATE'!I40)/(1+I41/'VER. GEO CONDIZIONI NON DRENATE'!I40))</f>
        <v>1.5</v>
      </c>
      <c r="K61" s="178"/>
      <c r="L61" s="8"/>
      <c r="M61" s="131"/>
      <c r="N61" s="178"/>
      <c r="O61" s="8"/>
      <c r="P61" s="131"/>
      <c r="Q61" s="178"/>
      <c r="R61" s="15"/>
      <c r="S61" s="91"/>
      <c r="T61" s="131"/>
      <c r="U61" s="131"/>
      <c r="V61" s="131"/>
      <c r="W61" s="131"/>
      <c r="X61" s="131"/>
      <c r="Y61" s="131"/>
      <c r="Z61" s="131"/>
    </row>
    <row r="62" spans="2:26" x14ac:dyDescent="0.25">
      <c r="B62" s="131"/>
      <c r="C62" s="131"/>
      <c r="D62" s="131"/>
      <c r="E62" s="131"/>
      <c r="F62" s="131"/>
      <c r="G62" s="131"/>
      <c r="H62" s="131"/>
      <c r="I62" s="149" t="s">
        <v>380</v>
      </c>
      <c r="J62" s="165">
        <f>IF(I41=0,"",IF(I40=0,"",J61*COS(RADIANS(J63))^2+J60*SIN(RADIANS(J63))^2))</f>
        <v>1.5</v>
      </c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</row>
    <row r="63" spans="2:26" x14ac:dyDescent="0.25">
      <c r="B63" s="131"/>
      <c r="C63" s="131"/>
      <c r="D63" s="131"/>
      <c r="G63" s="131"/>
      <c r="H63" s="131"/>
      <c r="I63" s="164" t="s">
        <v>381</v>
      </c>
      <c r="J63" s="208">
        <f>IF(DATI!E99+DATI!F99+DATI!G99=0,45,DEGREES(ATAN('FOGLIO DEPOSITO'!C66)))</f>
        <v>45</v>
      </c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</row>
    <row r="64" spans="2:26" x14ac:dyDescent="0.25">
      <c r="B64" s="131"/>
      <c r="C64" s="131"/>
      <c r="D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</row>
    <row r="65" spans="2:26" x14ac:dyDescent="0.25">
      <c r="B65" s="131"/>
      <c r="C65" s="131"/>
      <c r="D65" s="131"/>
      <c r="G65" s="131"/>
      <c r="H65" s="178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</row>
    <row r="66" spans="2:26" ht="15.75" x14ac:dyDescent="0.25">
      <c r="B66" s="12" t="s">
        <v>310</v>
      </c>
      <c r="C66" s="131"/>
      <c r="D66" s="131"/>
      <c r="E66" s="131"/>
      <c r="F66" s="131"/>
      <c r="G66" s="131"/>
      <c r="H66" s="178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</row>
    <row r="67" spans="2:26" s="130" customFormat="1" ht="15.75" x14ac:dyDescent="0.25">
      <c r="B67" s="12"/>
      <c r="C67" s="131"/>
      <c r="D67" s="131"/>
      <c r="E67" s="131"/>
      <c r="F67" s="131"/>
      <c r="G67" s="131"/>
      <c r="H67" s="178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</row>
    <row r="68" spans="2:26" s="130" customFormat="1" ht="21" x14ac:dyDescent="0.25">
      <c r="B68" s="12"/>
      <c r="C68" s="56" t="s">
        <v>231</v>
      </c>
      <c r="D68" s="207">
        <f>IF(N38=0,0,N40/N38+DATI!F103)</f>
        <v>0.19900399322568349</v>
      </c>
      <c r="E68" s="178"/>
      <c r="F68" s="56" t="s">
        <v>81</v>
      </c>
      <c r="G68" s="207">
        <f>IF(N38=0,0,N41/N38+DATI!F104)</f>
        <v>0.19900399322568349</v>
      </c>
      <c r="H68" s="178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</row>
    <row r="69" spans="2:26" s="130" customFormat="1" x14ac:dyDescent="0.25">
      <c r="B69" s="131"/>
      <c r="C69" s="173" t="s">
        <v>206</v>
      </c>
      <c r="D69" s="207">
        <f>IF(N40=0,DATI!E49,IF(D68&gt;DATI!E49/2,0,DATI!E49-2*D68))</f>
        <v>2.8019920135486331</v>
      </c>
      <c r="E69" s="178"/>
      <c r="F69" s="173" t="s">
        <v>80</v>
      </c>
      <c r="G69" s="207">
        <f>IF('VER. GEO CONDIZIONI NON DRENATE'!N41=0,DATI!E50,IF('VER. GEO CONDIZIONI NON DRENATE'!G68&gt;DATI!E50/2,0,DATI!E50-2*'VER. GEO CONDIZIONI NON DRENATE'!G68))</f>
        <v>2.8019920135486331</v>
      </c>
      <c r="H69" s="178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</row>
    <row r="70" spans="2:26" x14ac:dyDescent="0.25">
      <c r="B70" s="131"/>
      <c r="C70" s="131"/>
      <c r="D70" s="131"/>
      <c r="E70" s="131"/>
      <c r="F70" s="131"/>
      <c r="G70" s="131"/>
      <c r="H70" s="3"/>
      <c r="I70" s="178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</row>
    <row r="71" spans="2:26" s="130" customFormat="1" ht="18.75" x14ac:dyDescent="0.3">
      <c r="B71" s="131"/>
      <c r="C71" s="286" t="str">
        <f>IF(D69=0,"FONDAZIONE INSTABILE",IF(G69=0,"FONDAZIONE INSTABILE",""))</f>
        <v/>
      </c>
      <c r="D71" s="286"/>
      <c r="E71" s="286"/>
      <c r="F71" s="286"/>
      <c r="G71" s="286"/>
      <c r="H71" s="3"/>
      <c r="I71" s="178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</row>
    <row r="72" spans="2:26" x14ac:dyDescent="0.25"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</row>
    <row r="73" spans="2:26" ht="15.75" x14ac:dyDescent="0.25">
      <c r="B73" s="12" t="s">
        <v>311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</row>
    <row r="74" spans="2:26" ht="15.75" x14ac:dyDescent="0.25">
      <c r="B74" s="12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</row>
    <row r="75" spans="2:26" ht="21" x14ac:dyDescent="0.25">
      <c r="B75" s="131"/>
      <c r="C75" s="24" t="s">
        <v>232</v>
      </c>
      <c r="D75" s="25">
        <f>(D39*D51*D59*G59*J59*M59*P59*S59+'VER. GEO CONDIZIONI NON DRENATE'!D40*I43*D52)</f>
        <v>678.69940716085125</v>
      </c>
      <c r="E75" s="26" t="s">
        <v>233</v>
      </c>
      <c r="F75" s="131"/>
      <c r="G75" s="24" t="s">
        <v>234</v>
      </c>
      <c r="H75" s="25">
        <f>IF(I40=0,0,IF('VER. GEO CONDIZIONI NON DRENATE'!I41=0,0,D75*I40*'VER. GEO CONDIZIONI NON DRENATE'!I41))</f>
        <v>5328.5771244216694</v>
      </c>
      <c r="I75" s="26" t="s">
        <v>2</v>
      </c>
      <c r="J75" s="131"/>
      <c r="K75" s="178"/>
      <c r="L75" s="7"/>
      <c r="M75" s="178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</row>
    <row r="76" spans="2:26" ht="15.75" x14ac:dyDescent="0.25">
      <c r="B76" s="12"/>
      <c r="C76" s="178"/>
      <c r="D76" s="7"/>
      <c r="E76" s="178"/>
      <c r="F76" s="131"/>
      <c r="G76" s="178"/>
      <c r="H76" s="7"/>
      <c r="I76" s="178"/>
      <c r="J76" s="131"/>
      <c r="K76" s="178"/>
      <c r="L76" s="7"/>
      <c r="M76" s="178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</row>
    <row r="77" spans="2:26" ht="15.75" x14ac:dyDescent="0.25">
      <c r="B77" s="12"/>
      <c r="C77" s="178"/>
      <c r="D77" s="7"/>
      <c r="E77" s="178"/>
      <c r="F77" s="131"/>
      <c r="G77" s="178"/>
      <c r="H77" s="7"/>
      <c r="I77" s="178"/>
      <c r="J77" s="131"/>
      <c r="K77" s="178"/>
      <c r="L77" s="7"/>
      <c r="M77" s="178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</row>
    <row r="78" spans="2:26" ht="15.75" x14ac:dyDescent="0.25">
      <c r="B78" s="12"/>
      <c r="C78" s="178"/>
      <c r="D78" s="7"/>
      <c r="E78" s="178"/>
      <c r="F78" s="131"/>
      <c r="G78" s="178"/>
      <c r="H78" s="7"/>
      <c r="I78" s="178"/>
      <c r="J78" s="131"/>
      <c r="K78" s="178"/>
      <c r="L78" s="7"/>
      <c r="M78" s="178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</row>
    <row r="79" spans="2:26" ht="15.75" x14ac:dyDescent="0.25">
      <c r="B79" s="12"/>
      <c r="C79" s="178"/>
      <c r="D79" s="7"/>
      <c r="E79" s="178"/>
      <c r="F79" s="131"/>
      <c r="G79" s="178"/>
      <c r="H79" s="7"/>
      <c r="I79" s="178"/>
      <c r="J79" s="131"/>
      <c r="K79" s="178"/>
      <c r="L79" s="7"/>
      <c r="M79" s="178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2:26" ht="15.75" x14ac:dyDescent="0.25">
      <c r="B80" s="12"/>
      <c r="C80" s="178"/>
      <c r="D80" s="7"/>
      <c r="E80" s="178"/>
      <c r="F80" s="131"/>
      <c r="G80" s="178"/>
      <c r="H80" s="7"/>
      <c r="I80" s="178"/>
      <c r="J80" s="131"/>
      <c r="K80" s="178"/>
      <c r="L80" s="7"/>
      <c r="M80" s="178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</row>
    <row r="81" spans="2:26" ht="15.75" x14ac:dyDescent="0.25">
      <c r="B81" s="12"/>
      <c r="C81" s="178"/>
      <c r="D81" s="7"/>
      <c r="E81" s="178"/>
      <c r="F81" s="131"/>
      <c r="G81" s="178"/>
      <c r="H81" s="7"/>
      <c r="I81" s="178"/>
      <c r="J81" s="131"/>
      <c r="K81" s="178"/>
      <c r="L81" s="7"/>
      <c r="M81" s="178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2:26" ht="15.75" x14ac:dyDescent="0.25">
      <c r="B82" s="12"/>
      <c r="C82" s="178"/>
      <c r="D82" s="7"/>
      <c r="E82" s="178"/>
      <c r="F82" s="131"/>
      <c r="G82" s="178"/>
      <c r="H82" s="7"/>
      <c r="I82" s="178"/>
      <c r="J82" s="131"/>
      <c r="K82" s="178"/>
      <c r="L82" s="7"/>
      <c r="M82" s="178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</row>
    <row r="83" spans="2:26" x14ac:dyDescent="0.25"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</row>
    <row r="84" spans="2:26" x14ac:dyDescent="0.25"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</row>
    <row r="85" spans="2:26" ht="16.5" thickBot="1" x14ac:dyDescent="0.3">
      <c r="B85" s="12" t="s">
        <v>312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</row>
    <row r="86" spans="2:26" ht="21.75" thickBot="1" x14ac:dyDescent="0.35">
      <c r="B86" s="133" t="s">
        <v>237</v>
      </c>
      <c r="C86" s="158" t="s">
        <v>236</v>
      </c>
      <c r="D86" s="136">
        <f>N38</f>
        <v>1111.7760000000001</v>
      </c>
      <c r="E86" s="135" t="s">
        <v>2</v>
      </c>
      <c r="F86" s="131"/>
      <c r="G86" s="131"/>
      <c r="H86" s="288" t="str">
        <f>IF(H75&lt;=0,"NON VERIFICATO",IF(D86/D87&lt;=1,"verificato","NON VERIFICATO!"))</f>
        <v>verificato</v>
      </c>
      <c r="I86" s="289"/>
      <c r="J86" s="131"/>
      <c r="K86" s="30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</row>
    <row r="87" spans="2:26" ht="21" x14ac:dyDescent="0.25">
      <c r="B87" s="131"/>
      <c r="C87" s="158" t="s">
        <v>238</v>
      </c>
      <c r="D87" s="136">
        <f>H75/DATI!E172</f>
        <v>2316.7726627920301</v>
      </c>
      <c r="E87" s="135" t="s">
        <v>2</v>
      </c>
      <c r="F87" s="131"/>
      <c r="G87" s="131"/>
      <c r="H87" s="290">
        <f>IF(D87=0,0,D87/D86)</f>
        <v>2.083848421617331</v>
      </c>
      <c r="I87" s="290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spans="2:26" ht="15.75" customHeight="1" x14ac:dyDescent="0.25">
      <c r="B88" s="131"/>
      <c r="C88" s="158"/>
      <c r="D88" s="136"/>
      <c r="E88" s="135"/>
      <c r="F88" s="131"/>
      <c r="G88" s="131"/>
      <c r="H88" s="180"/>
      <c r="I88" s="180"/>
      <c r="J88" s="131"/>
      <c r="K88" s="287" t="str">
        <f>IF(DATI!E142=0,"QUESTA VERIFICA PUO' ESSERE OMESSA IN QUANTO LA RESISTENZA A TAGLIO NON DRENATA PER IL TERRENO AL DI SOTTO DEL PIANO DI POSA DELLA FONDAZIONE NON E' STATA DEFINITA","")</f>
        <v/>
      </c>
      <c r="L88" s="287"/>
      <c r="M88" s="287"/>
      <c r="N88" s="287"/>
      <c r="O88" s="287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</row>
    <row r="89" spans="2:26" x14ac:dyDescent="0.25">
      <c r="B89" s="131"/>
      <c r="C89" s="171" t="s">
        <v>239</v>
      </c>
      <c r="D89" s="54">
        <f>IF(I40=0,0,IF('VER. GEO CONDIZIONI NON DRENATE'!I41=0,0,D86/(I40*'VER. GEO CONDIZIONI NON DRENATE'!I41)))</f>
        <v>141.60660425414372</v>
      </c>
      <c r="E89" s="171" t="s">
        <v>240</v>
      </c>
      <c r="F89" s="131"/>
      <c r="G89" s="131"/>
      <c r="H89" s="131"/>
      <c r="I89" s="131"/>
      <c r="J89" s="131"/>
      <c r="K89" s="287"/>
      <c r="L89" s="287"/>
      <c r="M89" s="287"/>
      <c r="N89" s="287"/>
      <c r="O89" s="287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</row>
    <row r="90" spans="2:26" ht="15.75" x14ac:dyDescent="0.25">
      <c r="B90" s="131"/>
      <c r="C90" s="171" t="s">
        <v>241</v>
      </c>
      <c r="D90" s="54">
        <f>IF(I40=0,0,IF('VER. GEO CONDIZIONI NON DRENATE'!I41=0,0,D87/(I40*'VER. GEO CONDIZIONI NON DRENATE'!I41)))</f>
        <v>295.08669876558747</v>
      </c>
      <c r="E90" s="171" t="s">
        <v>240</v>
      </c>
      <c r="F90" s="131"/>
      <c r="G90" s="131"/>
      <c r="H90" s="131"/>
      <c r="I90" s="131"/>
      <c r="J90" s="131"/>
      <c r="K90" s="287"/>
      <c r="L90" s="287"/>
      <c r="M90" s="287"/>
      <c r="N90" s="287"/>
      <c r="O90" s="287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</row>
    <row r="91" spans="2:26" x14ac:dyDescent="0.25">
      <c r="B91" s="131"/>
      <c r="C91" s="131"/>
      <c r="D91" s="131"/>
      <c r="E91" s="131"/>
      <c r="F91" s="131"/>
      <c r="G91" s="131"/>
      <c r="H91" s="131"/>
      <c r="I91" s="131"/>
      <c r="J91" s="131"/>
      <c r="K91" s="287"/>
      <c r="L91" s="287"/>
      <c r="M91" s="287"/>
      <c r="N91" s="287"/>
      <c r="O91" s="287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spans="2:26" ht="15.75" x14ac:dyDescent="0.25">
      <c r="B92" s="12" t="s">
        <v>313</v>
      </c>
      <c r="C92" s="131"/>
      <c r="D92" s="131"/>
      <c r="E92" s="131"/>
      <c r="F92" s="131"/>
      <c r="G92" s="131"/>
      <c r="H92" s="131"/>
      <c r="I92" s="131"/>
      <c r="J92" s="131"/>
      <c r="K92" s="287"/>
      <c r="L92" s="287"/>
      <c r="M92" s="287"/>
      <c r="N92" s="287"/>
      <c r="O92" s="287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spans="2:26" ht="15.75" thickBot="1" x14ac:dyDescent="0.3">
      <c r="B93" s="131"/>
      <c r="C93" s="131"/>
      <c r="D93" s="131"/>
      <c r="E93" s="131"/>
      <c r="F93" s="131"/>
      <c r="G93" s="131"/>
      <c r="H93" s="131"/>
      <c r="I93" s="131"/>
      <c r="J93" s="131"/>
      <c r="K93" s="287"/>
      <c r="L93" s="287"/>
      <c r="M93" s="287"/>
      <c r="N93" s="287"/>
      <c r="O93" s="287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</row>
    <row r="94" spans="2:26" ht="21.75" thickBot="1" x14ac:dyDescent="0.3">
      <c r="B94" s="131"/>
      <c r="C94" s="158" t="s">
        <v>236</v>
      </c>
      <c r="D94" s="136">
        <f>N39</f>
        <v>181.39760626137078</v>
      </c>
      <c r="E94" s="135" t="s">
        <v>2</v>
      </c>
      <c r="F94" s="131"/>
      <c r="G94" s="131"/>
      <c r="H94" s="281" t="str">
        <f>IF(D94=0,"verificato",IF(D39=0,"NON VERIFICATO",IF(D94/D95&lt;=1,"verificato","NON VERIFICATO!")))</f>
        <v>verificato</v>
      </c>
      <c r="I94" s="282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</row>
    <row r="95" spans="2:26" ht="21" x14ac:dyDescent="0.25">
      <c r="B95" s="131"/>
      <c r="C95" s="158" t="s">
        <v>238</v>
      </c>
      <c r="D95" s="136">
        <f>1/DATI!E174*((D39*I40*I41*'VER. GEO CONDIZIONI NON DRENATE'!I41)+((TAN(RADIANS(45+D38/2))^2)*IF((I43-0.3)&lt;0,0,(I43-0.3))*D42*(I43-0.3)/2*I38)*IF(I97="si",0,1))</f>
        <v>1999.8986817054008</v>
      </c>
      <c r="E95" s="135" t="s">
        <v>2</v>
      </c>
      <c r="F95" s="131"/>
      <c r="G95" s="131"/>
      <c r="H95" s="283">
        <f>IF(D94=0,10,IF(D95=0,0,D95/D94))</f>
        <v>11.024945273113484</v>
      </c>
      <c r="I95" s="283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</row>
    <row r="96" spans="2:26" s="130" customFormat="1" ht="16.5" thickBot="1" x14ac:dyDescent="0.3">
      <c r="B96" s="131"/>
      <c r="C96" s="158"/>
      <c r="D96" s="136"/>
      <c r="E96" s="135"/>
      <c r="F96" s="131"/>
      <c r="G96" s="131"/>
      <c r="H96" s="176"/>
      <c r="I96" s="176"/>
      <c r="J96" s="131"/>
      <c r="K96" s="16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</row>
    <row r="97" spans="2:26" ht="16.5" thickTop="1" thickBot="1" x14ac:dyDescent="0.3">
      <c r="B97" s="131"/>
      <c r="C97" s="137" t="s">
        <v>320</v>
      </c>
      <c r="D97" s="131"/>
      <c r="E97" s="131"/>
      <c r="F97" s="131"/>
      <c r="G97" s="131"/>
      <c r="H97" s="146"/>
      <c r="I97" s="52" t="s">
        <v>32</v>
      </c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</row>
    <row r="98" spans="2:26" s="130" customFormat="1" ht="9" customHeight="1" thickTop="1" x14ac:dyDescent="0.25">
      <c r="B98" s="131"/>
      <c r="C98" s="137"/>
      <c r="D98" s="131"/>
      <c r="E98" s="131"/>
      <c r="F98" s="131"/>
      <c r="G98" s="131"/>
      <c r="H98" s="171"/>
      <c r="I98" s="15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</row>
    <row r="99" spans="2:26" s="130" customFormat="1" x14ac:dyDescent="0.25">
      <c r="B99" s="131"/>
      <c r="C99" s="137" t="s">
        <v>321</v>
      </c>
      <c r="D99" s="131"/>
      <c r="E99" s="131"/>
      <c r="F99" s="131"/>
      <c r="G99" s="131"/>
      <c r="H99" s="171"/>
      <c r="I99" s="209">
        <f>IF((I43-0.3)&lt;0,0,(I43-0.3))</f>
        <v>0.89999999999999991</v>
      </c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</row>
    <row r="100" spans="2:26" x14ac:dyDescent="0.25">
      <c r="B100" s="131"/>
      <c r="C100" s="131" t="s">
        <v>451</v>
      </c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</row>
    <row r="101" spans="2:26" ht="15.75" x14ac:dyDescent="0.25">
      <c r="B101" s="12" t="s">
        <v>316</v>
      </c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</row>
    <row r="102" spans="2:26" ht="15.75" x14ac:dyDescent="0.25">
      <c r="B102" s="131"/>
      <c r="C102" s="31" t="s">
        <v>266</v>
      </c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</row>
    <row r="103" spans="2:26" ht="15.75" x14ac:dyDescent="0.25">
      <c r="B103" s="131"/>
      <c r="C103" s="31" t="s">
        <v>267</v>
      </c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</row>
    <row r="104" spans="2:26" x14ac:dyDescent="0.25"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</row>
    <row r="105" spans="2:26" ht="15.75" x14ac:dyDescent="0.25">
      <c r="B105" s="12" t="s">
        <v>317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</row>
    <row r="106" spans="2:26" ht="15.75" x14ac:dyDescent="0.25">
      <c r="B106" s="131"/>
      <c r="C106" s="31" t="s">
        <v>268</v>
      </c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</row>
    <row r="107" spans="2:26" ht="15.75" x14ac:dyDescent="0.25">
      <c r="B107" s="131"/>
      <c r="C107" s="31" t="s">
        <v>269</v>
      </c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</row>
    <row r="108" spans="2:26" x14ac:dyDescent="0.25"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</row>
    <row r="109" spans="2:26" x14ac:dyDescent="0.25"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</row>
    <row r="110" spans="2:26" x14ac:dyDescent="0.25"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</row>
    <row r="111" spans="2:26" x14ac:dyDescent="0.25"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</row>
    <row r="112" spans="2:26" x14ac:dyDescent="0.2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</row>
    <row r="113" spans="2:26" x14ac:dyDescent="0.25"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spans="2:26" x14ac:dyDescent="0.25"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</row>
    <row r="115" spans="2:26" x14ac:dyDescent="0.25"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</row>
    <row r="116" spans="2:26" x14ac:dyDescent="0.25"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</row>
    <row r="117" spans="2:26" x14ac:dyDescent="0.25"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</row>
    <row r="118" spans="2:26" x14ac:dyDescent="0.25"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</row>
    <row r="119" spans="2:26" x14ac:dyDescent="0.25"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</row>
    <row r="120" spans="2:26" x14ac:dyDescent="0.25"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</row>
    <row r="121" spans="2:26" x14ac:dyDescent="0.25"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</row>
    <row r="122" spans="2:26" x14ac:dyDescent="0.25"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</row>
    <row r="123" spans="2:26" x14ac:dyDescent="0.25"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</row>
    <row r="124" spans="2:26" x14ac:dyDescent="0.25"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</row>
    <row r="125" spans="2:26" x14ac:dyDescent="0.25"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</row>
    <row r="126" spans="2:26" x14ac:dyDescent="0.25"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</row>
    <row r="127" spans="2:26" x14ac:dyDescent="0.25">
      <c r="B127" s="131"/>
      <c r="C127" s="131"/>
      <c r="D127" s="131"/>
      <c r="E127" s="131"/>
      <c r="F127" s="131"/>
      <c r="G127" s="131"/>
      <c r="H127" s="131"/>
      <c r="I127" s="131"/>
      <c r="J127" s="131"/>
      <c r="K127" s="131" t="s">
        <v>256</v>
      </c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</row>
    <row r="128" spans="2:26" x14ac:dyDescent="0.25"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</row>
    <row r="129" spans="2:26" x14ac:dyDescent="0.25"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</row>
    <row r="130" spans="2:26" x14ac:dyDescent="0.25"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</row>
    <row r="131" spans="2:26" x14ac:dyDescent="0.25"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</row>
    <row r="132" spans="2:26" x14ac:dyDescent="0.25"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</row>
  </sheetData>
  <sheetProtection algorithmName="SHA-512" hashValue="zFBTcgopYUDoKa3SUVBRdYxm1wutOiWq1JMRxt+YXdFnBl6Nvr/dZoK+1aisbNpew7w4S1XJoiCNZixDq3Kk2g==" saltValue="lPnvlvWOp6Z83ilyR27HlQ==" spinCount="100000" sheet="1" selectLockedCells="1"/>
  <protectedRanges>
    <protectedRange sqref="I97:I98" name="Intervallo1_5_3"/>
  </protectedRanges>
  <customSheetViews>
    <customSheetView guid="{4665FEC6-985A-4058-98C4-6E3C4FA2FD00}" scale="90" showGridLines="0" showRowCol="0">
      <selection activeCell="I97" sqref="I97"/>
      <pageMargins left="0.7" right="0.7" top="0.75" bottom="0.75" header="0.3" footer="0.3"/>
      <pageSetup paperSize="9" orientation="portrait" horizontalDpi="4294967293" verticalDpi="0" r:id="rId1"/>
    </customSheetView>
    <customSheetView guid="{0B137F07-03B3-4E41-AE6C-8ED78830E82B}" scale="90" showGridLines="0" showRowCol="0" topLeftCell="A19">
      <selection activeCell="I97" sqref="I97"/>
      <pageMargins left="0.7" right="0.7" top="0.75" bottom="0.75" header="0.3" footer="0.3"/>
      <pageSetup paperSize="9" orientation="portrait" horizontalDpi="4294967293" verticalDpi="0" r:id="rId2"/>
    </customSheetView>
    <customSheetView guid="{20357F05-553F-42A2-AC78-E7E06E1ED012}" scale="90" showGridLines="0" showRowCol="0">
      <selection activeCell="I97" sqref="I97"/>
      <pageMargins left="0.7" right="0.7" top="0.75" bottom="0.75" header="0.3" footer="0.3"/>
      <pageSetup paperSize="9" orientation="portrait" horizontalDpi="4294967293" verticalDpi="0" r:id="rId3"/>
    </customSheetView>
  </customSheetViews>
  <mergeCells count="19">
    <mergeCell ref="R57:S58"/>
    <mergeCell ref="G20:G21"/>
    <mergeCell ref="G22:G23"/>
    <mergeCell ref="H20:H21"/>
    <mergeCell ref="H22:H23"/>
    <mergeCell ref="K88:O93"/>
    <mergeCell ref="H86:I86"/>
    <mergeCell ref="H87:I87"/>
    <mergeCell ref="C57:D58"/>
    <mergeCell ref="F57:G58"/>
    <mergeCell ref="I57:J58"/>
    <mergeCell ref="O57:P58"/>
    <mergeCell ref="L57:M58"/>
    <mergeCell ref="H94:I94"/>
    <mergeCell ref="H95:I95"/>
    <mergeCell ref="E50:G50"/>
    <mergeCell ref="E51:G51"/>
    <mergeCell ref="E52:G52"/>
    <mergeCell ref="C71:G71"/>
  </mergeCells>
  <conditionalFormatting sqref="H86:I86">
    <cfRule type="cellIs" dxfId="9" priority="5" operator="equal">
      <formula>"VERIFICATO"</formula>
    </cfRule>
    <cfRule type="cellIs" dxfId="8" priority="6" operator="equal">
      <formula>"VERIFICATO"</formula>
    </cfRule>
  </conditionalFormatting>
  <conditionalFormatting sqref="H94:I94">
    <cfRule type="cellIs" dxfId="7" priority="4" operator="equal">
      <formula>"VERIFICATO"</formula>
    </cfRule>
  </conditionalFormatting>
  <conditionalFormatting sqref="K88:O93">
    <cfRule type="cellIs" dxfId="6" priority="2" operator="equal">
      <formula>"QUESTA VERIFICA PUO' ESSERE OMESSA IN QUANTO LA RESISTENZA A TAGLIO NON DRENATA PER IL TERRENO AL DI SOTTO DEL PIANO DI POSA DELLA FONDAZIONE NON E' STATA DEFINITA"</formula>
    </cfRule>
    <cfRule type="cellIs" dxfId="5" priority="3" operator="equal">
      <formula>"QUESTA VERIFICA PUO' ESSERE OMESSA IN QUANTO LA RESISTENZA A TAGLIO NON DRENATA PER IL TERRENO AL DI SOTTO DEL PIANO DI POSA DELLA ZATTERA E' NULLA"</formula>
    </cfRule>
  </conditionalFormatting>
  <conditionalFormatting sqref="C71:G71">
    <cfRule type="cellIs" dxfId="4" priority="1" operator="equal">
      <formula>"FONDAZIONE INSTABILE"</formula>
    </cfRule>
  </conditionalFormatting>
  <dataValidations count="1">
    <dataValidation type="list" allowBlank="1" showInputMessage="1" showErrorMessage="1" sqref="I97:I98">
      <formula1>sn</formula1>
    </dataValidation>
  </dataValidations>
  <pageMargins left="0.7" right="0.7" top="0.75" bottom="0.75" header="0.3" footer="0.3"/>
  <pageSetup paperSize="9" orientation="portrait" horizontalDpi="4294967293" verticalDpi="0" r:id="rId4"/>
  <drawing r:id="rId5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</sheetPr>
  <dimension ref="B1:AC249"/>
  <sheetViews>
    <sheetView showGridLines="0" showRowColHeaders="0" zoomScale="90" zoomScaleNormal="90" workbookViewId="0">
      <selection activeCell="I101" sqref="I101"/>
    </sheetView>
  </sheetViews>
  <sheetFormatPr defaultRowHeight="15" x14ac:dyDescent="0.25"/>
  <cols>
    <col min="1" max="1" width="2.5703125" customWidth="1"/>
    <col min="2" max="2" width="35.28515625" customWidth="1"/>
    <col min="3" max="3" width="9.85546875" customWidth="1"/>
    <col min="4" max="4" width="10.85546875" customWidth="1"/>
    <col min="5" max="5" width="9.85546875" customWidth="1"/>
    <col min="6" max="6" width="10.28515625" customWidth="1"/>
    <col min="7" max="7" width="9.7109375" customWidth="1"/>
    <col min="8" max="8" width="10.85546875" customWidth="1"/>
    <col min="11" max="11" width="11.85546875" customWidth="1"/>
    <col min="12" max="12" width="10.7109375" customWidth="1"/>
    <col min="13" max="13" width="8.28515625" customWidth="1"/>
    <col min="14" max="14" width="11.42578125" customWidth="1"/>
    <col min="15" max="15" width="8" customWidth="1"/>
    <col min="17" max="17" width="7.5703125" customWidth="1"/>
  </cols>
  <sheetData>
    <row r="1" spans="2:29" ht="9" customHeight="1" x14ac:dyDescent="0.25"/>
    <row r="2" spans="2:29" ht="23.25" x14ac:dyDescent="0.35">
      <c r="B2" s="127" t="s">
        <v>306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2:29" ht="7.5" customHeight="1" x14ac:dyDescent="0.2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</row>
    <row r="4" spans="2:29" ht="21" x14ac:dyDescent="0.35">
      <c r="B4" s="129" t="s">
        <v>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</row>
    <row r="5" spans="2:29" s="130" customFormat="1" ht="15.75" customHeight="1" x14ac:dyDescent="0.35">
      <c r="B5" s="129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</row>
    <row r="6" spans="2:29" s="130" customFormat="1" ht="18.75" x14ac:dyDescent="0.3">
      <c r="B6" s="133" t="s">
        <v>325</v>
      </c>
      <c r="C6" s="139"/>
      <c r="D6" s="200"/>
      <c r="E6" s="20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2:29" s="130" customFormat="1" ht="18.75" x14ac:dyDescent="0.3">
      <c r="B7" s="141"/>
      <c r="C7" s="139"/>
      <c r="D7" s="200"/>
      <c r="E7" s="20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</row>
    <row r="8" spans="2:29" s="130" customFormat="1" x14ac:dyDescent="0.25">
      <c r="B8" s="152" t="s">
        <v>111</v>
      </c>
      <c r="C8" s="134" t="str">
        <f>DATI!C154</f>
        <v xml:space="preserve"> APPROCCIO 2 --- Combinazione (A1+M1+R3)</v>
      </c>
      <c r="D8" s="104"/>
      <c r="E8" s="19"/>
      <c r="F8" s="131"/>
      <c r="G8" s="143" t="s">
        <v>191</v>
      </c>
      <c r="H8" s="173" t="s">
        <v>4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</row>
    <row r="9" spans="2:29" s="130" customFormat="1" x14ac:dyDescent="0.25">
      <c r="B9" s="147"/>
      <c r="C9" s="148"/>
      <c r="D9" s="148"/>
      <c r="E9" s="131"/>
      <c r="F9" s="131"/>
      <c r="G9" s="193" t="s">
        <v>327</v>
      </c>
      <c r="H9" s="174">
        <f>DATI!E161</f>
        <v>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</row>
    <row r="10" spans="2:29" s="130" customFormat="1" x14ac:dyDescent="0.25">
      <c r="B10" s="152" t="s">
        <v>197</v>
      </c>
      <c r="C10" s="134" t="str">
        <f>DATI!C158</f>
        <v xml:space="preserve">SISMICA </v>
      </c>
      <c r="D10" s="104"/>
      <c r="E10" s="19"/>
      <c r="F10" s="131"/>
      <c r="G10" s="193" t="s">
        <v>328</v>
      </c>
      <c r="H10" s="174">
        <f>DATI!E162</f>
        <v>1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</row>
    <row r="11" spans="2:29" s="130" customFormat="1" x14ac:dyDescent="0.25">
      <c r="B11" s="152"/>
      <c r="C11" s="152"/>
      <c r="D11" s="140"/>
      <c r="E11" s="131"/>
      <c r="F11" s="131"/>
      <c r="G11" s="193" t="s">
        <v>329</v>
      </c>
      <c r="H11" s="174">
        <f>DATI!E163</f>
        <v>1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</row>
    <row r="12" spans="2:29" s="130" customFormat="1" x14ac:dyDescent="0.25">
      <c r="B12" s="152"/>
      <c r="C12" s="131"/>
      <c r="D12" s="131"/>
      <c r="E12" s="131"/>
      <c r="F12" s="131"/>
      <c r="G12" s="152"/>
      <c r="H12" s="145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</row>
    <row r="13" spans="2:29" s="130" customFormat="1" x14ac:dyDescent="0.25">
      <c r="B13" s="152"/>
      <c r="C13" s="131"/>
      <c r="D13" s="131"/>
      <c r="E13" s="131"/>
      <c r="F13" s="131"/>
      <c r="G13" s="143" t="s">
        <v>192</v>
      </c>
      <c r="H13" s="144" t="s">
        <v>193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</row>
    <row r="14" spans="2:29" s="130" customFormat="1" x14ac:dyDescent="0.25">
      <c r="B14" s="152"/>
      <c r="C14" s="131"/>
      <c r="D14" s="131"/>
      <c r="E14" s="131"/>
      <c r="F14" s="131"/>
      <c r="G14" s="173" t="s">
        <v>64</v>
      </c>
      <c r="H14" s="174">
        <f>DATI!E166</f>
        <v>1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</row>
    <row r="15" spans="2:29" s="130" customFormat="1" x14ac:dyDescent="0.25">
      <c r="B15" s="152"/>
      <c r="C15" s="131"/>
      <c r="D15" s="131"/>
      <c r="E15" s="131"/>
      <c r="F15" s="131"/>
      <c r="G15" s="173" t="s">
        <v>65</v>
      </c>
      <c r="H15" s="174">
        <f>DATI!E167</f>
        <v>1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</row>
    <row r="16" spans="2:29" s="130" customFormat="1" x14ac:dyDescent="0.25">
      <c r="B16" s="152"/>
      <c r="C16" s="131"/>
      <c r="D16" s="131"/>
      <c r="E16" s="131"/>
      <c r="F16" s="131"/>
      <c r="G16" s="173" t="s">
        <v>67</v>
      </c>
      <c r="H16" s="174">
        <f>DATI!E168</f>
        <v>1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</row>
    <row r="17" spans="2:29" s="130" customFormat="1" x14ac:dyDescent="0.25">
      <c r="B17" s="152"/>
      <c r="C17" s="131"/>
      <c r="D17" s="131"/>
      <c r="E17" s="131"/>
      <c r="F17" s="131"/>
      <c r="G17" s="138" t="s">
        <v>68</v>
      </c>
      <c r="H17" s="174">
        <f>DATI!E169</f>
        <v>1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</row>
    <row r="18" spans="2:29" s="130" customFormat="1" x14ac:dyDescent="0.25">
      <c r="B18" s="152"/>
      <c r="C18" s="131"/>
      <c r="D18" s="131"/>
      <c r="E18" s="131"/>
      <c r="F18" s="131"/>
      <c r="G18" s="47"/>
      <c r="H18" s="153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</row>
    <row r="19" spans="2:29" s="130" customFormat="1" x14ac:dyDescent="0.25">
      <c r="B19" s="152"/>
      <c r="C19" s="131"/>
      <c r="D19" s="131"/>
      <c r="E19" s="131"/>
      <c r="F19" s="131"/>
      <c r="G19" s="143" t="s">
        <v>194</v>
      </c>
      <c r="H19" s="173" t="s">
        <v>195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</row>
    <row r="20" spans="2:29" s="130" customFormat="1" x14ac:dyDescent="0.25">
      <c r="B20" s="152"/>
      <c r="C20" s="131"/>
      <c r="D20" s="131"/>
      <c r="E20" s="131"/>
      <c r="F20" s="131"/>
      <c r="G20" s="280" t="s">
        <v>196</v>
      </c>
      <c r="H20" s="292">
        <f>DATI!E172</f>
        <v>2.2999999999999998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</row>
    <row r="21" spans="2:29" s="130" customFormat="1" x14ac:dyDescent="0.25">
      <c r="B21" s="152"/>
      <c r="C21" s="131"/>
      <c r="D21" s="131"/>
      <c r="E21" s="131"/>
      <c r="F21" s="131"/>
      <c r="G21" s="280"/>
      <c r="H21" s="293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</row>
    <row r="22" spans="2:29" s="130" customFormat="1" x14ac:dyDescent="0.25">
      <c r="B22" s="152"/>
      <c r="C22" s="131"/>
      <c r="D22" s="131"/>
      <c r="E22" s="131"/>
      <c r="F22" s="131"/>
      <c r="G22" s="280" t="s">
        <v>343</v>
      </c>
      <c r="H22" s="292">
        <f>DATI!E174</f>
        <v>1.1000000000000001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</row>
    <row r="23" spans="2:29" s="130" customFormat="1" x14ac:dyDescent="0.25">
      <c r="B23" s="152"/>
      <c r="C23" s="131"/>
      <c r="D23" s="131"/>
      <c r="E23" s="131"/>
      <c r="F23" s="131"/>
      <c r="G23" s="280"/>
      <c r="H23" s="293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</row>
    <row r="24" spans="2:29" s="130" customFormat="1" x14ac:dyDescent="0.25">
      <c r="B24" s="152"/>
      <c r="C24" s="131"/>
      <c r="D24" s="131"/>
      <c r="E24" s="131"/>
      <c r="F24" s="131"/>
      <c r="G24" s="47"/>
      <c r="H24" s="153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</row>
    <row r="25" spans="2:29" s="130" customFormat="1" x14ac:dyDescent="0.25">
      <c r="B25" s="152"/>
      <c r="C25" s="131"/>
      <c r="D25" s="131"/>
      <c r="E25" s="131"/>
      <c r="F25" s="131"/>
      <c r="G25" s="140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</row>
    <row r="26" spans="2:29" s="130" customFormat="1" ht="18" x14ac:dyDescent="0.25">
      <c r="B26" s="131" t="s">
        <v>140</v>
      </c>
      <c r="C26" s="131"/>
      <c r="D26" s="131"/>
      <c r="E26" s="131"/>
      <c r="F26" s="131"/>
      <c r="G26" s="158" t="s">
        <v>141</v>
      </c>
      <c r="H26" s="187">
        <f>DATI!E15</f>
        <v>1.5696000000000001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</row>
    <row r="27" spans="2:29" s="130" customFormat="1" ht="18" x14ac:dyDescent="0.25">
      <c r="B27" s="131" t="s">
        <v>142</v>
      </c>
      <c r="C27" s="131"/>
      <c r="D27" s="131"/>
      <c r="E27" s="131"/>
      <c r="F27" s="131"/>
      <c r="G27" s="158" t="s">
        <v>143</v>
      </c>
      <c r="H27" s="56">
        <f>DATI!E16</f>
        <v>2.4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</row>
    <row r="28" spans="2:29" s="130" customFormat="1" ht="18" x14ac:dyDescent="0.25">
      <c r="B28" s="131" t="s">
        <v>144</v>
      </c>
      <c r="C28" s="131"/>
      <c r="D28" s="131"/>
      <c r="E28" s="131"/>
      <c r="F28" s="131"/>
      <c r="G28" s="158" t="s">
        <v>145</v>
      </c>
      <c r="H28" s="188">
        <f>DATI!E17</f>
        <v>0.30099999999999999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</row>
    <row r="29" spans="2:29" s="130" customFormat="1" x14ac:dyDescent="0.25">
      <c r="B29" s="131" t="s">
        <v>146</v>
      </c>
      <c r="C29" s="131"/>
      <c r="D29" s="131"/>
      <c r="E29" s="131"/>
      <c r="F29" s="131"/>
      <c r="G29" s="131"/>
      <c r="H29" s="56" t="str">
        <f>DATI!E18</f>
        <v>C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</row>
    <row r="30" spans="2:29" s="130" customFormat="1" x14ac:dyDescent="0.25">
      <c r="B30" s="131" t="s">
        <v>147</v>
      </c>
      <c r="C30" s="131"/>
      <c r="D30" s="131"/>
      <c r="E30" s="131"/>
      <c r="F30" s="131"/>
      <c r="G30" s="131"/>
      <c r="H30" s="56" t="str">
        <f>DATI!E19</f>
        <v>T1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</row>
    <row r="31" spans="2:29" s="130" customFormat="1" x14ac:dyDescent="0.25">
      <c r="B31" s="131" t="s">
        <v>326</v>
      </c>
      <c r="C31" s="131"/>
      <c r="D31" s="131"/>
      <c r="E31" s="131"/>
      <c r="F31" s="131"/>
      <c r="G31" s="112" t="s">
        <v>172</v>
      </c>
      <c r="H31" s="121">
        <f>DATI!E35</f>
        <v>0.38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</row>
    <row r="32" spans="2:29" s="130" customFormat="1" x14ac:dyDescent="0.25">
      <c r="B32" s="131" t="s">
        <v>173</v>
      </c>
      <c r="C32" s="131"/>
      <c r="D32" s="131"/>
      <c r="E32" s="131"/>
      <c r="F32" s="131"/>
      <c r="G32" s="172" t="s">
        <v>82</v>
      </c>
      <c r="H32" s="121">
        <f>DATI!E33</f>
        <v>8.938241124446944E-2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</row>
    <row r="33" spans="2:29" s="130" customFormat="1" x14ac:dyDescent="0.25">
      <c r="B33" s="131" t="s">
        <v>174</v>
      </c>
      <c r="C33" s="131"/>
      <c r="D33" s="131"/>
      <c r="E33" s="131"/>
      <c r="F33" s="131"/>
      <c r="G33" s="172" t="s">
        <v>83</v>
      </c>
      <c r="H33" s="121">
        <f>DATI!E34</f>
        <v>4.469120562223472E-2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</row>
    <row r="34" spans="2:29" s="130" customFormat="1" x14ac:dyDescent="0.25">
      <c r="B34" s="131"/>
      <c r="C34" s="47"/>
      <c r="D34" s="153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</row>
    <row r="35" spans="2:29" s="130" customFormat="1" x14ac:dyDescent="0.25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</row>
    <row r="36" spans="2:29" ht="15.75" x14ac:dyDescent="0.25">
      <c r="B36" s="12" t="s">
        <v>307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</row>
    <row r="37" spans="2:29" x14ac:dyDescent="0.25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</row>
    <row r="38" spans="2:29" x14ac:dyDescent="0.25">
      <c r="B38" s="131" t="s">
        <v>200</v>
      </c>
      <c r="C38" s="138" t="s">
        <v>201</v>
      </c>
      <c r="D38" s="202">
        <f>IF(N137="si",N131,ATAN(TAN(DATI!E140*PI()/180)/DATI!E166)*180/PI())</f>
        <v>29.999999999999996</v>
      </c>
      <c r="E38" s="178"/>
      <c r="F38" s="131" t="s">
        <v>290</v>
      </c>
      <c r="G38" s="131"/>
      <c r="H38" s="173" t="s">
        <v>76</v>
      </c>
      <c r="I38" s="207">
        <f>DATI!E49</f>
        <v>3.2</v>
      </c>
      <c r="J38" s="131"/>
      <c r="K38" s="131" t="s">
        <v>295</v>
      </c>
      <c r="L38" s="131"/>
      <c r="M38" s="173" t="s">
        <v>202</v>
      </c>
      <c r="N38" s="190">
        <f>'VER. GEO CONDIZIONI NON DRENATE'!N38</f>
        <v>1111.7760000000001</v>
      </c>
      <c r="O38" s="178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</row>
    <row r="39" spans="2:29" x14ac:dyDescent="0.25">
      <c r="B39" s="131" t="s">
        <v>203</v>
      </c>
      <c r="C39" s="173" t="s">
        <v>204</v>
      </c>
      <c r="D39" s="203">
        <f>IF(DATI!G139="Strato di fondazione:      ghiaia-sabbie",0,IF(N137="si",N132,DATI!E141/DATI!E167))</f>
        <v>15</v>
      </c>
      <c r="E39" s="178"/>
      <c r="F39" s="131" t="s">
        <v>382</v>
      </c>
      <c r="G39" s="131"/>
      <c r="H39" s="173" t="s">
        <v>1</v>
      </c>
      <c r="I39" s="207">
        <f>DATI!E50</f>
        <v>3.2</v>
      </c>
      <c r="J39" s="131"/>
      <c r="K39" s="131" t="s">
        <v>296</v>
      </c>
      <c r="L39" s="131"/>
      <c r="M39" s="173" t="s">
        <v>205</v>
      </c>
      <c r="N39" s="204">
        <f>IF(DATI!C158='FOGLIO DEPOSITO'!I31,'VER. GEO CONDIZIONI DRENATE'!N43+DATI!E99*DATI!E161+DATI!F99*DATI!E162+DATI!G99*DATI!E163,DATI!E99*DATI!E161+DATI!F99*DATI!E162+DATI!G99*DATI!E163)</f>
        <v>181.39760626137078</v>
      </c>
      <c r="O39" s="178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</row>
    <row r="40" spans="2:29" x14ac:dyDescent="0.25">
      <c r="B40" s="131" t="s">
        <v>396</v>
      </c>
      <c r="C40" s="138" t="s">
        <v>335</v>
      </c>
      <c r="D40" s="205">
        <f>IF('FOGLIO DEPOSITO'!I59&lt;='VER. GEO CONDIZIONI DRENATE'!D45,DATI!E143-10,DATI!E143)/DATI!E169</f>
        <v>10</v>
      </c>
      <c r="E40" s="178"/>
      <c r="F40" s="131" t="s">
        <v>291</v>
      </c>
      <c r="G40" s="131"/>
      <c r="H40" s="173" t="s">
        <v>206</v>
      </c>
      <c r="I40" s="207">
        <f>D71</f>
        <v>2.8019920135486331</v>
      </c>
      <c r="J40" s="131"/>
      <c r="K40" s="131" t="s">
        <v>374</v>
      </c>
      <c r="L40" s="131"/>
      <c r="M40" s="173" t="s">
        <v>376</v>
      </c>
      <c r="N40" s="206">
        <f>DATI!E96*DATI!$E$161+DATI!F96*DATI!$E$162+DATI!G96*DATI!$E$163+IF(DATI!C158='FOGLIO DEPOSITO'!I31,N43,(DATI!E95*DATI!E161+DATI!F95*DATI!E162+DATI!G95*DATI!E163))*I42</f>
        <v>221.24786357247751</v>
      </c>
      <c r="O40" s="178"/>
      <c r="P40" s="178"/>
      <c r="Q40" s="178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</row>
    <row r="41" spans="2:29" x14ac:dyDescent="0.25">
      <c r="B41" s="131" t="s">
        <v>395</v>
      </c>
      <c r="C41" s="138" t="s">
        <v>336</v>
      </c>
      <c r="D41" s="205">
        <f>IF('FOGLIO DEPOSITO'!I59&lt;=D45,DATI!E144-10,DATI!E144)/DATI!E169</f>
        <v>8</v>
      </c>
      <c r="E41" s="178"/>
      <c r="F41" s="131" t="s">
        <v>383</v>
      </c>
      <c r="G41" s="131"/>
      <c r="H41" s="173" t="s">
        <v>80</v>
      </c>
      <c r="I41" s="207">
        <f>'VER. GEO CONDIZIONI DRENATE'!G71</f>
        <v>2.8019920135486331</v>
      </c>
      <c r="J41" s="131"/>
      <c r="K41" s="131" t="s">
        <v>375</v>
      </c>
      <c r="L41" s="131"/>
      <c r="M41" s="173" t="s">
        <v>377</v>
      </c>
      <c r="N41" s="206">
        <f>DATI!E97*DATI!$E$161+DATI!F97*DATI!$E$162+DATI!G97*DATI!$E$163+IF(DATI!C158='FOGLIO DEPOSITO'!I31,N43,(DATI!E95*DATI!E161+DATI!F95*DATI!E162+DATI!G95*DATI!E163))*I42</f>
        <v>221.24786357247751</v>
      </c>
      <c r="O41" s="158"/>
      <c r="P41" s="178"/>
      <c r="Q41" s="178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</row>
    <row r="42" spans="2:29" x14ac:dyDescent="0.25">
      <c r="B42" s="131" t="s">
        <v>396</v>
      </c>
      <c r="C42" s="138" t="s">
        <v>398</v>
      </c>
      <c r="D42" s="205">
        <f>(D40*IF((I43-I42)&lt;0,0,(I43-I42))+D41*I42)/(IF((I43-I42)&lt;0,0,(I43-I42))+I42)</f>
        <v>8</v>
      </c>
      <c r="E42" s="178"/>
      <c r="F42" s="131" t="s">
        <v>292</v>
      </c>
      <c r="G42" s="131"/>
      <c r="H42" s="173" t="s">
        <v>47</v>
      </c>
      <c r="I42" s="207">
        <f>DATI!E51</f>
        <v>1.2</v>
      </c>
      <c r="J42" s="131"/>
      <c r="K42" s="131"/>
      <c r="L42" s="131"/>
      <c r="M42" s="131"/>
      <c r="N42" s="131"/>
      <c r="O42" s="158"/>
      <c r="P42" s="178"/>
      <c r="Q42" s="178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</row>
    <row r="43" spans="2:29" x14ac:dyDescent="0.25">
      <c r="B43" s="131" t="s">
        <v>395</v>
      </c>
      <c r="C43" s="138" t="s">
        <v>18</v>
      </c>
      <c r="D43" s="202">
        <f>DATI!E67</f>
        <v>0</v>
      </c>
      <c r="E43" s="178"/>
      <c r="F43" s="131" t="s">
        <v>293</v>
      </c>
      <c r="G43" s="131"/>
      <c r="H43" s="173" t="s">
        <v>96</v>
      </c>
      <c r="I43" s="207">
        <f>DATI!E52</f>
        <v>1.2</v>
      </c>
      <c r="J43" s="131"/>
      <c r="K43" s="131" t="s">
        <v>390</v>
      </c>
      <c r="L43" s="131"/>
      <c r="M43" s="173" t="s">
        <v>391</v>
      </c>
      <c r="N43" s="190">
        <f>N38*H32</f>
        <v>99.373219643731261</v>
      </c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</row>
    <row r="44" spans="2:29" x14ac:dyDescent="0.25">
      <c r="B44" s="131" t="s">
        <v>208</v>
      </c>
      <c r="C44" s="138" t="s">
        <v>199</v>
      </c>
      <c r="D44" s="202">
        <f>DATI!E68</f>
        <v>0</v>
      </c>
      <c r="E44" s="131"/>
      <c r="F44" s="131" t="s">
        <v>294</v>
      </c>
      <c r="G44" s="131"/>
      <c r="H44" s="173" t="s">
        <v>209</v>
      </c>
      <c r="I44" s="207">
        <f>DATI!E8</f>
        <v>0.1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</row>
    <row r="45" spans="2:29" x14ac:dyDescent="0.25">
      <c r="B45" s="131" t="s">
        <v>210</v>
      </c>
      <c r="C45" s="126" t="s">
        <v>305</v>
      </c>
      <c r="D45" s="207">
        <f>I40/2*TAN(45+($D$38*PI()/180)/2)</f>
        <v>4.6727489075174287</v>
      </c>
      <c r="E45" s="131"/>
      <c r="F45" s="131"/>
      <c r="G45" s="131"/>
      <c r="H45" s="131"/>
      <c r="I45" s="131"/>
      <c r="J45" s="178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</row>
    <row r="46" spans="2:29" s="130" customFormat="1" x14ac:dyDescent="0.25">
      <c r="B46" s="131"/>
      <c r="C46" s="169"/>
      <c r="D46" s="183"/>
      <c r="E46" s="131"/>
      <c r="F46" s="131"/>
      <c r="G46" s="131"/>
      <c r="H46" s="131"/>
      <c r="I46" s="131"/>
      <c r="J46" s="178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</row>
    <row r="47" spans="2:29" s="130" customFormat="1" x14ac:dyDescent="0.25">
      <c r="B47" s="131"/>
      <c r="C47" s="169"/>
      <c r="D47" s="183"/>
      <c r="E47" s="131"/>
      <c r="F47" s="131"/>
      <c r="G47" s="131"/>
      <c r="H47" s="131"/>
      <c r="I47" s="131"/>
      <c r="J47" s="178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</row>
    <row r="48" spans="2:29" ht="15.75" x14ac:dyDescent="0.25">
      <c r="B48" s="12" t="s">
        <v>308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</row>
    <row r="49" spans="2:29" ht="15.75" thickBot="1" x14ac:dyDescent="0.3">
      <c r="B49" s="131"/>
      <c r="C49" s="131"/>
      <c r="D49" s="131"/>
      <c r="E49" s="297"/>
      <c r="F49" s="297"/>
      <c r="G49" s="297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</row>
    <row r="50" spans="2:29" ht="22.5" thickTop="1" thickBot="1" x14ac:dyDescent="0.3">
      <c r="B50" s="131"/>
      <c r="C50" s="56" t="s">
        <v>212</v>
      </c>
      <c r="D50" s="174">
        <f>IF('FOGLIO DEPOSITO'!G16=1,(D52-1)*TAN(1.4*$D$38*PI()/180),IF('FOGLIO DEPOSITO'!G16=2,1.5*(D52-1)*TAN($D$38*PI()/180),IF('FOGLIO DEPOSITO'!G16=3,2*($D$52+1)*TAN($D$38*PI()/180),"")))</f>
        <v>22.402486271104557</v>
      </c>
      <c r="E50" s="301" t="s">
        <v>35</v>
      </c>
      <c r="F50" s="302"/>
      <c r="G50" s="303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</row>
    <row r="51" spans="2:29" ht="21.75" thickTop="1" x14ac:dyDescent="0.25">
      <c r="B51" s="131"/>
      <c r="C51" s="56" t="s">
        <v>214</v>
      </c>
      <c r="D51" s="174">
        <f>($D$52-1)*(1/TAN($D$38*PI()/180))</f>
        <v>30.139627791519086</v>
      </c>
      <c r="E51" s="298" t="s">
        <v>213</v>
      </c>
      <c r="F51" s="299"/>
      <c r="G51" s="299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</row>
    <row r="52" spans="2:29" ht="21" x14ac:dyDescent="0.25">
      <c r="B52" s="131"/>
      <c r="C52" s="56" t="s">
        <v>216</v>
      </c>
      <c r="D52" s="174">
        <f>(TAN(PI()/4+($D$38*PI()/180)/2))^2*EXP(PI()*TAN($D$38*PI()/180))</f>
        <v>18.401122218708668</v>
      </c>
      <c r="E52" s="300" t="s">
        <v>215</v>
      </c>
      <c r="F52" s="294"/>
      <c r="G52" s="294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</row>
    <row r="53" spans="2:29" x14ac:dyDescent="0.25"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</row>
    <row r="54" spans="2:29" x14ac:dyDescent="0.25"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</row>
    <row r="55" spans="2:29" ht="15.75" x14ac:dyDescent="0.25">
      <c r="B55" s="12" t="s">
        <v>309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</row>
    <row r="56" spans="2:29" x14ac:dyDescent="0.25"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</row>
    <row r="57" spans="2:29" ht="25.5" customHeight="1" x14ac:dyDescent="0.25">
      <c r="B57" s="12"/>
      <c r="C57" s="291" t="s">
        <v>298</v>
      </c>
      <c r="D57" s="291"/>
      <c r="E57" s="131"/>
      <c r="F57" s="291" t="s">
        <v>299</v>
      </c>
      <c r="G57" s="291"/>
      <c r="H57" s="131"/>
      <c r="I57" s="291" t="s">
        <v>300</v>
      </c>
      <c r="J57" s="291"/>
      <c r="K57" s="131"/>
      <c r="L57" s="291" t="s">
        <v>301</v>
      </c>
      <c r="M57" s="291"/>
      <c r="N57" s="131"/>
      <c r="O57" s="291" t="s">
        <v>303</v>
      </c>
      <c r="P57" s="291"/>
      <c r="Q57" s="131"/>
      <c r="R57" s="291" t="s">
        <v>302</v>
      </c>
      <c r="S57" s="291"/>
      <c r="T57" s="131"/>
      <c r="U57" s="291" t="s">
        <v>388</v>
      </c>
      <c r="V57" s="291"/>
      <c r="W57" s="131"/>
      <c r="X57" s="131"/>
      <c r="Y57" s="131"/>
      <c r="Z57" s="131"/>
      <c r="AA57" s="131"/>
      <c r="AB57" s="131"/>
      <c r="AC57" s="131"/>
    </row>
    <row r="58" spans="2:29" ht="27" customHeight="1" x14ac:dyDescent="0.25">
      <c r="B58" s="131"/>
      <c r="C58" s="291"/>
      <c r="D58" s="291"/>
      <c r="E58" s="131"/>
      <c r="F58" s="291"/>
      <c r="G58" s="291"/>
      <c r="H58" s="131"/>
      <c r="I58" s="291"/>
      <c r="J58" s="291"/>
      <c r="K58" s="131"/>
      <c r="L58" s="291"/>
      <c r="M58" s="291"/>
      <c r="N58" s="131"/>
      <c r="O58" s="291"/>
      <c r="P58" s="291"/>
      <c r="Q58" s="131"/>
      <c r="R58" s="291"/>
      <c r="S58" s="291"/>
      <c r="T58" s="131"/>
      <c r="U58" s="291"/>
      <c r="V58" s="291"/>
      <c r="W58" s="131"/>
      <c r="X58" s="131"/>
      <c r="Y58" s="131"/>
      <c r="Z58" s="131"/>
      <c r="AA58" s="131"/>
      <c r="AB58" s="131"/>
      <c r="AC58" s="131"/>
    </row>
    <row r="59" spans="2:29" ht="23.25" x14ac:dyDescent="0.25">
      <c r="B59" s="131"/>
      <c r="C59" s="56" t="s">
        <v>21</v>
      </c>
      <c r="D59" s="121">
        <f>IF(I40=0,0,IF(DATI!E146="si",1,1-0.4*I40/'VER. GEO CONDIZIONI DRENATE'!I41))</f>
        <v>0.6</v>
      </c>
      <c r="E59" s="131"/>
      <c r="F59" s="56" t="s">
        <v>217</v>
      </c>
      <c r="G59" s="121">
        <v>1</v>
      </c>
      <c r="H59" s="131"/>
      <c r="I59" s="56" t="s">
        <v>218</v>
      </c>
      <c r="J59" s="121">
        <f>IF(I40=0,0,IF(N38=0,IF('VER. GEO CONDIZIONI DRENATE'!N39=0,1,0),(1-'VER. GEO CONDIZIONI DRENATE'!N39/(N38+'VER. GEO CONDIZIONI DRENATE'!I41*I40*D39*(1/TAN($D$38*PI()/180))))^(J64+1)))</f>
        <v>0.69014001021417437</v>
      </c>
      <c r="K59" s="131"/>
      <c r="L59" s="56" t="s">
        <v>219</v>
      </c>
      <c r="M59" s="121">
        <f>(1-(D43*PI()/180)*TAN($D$38*PI()/180))^2</f>
        <v>1</v>
      </c>
      <c r="N59" s="131"/>
      <c r="O59" s="56" t="s">
        <v>220</v>
      </c>
      <c r="P59" s="121">
        <f>(1-TAN($D$44*PI()/180))^2</f>
        <v>1</v>
      </c>
      <c r="Q59" s="131"/>
      <c r="R59" s="58" t="s">
        <v>409</v>
      </c>
      <c r="S59" s="121">
        <f>IF(H117="GENERALE      Ir &gt; Ir,crit",1,EXP((0.6*I40/'VER. GEO CONDIZIONI DRENATE'!I41-4.4)*TAN($D$38*PI()/180)+(3.07*SIN($D$38*PI()/180)*LOG10(2*D115))/(1+SIN($D$38*PI()/180))))</f>
        <v>1</v>
      </c>
      <c r="T59" s="131"/>
      <c r="U59" s="58" t="s">
        <v>385</v>
      </c>
      <c r="V59" s="121">
        <f>IF(DATI!C158='FOGLIO DEPOSITO'!I31,(1-H32/TAN(RADIANS(D38)))^0.35,1)</f>
        <v>0.94282946237528331</v>
      </c>
      <c r="W59" s="131"/>
      <c r="X59" s="131"/>
      <c r="Y59" s="131"/>
      <c r="Z59" s="131"/>
      <c r="AA59" s="131"/>
      <c r="AB59" s="131"/>
      <c r="AC59" s="131"/>
    </row>
    <row r="60" spans="2:29" ht="23.25" x14ac:dyDescent="0.25">
      <c r="B60" s="131"/>
      <c r="C60" s="56" t="s">
        <v>23</v>
      </c>
      <c r="D60" s="121">
        <f>IF(I40=0,0,IF(DATI!E146="si",1,1+I40/'VER. GEO CONDIZIONI DRENATE'!I41*D52/D51))</f>
        <v>1.610529179258362</v>
      </c>
      <c r="E60" s="131"/>
      <c r="F60" s="56" t="s">
        <v>221</v>
      </c>
      <c r="G60" s="121">
        <f>IF(G61=0,0,IF(DATI!E147="si",1,$G$61-(1-G61)/($D$51*TAN($D$38*PI()/180))))</f>
        <v>1.1307346722559313</v>
      </c>
      <c r="H60" s="131"/>
      <c r="I60" s="56" t="s">
        <v>222</v>
      </c>
      <c r="J60" s="121">
        <f>IF(I40=0,0,IF(N38=0,IF('VER. GEO CONDIZIONI DRENATE'!N39=0,1,0),J61-(1-J61)/(D51*TAN($D$38*PI()/180))))</f>
        <v>0.78903714660173929</v>
      </c>
      <c r="K60" s="131"/>
      <c r="L60" s="56" t="s">
        <v>223</v>
      </c>
      <c r="M60" s="121">
        <f>M61-(1-M61)/(D51*TAN($D$38*PI()/180))</f>
        <v>1</v>
      </c>
      <c r="N60" s="131"/>
      <c r="O60" s="56" t="s">
        <v>224</v>
      </c>
      <c r="P60" s="121">
        <f>P61-(1-P61)/(D51*TAN($D$38*PI()/180))</f>
        <v>1</v>
      </c>
      <c r="Q60" s="131"/>
      <c r="R60" s="56" t="s">
        <v>225</v>
      </c>
      <c r="S60" s="121">
        <f>S61-(1-S61)/(D52*TAN($D$38*PI()/180))</f>
        <v>1</v>
      </c>
      <c r="T60" s="131"/>
      <c r="U60" s="56" t="s">
        <v>386</v>
      </c>
      <c r="V60" s="121">
        <f>IF(DATI!C158='FOGLIO DEPOSITO'!I31,1-0.32*H32,1)</f>
        <v>0.9713976284017698</v>
      </c>
      <c r="W60" s="131"/>
      <c r="X60" s="131"/>
      <c r="Y60" s="131"/>
      <c r="Z60" s="131"/>
      <c r="AA60" s="131"/>
      <c r="AB60" s="131"/>
      <c r="AC60" s="131"/>
    </row>
    <row r="61" spans="2:29" ht="23.25" x14ac:dyDescent="0.25">
      <c r="B61" s="131"/>
      <c r="C61" s="56" t="s">
        <v>25</v>
      </c>
      <c r="D61" s="121">
        <f>IF(I40=0,0,IF(DATI!E146="si",1,1+I40/'VER. GEO CONDIZIONI DRENATE'!I41*TAN($D$38*PI()/180)))</f>
        <v>1.5773502691896257</v>
      </c>
      <c r="E61" s="131"/>
      <c r="F61" s="56" t="s">
        <v>226</v>
      </c>
      <c r="G61" s="121">
        <f>IF(I40=0,0,IF(DATI!E147="si",1,IF(I43&lt;=I40,(1+2*TAN($D$38*PI()/180)*(1-SIN($D$38*PI()/180))^2*(I43/I40)),(1+2*TAN($D$38*PI()/180)*(1-SIN($D$38*PI()/180))^2*ATAN(I43/I40)))))</f>
        <v>1.1236299603420561</v>
      </c>
      <c r="H61" s="131"/>
      <c r="I61" s="56" t="s">
        <v>227</v>
      </c>
      <c r="J61" s="121">
        <f>IF(I40=0,0,IF(N38=0,IF('VER. GEO CONDIZIONI DRENATE'!N39=0,1,0),(1-'VER. GEO CONDIZIONI DRENATE'!N39/(N38+'VER. GEO CONDIZIONI DRENATE'!I41*I40*D39*(1/TAN($D$38*PI()/180))))^(J64)))</f>
        <v>0.8005018198369277</v>
      </c>
      <c r="K61" s="131"/>
      <c r="L61" s="56" t="s">
        <v>228</v>
      </c>
      <c r="M61" s="121">
        <f>M59</f>
        <v>1</v>
      </c>
      <c r="N61" s="131"/>
      <c r="O61" s="56" t="s">
        <v>229</v>
      </c>
      <c r="P61" s="121">
        <f>P59</f>
        <v>1</v>
      </c>
      <c r="Q61" s="131"/>
      <c r="R61" s="56" t="s">
        <v>230</v>
      </c>
      <c r="S61" s="121">
        <f>S59</f>
        <v>1</v>
      </c>
      <c r="T61" s="131"/>
      <c r="U61" s="56" t="s">
        <v>387</v>
      </c>
      <c r="V61" s="121">
        <f>V59</f>
        <v>0.94282946237528331</v>
      </c>
      <c r="W61" s="131"/>
      <c r="X61" s="131"/>
      <c r="Y61" s="131"/>
      <c r="Z61" s="131"/>
      <c r="AA61" s="131"/>
      <c r="AB61" s="131"/>
      <c r="AC61" s="131"/>
    </row>
    <row r="62" spans="2:29" x14ac:dyDescent="0.25">
      <c r="B62" s="131"/>
      <c r="C62" s="131"/>
      <c r="D62" s="131"/>
      <c r="E62" s="131"/>
      <c r="F62" s="131"/>
      <c r="G62" s="131"/>
      <c r="H62" s="131"/>
      <c r="I62" s="149" t="s">
        <v>330</v>
      </c>
      <c r="J62" s="150">
        <f>IF(I40=0,"",(2+I40/'VER. GEO CONDIZIONI DRENATE'!I41)/(1+I40/'VER. GEO CONDIZIONI DRENATE'!I41))</f>
        <v>1.5</v>
      </c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</row>
    <row r="63" spans="2:29" x14ac:dyDescent="0.25">
      <c r="B63" s="131"/>
      <c r="C63" s="131"/>
      <c r="D63" s="131"/>
      <c r="E63" s="131"/>
      <c r="F63" s="131"/>
      <c r="G63" s="131"/>
      <c r="H63" s="131"/>
      <c r="I63" s="149" t="s">
        <v>379</v>
      </c>
      <c r="J63" s="150">
        <f>IF(I41=0,"",(2+I41/'VER. GEO CONDIZIONI DRENATE'!I40)/(1+I41/'VER. GEO CONDIZIONI DRENATE'!I40))</f>
        <v>1.5</v>
      </c>
      <c r="K63" s="131"/>
      <c r="L63" s="131"/>
      <c r="M63" s="131"/>
      <c r="N63" s="131"/>
      <c r="O63" s="131"/>
      <c r="P63" s="131"/>
      <c r="Q63" s="131"/>
      <c r="R63" s="131"/>
      <c r="S63" s="178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</row>
    <row r="64" spans="2:29" x14ac:dyDescent="0.25">
      <c r="B64" s="131"/>
      <c r="C64" s="131"/>
      <c r="D64" s="131"/>
      <c r="E64" s="131"/>
      <c r="F64" s="131"/>
      <c r="G64" s="131"/>
      <c r="H64" s="131"/>
      <c r="I64" s="149" t="s">
        <v>380</v>
      </c>
      <c r="J64" s="150">
        <f>IF(I41=0,0,IF(I40=0,0,J63*COS(RADIANS(J65))^2+J62*SIN(RADIANS(J65))^2))</f>
        <v>1.5</v>
      </c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</row>
    <row r="65" spans="2:29" x14ac:dyDescent="0.25">
      <c r="B65" s="131"/>
      <c r="C65" s="131"/>
      <c r="D65" s="131"/>
      <c r="E65" s="131"/>
      <c r="F65" s="131"/>
      <c r="G65" s="131"/>
      <c r="H65" s="131"/>
      <c r="I65" s="164" t="s">
        <v>381</v>
      </c>
      <c r="J65" s="208">
        <f>IF(DATI!E99+DATI!F99+DATI!G99=0,45,DEGREES(ATAN('FOGLIO DEPOSITO'!C66)))</f>
        <v>45</v>
      </c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</row>
    <row r="66" spans="2:29" s="130" customFormat="1" x14ac:dyDescent="0.25">
      <c r="B66" s="131"/>
      <c r="C66" s="131"/>
      <c r="D66" s="131"/>
      <c r="E66" s="131"/>
      <c r="F66" s="131"/>
      <c r="G66" s="131"/>
      <c r="H66" s="131"/>
      <c r="I66" s="170"/>
      <c r="J66" s="210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</row>
    <row r="67" spans="2:29" x14ac:dyDescent="0.25">
      <c r="B67" s="131"/>
      <c r="C67" s="131"/>
      <c r="D67" s="131"/>
      <c r="E67" s="131"/>
      <c r="F67" s="131"/>
      <c r="G67" s="131"/>
      <c r="H67" s="178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</row>
    <row r="68" spans="2:29" ht="15.75" x14ac:dyDescent="0.25">
      <c r="B68" s="12" t="s">
        <v>310</v>
      </c>
      <c r="C68" s="131"/>
      <c r="D68" s="131"/>
      <c r="E68" s="131"/>
      <c r="F68" s="131"/>
      <c r="G68" s="131"/>
      <c r="H68" s="178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</row>
    <row r="69" spans="2:29" x14ac:dyDescent="0.25"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</row>
    <row r="70" spans="2:29" s="130" customFormat="1" ht="21" x14ac:dyDescent="0.25">
      <c r="B70" s="131"/>
      <c r="C70" s="162" t="s">
        <v>378</v>
      </c>
      <c r="D70" s="207">
        <f>IF(N38=0,0,N40/N38+DATI!F103)</f>
        <v>0.19900399322568349</v>
      </c>
      <c r="E70" s="178"/>
      <c r="F70" s="56" t="s">
        <v>81</v>
      </c>
      <c r="G70" s="207">
        <f>IF(N38=0,0,N41/N38+DATI!F104)</f>
        <v>0.19900399322568349</v>
      </c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</row>
    <row r="71" spans="2:29" s="130" customFormat="1" x14ac:dyDescent="0.25">
      <c r="B71" s="131"/>
      <c r="C71" s="173" t="s">
        <v>206</v>
      </c>
      <c r="D71" s="207">
        <f>IF(N40=0,DATI!E49,IF(D70&gt;DATI!E49/2,0,DATI!E49-2*D70))</f>
        <v>2.8019920135486331</v>
      </c>
      <c r="E71" s="178"/>
      <c r="F71" s="173" t="s">
        <v>80</v>
      </c>
      <c r="G71" s="207">
        <f>IF('VER. GEO CONDIZIONI DRENATE'!N41=0,DATI!E50,IF(G70&gt;DATI!E50/2,0,DATI!E50-2*G70))</f>
        <v>2.8019920135486331</v>
      </c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</row>
    <row r="72" spans="2:29" s="130" customFormat="1" x14ac:dyDescent="0.25"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</row>
    <row r="73" spans="2:29" ht="15" customHeight="1" x14ac:dyDescent="0.3">
      <c r="B73" s="131"/>
      <c r="C73" s="286" t="str">
        <f>IF(D71=0,"FONDAZIONE INSTABILE",IF('VER. GEO CONDIZIONI DRENATE'!G71=0,"FONDAZIONE INSTABILE",""))</f>
        <v/>
      </c>
      <c r="D73" s="286"/>
      <c r="E73" s="286"/>
      <c r="F73" s="286"/>
      <c r="G73" s="286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</row>
    <row r="74" spans="2:29" s="130" customFormat="1" ht="15" customHeight="1" x14ac:dyDescent="0.3">
      <c r="B74" s="131"/>
      <c r="C74" s="179"/>
      <c r="D74" s="179"/>
      <c r="E74" s="179"/>
      <c r="F74" s="179"/>
      <c r="G74" s="179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</row>
    <row r="75" spans="2:29" s="130" customFormat="1" ht="15" customHeight="1" x14ac:dyDescent="0.3">
      <c r="B75" s="131"/>
      <c r="C75" s="179"/>
      <c r="D75" s="179"/>
      <c r="E75" s="179"/>
      <c r="F75" s="179"/>
      <c r="G75" s="179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</row>
    <row r="76" spans="2:29" ht="15.75" x14ac:dyDescent="0.25">
      <c r="B76" s="12" t="s">
        <v>311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</row>
    <row r="77" spans="2:29" x14ac:dyDescent="0.25"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</row>
    <row r="78" spans="2:29" ht="21" x14ac:dyDescent="0.25">
      <c r="B78" s="131"/>
      <c r="C78" s="24" t="s">
        <v>232</v>
      </c>
      <c r="D78" s="25">
        <f>(0.5*D41*I40*D50*D59*G59*J59*M59*P59*S59*V59+D39*D51*D60*G60*J60*M60*P60*S60*V60+'VER. GEO CONDIZIONI DRENATE'!D40*I43*D52*D61*G61*J61*M61*P61*S61*V61)</f>
        <v>1024.4351804438602</v>
      </c>
      <c r="E78" s="26" t="s">
        <v>233</v>
      </c>
      <c r="F78" s="131"/>
      <c r="G78" s="24" t="s">
        <v>234</v>
      </c>
      <c r="H78" s="25">
        <f>IF(I40=0,0,IF('VER. GEO CONDIZIONI DRENATE'!I41=0,0,D78*I40*'VER. GEO CONDIZIONI DRENATE'!I41))</f>
        <v>8043.0037368107078</v>
      </c>
      <c r="I78" s="26" t="s">
        <v>2</v>
      </c>
      <c r="J78" s="131"/>
      <c r="K78" s="178"/>
      <c r="L78" s="7"/>
      <c r="M78" s="178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</row>
    <row r="79" spans="2:29" x14ac:dyDescent="0.25">
      <c r="B79" s="9"/>
      <c r="C79" s="178"/>
      <c r="D79" s="7"/>
      <c r="E79" s="178"/>
      <c r="F79" s="131"/>
      <c r="G79" s="178"/>
      <c r="H79" s="7"/>
      <c r="I79" s="178"/>
      <c r="J79" s="131"/>
      <c r="K79" s="178"/>
      <c r="L79" s="7"/>
      <c r="M79" s="178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</row>
    <row r="80" spans="2:29" x14ac:dyDescent="0.25">
      <c r="B80" s="9"/>
      <c r="C80" s="178"/>
      <c r="D80" s="7"/>
      <c r="E80" s="178"/>
      <c r="F80" s="131"/>
      <c r="G80" s="178"/>
      <c r="H80" s="7"/>
      <c r="I80" s="178"/>
      <c r="J80" s="131"/>
      <c r="K80" s="178"/>
      <c r="L80" s="7"/>
      <c r="M80" s="178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</row>
    <row r="81" spans="2:29" x14ac:dyDescent="0.25">
      <c r="B81" s="9"/>
      <c r="C81" s="178"/>
      <c r="D81" s="7"/>
      <c r="E81" s="178"/>
      <c r="F81" s="131"/>
      <c r="G81" s="178"/>
      <c r="H81" s="7"/>
      <c r="I81" s="178"/>
      <c r="J81" s="131"/>
      <c r="K81" s="178"/>
      <c r="L81" s="7"/>
      <c r="M81" s="178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</row>
    <row r="82" spans="2:29" x14ac:dyDescent="0.25">
      <c r="B82" s="9"/>
      <c r="C82" s="178"/>
      <c r="D82" s="7"/>
      <c r="E82" s="178"/>
      <c r="F82" s="131"/>
      <c r="G82" s="178"/>
      <c r="H82" s="7"/>
      <c r="I82" s="178"/>
      <c r="J82" s="131"/>
      <c r="K82" s="178"/>
      <c r="L82" s="7"/>
      <c r="M82" s="178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</row>
    <row r="83" spans="2:29" x14ac:dyDescent="0.25">
      <c r="B83" s="9"/>
      <c r="C83" s="178"/>
      <c r="D83" s="7"/>
      <c r="E83" s="178"/>
      <c r="F83" s="131"/>
      <c r="G83" s="178"/>
      <c r="H83" s="7"/>
      <c r="I83" s="178"/>
      <c r="J83" s="131"/>
      <c r="K83" s="178"/>
      <c r="L83" s="7"/>
      <c r="M83" s="178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</row>
    <row r="84" spans="2:29" x14ac:dyDescent="0.25">
      <c r="B84" s="9"/>
      <c r="C84" s="178"/>
      <c r="D84" s="7"/>
      <c r="E84" s="178"/>
      <c r="F84" s="131"/>
      <c r="G84" s="178"/>
      <c r="H84" s="7"/>
      <c r="I84" s="178"/>
      <c r="J84" s="131"/>
      <c r="K84" s="178"/>
      <c r="L84" s="7"/>
      <c r="M84" s="178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</row>
    <row r="85" spans="2:29" x14ac:dyDescent="0.25">
      <c r="B85" s="9"/>
      <c r="C85" s="178"/>
      <c r="D85" s="7"/>
      <c r="E85" s="178"/>
      <c r="F85" s="131"/>
      <c r="G85" s="178"/>
      <c r="H85" s="7"/>
      <c r="I85" s="178"/>
      <c r="J85" s="131"/>
      <c r="K85" s="178"/>
      <c r="L85" s="7"/>
      <c r="M85" s="178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</row>
    <row r="86" spans="2:29" x14ac:dyDescent="0.25">
      <c r="B86" s="131"/>
      <c r="C86" s="131"/>
      <c r="D86" s="131" t="s">
        <v>235</v>
      </c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</row>
    <row r="87" spans="2:29" x14ac:dyDescent="0.25"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</row>
    <row r="88" spans="2:29" x14ac:dyDescent="0.25"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</row>
    <row r="89" spans="2:29" ht="16.5" thickBot="1" x14ac:dyDescent="0.3">
      <c r="B89" s="12" t="s">
        <v>312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</row>
    <row r="90" spans="2:29" ht="21.75" thickBot="1" x14ac:dyDescent="0.35">
      <c r="B90" s="133" t="s">
        <v>237</v>
      </c>
      <c r="C90" s="158" t="s">
        <v>236</v>
      </c>
      <c r="D90" s="136">
        <f>N38</f>
        <v>1111.7760000000001</v>
      </c>
      <c r="E90" s="135" t="s">
        <v>2</v>
      </c>
      <c r="F90" s="131"/>
      <c r="G90" s="131"/>
      <c r="H90" s="281" t="str">
        <f>IF(H78&lt;=0,"NON VERIFICATO",IF(D90/D91&lt;=1,"verificato","NON VERIFICATO!"))</f>
        <v>verificato</v>
      </c>
      <c r="I90" s="282"/>
      <c r="J90" s="131"/>
      <c r="K90" s="30" t="str">
        <f>C73</f>
        <v/>
      </c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</row>
    <row r="91" spans="2:29" ht="21" x14ac:dyDescent="0.25">
      <c r="B91" s="131"/>
      <c r="C91" s="158" t="s">
        <v>238</v>
      </c>
      <c r="D91" s="136">
        <f>H78/DATI!E172</f>
        <v>3496.9581464394382</v>
      </c>
      <c r="E91" s="135" t="s">
        <v>2</v>
      </c>
      <c r="F91" s="131"/>
      <c r="G91" s="131"/>
      <c r="H91" s="283">
        <f>IF(D91=0,0,D91/D90)</f>
        <v>3.1453801363219194</v>
      </c>
      <c r="I91" s="283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</row>
    <row r="92" spans="2:29" ht="7.5" customHeight="1" x14ac:dyDescent="0.25">
      <c r="B92" s="133"/>
      <c r="C92" s="158"/>
      <c r="D92" s="136"/>
      <c r="E92" s="135"/>
      <c r="F92" s="131"/>
      <c r="G92" s="131"/>
      <c r="H92" s="176"/>
      <c r="I92" s="176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</row>
    <row r="93" spans="2:29" x14ac:dyDescent="0.25">
      <c r="B93" s="131"/>
      <c r="C93" s="171" t="s">
        <v>239</v>
      </c>
      <c r="D93" s="54">
        <f>D90/(I40*'VER. GEO CONDIZIONI DRENATE'!I41)</f>
        <v>141.60660425414372</v>
      </c>
      <c r="E93" s="171" t="s">
        <v>240</v>
      </c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</row>
    <row r="94" spans="2:29" ht="15.75" x14ac:dyDescent="0.25">
      <c r="B94" s="131"/>
      <c r="C94" s="171" t="s">
        <v>241</v>
      </c>
      <c r="D94" s="54">
        <f>IF(I40=0,0,IF('VER. GEO CONDIZIONI DRENATE'!I41=0,0,D91/(I40*'VER. GEO CONDIZIONI DRENATE'!I41)))</f>
        <v>445.40660019298264</v>
      </c>
      <c r="E94" s="171" t="s">
        <v>240</v>
      </c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</row>
    <row r="95" spans="2:29" x14ac:dyDescent="0.25"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</row>
    <row r="96" spans="2:29" ht="15.75" x14ac:dyDescent="0.25">
      <c r="B96" s="12" t="s">
        <v>313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</row>
    <row r="97" spans="2:29" ht="15.75" thickBot="1" x14ac:dyDescent="0.3"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</row>
    <row r="98" spans="2:29" ht="21.75" thickBot="1" x14ac:dyDescent="0.3">
      <c r="B98" s="131"/>
      <c r="C98" s="158" t="s">
        <v>236</v>
      </c>
      <c r="D98" s="136">
        <f>N39</f>
        <v>181.39760626137078</v>
      </c>
      <c r="E98" s="135" t="s">
        <v>2</v>
      </c>
      <c r="F98" s="131"/>
      <c r="G98" s="131"/>
      <c r="H98" s="281" t="str">
        <f>IF(D98/D99&lt;=1,"verificato","NON VERIFICATO!")</f>
        <v>verificato</v>
      </c>
      <c r="I98" s="282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</row>
    <row r="99" spans="2:29" ht="21" x14ac:dyDescent="0.25">
      <c r="B99" s="131"/>
      <c r="C99" s="158" t="s">
        <v>238</v>
      </c>
      <c r="D99" s="136">
        <f>1/DATI!E174*((D39*I40*'VER. GEO CONDIZIONI DRENATE'!I41+DATI!E93*DATI!F161*TAN(IF(I101="si",DEGREES(ATAN(TAN(RADIANS(J101))/DATI!E166)),2/3*$D$38)*PI()/180))+((TAN(RADIANS(45+D38/2))^2)*IF((I43-0.3)&lt;0,0,(I43-0.3))*D42*I38*(I43-0.3)/2)*IF(I103="si",0,1))</f>
        <v>181.50971942704575</v>
      </c>
      <c r="E99" s="135" t="s">
        <v>2</v>
      </c>
      <c r="F99" s="131"/>
      <c r="G99" s="131"/>
      <c r="H99" s="283">
        <f>IF(D98=0,10,IF(D99=0,0,D99/D98))</f>
        <v>1.0006180520679717</v>
      </c>
      <c r="I99" s="283"/>
      <c r="J99" s="131"/>
      <c r="K99" s="131"/>
      <c r="L99" s="131"/>
      <c r="M99" s="16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</row>
    <row r="100" spans="2:29" ht="15.75" thickBot="1" x14ac:dyDescent="0.3">
      <c r="B100" s="131"/>
      <c r="C100" s="131"/>
      <c r="D100" s="131"/>
      <c r="E100" s="131"/>
      <c r="F100" s="131"/>
      <c r="G100" s="131"/>
      <c r="H100" s="131"/>
      <c r="I100" s="131"/>
      <c r="J100" s="132" t="s">
        <v>323</v>
      </c>
      <c r="K100" s="132" t="s">
        <v>324</v>
      </c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</row>
    <row r="101" spans="2:29" s="130" customFormat="1" ht="16.5" thickTop="1" thickBot="1" x14ac:dyDescent="0.3">
      <c r="B101" s="131"/>
      <c r="C101" s="137" t="s">
        <v>322</v>
      </c>
      <c r="D101" s="131"/>
      <c r="E101" s="131"/>
      <c r="F101" s="131"/>
      <c r="G101" s="131"/>
      <c r="H101" s="146"/>
      <c r="I101" s="52" t="s">
        <v>29</v>
      </c>
      <c r="J101" s="197">
        <v>23</v>
      </c>
      <c r="K101" s="211">
        <f>DEGREES(ATAN(TAN(RADIANS(J101))/DATI!E166))</f>
        <v>23</v>
      </c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</row>
    <row r="102" spans="2:29" s="130" customFormat="1" ht="10.5" customHeight="1" thickTop="1" thickBot="1" x14ac:dyDescent="0.3"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</row>
    <row r="103" spans="2:29" s="130" customFormat="1" ht="16.5" thickTop="1" thickBot="1" x14ac:dyDescent="0.3">
      <c r="B103" s="131"/>
      <c r="C103" s="137" t="s">
        <v>320</v>
      </c>
      <c r="D103" s="131"/>
      <c r="E103" s="131"/>
      <c r="F103" s="131"/>
      <c r="G103" s="131"/>
      <c r="H103" s="146"/>
      <c r="I103" s="52" t="s">
        <v>32</v>
      </c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</row>
    <row r="104" spans="2:29" s="130" customFormat="1" ht="9" customHeight="1" thickTop="1" x14ac:dyDescent="0.25">
      <c r="B104" s="131"/>
      <c r="C104" s="137"/>
      <c r="D104" s="131"/>
      <c r="E104" s="131"/>
      <c r="F104" s="131"/>
      <c r="G104" s="131"/>
      <c r="H104" s="171"/>
      <c r="I104" s="15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</row>
    <row r="105" spans="2:29" s="130" customFormat="1" x14ac:dyDescent="0.25">
      <c r="B105" s="131"/>
      <c r="C105" s="137" t="s">
        <v>339</v>
      </c>
      <c r="D105" s="131"/>
      <c r="E105" s="131"/>
      <c r="F105" s="131"/>
      <c r="G105" s="131"/>
      <c r="H105" s="171"/>
      <c r="I105" s="209">
        <f>IF((I43-0.3)&lt;0,0,(I43-0.3))</f>
        <v>0.89999999999999991</v>
      </c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</row>
    <row r="106" spans="2:29" x14ac:dyDescent="0.25">
      <c r="B106" s="131"/>
      <c r="C106" s="131" t="s">
        <v>451</v>
      </c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</row>
    <row r="107" spans="2:29" x14ac:dyDescent="0.25"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</row>
    <row r="108" spans="2:29" ht="15.75" x14ac:dyDescent="0.25">
      <c r="B108" s="12" t="s">
        <v>314</v>
      </c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</row>
    <row r="109" spans="2:29" x14ac:dyDescent="0.25"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</row>
    <row r="110" spans="2:29" ht="18.75" x14ac:dyDescent="0.25">
      <c r="B110" s="131" t="s">
        <v>242</v>
      </c>
      <c r="C110" s="33" t="s">
        <v>443</v>
      </c>
      <c r="D110" s="306">
        <f>D42*D45/2</f>
        <v>18.690995630069715</v>
      </c>
      <c r="E110" s="306"/>
      <c r="F110" s="131"/>
      <c r="G110" s="131" t="s">
        <v>448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42"/>
      <c r="T110" s="142"/>
      <c r="U110" s="142"/>
      <c r="V110" s="131"/>
      <c r="W110" s="131"/>
      <c r="X110" s="131"/>
      <c r="Y110" s="131"/>
      <c r="Z110" s="131"/>
      <c r="AA110" s="131"/>
      <c r="AB110" s="131"/>
      <c r="AC110" s="131"/>
    </row>
    <row r="111" spans="2:29" x14ac:dyDescent="0.25">
      <c r="B111" s="131"/>
      <c r="C111" s="131"/>
      <c r="D111" s="217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42"/>
      <c r="T111" s="142"/>
      <c r="U111" s="142"/>
      <c r="V111" s="131"/>
      <c r="W111" s="131"/>
      <c r="X111" s="131"/>
      <c r="Y111" s="131"/>
      <c r="Z111" s="131"/>
      <c r="AA111" s="131"/>
      <c r="AB111" s="131"/>
      <c r="AC111" s="131"/>
    </row>
    <row r="112" spans="2:29" ht="18.75" x14ac:dyDescent="0.25">
      <c r="B112" s="131" t="s">
        <v>243</v>
      </c>
      <c r="C112" s="33" t="s">
        <v>99</v>
      </c>
      <c r="D112" s="305">
        <f>DATI!E135</f>
        <v>107100</v>
      </c>
      <c r="E112" s="305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42"/>
      <c r="T112" s="142"/>
      <c r="U112" s="142"/>
      <c r="V112" s="131"/>
      <c r="W112" s="131"/>
      <c r="X112" s="131"/>
      <c r="Y112" s="131"/>
      <c r="Z112" s="131"/>
      <c r="AA112" s="131"/>
      <c r="AB112" s="131"/>
      <c r="AC112" s="131"/>
    </row>
    <row r="113" spans="2:29" x14ac:dyDescent="0.25">
      <c r="B113" s="131"/>
      <c r="C113" s="131"/>
      <c r="D113" s="217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42"/>
      <c r="T113" s="142"/>
      <c r="U113" s="142"/>
      <c r="V113" s="131"/>
      <c r="W113" s="131"/>
      <c r="X113" s="131"/>
      <c r="Y113" s="131"/>
      <c r="Z113" s="131"/>
      <c r="AA113" s="131"/>
      <c r="AB113" s="131"/>
      <c r="AC113" s="131"/>
    </row>
    <row r="114" spans="2:29" x14ac:dyDescent="0.25"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</row>
    <row r="115" spans="2:29" ht="18.75" x14ac:dyDescent="0.25">
      <c r="B115" s="131" t="s">
        <v>447</v>
      </c>
      <c r="C115" s="34" t="s">
        <v>244</v>
      </c>
      <c r="D115" s="7">
        <f>(D112/(2*(1+DATI!E137)))/(D39+D110*TAN($D$38*PI()/180))</f>
        <v>1597.1426558495862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</row>
    <row r="116" spans="2:29" x14ac:dyDescent="0.25">
      <c r="B116" s="131"/>
      <c r="C116" s="131"/>
      <c r="D116" s="7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</row>
    <row r="117" spans="2:29" ht="18.75" x14ac:dyDescent="0.3">
      <c r="B117" s="131" t="s">
        <v>447</v>
      </c>
      <c r="C117" s="34" t="s">
        <v>245</v>
      </c>
      <c r="D117" s="7">
        <f>0.5*EXP((3.3-0.45*(I40/'VER. GEO CONDIZIONI DRENATE'!I41))*1/TAN(PI()/4-0.5*$D$38*PI()/180))</f>
        <v>69.630147062677139</v>
      </c>
      <c r="E117" s="131"/>
      <c r="F117" s="216" t="s">
        <v>297</v>
      </c>
      <c r="G117" s="216"/>
      <c r="H117" s="304" t="str">
        <f>IF(D115&lt;D117,"PER PUNZONAMENTO (la verifica di capacità portante è stata modificata per tener conto del punzonamento del terreno)      Ir &lt; Ir,crit","GENERALE      Ir &gt; Ir,crit")</f>
        <v>GENERALE      Ir &gt; Ir,crit</v>
      </c>
      <c r="I117" s="304"/>
      <c r="J117" s="304"/>
      <c r="K117" s="304"/>
      <c r="L117" s="304"/>
      <c r="M117" s="304"/>
      <c r="N117" s="304"/>
      <c r="O117" s="304"/>
      <c r="P117" s="304"/>
      <c r="Q117" s="304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</row>
    <row r="118" spans="2:29" x14ac:dyDescent="0.25"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</row>
    <row r="119" spans="2:29" x14ac:dyDescent="0.25"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</row>
    <row r="120" spans="2:29" ht="15.75" x14ac:dyDescent="0.25">
      <c r="B120" s="12" t="s">
        <v>315</v>
      </c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</row>
    <row r="121" spans="2:29" s="130" customFormat="1" ht="15.75" x14ac:dyDescent="0.25">
      <c r="B121" s="12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</row>
    <row r="122" spans="2:29" x14ac:dyDescent="0.25"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</row>
    <row r="123" spans="2:29" x14ac:dyDescent="0.25">
      <c r="B123" s="131"/>
      <c r="C123" s="131"/>
      <c r="D123" s="131"/>
      <c r="E123" s="131"/>
      <c r="F123" s="131"/>
      <c r="G123" s="131"/>
      <c r="H123" s="131"/>
      <c r="I123" s="131"/>
      <c r="J123" s="131" t="s">
        <v>246</v>
      </c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</row>
    <row r="124" spans="2:29" x14ac:dyDescent="0.25">
      <c r="B124" s="131"/>
      <c r="C124" s="131"/>
      <c r="D124" s="131"/>
      <c r="E124" s="131"/>
      <c r="F124" s="131"/>
      <c r="G124" s="131"/>
      <c r="H124" s="131"/>
      <c r="I124" s="131"/>
      <c r="J124" s="131" t="s">
        <v>247</v>
      </c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</row>
    <row r="125" spans="2:29" x14ac:dyDescent="0.25">
      <c r="B125" s="131"/>
      <c r="C125" s="131"/>
      <c r="D125" s="131"/>
      <c r="E125" s="131"/>
      <c r="F125" s="131"/>
      <c r="G125" s="131"/>
      <c r="H125" s="131"/>
      <c r="I125" s="131"/>
      <c r="J125" s="131" t="s">
        <v>248</v>
      </c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</row>
    <row r="126" spans="2:29" x14ac:dyDescent="0.25">
      <c r="B126" s="131"/>
      <c r="C126" s="131"/>
      <c r="D126" s="131"/>
      <c r="E126" s="131"/>
      <c r="F126" s="131"/>
      <c r="G126" s="131"/>
      <c r="H126" s="131"/>
      <c r="I126" s="131"/>
      <c r="J126" s="131" t="s">
        <v>249</v>
      </c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</row>
    <row r="127" spans="2:29" ht="15.75" thickBot="1" x14ac:dyDescent="0.3"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</row>
    <row r="128" spans="2:29" ht="16.5" thickTop="1" thickBot="1" x14ac:dyDescent="0.3">
      <c r="B128" s="131"/>
      <c r="C128" s="131"/>
      <c r="D128" s="131"/>
      <c r="E128" s="131"/>
      <c r="F128" s="131"/>
      <c r="G128" s="131"/>
      <c r="H128" s="131"/>
      <c r="I128" s="131"/>
      <c r="J128" s="234" t="s">
        <v>250</v>
      </c>
      <c r="K128" s="234"/>
      <c r="L128" s="234"/>
      <c r="M128" s="295"/>
      <c r="N128" s="125">
        <v>40</v>
      </c>
      <c r="O128" s="178"/>
      <c r="P128" s="131"/>
      <c r="Q128" s="131"/>
      <c r="R128" s="131"/>
      <c r="S128" s="131"/>
      <c r="Y128" s="131"/>
      <c r="Z128" s="131"/>
      <c r="AA128" s="131"/>
      <c r="AB128" s="131"/>
      <c r="AC128" s="131"/>
    </row>
    <row r="129" spans="2:29" ht="15.75" thickTop="1" x14ac:dyDescent="0.25"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287" t="str">
        <f>IF(DATI!E132=0,"QUESTA VERIFICA PUO' ESSERE OMESSA IN QUANTO QUESTO TIPO DI ROTTURE RIGUARDA SABBIE E GHIAIE","")</f>
        <v>QUESTA VERIFICA PUO' ESSERE OMESSA IN QUANTO QUESTO TIPO DI ROTTURE RIGUARDA SABBIE E GHIAIE</v>
      </c>
      <c r="S129" s="287"/>
      <c r="T129" s="287"/>
      <c r="U129" s="287"/>
      <c r="V129" s="287"/>
      <c r="Y129" s="131"/>
      <c r="Z129" s="131"/>
      <c r="AA129" s="131"/>
      <c r="AB129" s="131"/>
      <c r="AC129" s="131"/>
    </row>
    <row r="130" spans="2:29" x14ac:dyDescent="0.25"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287"/>
      <c r="S130" s="287"/>
      <c r="T130" s="287"/>
      <c r="U130" s="287"/>
      <c r="V130" s="287"/>
      <c r="Y130" s="131"/>
      <c r="Z130" s="131"/>
      <c r="AA130" s="131"/>
      <c r="AB130" s="131"/>
      <c r="AC130" s="131"/>
    </row>
    <row r="131" spans="2:29" x14ac:dyDescent="0.25">
      <c r="B131" s="131"/>
      <c r="C131" s="131"/>
      <c r="D131" s="131"/>
      <c r="E131" s="131"/>
      <c r="F131" s="131"/>
      <c r="G131" s="131"/>
      <c r="H131" s="131"/>
      <c r="I131" s="131"/>
      <c r="J131" s="294" t="s">
        <v>251</v>
      </c>
      <c r="K131" s="294"/>
      <c r="L131" s="294"/>
      <c r="M131" s="132" t="s">
        <v>201</v>
      </c>
      <c r="N131" s="29">
        <f>ATAN(N134*TAN(ATAN(TAN(DATI!E140*PI()/180)/DATI!E166)))*180/PI()</f>
        <v>28.744008802650423</v>
      </c>
      <c r="O131" s="178"/>
      <c r="P131" s="131"/>
      <c r="Q131" s="131"/>
      <c r="R131" s="287"/>
      <c r="S131" s="287"/>
      <c r="T131" s="287"/>
      <c r="U131" s="287"/>
      <c r="V131" s="287"/>
      <c r="Y131" s="131"/>
      <c r="Z131" s="131"/>
      <c r="AA131" s="131"/>
      <c r="AB131" s="131"/>
      <c r="AC131" s="131"/>
    </row>
    <row r="132" spans="2:29" x14ac:dyDescent="0.25">
      <c r="B132" s="131"/>
      <c r="C132" s="131"/>
      <c r="D132" s="131"/>
      <c r="E132" s="131"/>
      <c r="F132" s="131"/>
      <c r="G132" s="131"/>
      <c r="H132" s="131"/>
      <c r="I132" s="131"/>
      <c r="J132" s="294" t="s">
        <v>252</v>
      </c>
      <c r="K132" s="294"/>
      <c r="L132" s="294"/>
      <c r="M132" s="158" t="s">
        <v>204</v>
      </c>
      <c r="N132" s="203">
        <f>DATI!E141/DATI!E167*N134</f>
        <v>14.250000000000002</v>
      </c>
      <c r="O132" s="178"/>
      <c r="P132" s="131"/>
      <c r="Q132" s="131"/>
      <c r="R132" s="287"/>
      <c r="S132" s="287"/>
      <c r="T132" s="287"/>
      <c r="U132" s="287"/>
      <c r="V132" s="287"/>
      <c r="Y132" s="131"/>
      <c r="Z132" s="131"/>
      <c r="AA132" s="131"/>
      <c r="AB132" s="131"/>
      <c r="AC132" s="131"/>
    </row>
    <row r="133" spans="2:29" x14ac:dyDescent="0.25"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287"/>
      <c r="S133" s="287"/>
      <c r="T133" s="287"/>
      <c r="U133" s="287"/>
      <c r="V133" s="287"/>
      <c r="Y133" s="131"/>
      <c r="Z133" s="131"/>
      <c r="AA133" s="131"/>
      <c r="AB133" s="131"/>
      <c r="AC133" s="131"/>
    </row>
    <row r="134" spans="2:29" x14ac:dyDescent="0.25">
      <c r="B134" s="131"/>
      <c r="C134" s="131"/>
      <c r="D134" s="131"/>
      <c r="E134" s="131"/>
      <c r="F134" s="131"/>
      <c r="G134" s="131"/>
      <c r="H134" s="131"/>
      <c r="I134" s="131"/>
      <c r="J134" s="294" t="s">
        <v>253</v>
      </c>
      <c r="K134" s="294"/>
      <c r="L134" s="294"/>
      <c r="M134" s="158" t="s">
        <v>254</v>
      </c>
      <c r="N134" s="35">
        <f>0.67+(N128/100)-0.75*(N128/100)^2</f>
        <v>0.95000000000000007</v>
      </c>
      <c r="O134" s="178"/>
      <c r="P134" s="131"/>
      <c r="Q134" s="131"/>
      <c r="R134" s="287"/>
      <c r="S134" s="287"/>
      <c r="T134" s="287"/>
      <c r="U134" s="287"/>
      <c r="V134" s="287"/>
      <c r="W134" s="131"/>
      <c r="X134" s="131"/>
      <c r="Y134" s="131"/>
      <c r="Z134" s="131"/>
      <c r="AA134" s="131"/>
      <c r="AB134" s="131"/>
      <c r="AC134" s="131"/>
    </row>
    <row r="135" spans="2:29" x14ac:dyDescent="0.25">
      <c r="B135" s="131"/>
      <c r="C135" s="131"/>
      <c r="D135" s="131"/>
      <c r="E135" s="131"/>
      <c r="F135" s="131"/>
      <c r="G135" s="131"/>
      <c r="H135" s="131"/>
      <c r="I135" s="131"/>
      <c r="J135" s="294" t="s">
        <v>213</v>
      </c>
      <c r="K135" s="294"/>
      <c r="L135" s="294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</row>
    <row r="136" spans="2:29" ht="15.75" thickBot="1" x14ac:dyDescent="0.3"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X136" s="131"/>
      <c r="Y136" s="131"/>
      <c r="Z136" s="131"/>
      <c r="AA136" s="131"/>
      <c r="AB136" s="131"/>
      <c r="AC136" s="131"/>
    </row>
    <row r="137" spans="2:29" ht="16.5" customHeight="1" thickTop="1" thickBot="1" x14ac:dyDescent="0.3">
      <c r="B137" s="131"/>
      <c r="C137" s="131"/>
      <c r="D137" s="131"/>
      <c r="E137" s="131"/>
      <c r="F137" s="131"/>
      <c r="G137" s="131"/>
      <c r="H137" s="131"/>
      <c r="I137" s="131"/>
      <c r="J137" s="234" t="s">
        <v>255</v>
      </c>
      <c r="K137" s="234"/>
      <c r="L137" s="234"/>
      <c r="M137" s="295"/>
      <c r="N137" s="52" t="s">
        <v>29</v>
      </c>
      <c r="O137" s="296" t="str">
        <f>IF(N137="SI","Ho inserito i parametri modificati,torna sopra alla verifica per rottura generale e controlla il risultato","")</f>
        <v/>
      </c>
      <c r="P137" s="296"/>
      <c r="Q137" s="296"/>
      <c r="R137" s="131"/>
      <c r="X137" s="131"/>
      <c r="Y137" s="131"/>
      <c r="Z137" s="131"/>
      <c r="AA137" s="131"/>
      <c r="AB137" s="131"/>
      <c r="AC137" s="131"/>
    </row>
    <row r="138" spans="2:29" ht="16.5" thickTop="1" x14ac:dyDescent="0.25">
      <c r="B138" s="131"/>
      <c r="C138" s="131"/>
      <c r="D138" s="131"/>
      <c r="E138" s="131"/>
      <c r="F138" s="131"/>
      <c r="G138" s="131"/>
      <c r="H138" s="131"/>
      <c r="I138" s="131"/>
      <c r="J138" s="131"/>
      <c r="K138" s="12" t="str">
        <f>IF(N137="si","",IF(N137="no",""," Inserisci  si oppure no!"))</f>
        <v/>
      </c>
      <c r="L138" s="131"/>
      <c r="M138" s="131"/>
      <c r="N138" s="131"/>
      <c r="O138" s="296"/>
      <c r="P138" s="296"/>
      <c r="Q138" s="296"/>
      <c r="R138" s="131"/>
      <c r="X138" s="131"/>
      <c r="Y138" s="131"/>
      <c r="Z138" s="131"/>
      <c r="AA138" s="131"/>
      <c r="AB138" s="131"/>
      <c r="AC138" s="131"/>
    </row>
    <row r="139" spans="2:29" x14ac:dyDescent="0.25"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296"/>
      <c r="P139" s="296"/>
      <c r="Q139" s="296"/>
      <c r="R139" s="131"/>
      <c r="X139" s="131"/>
      <c r="Y139" s="131"/>
      <c r="Z139" s="131"/>
      <c r="AA139" s="131"/>
      <c r="AB139" s="131"/>
      <c r="AC139" s="131"/>
    </row>
    <row r="140" spans="2:29" x14ac:dyDescent="0.25"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296"/>
      <c r="P140" s="296"/>
      <c r="Q140" s="296"/>
      <c r="R140" s="131"/>
      <c r="X140" s="131"/>
      <c r="Y140" s="131"/>
      <c r="Z140" s="131"/>
      <c r="AA140" s="131"/>
      <c r="AB140" s="131"/>
      <c r="AC140" s="131"/>
    </row>
    <row r="141" spans="2:29" x14ac:dyDescent="0.25">
      <c r="B141" s="131"/>
      <c r="C141" s="131"/>
      <c r="D141" s="131"/>
      <c r="E141" s="131"/>
      <c r="F141" s="131"/>
      <c r="G141" s="131" t="s">
        <v>256</v>
      </c>
      <c r="H141" s="131"/>
      <c r="I141" s="131"/>
      <c r="J141" s="131"/>
      <c r="K141" s="131"/>
      <c r="L141" s="131"/>
      <c r="M141" s="131"/>
      <c r="N141" s="131"/>
      <c r="O141" s="36"/>
      <c r="P141" s="36"/>
      <c r="Q141" s="36"/>
      <c r="R141" s="131"/>
      <c r="X141" s="131"/>
      <c r="Y141" s="131"/>
      <c r="Z141" s="131"/>
      <c r="AA141" s="131"/>
      <c r="AB141" s="131"/>
      <c r="AC141" s="131"/>
    </row>
    <row r="142" spans="2:29" x14ac:dyDescent="0.25"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36"/>
      <c r="P142" s="36"/>
      <c r="Q142" s="36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</row>
    <row r="143" spans="2:29" x14ac:dyDescent="0.25">
      <c r="B143" s="131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36"/>
      <c r="P143" s="36"/>
      <c r="Q143" s="36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</row>
    <row r="144" spans="2:29" x14ac:dyDescent="0.25"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</row>
    <row r="145" spans="2:29" x14ac:dyDescent="0.25">
      <c r="B145" s="131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</row>
    <row r="146" spans="2:29" x14ac:dyDescent="0.25"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</row>
    <row r="147" spans="2:29" x14ac:dyDescent="0.25"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</row>
    <row r="148" spans="2:29" x14ac:dyDescent="0.25"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</row>
    <row r="149" spans="2:29" x14ac:dyDescent="0.25"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</row>
    <row r="150" spans="2:29" x14ac:dyDescent="0.25"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</row>
    <row r="151" spans="2:29" x14ac:dyDescent="0.25"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</row>
    <row r="152" spans="2:29" x14ac:dyDescent="0.25"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</row>
    <row r="153" spans="2:29" x14ac:dyDescent="0.25"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</row>
    <row r="154" spans="2:29" x14ac:dyDescent="0.25"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</row>
    <row r="155" spans="2:29" x14ac:dyDescent="0.25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</row>
    <row r="156" spans="2:29" x14ac:dyDescent="0.25"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</row>
    <row r="157" spans="2:29" x14ac:dyDescent="0.25"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</row>
    <row r="158" spans="2:29" x14ac:dyDescent="0.25"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</row>
    <row r="159" spans="2:29" x14ac:dyDescent="0.25"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</row>
    <row r="160" spans="2:29" x14ac:dyDescent="0.25"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</row>
    <row r="161" spans="2:29" x14ac:dyDescent="0.25"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</row>
    <row r="162" spans="2:29" x14ac:dyDescent="0.25"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</row>
    <row r="163" spans="2:29" x14ac:dyDescent="0.25"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</row>
    <row r="164" spans="2:29" x14ac:dyDescent="0.25"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</row>
    <row r="165" spans="2:29" x14ac:dyDescent="0.25"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</row>
    <row r="166" spans="2:29" x14ac:dyDescent="0.25"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</row>
    <row r="167" spans="2:29" x14ac:dyDescent="0.25"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</row>
    <row r="168" spans="2:29" x14ac:dyDescent="0.25"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</row>
    <row r="169" spans="2:29" x14ac:dyDescent="0.25"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</row>
    <row r="170" spans="2:29" x14ac:dyDescent="0.25"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</row>
    <row r="171" spans="2:29" x14ac:dyDescent="0.25"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</row>
    <row r="172" spans="2:29" x14ac:dyDescent="0.25"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</row>
    <row r="173" spans="2:29" x14ac:dyDescent="0.25"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</row>
    <row r="174" spans="2:29" x14ac:dyDescent="0.25"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</row>
    <row r="175" spans="2:29" x14ac:dyDescent="0.25"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</row>
    <row r="176" spans="2:29" x14ac:dyDescent="0.25"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</row>
    <row r="177" spans="2:29" x14ac:dyDescent="0.25"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</row>
    <row r="178" spans="2:29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9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9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9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9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9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9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9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9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9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9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9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9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9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9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</sheetData>
  <sheetProtection algorithmName="SHA-512" hashValue="xiwTcIWR2sGIQYvm94U7hgu8qdGNdh9Z8AQCr8ATLqPiud+RGtA67GS55uPDFtrFFUf35v2g24ywbvi3EajZhg==" saltValue="m8PJWQfa36/X0ERBF295Nw==" spinCount="100000" sheet="1" selectLockedCells="1"/>
  <protectedRanges>
    <protectedRange sqref="E50:G50" name="Intervallo5"/>
    <protectedRange sqref="N128" name="Intervallo3"/>
    <protectedRange sqref="D110 D112" name="Intervallo2"/>
    <protectedRange sqref="N137" name="Intervallo4"/>
    <protectedRange sqref="I103:I104" name="Intervallo1_5_3"/>
    <protectedRange sqref="I101" name="Intervallo1_5_3_2"/>
  </protectedRanges>
  <customSheetViews>
    <customSheetView guid="{4665FEC6-985A-4058-98C4-6E3C4FA2FD00}" scale="90" showGridLines="0" showRowCol="0">
      <selection activeCell="I101" sqref="I101"/>
      <pageMargins left="0.7" right="0.7" top="0.75" bottom="0.75" header="0.3" footer="0.3"/>
      <pageSetup paperSize="9" orientation="portrait" horizontalDpi="4294967293" r:id="rId1"/>
    </customSheetView>
    <customSheetView guid="{0B137F07-03B3-4E41-AE6C-8ED78830E82B}" scale="90" showGridLines="0" showRowCol="0" topLeftCell="A76">
      <selection activeCell="E50" sqref="E50:G50"/>
      <pageMargins left="0.7" right="0.7" top="0.75" bottom="0.75" header="0.3" footer="0.3"/>
      <pageSetup paperSize="9" orientation="portrait" horizontalDpi="4294967293" r:id="rId2"/>
    </customSheetView>
    <customSheetView guid="{20357F05-553F-42A2-AC78-E7E06E1ED012}" scale="90" showGridLines="0" showRowCol="0" topLeftCell="A69">
      <selection activeCell="E50" sqref="E50:G50"/>
      <pageMargins left="0.7" right="0.7" top="0.75" bottom="0.75" header="0.3" footer="0.3"/>
      <pageSetup paperSize="9" orientation="portrait" horizontalDpi="4294967293" r:id="rId3"/>
    </customSheetView>
  </customSheetViews>
  <mergeCells count="31">
    <mergeCell ref="R129:V134"/>
    <mergeCell ref="U57:V58"/>
    <mergeCell ref="C57:D58"/>
    <mergeCell ref="F57:G58"/>
    <mergeCell ref="I57:J58"/>
    <mergeCell ref="O57:P58"/>
    <mergeCell ref="J128:M128"/>
    <mergeCell ref="H90:I90"/>
    <mergeCell ref="H91:I91"/>
    <mergeCell ref="H98:I98"/>
    <mergeCell ref="H99:I99"/>
    <mergeCell ref="C73:G73"/>
    <mergeCell ref="H117:Q117"/>
    <mergeCell ref="D112:E112"/>
    <mergeCell ref="D110:E110"/>
    <mergeCell ref="G20:G21"/>
    <mergeCell ref="H20:H21"/>
    <mergeCell ref="G22:G23"/>
    <mergeCell ref="H22:H23"/>
    <mergeCell ref="R57:S58"/>
    <mergeCell ref="E49:G49"/>
    <mergeCell ref="E51:G51"/>
    <mergeCell ref="E52:G52"/>
    <mergeCell ref="E50:G50"/>
    <mergeCell ref="L57:M58"/>
    <mergeCell ref="J135:L135"/>
    <mergeCell ref="J137:M137"/>
    <mergeCell ref="O137:Q140"/>
    <mergeCell ref="J131:L131"/>
    <mergeCell ref="J132:L132"/>
    <mergeCell ref="J134:L134"/>
  </mergeCells>
  <conditionalFormatting sqref="H90:I90 H98:I98">
    <cfRule type="cellIs" dxfId="3" priority="5" operator="equal">
      <formula>"VERIFICATO"</formula>
    </cfRule>
  </conditionalFormatting>
  <conditionalFormatting sqref="C73:G73">
    <cfRule type="cellIs" dxfId="2" priority="3" operator="equal">
      <formula>"FONDAZIONE INSTABILE"</formula>
    </cfRule>
  </conditionalFormatting>
  <conditionalFormatting sqref="R129:V134">
    <cfRule type="cellIs" dxfId="1" priority="1" operator="equal">
      <formula>"QUESTA VERIFICA PUO' ESSERE OMESSA IN QUANTO QUESTO TIPO DI ROTTURE RIGUARDA SABBIE E GHIAIE"</formula>
    </cfRule>
    <cfRule type="cellIs" dxfId="0" priority="2" operator="equal">
      <formula>"QUESTA VERIFICA PUO' ESSERE OMESSA IN QUANTO QUESTO TIPO DI ROTTURE RIGUARDA SABBIE E GHIAIE"</formula>
    </cfRule>
  </conditionalFormatting>
  <dataValidations count="2">
    <dataValidation type="list" allowBlank="1" showInputMessage="1" showErrorMessage="1" sqref="E50">
      <formula1>mey</formula1>
    </dataValidation>
    <dataValidation type="list" allowBlank="1" showInputMessage="1" showErrorMessage="1" sqref="N137 I103:I104 I101">
      <formula1>sn</formula1>
    </dataValidation>
  </dataValidations>
  <pageMargins left="0.7" right="0.7" top="0.75" bottom="0.75" header="0.3" footer="0.3"/>
  <pageSetup paperSize="9" orientation="portrait" horizontalDpi="4294967293" r:id="rId4"/>
  <drawing r:id="rId5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621"/>
  <sheetViews>
    <sheetView showGridLines="0" showRowColHeaders="0" workbookViewId="0">
      <selection activeCell="P40" sqref="P40"/>
    </sheetView>
  </sheetViews>
  <sheetFormatPr defaultRowHeight="15" x14ac:dyDescent="0.25"/>
  <cols>
    <col min="7" max="7" width="11.140625" customWidth="1"/>
    <col min="8" max="8" width="17.5703125" customWidth="1"/>
    <col min="9" max="9" width="10.5703125" customWidth="1"/>
  </cols>
  <sheetData>
    <row r="1" spans="2:24" x14ac:dyDescent="0.2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2:24" x14ac:dyDescent="0.25">
      <c r="B2" s="309" t="s">
        <v>270</v>
      </c>
      <c r="C2" s="309"/>
      <c r="D2" s="18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2:24" x14ac:dyDescent="0.25">
      <c r="B3" s="90" t="s">
        <v>271</v>
      </c>
      <c r="C3" s="173" t="s">
        <v>272</v>
      </c>
      <c r="D3" s="1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</row>
    <row r="4" spans="2:24" x14ac:dyDescent="0.25">
      <c r="B4" s="90" t="s">
        <v>273</v>
      </c>
      <c r="C4" s="173" t="s">
        <v>274</v>
      </c>
      <c r="D4" s="1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2:24" x14ac:dyDescent="0.25">
      <c r="B5" s="174">
        <v>0</v>
      </c>
      <c r="C5" s="121">
        <f>1/DATI!$E$21*IF(B5&lt;DATI!$E$28,DATI!$E$15*DATI!$E$25*DATI!$E$32*DATI!$E$16*(B5/DATI!$E$28+1/(DATI!$E$32*DATI!$E$16)*(1-B5/DATI!$E$28)),IF(B5&lt;DATI!$E$29,DATI!$E$15*DATI!$E$25*DATI!$E$32*DATI!$E$16,IF(B5&lt;DATI!$E$30,DATI!$E$15*DATI!$E$25*DATI!$E$32*DATI!$E$16*(DATI!$E$29/B5),DATI!$E$15*DATI!$E$25*DATI!$E$32*DATI!$E$16*((DATI!$E$29*DATI!$E$30)/B5^2))))</f>
        <v>0.23521687169597222</v>
      </c>
      <c r="D5" s="9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4" x14ac:dyDescent="0.25">
      <c r="B6" s="174">
        <f t="shared" ref="B6:B69" si="0">0.01+B5</f>
        <v>0.01</v>
      </c>
      <c r="C6" s="121">
        <f>1/DATI!$E$21*IF(B6&lt;DATI!$E$28,DATI!$E$15*DATI!$E$25*DATI!$E$32*DATI!$E$16*(B6/DATI!$E$28+1/(DATI!$E$32*DATI!$E$16)*(1-B6/DATI!$E$28)),IF(B6&lt;DATI!$E$29,DATI!$E$15*DATI!$E$25*DATI!$E$32*DATI!$E$16,IF(B6&lt;DATI!$E$30,DATI!$E$15*DATI!$E$25*DATI!$E$32*DATI!$E$16*(DATI!$E$29/B6),DATI!$E$15*DATI!$E$25*DATI!$E$32*DATI!$E$16*((DATI!$E$29*DATI!$E$30)/B6^2))))</f>
        <v>0.25624927539002096</v>
      </c>
      <c r="D6" s="9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2:24" x14ac:dyDescent="0.25">
      <c r="B7" s="174">
        <f t="shared" si="0"/>
        <v>0.02</v>
      </c>
      <c r="C7" s="121">
        <f>1/DATI!$E$21*IF(B7&lt;DATI!$E$28,DATI!$E$15*DATI!$E$25*DATI!$E$32*DATI!$E$16*(B7/DATI!$E$28+1/(DATI!$E$32*DATI!$E$16)*(1-B7/DATI!$E$28)),IF(B7&lt;DATI!$E$29,DATI!$E$15*DATI!$E$25*DATI!$E$32*DATI!$E$16,IF(B7&lt;DATI!$E$30,DATI!$E$15*DATI!$E$25*DATI!$E$32*DATI!$E$16*(DATI!$E$29/B7),DATI!$E$15*DATI!$E$25*DATI!$E$32*DATI!$E$16*((DATI!$E$29*DATI!$E$30)/B7^2))))</f>
        <v>0.27728167908406981</v>
      </c>
      <c r="D7" s="9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</row>
    <row r="8" spans="2:24" x14ac:dyDescent="0.25">
      <c r="B8" s="174">
        <f t="shared" si="0"/>
        <v>0.03</v>
      </c>
      <c r="C8" s="121">
        <f>1/DATI!$E$21*IF(B8&lt;DATI!$E$28,DATI!$E$15*DATI!$E$25*DATI!$E$32*DATI!$E$16*(B8/DATI!$E$28+1/(DATI!$E$32*DATI!$E$16)*(1-B8/DATI!$E$28)),IF(B8&lt;DATI!$E$29,DATI!$E$15*DATI!$E$25*DATI!$E$32*DATI!$E$16,IF(B8&lt;DATI!$E$30,DATI!$E$15*DATI!$E$25*DATI!$E$32*DATI!$E$16*(DATI!$E$29/B8),DATI!$E$15*DATI!$E$25*DATI!$E$32*DATI!$E$16*((DATI!$E$29*DATI!$E$30)/B8^2))))</f>
        <v>0.29831408277811855</v>
      </c>
      <c r="D8" s="91"/>
      <c r="E8" s="19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</row>
    <row r="9" spans="2:24" x14ac:dyDescent="0.25">
      <c r="B9" s="174">
        <f t="shared" si="0"/>
        <v>0.04</v>
      </c>
      <c r="C9" s="121">
        <f>1/DATI!$E$21*IF(B9&lt;DATI!$E$28,DATI!$E$15*DATI!$E$25*DATI!$E$32*DATI!$E$16*(B9/DATI!$E$28+1/(DATI!$E$32*DATI!$E$16)*(1-B9/DATI!$E$28)),IF(B9&lt;DATI!$E$29,DATI!$E$15*DATI!$E$25*DATI!$E$32*DATI!$E$16,IF(B9&lt;DATI!$E$30,DATI!$E$15*DATI!$E$25*DATI!$E$32*DATI!$E$16*(DATI!$E$29/B9),DATI!$E$15*DATI!$E$25*DATI!$E$32*DATI!$E$16*((DATI!$E$29*DATI!$E$30)/B9^2))))</f>
        <v>0.31934648647216735</v>
      </c>
      <c r="D9" s="9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</row>
    <row r="10" spans="2:24" x14ac:dyDescent="0.25">
      <c r="B10" s="174">
        <f t="shared" si="0"/>
        <v>0.05</v>
      </c>
      <c r="C10" s="121">
        <f>1/DATI!$E$21*IF(B10&lt;DATI!$E$28,DATI!$E$15*DATI!$E$25*DATI!$E$32*DATI!$E$16*(B10/DATI!$E$28+1/(DATI!$E$32*DATI!$E$16)*(1-B10/DATI!$E$28)),IF(B10&lt;DATI!$E$29,DATI!$E$15*DATI!$E$25*DATI!$E$32*DATI!$E$16,IF(B10&lt;DATI!$E$30,DATI!$E$15*DATI!$E$25*DATI!$E$32*DATI!$E$16*(DATI!$E$29/B10),DATI!$E$15*DATI!$E$25*DATI!$E$32*DATI!$E$16*((DATI!$E$29*DATI!$E$30)/B10^2))))</f>
        <v>0.34037889016621609</v>
      </c>
      <c r="D10" s="9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</row>
    <row r="11" spans="2:24" x14ac:dyDescent="0.25">
      <c r="B11" s="174">
        <f t="shared" si="0"/>
        <v>6.0000000000000005E-2</v>
      </c>
      <c r="C11" s="121">
        <f>1/DATI!$E$21*IF(B11&lt;DATI!$E$28,DATI!$E$15*DATI!$E$25*DATI!$E$32*DATI!$E$16*(B11/DATI!$E$28+1/(DATI!$E$32*DATI!$E$16)*(1-B11/DATI!$E$28)),IF(B11&lt;DATI!$E$29,DATI!$E$15*DATI!$E$25*DATI!$E$32*DATI!$E$16,IF(B11&lt;DATI!$E$30,DATI!$E$15*DATI!$E$25*DATI!$E$32*DATI!$E$16*(DATI!$E$29/B11),DATI!$E$15*DATI!$E$25*DATI!$E$32*DATI!$E$16*((DATI!$E$29*DATI!$E$30)/B11^2))))</f>
        <v>0.36141129386026488</v>
      </c>
      <c r="D11" s="9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</row>
    <row r="12" spans="2:24" x14ac:dyDescent="0.25">
      <c r="B12" s="174">
        <f t="shared" si="0"/>
        <v>7.0000000000000007E-2</v>
      </c>
      <c r="C12" s="121">
        <f>1/DATI!$E$21*IF(B12&lt;DATI!$E$28,DATI!$E$15*DATI!$E$25*DATI!$E$32*DATI!$E$16*(B12/DATI!$E$28+1/(DATI!$E$32*DATI!$E$16)*(1-B12/DATI!$E$28)),IF(B12&lt;DATI!$E$29,DATI!$E$15*DATI!$E$25*DATI!$E$32*DATI!$E$16,IF(B12&lt;DATI!$E$30,DATI!$E$15*DATI!$E$25*DATI!$E$32*DATI!$E$16*(DATI!$E$29/B12),DATI!$E$15*DATI!$E$25*DATI!$E$32*DATI!$E$16*((DATI!$E$29*DATI!$E$30)/B12^2))))</f>
        <v>0.38244369755431362</v>
      </c>
      <c r="D12" s="9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</row>
    <row r="13" spans="2:24" x14ac:dyDescent="0.25">
      <c r="B13" s="174">
        <f t="shared" si="0"/>
        <v>0.08</v>
      </c>
      <c r="C13" s="121">
        <f>1/DATI!$E$21*IF(B13&lt;DATI!$E$28,DATI!$E$15*DATI!$E$25*DATI!$E$32*DATI!$E$16*(B13/DATI!$E$28+1/(DATI!$E$32*DATI!$E$16)*(1-B13/DATI!$E$28)),IF(B13&lt;DATI!$E$29,DATI!$E$15*DATI!$E$25*DATI!$E$32*DATI!$E$16,IF(B13&lt;DATI!$E$30,DATI!$E$15*DATI!$E$25*DATI!$E$32*DATI!$E$16*(DATI!$E$29/B13),DATI!$E$15*DATI!$E$25*DATI!$E$32*DATI!$E$16*((DATI!$E$29*DATI!$E$30)/B13^2))))</f>
        <v>0.40347610124836242</v>
      </c>
      <c r="D13" s="9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</row>
    <row r="14" spans="2:24" x14ac:dyDescent="0.25">
      <c r="B14" s="174">
        <f t="shared" si="0"/>
        <v>0.09</v>
      </c>
      <c r="C14" s="121">
        <f>1/DATI!$E$21*IF(B14&lt;DATI!$E$28,DATI!$E$15*DATI!$E$25*DATI!$E$32*DATI!$E$16*(B14/DATI!$E$28+1/(DATI!$E$32*DATI!$E$16)*(1-B14/DATI!$E$28)),IF(B14&lt;DATI!$E$29,DATI!$E$15*DATI!$E$25*DATI!$E$32*DATI!$E$16,IF(B14&lt;DATI!$E$30,DATI!$E$15*DATI!$E$25*DATI!$E$32*DATI!$E$16*(DATI!$E$29/B14),DATI!$E$15*DATI!$E$25*DATI!$E$32*DATI!$E$16*((DATI!$E$29*DATI!$E$30)/B14^2))))</f>
        <v>0.42450850494241121</v>
      </c>
      <c r="D14" s="9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</row>
    <row r="15" spans="2:24" x14ac:dyDescent="0.25">
      <c r="B15" s="174">
        <f t="shared" si="0"/>
        <v>9.9999999999999992E-2</v>
      </c>
      <c r="C15" s="121">
        <f>1/DATI!$E$21*IF(B15&lt;DATI!$E$28,DATI!$E$15*DATI!$E$25*DATI!$E$32*DATI!$E$16*(B15/DATI!$E$28+1/(DATI!$E$32*DATI!$E$16)*(1-B15/DATI!$E$28)),IF(B15&lt;DATI!$E$29,DATI!$E$15*DATI!$E$25*DATI!$E$32*DATI!$E$16,IF(B15&lt;DATI!$E$30,DATI!$E$15*DATI!$E$25*DATI!$E$32*DATI!$E$16*(DATI!$E$29/B15),DATI!$E$15*DATI!$E$25*DATI!$E$32*DATI!$E$16*((DATI!$E$29*DATI!$E$30)/B15^2))))</f>
        <v>0.44554090863645995</v>
      </c>
      <c r="D15" s="9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</row>
    <row r="16" spans="2:24" x14ac:dyDescent="0.25">
      <c r="B16" s="174">
        <f t="shared" si="0"/>
        <v>0.10999999999999999</v>
      </c>
      <c r="C16" s="121">
        <f>1/DATI!$E$21*IF(B16&lt;DATI!$E$28,DATI!$E$15*DATI!$E$25*DATI!$E$32*DATI!$E$16*(B16/DATI!$E$28+1/(DATI!$E$32*DATI!$E$16)*(1-B16/DATI!$E$28)),IF(B16&lt;DATI!$E$29,DATI!$E$15*DATI!$E$25*DATI!$E$32*DATI!$E$16,IF(B16&lt;DATI!$E$30,DATI!$E$15*DATI!$E$25*DATI!$E$32*DATI!$E$16*(DATI!$E$29/B16),DATI!$E$15*DATI!$E$25*DATI!$E$32*DATI!$E$16*((DATI!$E$29*DATI!$E$30)/B16^2))))</f>
        <v>0.46657331233050869</v>
      </c>
      <c r="D16" s="9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</row>
    <row r="17" spans="2:24" x14ac:dyDescent="0.25">
      <c r="B17" s="174">
        <f t="shared" si="0"/>
        <v>0.11999999999999998</v>
      </c>
      <c r="C17" s="121">
        <f>1/DATI!$E$21*IF(B17&lt;DATI!$E$28,DATI!$E$15*DATI!$E$25*DATI!$E$32*DATI!$E$16*(B17/DATI!$E$28+1/(DATI!$E$32*DATI!$E$16)*(1-B17/DATI!$E$28)),IF(B17&lt;DATI!$E$29,DATI!$E$15*DATI!$E$25*DATI!$E$32*DATI!$E$16,IF(B17&lt;DATI!$E$30,DATI!$E$15*DATI!$E$25*DATI!$E$32*DATI!$E$16*(DATI!$E$29/B17),DATI!$E$15*DATI!$E$25*DATI!$E$32*DATI!$E$16*((DATI!$E$29*DATI!$E$30)/B17^2))))</f>
        <v>0.48760571602455749</v>
      </c>
      <c r="D17" s="9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</row>
    <row r="18" spans="2:24" x14ac:dyDescent="0.25">
      <c r="B18" s="174">
        <f t="shared" si="0"/>
        <v>0.12999999999999998</v>
      </c>
      <c r="C18" s="121">
        <f>1/DATI!$E$21*IF(B18&lt;DATI!$E$28,DATI!$E$15*DATI!$E$25*DATI!$E$32*DATI!$E$16*(B18/DATI!$E$28+1/(DATI!$E$32*DATI!$E$16)*(1-B18/DATI!$E$28)),IF(B18&lt;DATI!$E$29,DATI!$E$15*DATI!$E$25*DATI!$E$32*DATI!$E$16,IF(B18&lt;DATI!$E$30,DATI!$E$15*DATI!$E$25*DATI!$E$32*DATI!$E$16*(DATI!$E$29/B18),DATI!$E$15*DATI!$E$25*DATI!$E$32*DATI!$E$16*((DATI!$E$29*DATI!$E$30)/B18^2))))</f>
        <v>0.50863811971860629</v>
      </c>
      <c r="D18" s="9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</row>
    <row r="19" spans="2:24" x14ac:dyDescent="0.25">
      <c r="B19" s="174">
        <f t="shared" si="0"/>
        <v>0.13999999999999999</v>
      </c>
      <c r="C19" s="121">
        <f>1/DATI!$E$21*IF(B19&lt;DATI!$E$28,DATI!$E$15*DATI!$E$25*DATI!$E$32*DATI!$E$16*(B19/DATI!$E$28+1/(DATI!$E$32*DATI!$E$16)*(1-B19/DATI!$E$28)),IF(B19&lt;DATI!$E$29,DATI!$E$15*DATI!$E$25*DATI!$E$32*DATI!$E$16,IF(B19&lt;DATI!$E$30,DATI!$E$15*DATI!$E$25*DATI!$E$32*DATI!$E$16*(DATI!$E$29/B19),DATI!$E$15*DATI!$E$25*DATI!$E$32*DATI!$E$16*((DATI!$E$29*DATI!$E$30)/B19^2))))</f>
        <v>0.52967052341265497</v>
      </c>
      <c r="D19" s="9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</row>
    <row r="20" spans="2:24" x14ac:dyDescent="0.25">
      <c r="B20" s="174">
        <f t="shared" si="0"/>
        <v>0.15</v>
      </c>
      <c r="C20" s="121">
        <f>1/DATI!$E$21*IF(B20&lt;DATI!$E$28,DATI!$E$15*DATI!$E$25*DATI!$E$32*DATI!$E$16*(B20/DATI!$E$28+1/(DATI!$E$32*DATI!$E$16)*(1-B20/DATI!$E$28)),IF(B20&lt;DATI!$E$29,DATI!$E$15*DATI!$E$25*DATI!$E$32*DATI!$E$16,IF(B20&lt;DATI!$E$30,DATI!$E$15*DATI!$E$25*DATI!$E$32*DATI!$E$16*(DATI!$E$29/B20),DATI!$E$15*DATI!$E$25*DATI!$E$32*DATI!$E$16*((DATI!$E$29*DATI!$E$30)/B20^2))))</f>
        <v>0.55070292710670377</v>
      </c>
      <c r="D20" s="9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</row>
    <row r="21" spans="2:24" x14ac:dyDescent="0.25">
      <c r="B21" s="174">
        <f t="shared" si="0"/>
        <v>0.16</v>
      </c>
      <c r="C21" s="121">
        <f>1/DATI!$E$21*IF(B21&lt;DATI!$E$28,DATI!$E$15*DATI!$E$25*DATI!$E$32*DATI!$E$16*(B21/DATI!$E$28+1/(DATI!$E$32*DATI!$E$16)*(1-B21/DATI!$E$28)),IF(B21&lt;DATI!$E$29,DATI!$E$15*DATI!$E$25*DATI!$E$32*DATI!$E$16,IF(B21&lt;DATI!$E$30,DATI!$E$15*DATI!$E$25*DATI!$E$32*DATI!$E$16*(DATI!$E$29/B21),DATI!$E$15*DATI!$E$25*DATI!$E$32*DATI!$E$16*((DATI!$E$29*DATI!$E$30)/B21^2))))</f>
        <v>0.56452049207033328</v>
      </c>
      <c r="D21" s="9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</row>
    <row r="22" spans="2:24" x14ac:dyDescent="0.25">
      <c r="B22" s="174">
        <f t="shared" si="0"/>
        <v>0.17</v>
      </c>
      <c r="C22" s="121">
        <f>1/DATI!$E$21*IF(B22&lt;DATI!$E$28,DATI!$E$15*DATI!$E$25*DATI!$E$32*DATI!$E$16*(B22/DATI!$E$28+1/(DATI!$E$32*DATI!$E$16)*(1-B22/DATI!$E$28)),IF(B22&lt;DATI!$E$29,DATI!$E$15*DATI!$E$25*DATI!$E$32*DATI!$E$16,IF(B22&lt;DATI!$E$30,DATI!$E$15*DATI!$E$25*DATI!$E$32*DATI!$E$16*(DATI!$E$29/B22),DATI!$E$15*DATI!$E$25*DATI!$E$32*DATI!$E$16*((DATI!$E$29*DATI!$E$30)/B22^2))))</f>
        <v>0.56452049207033328</v>
      </c>
      <c r="D22" s="9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</row>
    <row r="23" spans="2:24" x14ac:dyDescent="0.25">
      <c r="B23" s="174">
        <f t="shared" si="0"/>
        <v>0.18000000000000002</v>
      </c>
      <c r="C23" s="121">
        <f>1/DATI!$E$21*IF(B23&lt;DATI!$E$28,DATI!$E$15*DATI!$E$25*DATI!$E$32*DATI!$E$16*(B23/DATI!$E$28+1/(DATI!$E$32*DATI!$E$16)*(1-B23/DATI!$E$28)),IF(B23&lt;DATI!$E$29,DATI!$E$15*DATI!$E$25*DATI!$E$32*DATI!$E$16,IF(B23&lt;DATI!$E$30,DATI!$E$15*DATI!$E$25*DATI!$E$32*DATI!$E$16*(DATI!$E$29/B23),DATI!$E$15*DATI!$E$25*DATI!$E$32*DATI!$E$16*((DATI!$E$29*DATI!$E$30)/B23^2))))</f>
        <v>0.56452049207033328</v>
      </c>
      <c r="D23" s="9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</row>
    <row r="24" spans="2:24" x14ac:dyDescent="0.25">
      <c r="B24" s="174">
        <f t="shared" si="0"/>
        <v>0.19000000000000003</v>
      </c>
      <c r="C24" s="121">
        <f>1/DATI!$E$21*IF(B24&lt;DATI!$E$28,DATI!$E$15*DATI!$E$25*DATI!$E$32*DATI!$E$16*(B24/DATI!$E$28+1/(DATI!$E$32*DATI!$E$16)*(1-B24/DATI!$E$28)),IF(B24&lt;DATI!$E$29,DATI!$E$15*DATI!$E$25*DATI!$E$32*DATI!$E$16,IF(B24&lt;DATI!$E$30,DATI!$E$15*DATI!$E$25*DATI!$E$32*DATI!$E$16*(DATI!$E$29/B24),DATI!$E$15*DATI!$E$25*DATI!$E$32*DATI!$E$16*((DATI!$E$29*DATI!$E$30)/B24^2))))</f>
        <v>0.56452049207033328</v>
      </c>
      <c r="D24" s="9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</row>
    <row r="25" spans="2:24" x14ac:dyDescent="0.25">
      <c r="B25" s="174">
        <f t="shared" si="0"/>
        <v>0.20000000000000004</v>
      </c>
      <c r="C25" s="121">
        <f>1/DATI!$E$21*IF(B25&lt;DATI!$E$28,DATI!$E$15*DATI!$E$25*DATI!$E$32*DATI!$E$16*(B25/DATI!$E$28+1/(DATI!$E$32*DATI!$E$16)*(1-B25/DATI!$E$28)),IF(B25&lt;DATI!$E$29,DATI!$E$15*DATI!$E$25*DATI!$E$32*DATI!$E$16,IF(B25&lt;DATI!$E$30,DATI!$E$15*DATI!$E$25*DATI!$E$32*DATI!$E$16*(DATI!$E$29/B25),DATI!$E$15*DATI!$E$25*DATI!$E$32*DATI!$E$16*((DATI!$E$29*DATI!$E$30)/B25^2))))</f>
        <v>0.56452049207033328</v>
      </c>
      <c r="D25" s="9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</row>
    <row r="26" spans="2:24" x14ac:dyDescent="0.25">
      <c r="B26" s="174">
        <f t="shared" si="0"/>
        <v>0.21000000000000005</v>
      </c>
      <c r="C26" s="121">
        <f>1/DATI!$E$21*IF(B26&lt;DATI!$E$28,DATI!$E$15*DATI!$E$25*DATI!$E$32*DATI!$E$16*(B26/DATI!$E$28+1/(DATI!$E$32*DATI!$E$16)*(1-B26/DATI!$E$28)),IF(B26&lt;DATI!$E$29,DATI!$E$15*DATI!$E$25*DATI!$E$32*DATI!$E$16,IF(B26&lt;DATI!$E$30,DATI!$E$15*DATI!$E$25*DATI!$E$32*DATI!$E$16*(DATI!$E$29/B26),DATI!$E$15*DATI!$E$25*DATI!$E$32*DATI!$E$16*((DATI!$E$29*DATI!$E$30)/B26^2))))</f>
        <v>0.56452049207033328</v>
      </c>
      <c r="D26" s="9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</row>
    <row r="27" spans="2:24" x14ac:dyDescent="0.25">
      <c r="B27" s="174">
        <f t="shared" si="0"/>
        <v>0.22000000000000006</v>
      </c>
      <c r="C27" s="121">
        <f>1/DATI!$E$21*IF(B27&lt;DATI!$E$28,DATI!$E$15*DATI!$E$25*DATI!$E$32*DATI!$E$16*(B27/DATI!$E$28+1/(DATI!$E$32*DATI!$E$16)*(1-B27/DATI!$E$28)),IF(B27&lt;DATI!$E$29,DATI!$E$15*DATI!$E$25*DATI!$E$32*DATI!$E$16,IF(B27&lt;DATI!$E$30,DATI!$E$15*DATI!$E$25*DATI!$E$32*DATI!$E$16*(DATI!$E$29/B27),DATI!$E$15*DATI!$E$25*DATI!$E$32*DATI!$E$16*((DATI!$E$29*DATI!$E$30)/B27^2))))</f>
        <v>0.56452049207033328</v>
      </c>
      <c r="D27" s="9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</row>
    <row r="28" spans="2:24" x14ac:dyDescent="0.25">
      <c r="B28" s="174">
        <f t="shared" si="0"/>
        <v>0.23000000000000007</v>
      </c>
      <c r="C28" s="121">
        <f>1/DATI!$E$21*IF(B28&lt;DATI!$E$28,DATI!$E$15*DATI!$E$25*DATI!$E$32*DATI!$E$16*(B28/DATI!$E$28+1/(DATI!$E$32*DATI!$E$16)*(1-B28/DATI!$E$28)),IF(B28&lt;DATI!$E$29,DATI!$E$15*DATI!$E$25*DATI!$E$32*DATI!$E$16,IF(B28&lt;DATI!$E$30,DATI!$E$15*DATI!$E$25*DATI!$E$32*DATI!$E$16*(DATI!$E$29/B28),DATI!$E$15*DATI!$E$25*DATI!$E$32*DATI!$E$16*((DATI!$E$29*DATI!$E$30)/B28^2))))</f>
        <v>0.56452049207033328</v>
      </c>
      <c r="D28" s="9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2:24" x14ac:dyDescent="0.25">
      <c r="B29" s="174">
        <f t="shared" si="0"/>
        <v>0.24000000000000007</v>
      </c>
      <c r="C29" s="121">
        <f>1/DATI!$E$21*IF(B29&lt;DATI!$E$28,DATI!$E$15*DATI!$E$25*DATI!$E$32*DATI!$E$16*(B29/DATI!$E$28+1/(DATI!$E$32*DATI!$E$16)*(1-B29/DATI!$E$28)),IF(B29&lt;DATI!$E$29,DATI!$E$15*DATI!$E$25*DATI!$E$32*DATI!$E$16,IF(B29&lt;DATI!$E$30,DATI!$E$15*DATI!$E$25*DATI!$E$32*DATI!$E$16*(DATI!$E$29/B29),DATI!$E$15*DATI!$E$25*DATI!$E$32*DATI!$E$16*((DATI!$E$29*DATI!$E$30)/B29^2))))</f>
        <v>0.56452049207033328</v>
      </c>
      <c r="D29" s="9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</row>
    <row r="30" spans="2:24" x14ac:dyDescent="0.25">
      <c r="B30" s="174">
        <f t="shared" si="0"/>
        <v>0.25000000000000006</v>
      </c>
      <c r="C30" s="121">
        <f>1/DATI!$E$21*IF(B30&lt;DATI!$E$28,DATI!$E$15*DATI!$E$25*DATI!$E$32*DATI!$E$16*(B30/DATI!$E$28+1/(DATI!$E$32*DATI!$E$16)*(1-B30/DATI!$E$28)),IF(B30&lt;DATI!$E$29,DATI!$E$15*DATI!$E$25*DATI!$E$32*DATI!$E$16,IF(B30&lt;DATI!$E$30,DATI!$E$15*DATI!$E$25*DATI!$E$32*DATI!$E$16*(DATI!$E$29/B30),DATI!$E$15*DATI!$E$25*DATI!$E$32*DATI!$E$16*((DATI!$E$29*DATI!$E$30)/B30^2))))</f>
        <v>0.56452049207033328</v>
      </c>
      <c r="D30" s="91"/>
      <c r="E30" s="309" t="s">
        <v>275</v>
      </c>
      <c r="F30" s="309"/>
      <c r="G30" s="310"/>
      <c r="H30" s="131"/>
      <c r="I30" s="309" t="s">
        <v>276</v>
      </c>
      <c r="J30" s="310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</row>
    <row r="31" spans="2:24" ht="18" x14ac:dyDescent="0.25">
      <c r="B31" s="174">
        <f t="shared" si="0"/>
        <v>0.26000000000000006</v>
      </c>
      <c r="C31" s="121">
        <f>1/DATI!$E$21*IF(B31&lt;DATI!$E$28,DATI!$E$15*DATI!$E$25*DATI!$E$32*DATI!$E$16*(B31/DATI!$E$28+1/(DATI!$E$32*DATI!$E$16)*(1-B31/DATI!$E$28)),IF(B31&lt;DATI!$E$29,DATI!$E$15*DATI!$E$25*DATI!$E$32*DATI!$E$16,IF(B31&lt;DATI!$E$30,DATI!$E$15*DATI!$E$25*DATI!$E$32*DATI!$E$16*(DATI!$E$29/B31),DATI!$E$15*DATI!$E$25*DATI!$E$32*DATI!$E$16*((DATI!$E$29*DATI!$E$30)/B31^2))))</f>
        <v>0.56452049207033328</v>
      </c>
      <c r="D31" s="91"/>
      <c r="E31" s="307" t="s">
        <v>277</v>
      </c>
      <c r="F31" s="308"/>
      <c r="G31" s="187">
        <f>1/DATI!$E$21*IF(J31&lt;DATI!$E$28,DATI!$E$15*DATI!$E$25*DATI!$E$32*DATI!$E$16*(J31/DATI!$E$28+1/(DATI!$E$32*DATI!$E$16)*(1-J31/DATI!$E$28)),IF(J31&lt;DATI!$E$29,DATI!$E$15*DATI!$E$25*DATI!$E$32*DATI!$E$16,IF(J31&lt;DATI!$E$30,DATI!$E$15*DATI!$E$25*DATI!$E$32*DATI!$E$16*(DATI!$E$29/J31),DATI!$E$15*DATI!$E$25*DATI!$E$32*DATI!$E$16*((DATI!$E$29*DATI!$E$30)/J31^2))))</f>
        <v>0.23521687169597222</v>
      </c>
      <c r="H31" s="131"/>
      <c r="I31" s="175" t="s">
        <v>278</v>
      </c>
      <c r="J31" s="188">
        <v>0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</row>
    <row r="32" spans="2:24" ht="18" x14ac:dyDescent="0.25">
      <c r="B32" s="174">
        <f t="shared" si="0"/>
        <v>0.27000000000000007</v>
      </c>
      <c r="C32" s="121">
        <f>1/DATI!$E$21*IF(B32&lt;DATI!$E$28,DATI!$E$15*DATI!$E$25*DATI!$E$32*DATI!$E$16*(B32/DATI!$E$28+1/(DATI!$E$32*DATI!$E$16)*(1-B32/DATI!$E$28)),IF(B32&lt;DATI!$E$29,DATI!$E$15*DATI!$E$25*DATI!$E$32*DATI!$E$16,IF(B32&lt;DATI!$E$30,DATI!$E$15*DATI!$E$25*DATI!$E$32*DATI!$E$16*(DATI!$E$29/B32),DATI!$E$15*DATI!$E$25*DATI!$E$32*DATI!$E$16*((DATI!$E$29*DATI!$E$30)/B32^2))))</f>
        <v>0.56452049207033328</v>
      </c>
      <c r="D32" s="91"/>
      <c r="E32" s="307" t="s">
        <v>279</v>
      </c>
      <c r="F32" s="308"/>
      <c r="G32" s="187">
        <f>1/DATI!$E$21*IF(J32&lt;DATI!$E$28,DATI!$E$15*DATI!$E$25*DATI!$E$32*DATI!$E$16*(J32/DATI!$E$28+1/(DATI!$E$32*DATI!$E$16)*(1-J32/DATI!$E$28)),IF(J32&lt;DATI!$E$29,DATI!$E$15*DATI!$E$25*DATI!$E$32*DATI!$E$16,IF(J32&lt;DATI!$E$30,DATI!$E$15*DATI!$E$25*DATI!$E$32*DATI!$E$16*(DATI!$E$29/J32),DATI!$E$15*DATI!$E$25*DATI!$E$32*DATI!$E$16*((DATI!$E$29*DATI!$E$30)/J32^2))))</f>
        <v>0.56452049207033328</v>
      </c>
      <c r="H32" s="131"/>
      <c r="I32" s="175" t="s">
        <v>163</v>
      </c>
      <c r="J32" s="188">
        <f>DATI!E28</f>
        <v>0.15656965564403807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</row>
    <row r="33" spans="2:24" ht="18" x14ac:dyDescent="0.25">
      <c r="B33" s="174">
        <f t="shared" si="0"/>
        <v>0.28000000000000008</v>
      </c>
      <c r="C33" s="121">
        <f>1/DATI!$E$21*IF(B33&lt;DATI!$E$28,DATI!$E$15*DATI!$E$25*DATI!$E$32*DATI!$E$16*(B33/DATI!$E$28+1/(DATI!$E$32*DATI!$E$16)*(1-B33/DATI!$E$28)),IF(B33&lt;DATI!$E$29,DATI!$E$15*DATI!$E$25*DATI!$E$32*DATI!$E$16,IF(B33&lt;DATI!$E$30,DATI!$E$15*DATI!$E$25*DATI!$E$32*DATI!$E$16*(DATI!$E$29/B33),DATI!$E$15*DATI!$E$25*DATI!$E$32*DATI!$E$16*((DATI!$E$29*DATI!$E$30)/B33^2))))</f>
        <v>0.56452049207033328</v>
      </c>
      <c r="D33" s="91"/>
      <c r="E33" s="307" t="s">
        <v>280</v>
      </c>
      <c r="F33" s="308"/>
      <c r="G33" s="187">
        <f>1/DATI!$E$21*IF(J33&lt;DATI!$E$28,DATI!$E$15*DATI!$E$25*DATI!$E$32*DATI!$E$16*(J33/DATI!$E$28+1/(DATI!$E$32*DATI!$E$16)*(1-J33/DATI!$E$28)),IF(J33&lt;DATI!$E$29,DATI!$E$15*DATI!$E$25*DATI!$E$32*DATI!$E$16,IF(J33&lt;DATI!$E$30,DATI!$E$15*DATI!$E$25*DATI!$E$32*DATI!$E$16*(DATI!$E$29/J33),DATI!$E$15*DATI!$E$25*DATI!$E$32*DATI!$E$16*((DATI!$E$29*DATI!$E$30)/J33^2))))</f>
        <v>0.56452049207033328</v>
      </c>
      <c r="H33" s="131"/>
      <c r="I33" s="175" t="s">
        <v>165</v>
      </c>
      <c r="J33" s="188">
        <f>DATI!E29</f>
        <v>0.46970896693211422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2:24" ht="18" x14ac:dyDescent="0.25">
      <c r="B34" s="174">
        <f t="shared" si="0"/>
        <v>0.29000000000000009</v>
      </c>
      <c r="C34" s="121">
        <f>1/DATI!$E$21*IF(B34&lt;DATI!$E$28,DATI!$E$15*DATI!$E$25*DATI!$E$32*DATI!$E$16*(B34/DATI!$E$28+1/(DATI!$E$32*DATI!$E$16)*(1-B34/DATI!$E$28)),IF(B34&lt;DATI!$E$29,DATI!$E$15*DATI!$E$25*DATI!$E$32*DATI!$E$16,IF(B34&lt;DATI!$E$30,DATI!$E$15*DATI!$E$25*DATI!$E$32*DATI!$E$16*(DATI!$E$29/B34),DATI!$E$15*DATI!$E$25*DATI!$E$32*DATI!$E$16*((DATI!$E$29*DATI!$E$30)/B34^2))))</f>
        <v>0.56452049207033328</v>
      </c>
      <c r="D34" s="91"/>
      <c r="E34" s="307" t="s">
        <v>281</v>
      </c>
      <c r="F34" s="308"/>
      <c r="G34" s="187">
        <f>1/DATI!$E$21*IF(J34&lt;DATI!$E$28,DATI!$E$15*DATI!$E$25*DATI!$E$32*DATI!$E$16*(J34/DATI!$E$28+1/(DATI!$E$32*DATI!$E$16)*(1-J34/DATI!$E$28)),IF(J34&lt;DATI!$E$29,DATI!$E$15*DATI!$E$25*DATI!$E$32*DATI!$E$16,IF(J34&lt;DATI!$E$30,DATI!$E$15*DATI!$E$25*DATI!$E$32*DATI!$E$16*(DATI!$E$29/J34),DATI!$E$15*DATI!$E$25*DATI!$E$32*DATI!$E$16*((DATI!$E$29*DATI!$E$30)/J34^2))))</f>
        <v>0.11836135588210266</v>
      </c>
      <c r="H34" s="131"/>
      <c r="I34" s="175" t="s">
        <v>167</v>
      </c>
      <c r="J34" s="188">
        <f>DATI!E30</f>
        <v>2.2402610646542933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</row>
    <row r="35" spans="2:24" x14ac:dyDescent="0.25">
      <c r="B35" s="174">
        <f t="shared" si="0"/>
        <v>0.3000000000000001</v>
      </c>
      <c r="C35" s="121">
        <f>1/DATI!$E$21*IF(B35&lt;DATI!$E$28,DATI!$E$15*DATI!$E$25*DATI!$E$32*DATI!$E$16*(B35/DATI!$E$28+1/(DATI!$E$32*DATI!$E$16)*(1-B35/DATI!$E$28)),IF(B35&lt;DATI!$E$29,DATI!$E$15*DATI!$E$25*DATI!$E$32*DATI!$E$16,IF(B35&lt;DATI!$E$30,DATI!$E$15*DATI!$E$25*DATI!$E$32*DATI!$E$16*(DATI!$E$29/B35),DATI!$E$15*DATI!$E$25*DATI!$E$32*DATI!$E$16*((DATI!$E$29*DATI!$E$30)/B35^2))))</f>
        <v>0.56452049207033328</v>
      </c>
      <c r="D35" s="9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</row>
    <row r="36" spans="2:24" x14ac:dyDescent="0.25">
      <c r="B36" s="174">
        <f t="shared" si="0"/>
        <v>0.31000000000000011</v>
      </c>
      <c r="C36" s="121">
        <f>1/DATI!$E$21*IF(B36&lt;DATI!$E$28,DATI!$E$15*DATI!$E$25*DATI!$E$32*DATI!$E$16*(B36/DATI!$E$28+1/(DATI!$E$32*DATI!$E$16)*(1-B36/DATI!$E$28)),IF(B36&lt;DATI!$E$29,DATI!$E$15*DATI!$E$25*DATI!$E$32*DATI!$E$16,IF(B36&lt;DATI!$E$30,DATI!$E$15*DATI!$E$25*DATI!$E$32*DATI!$E$16*(DATI!$E$29/B36),DATI!$E$15*DATI!$E$25*DATI!$E$32*DATI!$E$16*((DATI!$E$29*DATI!$E$30)/B36^2))))</f>
        <v>0.56452049207033328</v>
      </c>
      <c r="D36" s="9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</row>
    <row r="37" spans="2:24" x14ac:dyDescent="0.25">
      <c r="B37" s="174">
        <f t="shared" si="0"/>
        <v>0.32000000000000012</v>
      </c>
      <c r="C37" s="121">
        <f>1/DATI!$E$21*IF(B37&lt;DATI!$E$28,DATI!$E$15*DATI!$E$25*DATI!$E$32*DATI!$E$16*(B37/DATI!$E$28+1/(DATI!$E$32*DATI!$E$16)*(1-B37/DATI!$E$28)),IF(B37&lt;DATI!$E$29,DATI!$E$15*DATI!$E$25*DATI!$E$32*DATI!$E$16,IF(B37&lt;DATI!$E$30,DATI!$E$15*DATI!$E$25*DATI!$E$32*DATI!$E$16*(DATI!$E$29/B37),DATI!$E$15*DATI!$E$25*DATI!$E$32*DATI!$E$16*((DATI!$E$29*DATI!$E$30)/B37^2))))</f>
        <v>0.56452049207033328</v>
      </c>
      <c r="D37" s="9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</row>
    <row r="38" spans="2:24" x14ac:dyDescent="0.25">
      <c r="B38" s="174">
        <f t="shared" si="0"/>
        <v>0.33000000000000013</v>
      </c>
      <c r="C38" s="121">
        <f>1/DATI!$E$21*IF(B38&lt;DATI!$E$28,DATI!$E$15*DATI!$E$25*DATI!$E$32*DATI!$E$16*(B38/DATI!$E$28+1/(DATI!$E$32*DATI!$E$16)*(1-B38/DATI!$E$28)),IF(B38&lt;DATI!$E$29,DATI!$E$15*DATI!$E$25*DATI!$E$32*DATI!$E$16,IF(B38&lt;DATI!$E$30,DATI!$E$15*DATI!$E$25*DATI!$E$32*DATI!$E$16*(DATI!$E$29/B38),DATI!$E$15*DATI!$E$25*DATI!$E$32*DATI!$E$16*((DATI!$E$29*DATI!$E$30)/B38^2))))</f>
        <v>0.56452049207033328</v>
      </c>
      <c r="D38" s="9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2:24" x14ac:dyDescent="0.25">
      <c r="B39" s="174">
        <f t="shared" si="0"/>
        <v>0.34000000000000014</v>
      </c>
      <c r="C39" s="121">
        <f>1/DATI!$E$21*IF(B39&lt;DATI!$E$28,DATI!$E$15*DATI!$E$25*DATI!$E$32*DATI!$E$16*(B39/DATI!$E$28+1/(DATI!$E$32*DATI!$E$16)*(1-B39/DATI!$E$28)),IF(B39&lt;DATI!$E$29,DATI!$E$15*DATI!$E$25*DATI!$E$32*DATI!$E$16,IF(B39&lt;DATI!$E$30,DATI!$E$15*DATI!$E$25*DATI!$E$32*DATI!$E$16*(DATI!$E$29/B39),DATI!$E$15*DATI!$E$25*DATI!$E$32*DATI!$E$16*((DATI!$E$29*DATI!$E$30)/B39^2))))</f>
        <v>0.56452049207033328</v>
      </c>
      <c r="D39" s="9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2:24" x14ac:dyDescent="0.25">
      <c r="B40" s="174">
        <f t="shared" si="0"/>
        <v>0.35000000000000014</v>
      </c>
      <c r="C40" s="121">
        <f>1/DATI!$E$21*IF(B40&lt;DATI!$E$28,DATI!$E$15*DATI!$E$25*DATI!$E$32*DATI!$E$16*(B40/DATI!$E$28+1/(DATI!$E$32*DATI!$E$16)*(1-B40/DATI!$E$28)),IF(B40&lt;DATI!$E$29,DATI!$E$15*DATI!$E$25*DATI!$E$32*DATI!$E$16,IF(B40&lt;DATI!$E$30,DATI!$E$15*DATI!$E$25*DATI!$E$32*DATI!$E$16*(DATI!$E$29/B40),DATI!$E$15*DATI!$E$25*DATI!$E$32*DATI!$E$16*((DATI!$E$29*DATI!$E$30)/B40^2))))</f>
        <v>0.56452049207033328</v>
      </c>
      <c r="D40" s="9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2:24" x14ac:dyDescent="0.25">
      <c r="B41" s="174">
        <f t="shared" si="0"/>
        <v>0.36000000000000015</v>
      </c>
      <c r="C41" s="121">
        <f>1/DATI!$E$21*IF(B41&lt;DATI!$E$28,DATI!$E$15*DATI!$E$25*DATI!$E$32*DATI!$E$16*(B41/DATI!$E$28+1/(DATI!$E$32*DATI!$E$16)*(1-B41/DATI!$E$28)),IF(B41&lt;DATI!$E$29,DATI!$E$15*DATI!$E$25*DATI!$E$32*DATI!$E$16,IF(B41&lt;DATI!$E$30,DATI!$E$15*DATI!$E$25*DATI!$E$32*DATI!$E$16*(DATI!$E$29/B41),DATI!$E$15*DATI!$E$25*DATI!$E$32*DATI!$E$16*((DATI!$E$29*DATI!$E$30)/B41^2))))</f>
        <v>0.56452049207033328</v>
      </c>
      <c r="D41" s="9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2:24" x14ac:dyDescent="0.25">
      <c r="B42" s="174">
        <f t="shared" si="0"/>
        <v>0.37000000000000016</v>
      </c>
      <c r="C42" s="121">
        <f>1/DATI!$E$21*IF(B42&lt;DATI!$E$28,DATI!$E$15*DATI!$E$25*DATI!$E$32*DATI!$E$16*(B42/DATI!$E$28+1/(DATI!$E$32*DATI!$E$16)*(1-B42/DATI!$E$28)),IF(B42&lt;DATI!$E$29,DATI!$E$15*DATI!$E$25*DATI!$E$32*DATI!$E$16,IF(B42&lt;DATI!$E$30,DATI!$E$15*DATI!$E$25*DATI!$E$32*DATI!$E$16*(DATI!$E$29/B42),DATI!$E$15*DATI!$E$25*DATI!$E$32*DATI!$E$16*((DATI!$E$29*DATI!$E$30)/B42^2))))</f>
        <v>0.56452049207033328</v>
      </c>
      <c r="D42" s="9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2:24" x14ac:dyDescent="0.25">
      <c r="B43" s="174">
        <f t="shared" si="0"/>
        <v>0.38000000000000017</v>
      </c>
      <c r="C43" s="121">
        <f>1/DATI!$E$21*IF(B43&lt;DATI!$E$28,DATI!$E$15*DATI!$E$25*DATI!$E$32*DATI!$E$16*(B43/DATI!$E$28+1/(DATI!$E$32*DATI!$E$16)*(1-B43/DATI!$E$28)),IF(B43&lt;DATI!$E$29,DATI!$E$15*DATI!$E$25*DATI!$E$32*DATI!$E$16,IF(B43&lt;DATI!$E$30,DATI!$E$15*DATI!$E$25*DATI!$E$32*DATI!$E$16*(DATI!$E$29/B43),DATI!$E$15*DATI!$E$25*DATI!$E$32*DATI!$E$16*((DATI!$E$29*DATI!$E$30)/B43^2))))</f>
        <v>0.56452049207033328</v>
      </c>
      <c r="D43" s="9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2:24" x14ac:dyDescent="0.25">
      <c r="B44" s="174">
        <f t="shared" si="0"/>
        <v>0.39000000000000018</v>
      </c>
      <c r="C44" s="121">
        <f>1/DATI!$E$21*IF(B44&lt;DATI!$E$28,DATI!$E$15*DATI!$E$25*DATI!$E$32*DATI!$E$16*(B44/DATI!$E$28+1/(DATI!$E$32*DATI!$E$16)*(1-B44/DATI!$E$28)),IF(B44&lt;DATI!$E$29,DATI!$E$15*DATI!$E$25*DATI!$E$32*DATI!$E$16,IF(B44&lt;DATI!$E$30,DATI!$E$15*DATI!$E$25*DATI!$E$32*DATI!$E$16*(DATI!$E$29/B44),DATI!$E$15*DATI!$E$25*DATI!$E$32*DATI!$E$16*((DATI!$E$29*DATI!$E$30)/B44^2))))</f>
        <v>0.56452049207033328</v>
      </c>
      <c r="D44" s="9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2:24" x14ac:dyDescent="0.25">
      <c r="B45" s="174">
        <f t="shared" si="0"/>
        <v>0.40000000000000019</v>
      </c>
      <c r="C45" s="121">
        <f>1/DATI!$E$21*IF(B45&lt;DATI!$E$28,DATI!$E$15*DATI!$E$25*DATI!$E$32*DATI!$E$16*(B45/DATI!$E$28+1/(DATI!$E$32*DATI!$E$16)*(1-B45/DATI!$E$28)),IF(B45&lt;DATI!$E$29,DATI!$E$15*DATI!$E$25*DATI!$E$32*DATI!$E$16,IF(B45&lt;DATI!$E$30,DATI!$E$15*DATI!$E$25*DATI!$E$32*DATI!$E$16*(DATI!$E$29/B45),DATI!$E$15*DATI!$E$25*DATI!$E$32*DATI!$E$16*((DATI!$E$29*DATI!$E$30)/B45^2))))</f>
        <v>0.56452049207033328</v>
      </c>
      <c r="D45" s="9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2:24" x14ac:dyDescent="0.25">
      <c r="B46" s="174">
        <f t="shared" si="0"/>
        <v>0.4100000000000002</v>
      </c>
      <c r="C46" s="121">
        <f>1/DATI!$E$21*IF(B46&lt;DATI!$E$28,DATI!$E$15*DATI!$E$25*DATI!$E$32*DATI!$E$16*(B46/DATI!$E$28+1/(DATI!$E$32*DATI!$E$16)*(1-B46/DATI!$E$28)),IF(B46&lt;DATI!$E$29,DATI!$E$15*DATI!$E$25*DATI!$E$32*DATI!$E$16,IF(B46&lt;DATI!$E$30,DATI!$E$15*DATI!$E$25*DATI!$E$32*DATI!$E$16*(DATI!$E$29/B46),DATI!$E$15*DATI!$E$25*DATI!$E$32*DATI!$E$16*((DATI!$E$29*DATI!$E$30)/B46^2))))</f>
        <v>0.56452049207033328</v>
      </c>
      <c r="D46" s="9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2:24" x14ac:dyDescent="0.25">
      <c r="B47" s="174">
        <f t="shared" si="0"/>
        <v>0.42000000000000021</v>
      </c>
      <c r="C47" s="121">
        <f>1/DATI!$E$21*IF(B47&lt;DATI!$E$28,DATI!$E$15*DATI!$E$25*DATI!$E$32*DATI!$E$16*(B47/DATI!$E$28+1/(DATI!$E$32*DATI!$E$16)*(1-B47/DATI!$E$28)),IF(B47&lt;DATI!$E$29,DATI!$E$15*DATI!$E$25*DATI!$E$32*DATI!$E$16,IF(B47&lt;DATI!$E$30,DATI!$E$15*DATI!$E$25*DATI!$E$32*DATI!$E$16*(DATI!$E$29/B47),DATI!$E$15*DATI!$E$25*DATI!$E$32*DATI!$E$16*((DATI!$E$29*DATI!$E$30)/B47^2))))</f>
        <v>0.56452049207033328</v>
      </c>
      <c r="D47" s="9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2:24" x14ac:dyDescent="0.25">
      <c r="B48" s="174">
        <f t="shared" si="0"/>
        <v>0.43000000000000022</v>
      </c>
      <c r="C48" s="121">
        <f>1/DATI!$E$21*IF(B48&lt;DATI!$E$28,DATI!$E$15*DATI!$E$25*DATI!$E$32*DATI!$E$16*(B48/DATI!$E$28+1/(DATI!$E$32*DATI!$E$16)*(1-B48/DATI!$E$28)),IF(B48&lt;DATI!$E$29,DATI!$E$15*DATI!$E$25*DATI!$E$32*DATI!$E$16,IF(B48&lt;DATI!$E$30,DATI!$E$15*DATI!$E$25*DATI!$E$32*DATI!$E$16*(DATI!$E$29/B48),DATI!$E$15*DATI!$E$25*DATI!$E$32*DATI!$E$16*((DATI!$E$29*DATI!$E$30)/B48^2))))</f>
        <v>0.56452049207033328</v>
      </c>
      <c r="D48" s="9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2:24" x14ac:dyDescent="0.25">
      <c r="B49" s="174">
        <f t="shared" si="0"/>
        <v>0.44000000000000022</v>
      </c>
      <c r="C49" s="121">
        <f>1/DATI!$E$21*IF(B49&lt;DATI!$E$28,DATI!$E$15*DATI!$E$25*DATI!$E$32*DATI!$E$16*(B49/DATI!$E$28+1/(DATI!$E$32*DATI!$E$16)*(1-B49/DATI!$E$28)),IF(B49&lt;DATI!$E$29,DATI!$E$15*DATI!$E$25*DATI!$E$32*DATI!$E$16,IF(B49&lt;DATI!$E$30,DATI!$E$15*DATI!$E$25*DATI!$E$32*DATI!$E$16*(DATI!$E$29/B49),DATI!$E$15*DATI!$E$25*DATI!$E$32*DATI!$E$16*((DATI!$E$29*DATI!$E$30)/B49^2))))</f>
        <v>0.56452049207033328</v>
      </c>
      <c r="D49" s="9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</row>
    <row r="50" spans="2:24" x14ac:dyDescent="0.25">
      <c r="B50" s="174">
        <f t="shared" si="0"/>
        <v>0.45000000000000023</v>
      </c>
      <c r="C50" s="121">
        <f>1/DATI!$E$21*IF(B50&lt;DATI!$E$28,DATI!$E$15*DATI!$E$25*DATI!$E$32*DATI!$E$16*(B50/DATI!$E$28+1/(DATI!$E$32*DATI!$E$16)*(1-B50/DATI!$E$28)),IF(B50&lt;DATI!$E$29,DATI!$E$15*DATI!$E$25*DATI!$E$32*DATI!$E$16,IF(B50&lt;DATI!$E$30,DATI!$E$15*DATI!$E$25*DATI!$E$32*DATI!$E$16*(DATI!$E$29/B50),DATI!$E$15*DATI!$E$25*DATI!$E$32*DATI!$E$16*((DATI!$E$29*DATI!$E$30)/B50^2))))</f>
        <v>0.56452049207033328</v>
      </c>
      <c r="D50" s="9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</row>
    <row r="51" spans="2:24" x14ac:dyDescent="0.25">
      <c r="B51" s="174">
        <f t="shared" si="0"/>
        <v>0.46000000000000024</v>
      </c>
      <c r="C51" s="121">
        <f>1/DATI!$E$21*IF(B51&lt;DATI!$E$28,DATI!$E$15*DATI!$E$25*DATI!$E$32*DATI!$E$16*(B51/DATI!$E$28+1/(DATI!$E$32*DATI!$E$16)*(1-B51/DATI!$E$28)),IF(B51&lt;DATI!$E$29,DATI!$E$15*DATI!$E$25*DATI!$E$32*DATI!$E$16,IF(B51&lt;DATI!$E$30,DATI!$E$15*DATI!$E$25*DATI!$E$32*DATI!$E$16*(DATI!$E$29/B51),DATI!$E$15*DATI!$E$25*DATI!$E$32*DATI!$E$16*((DATI!$E$29*DATI!$E$30)/B51^2))))</f>
        <v>0.56452049207033328</v>
      </c>
      <c r="D51" s="9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</row>
    <row r="52" spans="2:24" x14ac:dyDescent="0.25">
      <c r="B52" s="174">
        <f t="shared" si="0"/>
        <v>0.47000000000000025</v>
      </c>
      <c r="C52" s="121">
        <f>1/DATI!$E$21*IF(B52&lt;DATI!$E$28,DATI!$E$15*DATI!$E$25*DATI!$E$32*DATI!$E$16*(B52/DATI!$E$28+1/(DATI!$E$32*DATI!$E$16)*(1-B52/DATI!$E$28)),IF(B52&lt;DATI!$E$29,DATI!$E$15*DATI!$E$25*DATI!$E$32*DATI!$E$16,IF(B52&lt;DATI!$E$30,DATI!$E$15*DATI!$E$25*DATI!$E$32*DATI!$E$16*(DATI!$E$29/B52),DATI!$E$15*DATI!$E$25*DATI!$E$32*DATI!$E$16*((DATI!$E$29*DATI!$E$30)/B52^2))))</f>
        <v>0.56417093009013808</v>
      </c>
      <c r="D52" s="9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</row>
    <row r="53" spans="2:24" x14ac:dyDescent="0.25">
      <c r="B53" s="174">
        <f t="shared" si="0"/>
        <v>0.48000000000000026</v>
      </c>
      <c r="C53" s="121">
        <f>1/DATI!$E$21*IF(B53&lt;DATI!$E$28,DATI!$E$15*DATI!$E$25*DATI!$E$32*DATI!$E$16*(B53/DATI!$E$28+1/(DATI!$E$32*DATI!$E$16)*(1-B53/DATI!$E$28)),IF(B53&lt;DATI!$E$29,DATI!$E$15*DATI!$E$25*DATI!$E$32*DATI!$E$16,IF(B53&lt;DATI!$E$30,DATI!$E$15*DATI!$E$25*DATI!$E$32*DATI!$E$16*(DATI!$E$29/B53),DATI!$E$15*DATI!$E$25*DATI!$E$32*DATI!$E$16*((DATI!$E$29*DATI!$E$30)/B53^2))))</f>
        <v>0.55241736904659355</v>
      </c>
      <c r="D53" s="9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</row>
    <row r="54" spans="2:24" x14ac:dyDescent="0.25">
      <c r="B54" s="174">
        <f t="shared" si="0"/>
        <v>0.49000000000000027</v>
      </c>
      <c r="C54" s="121">
        <f>1/DATI!$E$21*IF(B54&lt;DATI!$E$28,DATI!$E$15*DATI!$E$25*DATI!$E$32*DATI!$E$16*(B54/DATI!$E$28+1/(DATI!$E$32*DATI!$E$16)*(1-B54/DATI!$E$28)),IF(B54&lt;DATI!$E$29,DATI!$E$15*DATI!$E$25*DATI!$E$32*DATI!$E$16,IF(B54&lt;DATI!$E$30,DATI!$E$15*DATI!$E$25*DATI!$E$32*DATI!$E$16*(DATI!$E$29/B54),DATI!$E$15*DATI!$E$25*DATI!$E$32*DATI!$E$16*((DATI!$E$29*DATI!$E$30)/B54^2))))</f>
        <v>0.54114354518849983</v>
      </c>
      <c r="D54" s="9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2:24" x14ac:dyDescent="0.25">
      <c r="B55" s="174">
        <f t="shared" si="0"/>
        <v>0.50000000000000022</v>
      </c>
      <c r="C55" s="121">
        <f>1/DATI!$E$21*IF(B55&lt;DATI!$E$28,DATI!$E$15*DATI!$E$25*DATI!$E$32*DATI!$E$16*(B55/DATI!$E$28+1/(DATI!$E$32*DATI!$E$16)*(1-B55/DATI!$E$28)),IF(B55&lt;DATI!$E$29,DATI!$E$15*DATI!$E$25*DATI!$E$32*DATI!$E$16,IF(B55&lt;DATI!$E$30,DATI!$E$15*DATI!$E$25*DATI!$E$32*DATI!$E$16*(DATI!$E$29/B55),DATI!$E$15*DATI!$E$25*DATI!$E$32*DATI!$E$16*((DATI!$E$29*DATI!$E$30)/B55^2))))</f>
        <v>0.53032067428472984</v>
      </c>
      <c r="D55" s="9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2:24" x14ac:dyDescent="0.25">
      <c r="B56" s="174">
        <f t="shared" si="0"/>
        <v>0.51000000000000023</v>
      </c>
      <c r="C56" s="121">
        <f>1/DATI!$E$21*IF(B56&lt;DATI!$E$28,DATI!$E$15*DATI!$E$25*DATI!$E$32*DATI!$E$16*(B56/DATI!$E$28+1/(DATI!$E$32*DATI!$E$16)*(1-B56/DATI!$E$28)),IF(B56&lt;DATI!$E$29,DATI!$E$15*DATI!$E$25*DATI!$E$32*DATI!$E$16,IF(B56&lt;DATI!$E$30,DATI!$E$15*DATI!$E$25*DATI!$E$32*DATI!$E$16*(DATI!$E$29/B56),DATI!$E$15*DATI!$E$25*DATI!$E$32*DATI!$E$16*((DATI!$E$29*DATI!$E$30)/B56^2))))</f>
        <v>0.51992222969091162</v>
      </c>
      <c r="D56" s="9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2:24" x14ac:dyDescent="0.25">
      <c r="B57" s="174">
        <f t="shared" si="0"/>
        <v>0.52000000000000024</v>
      </c>
      <c r="C57" s="121">
        <f>1/DATI!$E$21*IF(B57&lt;DATI!$E$28,DATI!$E$15*DATI!$E$25*DATI!$E$32*DATI!$E$16*(B57/DATI!$E$28+1/(DATI!$E$32*DATI!$E$16)*(1-B57/DATI!$E$28)),IF(B57&lt;DATI!$E$29,DATI!$E$15*DATI!$E$25*DATI!$E$32*DATI!$E$16,IF(B57&lt;DATI!$E$30,DATI!$E$15*DATI!$E$25*DATI!$E$32*DATI!$E$16*(DATI!$E$29/B57),DATI!$E$15*DATI!$E$25*DATI!$E$32*DATI!$E$16*((DATI!$E$29*DATI!$E$30)/B57^2))))</f>
        <v>0.50992372527377872</v>
      </c>
      <c r="D57" s="9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2:24" x14ac:dyDescent="0.25">
      <c r="B58" s="174">
        <f t="shared" si="0"/>
        <v>0.53000000000000025</v>
      </c>
      <c r="C58" s="121">
        <f>1/DATI!$E$21*IF(B58&lt;DATI!$E$28,DATI!$E$15*DATI!$E$25*DATI!$E$32*DATI!$E$16*(B58/DATI!$E$28+1/(DATI!$E$32*DATI!$E$16)*(1-B58/DATI!$E$28)),IF(B58&lt;DATI!$E$29,DATI!$E$15*DATI!$E$25*DATI!$E$32*DATI!$E$16,IF(B58&lt;DATI!$E$30,DATI!$E$15*DATI!$E$25*DATI!$E$32*DATI!$E$16*(DATI!$E$29/B58),DATI!$E$15*DATI!$E$25*DATI!$E$32*DATI!$E$16*((DATI!$E$29*DATI!$E$30)/B58^2))))</f>
        <v>0.50030252291012256</v>
      </c>
      <c r="D58" s="9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2:24" x14ac:dyDescent="0.25">
      <c r="B59" s="174">
        <f t="shared" si="0"/>
        <v>0.54000000000000026</v>
      </c>
      <c r="C59" s="121">
        <f>1/DATI!$E$21*IF(B59&lt;DATI!$E$28,DATI!$E$15*DATI!$E$25*DATI!$E$32*DATI!$E$16*(B59/DATI!$E$28+1/(DATI!$E$32*DATI!$E$16)*(1-B59/DATI!$E$28)),IF(B59&lt;DATI!$E$29,DATI!$E$15*DATI!$E$25*DATI!$E$32*DATI!$E$16,IF(B59&lt;DATI!$E$30,DATI!$E$15*DATI!$E$25*DATI!$E$32*DATI!$E$16*(DATI!$E$29/B59),DATI!$E$15*DATI!$E$25*DATI!$E$32*DATI!$E$16*((DATI!$E$29*DATI!$E$30)/B59^2))))</f>
        <v>0.4910376613747498</v>
      </c>
      <c r="D59" s="9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2:24" x14ac:dyDescent="0.25">
      <c r="B60" s="174">
        <f t="shared" si="0"/>
        <v>0.55000000000000027</v>
      </c>
      <c r="C60" s="121">
        <f>1/DATI!$E$21*IF(B60&lt;DATI!$E$28,DATI!$E$15*DATI!$E$25*DATI!$E$32*DATI!$E$16*(B60/DATI!$E$28+1/(DATI!$E$32*DATI!$E$16)*(1-B60/DATI!$E$28)),IF(B60&lt;DATI!$E$29,DATI!$E$15*DATI!$E$25*DATI!$E$32*DATI!$E$16,IF(B60&lt;DATI!$E$30,DATI!$E$15*DATI!$E$25*DATI!$E$32*DATI!$E$16*(DATI!$E$29/B60),DATI!$E$15*DATI!$E$25*DATI!$E$32*DATI!$E$16*((DATI!$E$29*DATI!$E$30)/B60^2))))</f>
        <v>0.48210970389520891</v>
      </c>
      <c r="D60" s="9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2:24" x14ac:dyDescent="0.25">
      <c r="B61" s="174">
        <f t="shared" si="0"/>
        <v>0.56000000000000028</v>
      </c>
      <c r="C61" s="121">
        <f>1/DATI!$E$21*IF(B61&lt;DATI!$E$28,DATI!$E$15*DATI!$E$25*DATI!$E$32*DATI!$E$16*(B61/DATI!$E$28+1/(DATI!$E$32*DATI!$E$16)*(1-B61/DATI!$E$28)),IF(B61&lt;DATI!$E$29,DATI!$E$15*DATI!$E$25*DATI!$E$32*DATI!$E$16,IF(B61&lt;DATI!$E$30,DATI!$E$15*DATI!$E$25*DATI!$E$32*DATI!$E$16*(DATI!$E$29/B61),DATI!$E$15*DATI!$E$25*DATI!$E$32*DATI!$E$16*((DATI!$E$29*DATI!$E$30)/B61^2))))</f>
        <v>0.47350060203993738</v>
      </c>
      <c r="D61" s="9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2:24" x14ac:dyDescent="0.25">
      <c r="B62" s="174">
        <f t="shared" si="0"/>
        <v>0.57000000000000028</v>
      </c>
      <c r="C62" s="121">
        <f>1/DATI!$E$21*IF(B62&lt;DATI!$E$28,DATI!$E$15*DATI!$E$25*DATI!$E$32*DATI!$E$16*(B62/DATI!$E$28+1/(DATI!$E$32*DATI!$E$16)*(1-B62/DATI!$E$28)),IF(B62&lt;DATI!$E$29,DATI!$E$15*DATI!$E$25*DATI!$E$32*DATI!$E$16,IF(B62&lt;DATI!$E$30,DATI!$E$15*DATI!$E$25*DATI!$E$32*DATI!$E$16*(DATI!$E$29/B62),DATI!$E$15*DATI!$E$25*DATI!$E$32*DATI!$E$16*((DATI!$E$29*DATI!$E$30)/B62^2))))</f>
        <v>0.46519357393397348</v>
      </c>
      <c r="D62" s="9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2:24" x14ac:dyDescent="0.25">
      <c r="B63" s="174">
        <f t="shared" si="0"/>
        <v>0.58000000000000029</v>
      </c>
      <c r="C63" s="121">
        <f>1/DATI!$E$21*IF(B63&lt;DATI!$E$28,DATI!$E$15*DATI!$E$25*DATI!$E$32*DATI!$E$16*(B63/DATI!$E$28+1/(DATI!$E$32*DATI!$E$16)*(1-B63/DATI!$E$28)),IF(B63&lt;DATI!$E$29,DATI!$E$15*DATI!$E$25*DATI!$E$32*DATI!$E$16,IF(B63&lt;DATI!$E$30,DATI!$E$15*DATI!$E$25*DATI!$E$32*DATI!$E$16*(DATI!$E$29/B63),DATI!$E$15*DATI!$E$25*DATI!$E$32*DATI!$E$16*((DATI!$E$29*DATI!$E$30)/B63^2))))</f>
        <v>0.45717299507304299</v>
      </c>
      <c r="D63" s="9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2:24" x14ac:dyDescent="0.25">
      <c r="B64" s="174">
        <f t="shared" si="0"/>
        <v>0.5900000000000003</v>
      </c>
      <c r="C64" s="121">
        <f>1/DATI!$E$21*IF(B64&lt;DATI!$E$28,DATI!$E$15*DATI!$E$25*DATI!$E$32*DATI!$E$16*(B64/DATI!$E$28+1/(DATI!$E$32*DATI!$E$16)*(1-B64/DATI!$E$28)),IF(B64&lt;DATI!$E$29,DATI!$E$15*DATI!$E$25*DATI!$E$32*DATI!$E$16,IF(B64&lt;DATI!$E$30,DATI!$E$15*DATI!$E$25*DATI!$E$32*DATI!$E$16*(DATI!$E$29/B64),DATI!$E$15*DATI!$E$25*DATI!$E$32*DATI!$E$16*((DATI!$E$29*DATI!$E$30)/B64^2))))</f>
        <v>0.44942430024129643</v>
      </c>
      <c r="D64" s="9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2:24" x14ac:dyDescent="0.25">
      <c r="B65" s="174">
        <f t="shared" si="0"/>
        <v>0.60000000000000031</v>
      </c>
      <c r="C65" s="121">
        <f>1/DATI!$E$21*IF(B65&lt;DATI!$E$28,DATI!$E$15*DATI!$E$25*DATI!$E$32*DATI!$E$16*(B65/DATI!$E$28+1/(DATI!$E$32*DATI!$E$16)*(1-B65/DATI!$E$28)),IF(B65&lt;DATI!$E$29,DATI!$E$15*DATI!$E$25*DATI!$E$32*DATI!$E$16,IF(B65&lt;DATI!$E$30,DATI!$E$15*DATI!$E$25*DATI!$E$32*DATI!$E$16*(DATI!$E$29/B65),DATI!$E$15*DATI!$E$25*DATI!$E$32*DATI!$E$16*((DATI!$E$29*DATI!$E$30)/B65^2))))</f>
        <v>0.44193389523727483</v>
      </c>
      <c r="D65" s="9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2:24" x14ac:dyDescent="0.25">
      <c r="B66" s="174">
        <f t="shared" si="0"/>
        <v>0.61000000000000032</v>
      </c>
      <c r="C66" s="121">
        <f>1/DATI!$E$21*IF(B66&lt;DATI!$E$28,DATI!$E$15*DATI!$E$25*DATI!$E$32*DATI!$E$16*(B66/DATI!$E$28+1/(DATI!$E$32*DATI!$E$16)*(1-B66/DATI!$E$28)),IF(B66&lt;DATI!$E$29,DATI!$E$15*DATI!$E$25*DATI!$E$32*DATI!$E$16,IF(B66&lt;DATI!$E$30,DATI!$E$15*DATI!$E$25*DATI!$E$32*DATI!$E$16*(DATI!$E$29/B66),DATI!$E$15*DATI!$E$25*DATI!$E$32*DATI!$E$16*((DATI!$E$29*DATI!$E$30)/B66^2))))</f>
        <v>0.43468907728256534</v>
      </c>
      <c r="D66" s="9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2:24" x14ac:dyDescent="0.25">
      <c r="B67" s="174">
        <f t="shared" si="0"/>
        <v>0.62000000000000033</v>
      </c>
      <c r="C67" s="121">
        <f>1/DATI!$E$21*IF(B67&lt;DATI!$E$28,DATI!$E$15*DATI!$E$25*DATI!$E$32*DATI!$E$16*(B67/DATI!$E$28+1/(DATI!$E$32*DATI!$E$16)*(1-B67/DATI!$E$28)),IF(B67&lt;DATI!$E$29,DATI!$E$15*DATI!$E$25*DATI!$E$32*DATI!$E$16,IF(B67&lt;DATI!$E$30,DATI!$E$15*DATI!$E$25*DATI!$E$32*DATI!$E$16*(DATI!$E$29/B67),DATI!$E$15*DATI!$E$25*DATI!$E$32*DATI!$E$16*((DATI!$E$29*DATI!$E$30)/B67^2))))</f>
        <v>0.42767796313284656</v>
      </c>
      <c r="D67" s="9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2:24" x14ac:dyDescent="0.25">
      <c r="B68" s="174">
        <f t="shared" si="0"/>
        <v>0.63000000000000034</v>
      </c>
      <c r="C68" s="121">
        <f>1/DATI!$E$21*IF(B68&lt;DATI!$E$28,DATI!$E$15*DATI!$E$25*DATI!$E$32*DATI!$E$16*(B68/DATI!$E$28+1/(DATI!$E$32*DATI!$E$16)*(1-B68/DATI!$E$28)),IF(B68&lt;DATI!$E$29,DATI!$E$15*DATI!$E$25*DATI!$E$32*DATI!$E$16,IF(B68&lt;DATI!$E$30,DATI!$E$15*DATI!$E$25*DATI!$E$32*DATI!$E$16*(DATI!$E$29/B68),DATI!$E$15*DATI!$E$25*DATI!$E$32*DATI!$E$16*((DATI!$E$29*DATI!$E$30)/B68^2))))</f>
        <v>0.42088942403549989</v>
      </c>
      <c r="D68" s="9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</row>
    <row r="69" spans="2:24" x14ac:dyDescent="0.25">
      <c r="B69" s="174">
        <f t="shared" si="0"/>
        <v>0.64000000000000035</v>
      </c>
      <c r="C69" s="121">
        <f>1/DATI!$E$21*IF(B69&lt;DATI!$E$28,DATI!$E$15*DATI!$E$25*DATI!$E$32*DATI!$E$16*(B69/DATI!$E$28+1/(DATI!$E$32*DATI!$E$16)*(1-B69/DATI!$E$28)),IF(B69&lt;DATI!$E$29,DATI!$E$15*DATI!$E$25*DATI!$E$32*DATI!$E$16,IF(B69&lt;DATI!$E$30,DATI!$E$15*DATI!$E$25*DATI!$E$32*DATI!$E$16*(DATI!$E$29/B69),DATI!$E$15*DATI!$E$25*DATI!$E$32*DATI!$E$16*((DATI!$E$29*DATI!$E$30)/B69^2))))</f>
        <v>0.41431302678494514</v>
      </c>
      <c r="D69" s="9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</row>
    <row r="70" spans="2:24" x14ac:dyDescent="0.25">
      <c r="B70" s="174">
        <f t="shared" ref="B70:B133" si="1">0.01+B69</f>
        <v>0.65000000000000036</v>
      </c>
      <c r="C70" s="121">
        <f>1/DATI!$E$21*IF(B70&lt;DATI!$E$28,DATI!$E$15*DATI!$E$25*DATI!$E$32*DATI!$E$16*(B70/DATI!$E$28+1/(DATI!$E$32*DATI!$E$16)*(1-B70/DATI!$E$28)),IF(B70&lt;DATI!$E$29,DATI!$E$15*DATI!$E$25*DATI!$E$32*DATI!$E$16,IF(B70&lt;DATI!$E$30,DATI!$E$15*DATI!$E$25*DATI!$E$32*DATI!$E$16*(DATI!$E$29/B70),DATI!$E$15*DATI!$E$25*DATI!$E$32*DATI!$E$16*((DATI!$E$29*DATI!$E$30)/B70^2))))</f>
        <v>0.40793898021902292</v>
      </c>
      <c r="D70" s="9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</row>
    <row r="71" spans="2:24" x14ac:dyDescent="0.25">
      <c r="B71" s="174">
        <f t="shared" si="1"/>
        <v>0.66000000000000036</v>
      </c>
      <c r="C71" s="121">
        <f>1/DATI!$E$21*IF(B71&lt;DATI!$E$28,DATI!$E$15*DATI!$E$25*DATI!$E$32*DATI!$E$16*(B71/DATI!$E$28+1/(DATI!$E$32*DATI!$E$16)*(1-B71/DATI!$E$28)),IF(B71&lt;DATI!$E$29,DATI!$E$15*DATI!$E$25*DATI!$E$32*DATI!$E$16,IF(B71&lt;DATI!$E$30,DATI!$E$15*DATI!$E$25*DATI!$E$32*DATI!$E$16*(DATI!$E$29/B71),DATI!$E$15*DATI!$E$25*DATI!$E$32*DATI!$E$16*((DATI!$E$29*DATI!$E$30)/B71^2))))</f>
        <v>0.40175808657934076</v>
      </c>
      <c r="D71" s="9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</row>
    <row r="72" spans="2:24" x14ac:dyDescent="0.25">
      <c r="B72" s="174">
        <f t="shared" si="1"/>
        <v>0.67000000000000037</v>
      </c>
      <c r="C72" s="121">
        <f>1/DATI!$E$21*IF(B72&lt;DATI!$E$28,DATI!$E$15*DATI!$E$25*DATI!$E$32*DATI!$E$16*(B72/DATI!$E$28+1/(DATI!$E$32*DATI!$E$16)*(1-B72/DATI!$E$28)),IF(B72&lt;DATI!$E$29,DATI!$E$15*DATI!$E$25*DATI!$E$32*DATI!$E$16,IF(B72&lt;DATI!$E$30,DATI!$E$15*DATI!$E$25*DATI!$E$32*DATI!$E$16*(DATI!$E$29/B72),DATI!$E$15*DATI!$E$25*DATI!$E$32*DATI!$E$16*((DATI!$E$29*DATI!$E$30)/B72^2))))</f>
        <v>0.39576169722741023</v>
      </c>
      <c r="D72" s="9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</row>
    <row r="73" spans="2:24" x14ac:dyDescent="0.25">
      <c r="B73" s="174">
        <f t="shared" si="1"/>
        <v>0.68000000000000038</v>
      </c>
      <c r="C73" s="121">
        <f>1/DATI!$E$21*IF(B73&lt;DATI!$E$28,DATI!$E$15*DATI!$E$25*DATI!$E$32*DATI!$E$16*(B73/DATI!$E$28+1/(DATI!$E$32*DATI!$E$16)*(1-B73/DATI!$E$28)),IF(B73&lt;DATI!$E$29,DATI!$E$15*DATI!$E$25*DATI!$E$32*DATI!$E$16,IF(B73&lt;DATI!$E$30,DATI!$E$15*DATI!$E$25*DATI!$E$32*DATI!$E$16*(DATI!$E$29/B73),DATI!$E$15*DATI!$E$25*DATI!$E$32*DATI!$E$16*((DATI!$E$29*DATI!$E$30)/B73^2))))</f>
        <v>0.3899416722681836</v>
      </c>
      <c r="D73" s="9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</row>
    <row r="74" spans="2:24" x14ac:dyDescent="0.25">
      <c r="B74" s="174">
        <f t="shared" si="1"/>
        <v>0.69000000000000039</v>
      </c>
      <c r="C74" s="121">
        <f>1/DATI!$E$21*IF(B74&lt;DATI!$E$28,DATI!$E$15*DATI!$E$25*DATI!$E$32*DATI!$E$16*(B74/DATI!$E$28+1/(DATI!$E$32*DATI!$E$16)*(1-B74/DATI!$E$28)),IF(B74&lt;DATI!$E$29,DATI!$E$15*DATI!$E$25*DATI!$E$32*DATI!$E$16,IF(B74&lt;DATI!$E$30,DATI!$E$15*DATI!$E$25*DATI!$E$32*DATI!$E$16*(DATI!$E$29/B74),DATI!$E$15*DATI!$E$25*DATI!$E$32*DATI!$E$16*((DATI!$E$29*DATI!$E$30)/B74^2))))</f>
        <v>0.38429034368458675</v>
      </c>
      <c r="D74" s="9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</row>
    <row r="75" spans="2:24" x14ac:dyDescent="0.25">
      <c r="B75" s="174">
        <f t="shared" si="1"/>
        <v>0.7000000000000004</v>
      </c>
      <c r="C75" s="121">
        <f>1/DATI!$E$21*IF(B75&lt;DATI!$E$28,DATI!$E$15*DATI!$E$25*DATI!$E$32*DATI!$E$16*(B75/DATI!$E$28+1/(DATI!$E$32*DATI!$E$16)*(1-B75/DATI!$E$28)),IF(B75&lt;DATI!$E$29,DATI!$E$15*DATI!$E$25*DATI!$E$32*DATI!$E$16,IF(B75&lt;DATI!$E$30,DATI!$E$15*DATI!$E$25*DATI!$E$32*DATI!$E$16*(DATI!$E$29/B75),DATI!$E$15*DATI!$E$25*DATI!$E$32*DATI!$E$16*((DATI!$E$29*DATI!$E$30)/B75^2))))</f>
        <v>0.37880048163194979</v>
      </c>
      <c r="D75" s="9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2:24" x14ac:dyDescent="0.25">
      <c r="B76" s="174">
        <f t="shared" si="1"/>
        <v>0.71000000000000041</v>
      </c>
      <c r="C76" s="121">
        <f>1/DATI!$E$21*IF(B76&lt;DATI!$E$28,DATI!$E$15*DATI!$E$25*DATI!$E$32*DATI!$E$16*(B76/DATI!$E$28+1/(DATI!$E$32*DATI!$E$16)*(1-B76/DATI!$E$28)),IF(B76&lt;DATI!$E$29,DATI!$E$15*DATI!$E$25*DATI!$E$32*DATI!$E$16,IF(B76&lt;DATI!$E$30,DATI!$E$15*DATI!$E$25*DATI!$E$32*DATI!$E$16*(DATI!$E$29/B76),DATI!$E$15*DATI!$E$25*DATI!$E$32*DATI!$E$16*((DATI!$E$29*DATI!$E$30)/B76^2))))</f>
        <v>0.37346526358079557</v>
      </c>
      <c r="D76" s="9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2:24" x14ac:dyDescent="0.25">
      <c r="B77" s="174">
        <f t="shared" si="1"/>
        <v>0.72000000000000042</v>
      </c>
      <c r="C77" s="121">
        <f>1/DATI!$E$21*IF(B77&lt;DATI!$E$28,DATI!$E$15*DATI!$E$25*DATI!$E$32*DATI!$E$16*(B77/DATI!$E$28+1/(DATI!$E$32*DATI!$E$16)*(1-B77/DATI!$E$28)),IF(B77&lt;DATI!$E$29,DATI!$E$15*DATI!$E$25*DATI!$E$32*DATI!$E$16,IF(B77&lt;DATI!$E$30,DATI!$E$15*DATI!$E$25*DATI!$E$32*DATI!$E$16*(DATI!$E$29/B77),DATI!$E$15*DATI!$E$25*DATI!$E$32*DATI!$E$16*((DATI!$E$29*DATI!$E$30)/B77^2))))</f>
        <v>0.36827824603106235</v>
      </c>
      <c r="D77" s="9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2:24" x14ac:dyDescent="0.25">
      <c r="B78" s="174">
        <f t="shared" si="1"/>
        <v>0.73000000000000043</v>
      </c>
      <c r="C78" s="121">
        <f>1/DATI!$E$21*IF(B78&lt;DATI!$E$28,DATI!$E$15*DATI!$E$25*DATI!$E$32*DATI!$E$16*(B78/DATI!$E$28+1/(DATI!$E$32*DATI!$E$16)*(1-B78/DATI!$E$28)),IF(B78&lt;DATI!$E$29,DATI!$E$15*DATI!$E$25*DATI!$E$32*DATI!$E$16,IF(B78&lt;DATI!$E$30,DATI!$E$15*DATI!$E$25*DATI!$E$32*DATI!$E$16*(DATI!$E$29/B78),DATI!$E$15*DATI!$E$25*DATI!$E$32*DATI!$E$16*((DATI!$E$29*DATI!$E$30)/B78^2))))</f>
        <v>0.36323333855118478</v>
      </c>
      <c r="D78" s="9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</row>
    <row r="79" spans="2:24" x14ac:dyDescent="0.25">
      <c r="B79" s="174">
        <f t="shared" si="1"/>
        <v>0.74000000000000044</v>
      </c>
      <c r="C79" s="121">
        <f>1/DATI!$E$21*IF(B79&lt;DATI!$E$28,DATI!$E$15*DATI!$E$25*DATI!$E$32*DATI!$E$16*(B79/DATI!$E$28+1/(DATI!$E$32*DATI!$E$16)*(1-B79/DATI!$E$28)),IF(B79&lt;DATI!$E$29,DATI!$E$15*DATI!$E$25*DATI!$E$32*DATI!$E$16,IF(B79&lt;DATI!$E$30,DATI!$E$15*DATI!$E$25*DATI!$E$32*DATI!$E$16*(DATI!$E$29/B79),DATI!$E$15*DATI!$E$25*DATI!$E$32*DATI!$E$16*((DATI!$E$29*DATI!$E$30)/B79^2))))</f>
        <v>0.3583247799221147</v>
      </c>
      <c r="D79" s="9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</row>
    <row r="80" spans="2:24" x14ac:dyDescent="0.25">
      <c r="B80" s="174">
        <f t="shared" si="1"/>
        <v>0.75000000000000044</v>
      </c>
      <c r="C80" s="121">
        <f>1/DATI!$E$21*IF(B80&lt;DATI!$E$28,DATI!$E$15*DATI!$E$25*DATI!$E$32*DATI!$E$16*(B80/DATI!$E$28+1/(DATI!$E$32*DATI!$E$16)*(1-B80/DATI!$E$28)),IF(B80&lt;DATI!$E$29,DATI!$E$15*DATI!$E$25*DATI!$E$32*DATI!$E$16,IF(B80&lt;DATI!$E$30,DATI!$E$15*DATI!$E$25*DATI!$E$32*DATI!$E$16*(DATI!$E$29/B80),DATI!$E$15*DATI!$E$25*DATI!$E$32*DATI!$E$16*((DATI!$E$29*DATI!$E$30)/B80^2))))</f>
        <v>0.35354711618981988</v>
      </c>
      <c r="D80" s="9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</row>
    <row r="81" spans="2:24" x14ac:dyDescent="0.25">
      <c r="B81" s="174">
        <f t="shared" si="1"/>
        <v>0.76000000000000045</v>
      </c>
      <c r="C81" s="121">
        <f>1/DATI!$E$21*IF(B81&lt;DATI!$E$28,DATI!$E$15*DATI!$E$25*DATI!$E$32*DATI!$E$16*(B81/DATI!$E$28+1/(DATI!$E$32*DATI!$E$16)*(1-B81/DATI!$E$28)),IF(B81&lt;DATI!$E$29,DATI!$E$15*DATI!$E$25*DATI!$E$32*DATI!$E$16,IF(B81&lt;DATI!$E$30,DATI!$E$15*DATI!$E$25*DATI!$E$32*DATI!$E$16*(DATI!$E$29/B81),DATI!$E$15*DATI!$E$25*DATI!$E$32*DATI!$E$16*((DATI!$E$29*DATI!$E$30)/B81^2))))</f>
        <v>0.34889518045048007</v>
      </c>
      <c r="D81" s="9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</row>
    <row r="82" spans="2:24" x14ac:dyDescent="0.25">
      <c r="B82" s="174">
        <f t="shared" si="1"/>
        <v>0.77000000000000046</v>
      </c>
      <c r="C82" s="121">
        <f>1/DATI!$E$21*IF(B82&lt;DATI!$E$28,DATI!$E$15*DATI!$E$25*DATI!$E$32*DATI!$E$16*(B82/DATI!$E$28+1/(DATI!$E$32*DATI!$E$16)*(1-B82/DATI!$E$28)),IF(B82&lt;DATI!$E$29,DATI!$E$15*DATI!$E$25*DATI!$E$32*DATI!$E$16,IF(B82&lt;DATI!$E$30,DATI!$E$15*DATI!$E$25*DATI!$E$32*DATI!$E$16*(DATI!$E$29/B82),DATI!$E$15*DATI!$E$25*DATI!$E$32*DATI!$E$16*((DATI!$E$29*DATI!$E$30)/B82^2))))</f>
        <v>0.34436407421086351</v>
      </c>
      <c r="D82" s="9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</row>
    <row r="83" spans="2:24" x14ac:dyDescent="0.25">
      <c r="B83" s="174">
        <f t="shared" si="1"/>
        <v>0.78000000000000047</v>
      </c>
      <c r="C83" s="121">
        <f>1/DATI!$E$21*IF(B83&lt;DATI!$E$28,DATI!$E$15*DATI!$E$25*DATI!$E$32*DATI!$E$16*(B83/DATI!$E$28+1/(DATI!$E$32*DATI!$E$16)*(1-B83/DATI!$E$28)),IF(B83&lt;DATI!$E$29,DATI!$E$15*DATI!$E$25*DATI!$E$32*DATI!$E$16,IF(B83&lt;DATI!$E$30,DATI!$E$15*DATI!$E$25*DATI!$E$32*DATI!$E$16*(DATI!$E$29/B83),DATI!$E$15*DATI!$E$25*DATI!$E$32*DATI!$E$16*((DATI!$E$29*DATI!$E$30)/B83^2))))</f>
        <v>0.33994915018251909</v>
      </c>
      <c r="D83" s="9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</row>
    <row r="84" spans="2:24" x14ac:dyDescent="0.25">
      <c r="B84" s="174">
        <f t="shared" si="1"/>
        <v>0.79000000000000048</v>
      </c>
      <c r="C84" s="121">
        <f>1/DATI!$E$21*IF(B84&lt;DATI!$E$28,DATI!$E$15*DATI!$E$25*DATI!$E$32*DATI!$E$16*(B84/DATI!$E$28+1/(DATI!$E$32*DATI!$E$16)*(1-B84/DATI!$E$28)),IF(B84&lt;DATI!$E$29,DATI!$E$15*DATI!$E$25*DATI!$E$32*DATI!$E$16,IF(B84&lt;DATI!$E$30,DATI!$E$15*DATI!$E$25*DATI!$E$32*DATI!$E$16*(DATI!$E$29/B84),DATI!$E$15*DATI!$E$25*DATI!$E$32*DATI!$E$16*((DATI!$E$29*DATI!$E$30)/B84^2))))</f>
        <v>0.33564599638274034</v>
      </c>
      <c r="D84" s="9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</row>
    <row r="85" spans="2:24" x14ac:dyDescent="0.25">
      <c r="B85" s="174">
        <f t="shared" si="1"/>
        <v>0.80000000000000049</v>
      </c>
      <c r="C85" s="121">
        <f>1/DATI!$E$21*IF(B85&lt;DATI!$E$28,DATI!$E$15*DATI!$E$25*DATI!$E$32*DATI!$E$16*(B85/DATI!$E$28+1/(DATI!$E$32*DATI!$E$16)*(1-B85/DATI!$E$28)),IF(B85&lt;DATI!$E$29,DATI!$E$15*DATI!$E$25*DATI!$E$32*DATI!$E$16,IF(B85&lt;DATI!$E$30,DATI!$E$15*DATI!$E$25*DATI!$E$32*DATI!$E$16*(DATI!$E$29/B85),DATI!$E$15*DATI!$E$25*DATI!$E$32*DATI!$E$16*((DATI!$E$29*DATI!$E$30)/B85^2))))</f>
        <v>0.33145042142795605</v>
      </c>
      <c r="D85" s="9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</row>
    <row r="86" spans="2:24" x14ac:dyDescent="0.25">
      <c r="B86" s="174">
        <f t="shared" si="1"/>
        <v>0.8100000000000005</v>
      </c>
      <c r="C86" s="121">
        <f>1/DATI!$E$21*IF(B86&lt;DATI!$E$28,DATI!$E$15*DATI!$E$25*DATI!$E$32*DATI!$E$16*(B86/DATI!$E$28+1/(DATI!$E$32*DATI!$E$16)*(1-B86/DATI!$E$28)),IF(B86&lt;DATI!$E$29,DATI!$E$15*DATI!$E$25*DATI!$E$32*DATI!$E$16,IF(B86&lt;DATI!$E$30,DATI!$E$15*DATI!$E$25*DATI!$E$32*DATI!$E$16*(DATI!$E$29/B86),DATI!$E$15*DATI!$E$25*DATI!$E$32*DATI!$E$16*((DATI!$E$29*DATI!$E$30)/B86^2))))</f>
        <v>0.32735844091649985</v>
      </c>
      <c r="D86" s="9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</row>
    <row r="87" spans="2:24" x14ac:dyDescent="0.25">
      <c r="B87" s="174">
        <f t="shared" si="1"/>
        <v>0.82000000000000051</v>
      </c>
      <c r="C87" s="121">
        <f>1/DATI!$E$21*IF(B87&lt;DATI!$E$28,DATI!$E$15*DATI!$E$25*DATI!$E$32*DATI!$E$16*(B87/DATI!$E$28+1/(DATI!$E$32*DATI!$E$16)*(1-B87/DATI!$E$28)),IF(B87&lt;DATI!$E$29,DATI!$E$15*DATI!$E$25*DATI!$E$32*DATI!$E$16,IF(B87&lt;DATI!$E$30,DATI!$E$15*DATI!$E$25*DATI!$E$32*DATI!$E$16*(DATI!$E$29/B87),DATI!$E$15*DATI!$E$25*DATI!$E$32*DATI!$E$16*((DATI!$E$29*DATI!$E$30)/B87^2))))</f>
        <v>0.32336626480776204</v>
      </c>
      <c r="D87" s="9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</row>
    <row r="88" spans="2:24" x14ac:dyDescent="0.25">
      <c r="B88" s="174">
        <f t="shared" si="1"/>
        <v>0.83000000000000052</v>
      </c>
      <c r="C88" s="121">
        <f>1/DATI!$E$21*IF(B88&lt;DATI!$E$28,DATI!$E$15*DATI!$E$25*DATI!$E$32*DATI!$E$16*(B88/DATI!$E$28+1/(DATI!$E$32*DATI!$E$16)*(1-B88/DATI!$E$28)),IF(B88&lt;DATI!$E$29,DATI!$E$15*DATI!$E$25*DATI!$E$32*DATI!$E$16,IF(B88&lt;DATI!$E$30,DATI!$E$15*DATI!$E$25*DATI!$E$32*DATI!$E$16*(DATI!$E$29/B88),DATI!$E$15*DATI!$E$25*DATI!$E$32*DATI!$E$16*((DATI!$E$29*DATI!$E$30)/B88^2))))</f>
        <v>0.31947028571369263</v>
      </c>
      <c r="D88" s="9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</row>
    <row r="89" spans="2:24" x14ac:dyDescent="0.25">
      <c r="B89" s="174">
        <f t="shared" si="1"/>
        <v>0.84000000000000052</v>
      </c>
      <c r="C89" s="121">
        <f>1/DATI!$E$21*IF(B89&lt;DATI!$E$28,DATI!$E$15*DATI!$E$25*DATI!$E$32*DATI!$E$16*(B89/DATI!$E$28+1/(DATI!$E$32*DATI!$E$16)*(1-B89/DATI!$E$28)),IF(B89&lt;DATI!$E$29,DATI!$E$15*DATI!$E$25*DATI!$E$32*DATI!$E$16,IF(B89&lt;DATI!$E$30,DATI!$E$15*DATI!$E$25*DATI!$E$32*DATI!$E$16*(DATI!$E$29/B89),DATI!$E$15*DATI!$E$25*DATI!$E$32*DATI!$E$16*((DATI!$E$29*DATI!$E$30)/B89^2))))</f>
        <v>0.31566706802662486</v>
      </c>
      <c r="D89" s="9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</row>
    <row r="90" spans="2:24" x14ac:dyDescent="0.25">
      <c r="B90" s="174">
        <f t="shared" si="1"/>
        <v>0.85000000000000053</v>
      </c>
      <c r="C90" s="121">
        <f>1/DATI!$E$21*IF(B90&lt;DATI!$E$28,DATI!$E$15*DATI!$E$25*DATI!$E$32*DATI!$E$16*(B90/DATI!$E$28+1/(DATI!$E$32*DATI!$E$16)*(1-B90/DATI!$E$28)),IF(B90&lt;DATI!$E$29,DATI!$E$15*DATI!$E$25*DATI!$E$32*DATI!$E$16,IF(B90&lt;DATI!$E$30,DATI!$E$15*DATI!$E$25*DATI!$E$32*DATI!$E$16*(DATI!$E$29/B90),DATI!$E$15*DATI!$E$25*DATI!$E$32*DATI!$E$16*((DATI!$E$29*DATI!$E$30)/B90^2))))</f>
        <v>0.31195333781454693</v>
      </c>
      <c r="D90" s="9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</row>
    <row r="91" spans="2:24" x14ac:dyDescent="0.25">
      <c r="B91" s="174">
        <f t="shared" si="1"/>
        <v>0.86000000000000054</v>
      </c>
      <c r="C91" s="121">
        <f>1/DATI!$E$21*IF(B91&lt;DATI!$E$28,DATI!$E$15*DATI!$E$25*DATI!$E$32*DATI!$E$16*(B91/DATI!$E$28+1/(DATI!$E$32*DATI!$E$16)*(1-B91/DATI!$E$28)),IF(B91&lt;DATI!$E$29,DATI!$E$15*DATI!$E$25*DATI!$E$32*DATI!$E$16,IF(B91&lt;DATI!$E$30,DATI!$E$15*DATI!$E$25*DATI!$E$32*DATI!$E$16*(DATI!$E$29/B91),DATI!$E$15*DATI!$E$25*DATI!$E$32*DATI!$E$16*((DATI!$E$29*DATI!$E$30)/B91^2))))</f>
        <v>0.30832597342135448</v>
      </c>
      <c r="D91" s="9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</row>
    <row r="92" spans="2:24" x14ac:dyDescent="0.25">
      <c r="B92" s="174">
        <f t="shared" si="1"/>
        <v>0.87000000000000055</v>
      </c>
      <c r="C92" s="121">
        <f>1/DATI!$E$21*IF(B92&lt;DATI!$E$28,DATI!$E$15*DATI!$E$25*DATI!$E$32*DATI!$E$16*(B92/DATI!$E$28+1/(DATI!$E$32*DATI!$E$16)*(1-B92/DATI!$E$28)),IF(B92&lt;DATI!$E$29,DATI!$E$15*DATI!$E$25*DATI!$E$32*DATI!$E$16,IF(B92&lt;DATI!$E$30,DATI!$E$15*DATI!$E$25*DATI!$E$32*DATI!$E$16*(DATI!$E$29/B92),DATI!$E$15*DATI!$E$25*DATI!$E$32*DATI!$E$16*((DATI!$E$29*DATI!$E$30)/B92^2))))</f>
        <v>0.30478199671536188</v>
      </c>
      <c r="D92" s="9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</row>
    <row r="93" spans="2:24" x14ac:dyDescent="0.25">
      <c r="B93" s="174">
        <f t="shared" si="1"/>
        <v>0.88000000000000056</v>
      </c>
      <c r="C93" s="121">
        <f>1/DATI!$E$21*IF(B93&lt;DATI!$E$28,DATI!$E$15*DATI!$E$25*DATI!$E$32*DATI!$E$16*(B93/DATI!$E$28+1/(DATI!$E$32*DATI!$E$16)*(1-B93/DATI!$E$28)),IF(B93&lt;DATI!$E$29,DATI!$E$15*DATI!$E$25*DATI!$E$32*DATI!$E$16,IF(B93&lt;DATI!$E$30,DATI!$E$15*DATI!$E$25*DATI!$E$32*DATI!$E$16*(DATI!$E$29/B93),DATI!$E$15*DATI!$E$25*DATI!$E$32*DATI!$E$16*((DATI!$E$29*DATI!$E$30)/B93^2))))</f>
        <v>0.30131856493450554</v>
      </c>
      <c r="D93" s="9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</row>
    <row r="94" spans="2:24" x14ac:dyDescent="0.25">
      <c r="B94" s="174">
        <f t="shared" si="1"/>
        <v>0.89000000000000057</v>
      </c>
      <c r="C94" s="121">
        <f>1/DATI!$E$21*IF(B94&lt;DATI!$E$28,DATI!$E$15*DATI!$E$25*DATI!$E$32*DATI!$E$16*(B94/DATI!$E$28+1/(DATI!$E$32*DATI!$E$16)*(1-B94/DATI!$E$28)),IF(B94&lt;DATI!$E$29,DATI!$E$15*DATI!$E$25*DATI!$E$32*DATI!$E$16,IF(B94&lt;DATI!$E$30,DATI!$E$15*DATI!$E$25*DATI!$E$32*DATI!$E$16*(DATI!$E$29/B94),DATI!$E$15*DATI!$E$25*DATI!$E$32*DATI!$E$16*((DATI!$E$29*DATI!$E$30)/B94^2))))</f>
        <v>0.29793296308130884</v>
      </c>
      <c r="D94" s="9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</row>
    <row r="95" spans="2:24" x14ac:dyDescent="0.25">
      <c r="B95" s="174">
        <f t="shared" si="1"/>
        <v>0.90000000000000058</v>
      </c>
      <c r="C95" s="121">
        <f>1/DATI!$E$21*IF(B95&lt;DATI!$E$28,DATI!$E$15*DATI!$E$25*DATI!$E$32*DATI!$E$16*(B95/DATI!$E$28+1/(DATI!$E$32*DATI!$E$16)*(1-B95/DATI!$E$28)),IF(B95&lt;DATI!$E$29,DATI!$E$15*DATI!$E$25*DATI!$E$32*DATI!$E$16,IF(B95&lt;DATI!$E$30,DATI!$E$15*DATI!$E$25*DATI!$E$32*DATI!$E$16*(DATI!$E$29/B95),DATI!$E$15*DATI!$E$25*DATI!$E$32*DATI!$E$16*((DATI!$E$29*DATI!$E$30)/B95^2))))</f>
        <v>0.29462259682484981</v>
      </c>
      <c r="D95" s="9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</row>
    <row r="96" spans="2:24" x14ac:dyDescent="0.25">
      <c r="B96" s="174">
        <f t="shared" si="1"/>
        <v>0.91000000000000059</v>
      </c>
      <c r="C96" s="121">
        <f>1/DATI!$E$21*IF(B96&lt;DATI!$E$28,DATI!$E$15*DATI!$E$25*DATI!$E$32*DATI!$E$16*(B96/DATI!$E$28+1/(DATI!$E$32*DATI!$E$16)*(1-B96/DATI!$E$28)),IF(B96&lt;DATI!$E$29,DATI!$E$15*DATI!$E$25*DATI!$E$32*DATI!$E$16,IF(B96&lt;DATI!$E$30,DATI!$E$15*DATI!$E$25*DATI!$E$32*DATI!$E$16*(DATI!$E$29/B96),DATI!$E$15*DATI!$E$25*DATI!$E$32*DATI!$E$16*((DATI!$E$29*DATI!$E$30)/B96^2))))</f>
        <v>0.29138498587073064</v>
      </c>
      <c r="D96" s="9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</row>
    <row r="97" spans="2:24" x14ac:dyDescent="0.25">
      <c r="B97" s="174">
        <f t="shared" si="1"/>
        <v>0.9200000000000006</v>
      </c>
      <c r="C97" s="121">
        <f>1/DATI!$E$21*IF(B97&lt;DATI!$E$28,DATI!$E$15*DATI!$E$25*DATI!$E$32*DATI!$E$16*(B97/DATI!$E$28+1/(DATI!$E$32*DATI!$E$16)*(1-B97/DATI!$E$28)),IF(B97&lt;DATI!$E$29,DATI!$E$15*DATI!$E$25*DATI!$E$32*DATI!$E$16,IF(B97&lt;DATI!$E$30,DATI!$E$15*DATI!$E$25*DATI!$E$32*DATI!$E$16*(DATI!$E$29/B97),DATI!$E$15*DATI!$E$25*DATI!$E$32*DATI!$E$16*((DATI!$E$29*DATI!$E$30)/B97^2))))</f>
        <v>0.28821775776344011</v>
      </c>
      <c r="D97" s="9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</row>
    <row r="98" spans="2:24" x14ac:dyDescent="0.25">
      <c r="B98" s="174">
        <f t="shared" si="1"/>
        <v>0.9300000000000006</v>
      </c>
      <c r="C98" s="121">
        <f>1/DATI!$E$21*IF(B98&lt;DATI!$E$28,DATI!$E$15*DATI!$E$25*DATI!$E$32*DATI!$E$16*(B98/DATI!$E$28+1/(DATI!$E$32*DATI!$E$16)*(1-B98/DATI!$E$28)),IF(B98&lt;DATI!$E$29,DATI!$E$15*DATI!$E$25*DATI!$E$32*DATI!$E$16,IF(B98&lt;DATI!$E$30,DATI!$E$15*DATI!$E$25*DATI!$E$32*DATI!$E$16*(DATI!$E$29/B98),DATI!$E$15*DATI!$E$25*DATI!$E$32*DATI!$E$16*((DATI!$E$29*DATI!$E$30)/B98^2))))</f>
        <v>0.28511864208856436</v>
      </c>
      <c r="D98" s="9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</row>
    <row r="99" spans="2:24" x14ac:dyDescent="0.25">
      <c r="B99" s="174">
        <f t="shared" si="1"/>
        <v>0.94000000000000061</v>
      </c>
      <c r="C99" s="121">
        <f>1/DATI!$E$21*IF(B99&lt;DATI!$E$28,DATI!$E$15*DATI!$E$25*DATI!$E$32*DATI!$E$16*(B99/DATI!$E$28+1/(DATI!$E$32*DATI!$E$16)*(1-B99/DATI!$E$28)),IF(B99&lt;DATI!$E$29,DATI!$E$15*DATI!$E$25*DATI!$E$32*DATI!$E$16,IF(B99&lt;DATI!$E$30,DATI!$E$15*DATI!$E$25*DATI!$E$32*DATI!$E$16*(DATI!$E$29/B99),DATI!$E$15*DATI!$E$25*DATI!$E$32*DATI!$E$16*((DATI!$E$29*DATI!$E$30)/B99^2))))</f>
        <v>0.28208546504506904</v>
      </c>
      <c r="D99" s="9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</row>
    <row r="100" spans="2:24" x14ac:dyDescent="0.25">
      <c r="B100" s="174">
        <f t="shared" si="1"/>
        <v>0.95000000000000062</v>
      </c>
      <c r="C100" s="121">
        <f>1/DATI!$E$21*IF(B100&lt;DATI!$E$28,DATI!$E$15*DATI!$E$25*DATI!$E$32*DATI!$E$16*(B100/DATI!$E$28+1/(DATI!$E$32*DATI!$E$16)*(1-B100/DATI!$E$28)),IF(B100&lt;DATI!$E$29,DATI!$E$15*DATI!$E$25*DATI!$E$32*DATI!$E$16,IF(B100&lt;DATI!$E$30,DATI!$E$15*DATI!$E$25*DATI!$E$32*DATI!$E$16*(DATI!$E$29/B100),DATI!$E$15*DATI!$E$25*DATI!$E$32*DATI!$E$16*((DATI!$E$29*DATI!$E$30)/B100^2))))</f>
        <v>0.27911614436038407</v>
      </c>
      <c r="D100" s="9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</row>
    <row r="101" spans="2:24" x14ac:dyDescent="0.25">
      <c r="B101" s="174">
        <f t="shared" si="1"/>
        <v>0.96000000000000063</v>
      </c>
      <c r="C101" s="121">
        <f>1/DATI!$E$21*IF(B101&lt;DATI!$E$28,DATI!$E$15*DATI!$E$25*DATI!$E$32*DATI!$E$16*(B101/DATI!$E$28+1/(DATI!$E$32*DATI!$E$16)*(1-B101/DATI!$E$28)),IF(B101&lt;DATI!$E$29,DATI!$E$15*DATI!$E$25*DATI!$E$32*DATI!$E$16,IF(B101&lt;DATI!$E$30,DATI!$E$15*DATI!$E$25*DATI!$E$32*DATI!$E$16*(DATI!$E$29/B101),DATI!$E$15*DATI!$E$25*DATI!$E$32*DATI!$E$16*((DATI!$E$29*DATI!$E$30)/B101^2))))</f>
        <v>0.27620868452329672</v>
      </c>
      <c r="D101" s="9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</row>
    <row r="102" spans="2:24" x14ac:dyDescent="0.25">
      <c r="B102" s="174">
        <f t="shared" si="1"/>
        <v>0.97000000000000064</v>
      </c>
      <c r="C102" s="121">
        <f>1/DATI!$E$21*IF(B102&lt;DATI!$E$28,DATI!$E$15*DATI!$E$25*DATI!$E$32*DATI!$E$16*(B102/DATI!$E$28+1/(DATI!$E$32*DATI!$E$16)*(1-B102/DATI!$E$28)),IF(B102&lt;DATI!$E$29,DATI!$E$15*DATI!$E$25*DATI!$E$32*DATI!$E$16,IF(B102&lt;DATI!$E$30,DATI!$E$15*DATI!$E$25*DATI!$E$32*DATI!$E$16*(DATI!$E$29/B102),DATI!$E$15*DATI!$E$25*DATI!$E$32*DATI!$E$16*((DATI!$E$29*DATI!$E$30)/B102^2))))</f>
        <v>0.27336117231171636</v>
      </c>
      <c r="D102" s="9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</row>
    <row r="103" spans="2:24" x14ac:dyDescent="0.25">
      <c r="B103" s="174">
        <f t="shared" si="1"/>
        <v>0.98000000000000065</v>
      </c>
      <c r="C103" s="121">
        <f>1/DATI!$E$21*IF(B103&lt;DATI!$E$28,DATI!$E$15*DATI!$E$25*DATI!$E$32*DATI!$E$16*(B103/DATI!$E$28+1/(DATI!$E$32*DATI!$E$16)*(1-B103/DATI!$E$28)),IF(B103&lt;DATI!$E$29,DATI!$E$15*DATI!$E$25*DATI!$E$32*DATI!$E$16,IF(B103&lt;DATI!$E$30,DATI!$E$15*DATI!$E$25*DATI!$E$32*DATI!$E$16*(DATI!$E$29/B103),DATI!$E$15*DATI!$E$25*DATI!$E$32*DATI!$E$16*((DATI!$E$29*DATI!$E$30)/B103^2))))</f>
        <v>0.27057177259424986</v>
      </c>
      <c r="D103" s="9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</row>
    <row r="104" spans="2:24" x14ac:dyDescent="0.25">
      <c r="B104" s="174">
        <f t="shared" si="1"/>
        <v>0.99000000000000066</v>
      </c>
      <c r="C104" s="121">
        <f>1/DATI!$E$21*IF(B104&lt;DATI!$E$28,DATI!$E$15*DATI!$E$25*DATI!$E$32*DATI!$E$16*(B104/DATI!$E$28+1/(DATI!$E$32*DATI!$E$16)*(1-B104/DATI!$E$28)),IF(B104&lt;DATI!$E$29,DATI!$E$15*DATI!$E$25*DATI!$E$32*DATI!$E$16,IF(B104&lt;DATI!$E$30,DATI!$E$15*DATI!$E$25*DATI!$E$32*DATI!$E$16*(DATI!$E$29/B104),DATI!$E$15*DATI!$E$25*DATI!$E$32*DATI!$E$16*((DATI!$E$29*DATI!$E$30)/B104^2))))</f>
        <v>0.26783872438622713</v>
      </c>
      <c r="D104" s="9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</row>
    <row r="105" spans="2:24" x14ac:dyDescent="0.25">
      <c r="B105" s="174">
        <f t="shared" si="1"/>
        <v>1.0000000000000007</v>
      </c>
      <c r="C105" s="121">
        <f>1/DATI!$E$21*IF(B105&lt;DATI!$E$28,DATI!$E$15*DATI!$E$25*DATI!$E$32*DATI!$E$16*(B105/DATI!$E$28+1/(DATI!$E$32*DATI!$E$16)*(1-B105/DATI!$E$28)),IF(B105&lt;DATI!$E$29,DATI!$E$15*DATI!$E$25*DATI!$E$32*DATI!$E$16,IF(B105&lt;DATI!$E$30,DATI!$E$15*DATI!$E$25*DATI!$E$32*DATI!$E$16*(DATI!$E$29/B105),DATI!$E$15*DATI!$E$25*DATI!$E$32*DATI!$E$16*((DATI!$E$29*DATI!$E$30)/B105^2))))</f>
        <v>0.26516033714236487</v>
      </c>
      <c r="D105" s="9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</row>
    <row r="106" spans="2:24" x14ac:dyDescent="0.25">
      <c r="B106" s="174">
        <f t="shared" si="1"/>
        <v>1.0100000000000007</v>
      </c>
      <c r="C106" s="121">
        <f>1/DATI!$E$21*IF(B106&lt;DATI!$E$28,DATI!$E$15*DATI!$E$25*DATI!$E$32*DATI!$E$16*(B106/DATI!$E$28+1/(DATI!$E$32*DATI!$E$16)*(1-B106/DATI!$E$28)),IF(B106&lt;DATI!$E$29,DATI!$E$15*DATI!$E$25*DATI!$E$32*DATI!$E$16,IF(B106&lt;DATI!$E$30,DATI!$E$15*DATI!$E$25*DATI!$E$32*DATI!$E$16*(DATI!$E$29/B106),DATI!$E$15*DATI!$E$25*DATI!$E$32*DATI!$E$16*((DATI!$E$29*DATI!$E$30)/B106^2))))</f>
        <v>0.26253498726966817</v>
      </c>
      <c r="D106" s="9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</row>
    <row r="107" spans="2:24" x14ac:dyDescent="0.25">
      <c r="B107" s="174">
        <f t="shared" si="1"/>
        <v>1.0200000000000007</v>
      </c>
      <c r="C107" s="121">
        <f>1/DATI!$E$21*IF(B107&lt;DATI!$E$28,DATI!$E$15*DATI!$E$25*DATI!$E$32*DATI!$E$16*(B107/DATI!$E$28+1/(DATI!$E$32*DATI!$E$16)*(1-B107/DATI!$E$28)),IF(B107&lt;DATI!$E$29,DATI!$E$15*DATI!$E$25*DATI!$E$32*DATI!$E$16,IF(B107&lt;DATI!$E$30,DATI!$E$15*DATI!$E$25*DATI!$E$32*DATI!$E$16*(DATI!$E$29/B107),DATI!$E$15*DATI!$E$25*DATI!$E$32*DATI!$E$16*((DATI!$E$29*DATI!$E$30)/B107^2))))</f>
        <v>0.25996111484545575</v>
      </c>
      <c r="D107" s="9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</row>
    <row r="108" spans="2:24" x14ac:dyDescent="0.25">
      <c r="B108" s="174">
        <f t="shared" si="1"/>
        <v>1.0300000000000007</v>
      </c>
      <c r="C108" s="121">
        <f>1/DATI!$E$21*IF(B108&lt;DATI!$E$28,DATI!$E$15*DATI!$E$25*DATI!$E$32*DATI!$E$16*(B108/DATI!$E$28+1/(DATI!$E$32*DATI!$E$16)*(1-B108/DATI!$E$28)),IF(B108&lt;DATI!$E$29,DATI!$E$15*DATI!$E$25*DATI!$E$32*DATI!$E$16,IF(B108&lt;DATI!$E$30,DATI!$E$15*DATI!$E$25*DATI!$E$32*DATI!$E$16*(DATI!$E$29/B108),DATI!$E$15*DATI!$E$25*DATI!$E$32*DATI!$E$16*((DATI!$E$29*DATI!$E$30)/B108^2))))</f>
        <v>0.25743722052656781</v>
      </c>
      <c r="D108" s="9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</row>
    <row r="109" spans="2:24" x14ac:dyDescent="0.25">
      <c r="B109" s="174">
        <f t="shared" si="1"/>
        <v>1.0400000000000007</v>
      </c>
      <c r="C109" s="121">
        <f>1/DATI!$E$21*IF(B109&lt;DATI!$E$28,DATI!$E$15*DATI!$E$25*DATI!$E$32*DATI!$E$16*(B109/DATI!$E$28+1/(DATI!$E$32*DATI!$E$16)*(1-B109/DATI!$E$28)),IF(B109&lt;DATI!$E$29,DATI!$E$15*DATI!$E$25*DATI!$E$32*DATI!$E$16,IF(B109&lt;DATI!$E$30,DATI!$E$15*DATI!$E$25*DATI!$E$32*DATI!$E$16*(DATI!$E$29/B109),DATI!$E$15*DATI!$E$25*DATI!$E$32*DATI!$E$16*((DATI!$E$29*DATI!$E$30)/B109^2))))</f>
        <v>0.25496186263688925</v>
      </c>
      <c r="D109" s="9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</row>
    <row r="110" spans="2:24" x14ac:dyDescent="0.25">
      <c r="B110" s="174">
        <f t="shared" si="1"/>
        <v>1.0500000000000007</v>
      </c>
      <c r="C110" s="121">
        <f>1/DATI!$E$21*IF(B110&lt;DATI!$E$28,DATI!$E$15*DATI!$E$25*DATI!$E$32*DATI!$E$16*(B110/DATI!$E$28+1/(DATI!$E$32*DATI!$E$16)*(1-B110/DATI!$E$28)),IF(B110&lt;DATI!$E$29,DATI!$E$15*DATI!$E$25*DATI!$E$32*DATI!$E$16,IF(B110&lt;DATI!$E$30,DATI!$E$15*DATI!$E$25*DATI!$E$32*DATI!$E$16*(DATI!$E$29/B110),DATI!$E$15*DATI!$E$25*DATI!$E$32*DATI!$E$16*((DATI!$E$29*DATI!$E$30)/B110^2))))</f>
        <v>0.25253365442129988</v>
      </c>
      <c r="D110" s="9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</row>
    <row r="111" spans="2:24" x14ac:dyDescent="0.25">
      <c r="B111" s="174">
        <f t="shared" si="1"/>
        <v>1.0600000000000007</v>
      </c>
      <c r="C111" s="121">
        <f>1/DATI!$E$21*IF(B111&lt;DATI!$E$28,DATI!$E$15*DATI!$E$25*DATI!$E$32*DATI!$E$16*(B111/DATI!$E$28+1/(DATI!$E$32*DATI!$E$16)*(1-B111/DATI!$E$28)),IF(B111&lt;DATI!$E$29,DATI!$E$15*DATI!$E$25*DATI!$E$32*DATI!$E$16,IF(B111&lt;DATI!$E$30,DATI!$E$15*DATI!$E$25*DATI!$E$32*DATI!$E$16*(DATI!$E$29/B111),DATI!$E$15*DATI!$E$25*DATI!$E$32*DATI!$E$16*((DATI!$E$29*DATI!$E$30)/B111^2))))</f>
        <v>0.25015126145506117</v>
      </c>
      <c r="D111" s="9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</row>
    <row r="112" spans="2:24" x14ac:dyDescent="0.25">
      <c r="B112" s="174">
        <f t="shared" si="1"/>
        <v>1.0700000000000007</v>
      </c>
      <c r="C112" s="121">
        <f>1/DATI!$E$21*IF(B112&lt;DATI!$E$28,DATI!$E$15*DATI!$E$25*DATI!$E$32*DATI!$E$16*(B112/DATI!$E$28+1/(DATI!$E$32*DATI!$E$16)*(1-B112/DATI!$E$28)),IF(B112&lt;DATI!$E$29,DATI!$E$15*DATI!$E$25*DATI!$E$32*DATI!$E$16,IF(B112&lt;DATI!$E$30,DATI!$E$15*DATI!$E$25*DATI!$E$32*DATI!$E$16*(DATI!$E$29/B112),DATI!$E$15*DATI!$E$25*DATI!$E$32*DATI!$E$16*((DATI!$E$29*DATI!$E$30)/B112^2))))</f>
        <v>0.24781339919847184</v>
      </c>
      <c r="D112" s="9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</row>
    <row r="113" spans="2:24" x14ac:dyDescent="0.25">
      <c r="B113" s="174">
        <f t="shared" si="1"/>
        <v>1.0800000000000007</v>
      </c>
      <c r="C113" s="121">
        <f>1/DATI!$E$21*IF(B113&lt;DATI!$E$28,DATI!$E$15*DATI!$E$25*DATI!$E$32*DATI!$E$16*(B113/DATI!$E$28+1/(DATI!$E$32*DATI!$E$16)*(1-B113/DATI!$E$28)),IF(B113&lt;DATI!$E$29,DATI!$E$15*DATI!$E$25*DATI!$E$32*DATI!$E$16,IF(B113&lt;DATI!$E$30,DATI!$E$15*DATI!$E$25*DATI!$E$32*DATI!$E$16*(DATI!$E$29/B113),DATI!$E$15*DATI!$E$25*DATI!$E$32*DATI!$E$16*((DATI!$E$29*DATI!$E$30)/B113^2))))</f>
        <v>0.2455188306873749</v>
      </c>
      <c r="D113" s="9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</row>
    <row r="114" spans="2:24" x14ac:dyDescent="0.25">
      <c r="B114" s="174">
        <f t="shared" si="1"/>
        <v>1.0900000000000007</v>
      </c>
      <c r="C114" s="121">
        <f>1/DATI!$E$21*IF(B114&lt;DATI!$E$28,DATI!$E$15*DATI!$E$25*DATI!$E$32*DATI!$E$16*(B114/DATI!$E$28+1/(DATI!$E$32*DATI!$E$16)*(1-B114/DATI!$E$28)),IF(B114&lt;DATI!$E$29,DATI!$E$15*DATI!$E$25*DATI!$E$32*DATI!$E$16,IF(B114&lt;DATI!$E$30,DATI!$E$15*DATI!$E$25*DATI!$E$32*DATI!$E$16*(DATI!$E$29/B114),DATI!$E$15*DATI!$E$25*DATI!$E$32*DATI!$E$16*((DATI!$E$29*DATI!$E$30)/B114^2))))</f>
        <v>0.24326636435079343</v>
      </c>
      <c r="D114" s="9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</row>
    <row r="115" spans="2:24" x14ac:dyDescent="0.25">
      <c r="B115" s="174">
        <f t="shared" si="1"/>
        <v>1.1000000000000008</v>
      </c>
      <c r="C115" s="121">
        <f>1/DATI!$E$21*IF(B115&lt;DATI!$E$28,DATI!$E$15*DATI!$E$25*DATI!$E$32*DATI!$E$16*(B115/DATI!$E$28+1/(DATI!$E$32*DATI!$E$16)*(1-B115/DATI!$E$28)),IF(B115&lt;DATI!$E$29,DATI!$E$15*DATI!$E$25*DATI!$E$32*DATI!$E$16,IF(B115&lt;DATI!$E$30,DATI!$E$15*DATI!$E$25*DATI!$E$32*DATI!$E$16*(DATI!$E$29/B115),DATI!$E$15*DATI!$E$25*DATI!$E$32*DATI!$E$16*((DATI!$E$29*DATI!$E$30)/B115^2))))</f>
        <v>0.2410548519476044</v>
      </c>
      <c r="D115" s="9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</row>
    <row r="116" spans="2:24" x14ac:dyDescent="0.25">
      <c r="B116" s="174">
        <f t="shared" si="1"/>
        <v>1.1100000000000008</v>
      </c>
      <c r="C116" s="121">
        <f>1/DATI!$E$21*IF(B116&lt;DATI!$E$28,DATI!$E$15*DATI!$E$25*DATI!$E$32*DATI!$E$16*(B116/DATI!$E$28+1/(DATI!$E$32*DATI!$E$16)*(1-B116/DATI!$E$28)),IF(B116&lt;DATI!$E$29,DATI!$E$15*DATI!$E$25*DATI!$E$32*DATI!$E$16,IF(B116&lt;DATI!$E$30,DATI!$E$15*DATI!$E$25*DATI!$E$32*DATI!$E$16*(DATI!$E$29/B116),DATI!$E$15*DATI!$E$25*DATI!$E$32*DATI!$E$16*((DATI!$E$29*DATI!$E$30)/B116^2))))</f>
        <v>0.23888318661474309</v>
      </c>
      <c r="D116" s="9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</row>
    <row r="117" spans="2:24" x14ac:dyDescent="0.25">
      <c r="B117" s="174">
        <f t="shared" si="1"/>
        <v>1.1200000000000008</v>
      </c>
      <c r="C117" s="121">
        <f>1/DATI!$E$21*IF(B117&lt;DATI!$E$28,DATI!$E$15*DATI!$E$25*DATI!$E$32*DATI!$E$16*(B117/DATI!$E$28+1/(DATI!$E$32*DATI!$E$16)*(1-B117/DATI!$E$28)),IF(B117&lt;DATI!$E$29,DATI!$E$15*DATI!$E$25*DATI!$E$32*DATI!$E$16,IF(B117&lt;DATI!$E$30,DATI!$E$15*DATI!$E$25*DATI!$E$32*DATI!$E$16*(DATI!$E$29/B117),DATI!$E$15*DATI!$E$25*DATI!$E$32*DATI!$E$16*((DATI!$E$29*DATI!$E$30)/B117^2))))</f>
        <v>0.23675030101996861</v>
      </c>
      <c r="D117" s="9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</row>
    <row r="118" spans="2:24" x14ac:dyDescent="0.25">
      <c r="B118" s="174">
        <f t="shared" si="1"/>
        <v>1.1300000000000008</v>
      </c>
      <c r="C118" s="121">
        <f>1/DATI!$E$21*IF(B118&lt;DATI!$E$28,DATI!$E$15*DATI!$E$25*DATI!$E$32*DATI!$E$16*(B118/DATI!$E$28+1/(DATI!$E$32*DATI!$E$16)*(1-B118/DATI!$E$28)),IF(B118&lt;DATI!$E$29,DATI!$E$15*DATI!$E$25*DATI!$E$32*DATI!$E$16,IF(B118&lt;DATI!$E$30,DATI!$E$15*DATI!$E$25*DATI!$E$32*DATI!$E$16*(DATI!$E$29/B118),DATI!$E$15*DATI!$E$25*DATI!$E$32*DATI!$E$16*((DATI!$E$29*DATI!$E$30)/B118^2))))</f>
        <v>0.23465516561271227</v>
      </c>
      <c r="D118" s="9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</row>
    <row r="119" spans="2:24" x14ac:dyDescent="0.25">
      <c r="B119" s="174">
        <f t="shared" si="1"/>
        <v>1.1400000000000008</v>
      </c>
      <c r="C119" s="121">
        <f>1/DATI!$E$21*IF(B119&lt;DATI!$E$28,DATI!$E$15*DATI!$E$25*DATI!$E$32*DATI!$E$16*(B119/DATI!$E$28+1/(DATI!$E$32*DATI!$E$16)*(1-B119/DATI!$E$28)),IF(B119&lt;DATI!$E$29,DATI!$E$15*DATI!$E$25*DATI!$E$32*DATI!$E$16,IF(B119&lt;DATI!$E$30,DATI!$E$15*DATI!$E$25*DATI!$E$32*DATI!$E$16*(DATI!$E$29/B119),DATI!$E$15*DATI!$E$25*DATI!$E$32*DATI!$E$16*((DATI!$E$29*DATI!$E$30)/B119^2))))</f>
        <v>0.23259678696698674</v>
      </c>
      <c r="D119" s="9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</row>
    <row r="120" spans="2:24" x14ac:dyDescent="0.25">
      <c r="B120" s="174">
        <f t="shared" si="1"/>
        <v>1.1500000000000008</v>
      </c>
      <c r="C120" s="121">
        <f>1/DATI!$E$21*IF(B120&lt;DATI!$E$28,DATI!$E$15*DATI!$E$25*DATI!$E$32*DATI!$E$16*(B120/DATI!$E$28+1/(DATI!$E$32*DATI!$E$16)*(1-B120/DATI!$E$28)),IF(B120&lt;DATI!$E$29,DATI!$E$15*DATI!$E$25*DATI!$E$32*DATI!$E$16,IF(B120&lt;DATI!$E$30,DATI!$E$15*DATI!$E$25*DATI!$E$32*DATI!$E$16*(DATI!$E$29/B120),DATI!$E$15*DATI!$E$25*DATI!$E$32*DATI!$E$16*((DATI!$E$29*DATI!$E$30)/B120^2))))</f>
        <v>0.23057420621075203</v>
      </c>
      <c r="D120" s="9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</row>
    <row r="121" spans="2:24" x14ac:dyDescent="0.25">
      <c r="B121" s="174">
        <f t="shared" si="1"/>
        <v>1.1600000000000008</v>
      </c>
      <c r="C121" s="121">
        <f>1/DATI!$E$21*IF(B121&lt;DATI!$E$28,DATI!$E$15*DATI!$E$25*DATI!$E$32*DATI!$E$16*(B121/DATI!$E$28+1/(DATI!$E$32*DATI!$E$16)*(1-B121/DATI!$E$28)),IF(B121&lt;DATI!$E$29,DATI!$E$15*DATI!$E$25*DATI!$E$32*DATI!$E$16,IF(B121&lt;DATI!$E$30,DATI!$E$15*DATI!$E$25*DATI!$E$32*DATI!$E$16*(DATI!$E$29/B121),DATI!$E$15*DATI!$E$25*DATI!$E$32*DATI!$E$16*((DATI!$E$29*DATI!$E$30)/B121^2))))</f>
        <v>0.22858649753652138</v>
      </c>
      <c r="D121" s="9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</row>
    <row r="122" spans="2:24" x14ac:dyDescent="0.25">
      <c r="B122" s="174">
        <f t="shared" si="1"/>
        <v>1.1700000000000008</v>
      </c>
      <c r="C122" s="121">
        <f>1/DATI!$E$21*IF(B122&lt;DATI!$E$28,DATI!$E$15*DATI!$E$25*DATI!$E$32*DATI!$E$16*(B122/DATI!$E$28+1/(DATI!$E$32*DATI!$E$16)*(1-B122/DATI!$E$28)),IF(B122&lt;DATI!$E$29,DATI!$E$15*DATI!$E$25*DATI!$E$32*DATI!$E$16,IF(B122&lt;DATI!$E$30,DATI!$E$15*DATI!$E$25*DATI!$E$32*DATI!$E$16*(DATI!$E$29/B122),DATI!$E$15*DATI!$E$25*DATI!$E$32*DATI!$E$16*((DATI!$E$29*DATI!$E$30)/B122^2))))</f>
        <v>0.22663276678834604</v>
      </c>
      <c r="D122" s="9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</row>
    <row r="123" spans="2:24" x14ac:dyDescent="0.25">
      <c r="B123" s="174">
        <f t="shared" si="1"/>
        <v>1.1800000000000008</v>
      </c>
      <c r="C123" s="121">
        <f>1/DATI!$E$21*IF(B123&lt;DATI!$E$28,DATI!$E$15*DATI!$E$25*DATI!$E$32*DATI!$E$16*(B123/DATI!$E$28+1/(DATI!$E$32*DATI!$E$16)*(1-B123/DATI!$E$28)),IF(B123&lt;DATI!$E$29,DATI!$E$15*DATI!$E$25*DATI!$E$32*DATI!$E$16,IF(B123&lt;DATI!$E$30,DATI!$E$15*DATI!$E$25*DATI!$E$32*DATI!$E$16*(DATI!$E$29/B123),DATI!$E$15*DATI!$E$25*DATI!$E$32*DATI!$E$16*((DATI!$E$29*DATI!$E$30)/B123^2))))</f>
        <v>0.22471215012064816</v>
      </c>
      <c r="D123" s="9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</row>
    <row r="124" spans="2:24" x14ac:dyDescent="0.25">
      <c r="B124" s="174">
        <f t="shared" si="1"/>
        <v>1.1900000000000008</v>
      </c>
      <c r="C124" s="121">
        <f>1/DATI!$E$21*IF(B124&lt;DATI!$E$28,DATI!$E$15*DATI!$E$25*DATI!$E$32*DATI!$E$16*(B124/DATI!$E$28+1/(DATI!$E$32*DATI!$E$16)*(1-B124/DATI!$E$28)),IF(B124&lt;DATI!$E$29,DATI!$E$15*DATI!$E$25*DATI!$E$32*DATI!$E$16,IF(B124&lt;DATI!$E$30,DATI!$E$15*DATI!$E$25*DATI!$E$32*DATI!$E$16*(DATI!$E$29/B124),DATI!$E$15*DATI!$E$25*DATI!$E$32*DATI!$E$16*((DATI!$E$29*DATI!$E$30)/B124^2))))</f>
        <v>0.22282381272467633</v>
      </c>
      <c r="D124" s="9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</row>
    <row r="125" spans="2:24" x14ac:dyDescent="0.25">
      <c r="B125" s="174">
        <f t="shared" si="1"/>
        <v>1.2000000000000008</v>
      </c>
      <c r="C125" s="121">
        <f>1/DATI!$E$21*IF(B125&lt;DATI!$E$28,DATI!$E$15*DATI!$E$25*DATI!$E$32*DATI!$E$16*(B125/DATI!$E$28+1/(DATI!$E$32*DATI!$E$16)*(1-B125/DATI!$E$28)),IF(B125&lt;DATI!$E$29,DATI!$E$15*DATI!$E$25*DATI!$E$32*DATI!$E$16,IF(B125&lt;DATI!$E$30,DATI!$E$15*DATI!$E$25*DATI!$E$32*DATI!$E$16*(DATI!$E$29/B125),DATI!$E$15*DATI!$E$25*DATI!$E$32*DATI!$E$16*((DATI!$E$29*DATI!$E$30)/B125^2))))</f>
        <v>0.22096694761863739</v>
      </c>
      <c r="D125" s="9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</row>
    <row r="126" spans="2:24" x14ac:dyDescent="0.25">
      <c r="B126" s="174">
        <f t="shared" si="1"/>
        <v>1.2100000000000009</v>
      </c>
      <c r="C126" s="121">
        <f>1/DATI!$E$21*IF(B126&lt;DATI!$E$28,DATI!$E$15*DATI!$E$25*DATI!$E$32*DATI!$E$16*(B126/DATI!$E$28+1/(DATI!$E$32*DATI!$E$16)*(1-B126/DATI!$E$28)),IF(B126&lt;DATI!$E$29,DATI!$E$15*DATI!$E$25*DATI!$E$32*DATI!$E$16,IF(B126&lt;DATI!$E$30,DATI!$E$15*DATI!$E$25*DATI!$E$32*DATI!$E$16*(DATI!$E$29/B126),DATI!$E$15*DATI!$E$25*DATI!$E$32*DATI!$E$16*((DATI!$E$29*DATI!$E$30)/B126^2))))</f>
        <v>0.21914077449782218</v>
      </c>
      <c r="D126" s="9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</row>
    <row r="127" spans="2:24" x14ac:dyDescent="0.25">
      <c r="B127" s="174">
        <f t="shared" si="1"/>
        <v>1.2200000000000009</v>
      </c>
      <c r="C127" s="121">
        <f>1/DATI!$E$21*IF(B127&lt;DATI!$E$28,DATI!$E$15*DATI!$E$25*DATI!$E$32*DATI!$E$16*(B127/DATI!$E$28+1/(DATI!$E$32*DATI!$E$16)*(1-B127/DATI!$E$28)),IF(B127&lt;DATI!$E$29,DATI!$E$15*DATI!$E$25*DATI!$E$32*DATI!$E$16,IF(B127&lt;DATI!$E$30,DATI!$E$15*DATI!$E$25*DATI!$E$32*DATI!$E$16*(DATI!$E$29/B127),DATI!$E$15*DATI!$E$25*DATI!$E$32*DATI!$E$16*((DATI!$E$29*DATI!$E$30)/B127^2))))</f>
        <v>0.21734453864128267</v>
      </c>
      <c r="D127" s="9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</row>
    <row r="128" spans="2:24" x14ac:dyDescent="0.25">
      <c r="B128" s="174">
        <f t="shared" si="1"/>
        <v>1.2300000000000009</v>
      </c>
      <c r="C128" s="121">
        <f>1/DATI!$E$21*IF(B128&lt;DATI!$E$28,DATI!$E$15*DATI!$E$25*DATI!$E$32*DATI!$E$16*(B128/DATI!$E$28+1/(DATI!$E$32*DATI!$E$16)*(1-B128/DATI!$E$28)),IF(B128&lt;DATI!$E$29,DATI!$E$15*DATI!$E$25*DATI!$E$32*DATI!$E$16,IF(B128&lt;DATI!$E$30,DATI!$E$15*DATI!$E$25*DATI!$E$32*DATI!$E$16*(DATI!$E$29/B128),DATI!$E$15*DATI!$E$25*DATI!$E$32*DATI!$E$16*((DATI!$E$29*DATI!$E$30)/B128^2))))</f>
        <v>0.21557750987184132</v>
      </c>
      <c r="D128" s="9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</row>
    <row r="129" spans="2:24" x14ac:dyDescent="0.25">
      <c r="B129" s="174">
        <f t="shared" si="1"/>
        <v>1.2400000000000009</v>
      </c>
      <c r="C129" s="121">
        <f>1/DATI!$E$21*IF(B129&lt;DATI!$E$28,DATI!$E$15*DATI!$E$25*DATI!$E$32*DATI!$E$16*(B129/DATI!$E$28+1/(DATI!$E$32*DATI!$E$16)*(1-B129/DATI!$E$28)),IF(B129&lt;DATI!$E$29,DATI!$E$15*DATI!$E$25*DATI!$E$32*DATI!$E$16,IF(B129&lt;DATI!$E$30,DATI!$E$15*DATI!$E$25*DATI!$E$32*DATI!$E$16*(DATI!$E$29/B129),DATI!$E$15*DATI!$E$25*DATI!$E$32*DATI!$E$16*((DATI!$E$29*DATI!$E$30)/B129^2))))</f>
        <v>0.21383898156642328</v>
      </c>
      <c r="D129" s="9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</row>
    <row r="130" spans="2:24" x14ac:dyDescent="0.25">
      <c r="B130" s="174">
        <f t="shared" si="1"/>
        <v>1.2500000000000009</v>
      </c>
      <c r="C130" s="121">
        <f>1/DATI!$E$21*IF(B130&lt;DATI!$E$28,DATI!$E$15*DATI!$E$25*DATI!$E$32*DATI!$E$16*(B130/DATI!$E$28+1/(DATI!$E$32*DATI!$E$16)*(1-B130/DATI!$E$28)),IF(B130&lt;DATI!$E$29,DATI!$E$15*DATI!$E$25*DATI!$E$32*DATI!$E$16,IF(B130&lt;DATI!$E$30,DATI!$E$15*DATI!$E$25*DATI!$E$32*DATI!$E$16*(DATI!$E$29/B130),DATI!$E$15*DATI!$E$25*DATI!$E$32*DATI!$E$16*((DATI!$E$29*DATI!$E$30)/B130^2))))</f>
        <v>0.2121282697138919</v>
      </c>
      <c r="D130" s="9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</row>
    <row r="131" spans="2:24" x14ac:dyDescent="0.25">
      <c r="B131" s="174">
        <f t="shared" si="1"/>
        <v>1.2600000000000009</v>
      </c>
      <c r="C131" s="121">
        <f>1/DATI!$E$21*IF(B131&lt;DATI!$E$28,DATI!$E$15*DATI!$E$25*DATI!$E$32*DATI!$E$16*(B131/DATI!$E$28+1/(DATI!$E$32*DATI!$E$16)*(1-B131/DATI!$E$28)),IF(B131&lt;DATI!$E$29,DATI!$E$15*DATI!$E$25*DATI!$E$32*DATI!$E$16,IF(B131&lt;DATI!$E$30,DATI!$E$15*DATI!$E$25*DATI!$E$32*DATI!$E$16*(DATI!$E$29/B131),DATI!$E$15*DATI!$E$25*DATI!$E$32*DATI!$E$16*((DATI!$E$29*DATI!$E$30)/B131^2))))</f>
        <v>0.21044471201774984</v>
      </c>
      <c r="D131" s="9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</row>
    <row r="132" spans="2:24" x14ac:dyDescent="0.25">
      <c r="B132" s="174">
        <f t="shared" si="1"/>
        <v>1.2700000000000009</v>
      </c>
      <c r="C132" s="121">
        <f>1/DATI!$E$21*IF(B132&lt;DATI!$E$28,DATI!$E$15*DATI!$E$25*DATI!$E$32*DATI!$E$16*(B132/DATI!$E$28+1/(DATI!$E$32*DATI!$E$16)*(1-B132/DATI!$E$28)),IF(B132&lt;DATI!$E$29,DATI!$E$15*DATI!$E$25*DATI!$E$32*DATI!$E$16,IF(B132&lt;DATI!$E$30,DATI!$E$15*DATI!$E$25*DATI!$E$32*DATI!$E$16*(DATI!$E$29/B132),DATI!$E$15*DATI!$E$25*DATI!$E$32*DATI!$E$16*((DATI!$E$29*DATI!$E$30)/B132^2))))</f>
        <v>0.20878766704123217</v>
      </c>
      <c r="D132" s="9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</row>
    <row r="133" spans="2:24" x14ac:dyDescent="0.25">
      <c r="B133" s="174">
        <f t="shared" si="1"/>
        <v>1.2800000000000009</v>
      </c>
      <c r="C133" s="121">
        <f>1/DATI!$E$21*IF(B133&lt;DATI!$E$28,DATI!$E$15*DATI!$E$25*DATI!$E$32*DATI!$E$16*(B133/DATI!$E$28+1/(DATI!$E$32*DATI!$E$16)*(1-B133/DATI!$E$28)),IF(B133&lt;DATI!$E$29,DATI!$E$15*DATI!$E$25*DATI!$E$32*DATI!$E$16,IF(B133&lt;DATI!$E$30,DATI!$E$15*DATI!$E$25*DATI!$E$32*DATI!$E$16*(DATI!$E$29/B133),DATI!$E$15*DATI!$E$25*DATI!$E$32*DATI!$E$16*((DATI!$E$29*DATI!$E$30)/B133^2))))</f>
        <v>0.20715651339247254</v>
      </c>
      <c r="D133" s="9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</row>
    <row r="134" spans="2:24" x14ac:dyDescent="0.25">
      <c r="B134" s="174">
        <f t="shared" ref="B134:B197" si="2">0.01+B133</f>
        <v>1.2900000000000009</v>
      </c>
      <c r="C134" s="121">
        <f>1/DATI!$E$21*IF(B134&lt;DATI!$E$28,DATI!$E$15*DATI!$E$25*DATI!$E$32*DATI!$E$16*(B134/DATI!$E$28+1/(DATI!$E$32*DATI!$E$16)*(1-B134/DATI!$E$28)),IF(B134&lt;DATI!$E$29,DATI!$E$15*DATI!$E$25*DATI!$E$32*DATI!$E$16,IF(B134&lt;DATI!$E$30,DATI!$E$15*DATI!$E$25*DATI!$E$32*DATI!$E$16*(DATI!$E$29/B134),DATI!$E$15*DATI!$E$25*DATI!$E$32*DATI!$E$16*((DATI!$E$29*DATI!$E$30)/B134^2))))</f>
        <v>0.20555064894756964</v>
      </c>
      <c r="D134" s="9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</row>
    <row r="135" spans="2:24" x14ac:dyDescent="0.25">
      <c r="B135" s="174">
        <f t="shared" si="2"/>
        <v>1.3000000000000009</v>
      </c>
      <c r="C135" s="121">
        <f>1/DATI!$E$21*IF(B135&lt;DATI!$E$28,DATI!$E$15*DATI!$E$25*DATI!$E$32*DATI!$E$16*(B135/DATI!$E$28+1/(DATI!$E$32*DATI!$E$16)*(1-B135/DATI!$E$28)),IF(B135&lt;DATI!$E$29,DATI!$E$15*DATI!$E$25*DATI!$E$32*DATI!$E$16,IF(B135&lt;DATI!$E$30,DATI!$E$15*DATI!$E$25*DATI!$E$32*DATI!$E$16*(DATI!$E$29/B135),DATI!$E$15*DATI!$E$25*DATI!$E$32*DATI!$E$16*((DATI!$E$29*DATI!$E$30)/B135^2))))</f>
        <v>0.20396949010951143</v>
      </c>
      <c r="D135" s="9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</row>
    <row r="136" spans="2:24" x14ac:dyDescent="0.25">
      <c r="B136" s="174">
        <f t="shared" si="2"/>
        <v>1.3100000000000009</v>
      </c>
      <c r="C136" s="121">
        <f>1/DATI!$E$21*IF(B136&lt;DATI!$E$28,DATI!$E$15*DATI!$E$25*DATI!$E$32*DATI!$E$16*(B136/DATI!$E$28+1/(DATI!$E$32*DATI!$E$16)*(1-B136/DATI!$E$28)),IF(B136&lt;DATI!$E$29,DATI!$E$15*DATI!$E$25*DATI!$E$32*DATI!$E$16,IF(B136&lt;DATI!$E$30,DATI!$E$15*DATI!$E$25*DATI!$E$32*DATI!$E$16*(DATI!$E$29/B136),DATI!$E$15*DATI!$E$25*DATI!$E$32*DATI!$E$16*((DATI!$E$29*DATI!$E$30)/B136^2))))</f>
        <v>0.20241247110104188</v>
      </c>
      <c r="D136" s="9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</row>
    <row r="137" spans="2:24" x14ac:dyDescent="0.25">
      <c r="B137" s="174">
        <f t="shared" si="2"/>
        <v>1.320000000000001</v>
      </c>
      <c r="C137" s="121">
        <f>1/DATI!$E$21*IF(B137&lt;DATI!$E$28,DATI!$E$15*DATI!$E$25*DATI!$E$32*DATI!$E$16*(B137/DATI!$E$28+1/(DATI!$E$32*DATI!$E$16)*(1-B137/DATI!$E$28)),IF(B137&lt;DATI!$E$29,DATI!$E$15*DATI!$E$25*DATI!$E$32*DATI!$E$16,IF(B137&lt;DATI!$E$30,DATI!$E$15*DATI!$E$25*DATI!$E$32*DATI!$E$16*(DATI!$E$29/B137),DATI!$E$15*DATI!$E$25*DATI!$E$32*DATI!$E$16*((DATI!$E$29*DATI!$E$30)/B137^2))))</f>
        <v>0.20087904328967035</v>
      </c>
      <c r="D137" s="9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</row>
    <row r="138" spans="2:24" x14ac:dyDescent="0.25">
      <c r="B138" s="174">
        <f t="shared" si="2"/>
        <v>1.330000000000001</v>
      </c>
      <c r="C138" s="121">
        <f>1/DATI!$E$21*IF(B138&lt;DATI!$E$28,DATI!$E$15*DATI!$E$25*DATI!$E$32*DATI!$E$16*(B138/DATI!$E$28+1/(DATI!$E$32*DATI!$E$16)*(1-B138/DATI!$E$28)),IF(B138&lt;DATI!$E$29,DATI!$E$15*DATI!$E$25*DATI!$E$32*DATI!$E$16,IF(B138&lt;DATI!$E$30,DATI!$E$15*DATI!$E$25*DATI!$E$32*DATI!$E$16*(DATI!$E$29/B138),DATI!$E$15*DATI!$E$25*DATI!$E$32*DATI!$E$16*((DATI!$E$29*DATI!$E$30)/B138^2))))</f>
        <v>0.19936867454313145</v>
      </c>
      <c r="D138" s="9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</row>
    <row r="139" spans="2:24" x14ac:dyDescent="0.25">
      <c r="B139" s="174">
        <f t="shared" si="2"/>
        <v>1.340000000000001</v>
      </c>
      <c r="C139" s="121">
        <f>1/DATI!$E$21*IF(B139&lt;DATI!$E$28,DATI!$E$15*DATI!$E$25*DATI!$E$32*DATI!$E$16*(B139/DATI!$E$28+1/(DATI!$E$32*DATI!$E$16)*(1-B139/DATI!$E$28)),IF(B139&lt;DATI!$E$29,DATI!$E$15*DATI!$E$25*DATI!$E$32*DATI!$E$16,IF(B139&lt;DATI!$E$30,DATI!$E$15*DATI!$E$25*DATI!$E$32*DATI!$E$16*(DATI!$E$29/B139),DATI!$E$15*DATI!$E$25*DATI!$E$32*DATI!$E$16*((DATI!$E$29*DATI!$E$30)/B139^2))))</f>
        <v>0.19788084861370511</v>
      </c>
      <c r="D139" s="9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</row>
    <row r="140" spans="2:24" x14ac:dyDescent="0.25">
      <c r="B140" s="174">
        <f t="shared" si="2"/>
        <v>1.350000000000001</v>
      </c>
      <c r="C140" s="121">
        <f>1/DATI!$E$21*IF(B140&lt;DATI!$E$28,DATI!$E$15*DATI!$E$25*DATI!$E$32*DATI!$E$16*(B140/DATI!$E$28+1/(DATI!$E$32*DATI!$E$16)*(1-B140/DATI!$E$28)),IF(B140&lt;DATI!$E$29,DATI!$E$15*DATI!$E$25*DATI!$E$32*DATI!$E$16,IF(B140&lt;DATI!$E$30,DATI!$E$15*DATI!$E$25*DATI!$E$32*DATI!$E$16*(DATI!$E$29/B140),DATI!$E$15*DATI!$E$25*DATI!$E$32*DATI!$E$16*((DATI!$E$29*DATI!$E$30)/B140^2))))</f>
        <v>0.1964150645498999</v>
      </c>
      <c r="D140" s="9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</row>
    <row r="141" spans="2:24" x14ac:dyDescent="0.25">
      <c r="B141" s="174">
        <f t="shared" si="2"/>
        <v>1.360000000000001</v>
      </c>
      <c r="C141" s="121">
        <f>1/DATI!$E$21*IF(B141&lt;DATI!$E$28,DATI!$E$15*DATI!$E$25*DATI!$E$32*DATI!$E$16*(B141/DATI!$E$28+1/(DATI!$E$32*DATI!$E$16)*(1-B141/DATI!$E$28)),IF(B141&lt;DATI!$E$29,DATI!$E$15*DATI!$E$25*DATI!$E$32*DATI!$E$16,IF(B141&lt;DATI!$E$30,DATI!$E$15*DATI!$E$25*DATI!$E$32*DATI!$E$16*(DATI!$E$29/B141),DATI!$E$15*DATI!$E$25*DATI!$E$32*DATI!$E$16*((DATI!$E$29*DATI!$E$30)/B141^2))))</f>
        <v>0.1949708361340918</v>
      </c>
      <c r="D141" s="9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</row>
    <row r="142" spans="2:24" x14ac:dyDescent="0.25">
      <c r="B142" s="174">
        <f t="shared" si="2"/>
        <v>1.370000000000001</v>
      </c>
      <c r="C142" s="121">
        <f>1/DATI!$E$21*IF(B142&lt;DATI!$E$28,DATI!$E$15*DATI!$E$25*DATI!$E$32*DATI!$E$16*(B142/DATI!$E$28+1/(DATI!$E$32*DATI!$E$16)*(1-B142/DATI!$E$28)),IF(B142&lt;DATI!$E$29,DATI!$E$15*DATI!$E$25*DATI!$E$32*DATI!$E$16,IF(B142&lt;DATI!$E$30,DATI!$E$15*DATI!$E$25*DATI!$E$32*DATI!$E$16*(DATI!$E$29/B142),DATI!$E$15*DATI!$E$25*DATI!$E$32*DATI!$E$16*((DATI!$E$29*DATI!$E$30)/B142^2))))</f>
        <v>0.19354769134479186</v>
      </c>
      <c r="D142" s="9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</row>
    <row r="143" spans="2:24" x14ac:dyDescent="0.25">
      <c r="B143" s="174">
        <f t="shared" si="2"/>
        <v>1.380000000000001</v>
      </c>
      <c r="C143" s="121">
        <f>1/DATI!$E$21*IF(B143&lt;DATI!$E$28,DATI!$E$15*DATI!$E$25*DATI!$E$32*DATI!$E$16*(B143/DATI!$E$28+1/(DATI!$E$32*DATI!$E$16)*(1-B143/DATI!$E$28)),IF(B143&lt;DATI!$E$29,DATI!$E$15*DATI!$E$25*DATI!$E$32*DATI!$E$16,IF(B143&lt;DATI!$E$30,DATI!$E$15*DATI!$E$25*DATI!$E$32*DATI!$E$16*(DATI!$E$29/B143),DATI!$E$15*DATI!$E$25*DATI!$E$32*DATI!$E$16*((DATI!$E$29*DATI!$E$30)/B143^2))))</f>
        <v>0.19214517184229335</v>
      </c>
      <c r="D143" s="9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</row>
    <row r="144" spans="2:24" x14ac:dyDescent="0.25">
      <c r="B144" s="174">
        <f t="shared" si="2"/>
        <v>1.390000000000001</v>
      </c>
      <c r="C144" s="121">
        <f>1/DATI!$E$21*IF(B144&lt;DATI!$E$28,DATI!$E$15*DATI!$E$25*DATI!$E$32*DATI!$E$16*(B144/DATI!$E$28+1/(DATI!$E$32*DATI!$E$16)*(1-B144/DATI!$E$28)),IF(B144&lt;DATI!$E$29,DATI!$E$15*DATI!$E$25*DATI!$E$32*DATI!$E$16,IF(B144&lt;DATI!$E$30,DATI!$E$15*DATI!$E$25*DATI!$E$32*DATI!$E$16*(DATI!$E$29/B144),DATI!$E$15*DATI!$E$25*DATI!$E$32*DATI!$E$16*((DATI!$E$29*DATI!$E$30)/B144^2))))</f>
        <v>0.19076283247652148</v>
      </c>
      <c r="D144" s="9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</row>
    <row r="145" spans="2:24" x14ac:dyDescent="0.25">
      <c r="B145" s="174">
        <f t="shared" si="2"/>
        <v>1.400000000000001</v>
      </c>
      <c r="C145" s="121">
        <f>1/DATI!$E$21*IF(B145&lt;DATI!$E$28,DATI!$E$15*DATI!$E$25*DATI!$E$32*DATI!$E$16*(B145/DATI!$E$28+1/(DATI!$E$32*DATI!$E$16)*(1-B145/DATI!$E$28)),IF(B145&lt;DATI!$E$29,DATI!$E$15*DATI!$E$25*DATI!$E$32*DATI!$E$16,IF(B145&lt;DATI!$E$30,DATI!$E$15*DATI!$E$25*DATI!$E$32*DATI!$E$16*(DATI!$E$29/B145),DATI!$E$15*DATI!$E$25*DATI!$E$32*DATI!$E$16*((DATI!$E$29*DATI!$E$30)/B145^2))))</f>
        <v>0.1894002408159749</v>
      </c>
      <c r="D145" s="9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</row>
    <row r="146" spans="2:24" x14ac:dyDescent="0.25">
      <c r="B146" s="174">
        <f t="shared" si="2"/>
        <v>1.410000000000001</v>
      </c>
      <c r="C146" s="121">
        <f>1/DATI!$E$21*IF(B146&lt;DATI!$E$28,DATI!$E$15*DATI!$E$25*DATI!$E$32*DATI!$E$16*(B146/DATI!$E$28+1/(DATI!$E$32*DATI!$E$16)*(1-B146/DATI!$E$28)),IF(B146&lt;DATI!$E$29,DATI!$E$15*DATI!$E$25*DATI!$E$32*DATI!$E$16,IF(B146&lt;DATI!$E$30,DATI!$E$15*DATI!$E$25*DATI!$E$32*DATI!$E$16*(DATI!$E$29/B146),DATI!$E$15*DATI!$E$25*DATI!$E$32*DATI!$E$16*((DATI!$E$29*DATI!$E$30)/B146^2))))</f>
        <v>0.18805697669671265</v>
      </c>
      <c r="D146" s="9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</row>
    <row r="147" spans="2:24" x14ac:dyDescent="0.25">
      <c r="B147" s="174">
        <f t="shared" si="2"/>
        <v>1.420000000000001</v>
      </c>
      <c r="C147" s="121">
        <f>1/DATI!$E$21*IF(B147&lt;DATI!$E$28,DATI!$E$15*DATI!$E$25*DATI!$E$32*DATI!$E$16*(B147/DATI!$E$28+1/(DATI!$E$32*DATI!$E$16)*(1-B147/DATI!$E$28)),IF(B147&lt;DATI!$E$29,DATI!$E$15*DATI!$E$25*DATI!$E$32*DATI!$E$16,IF(B147&lt;DATI!$E$30,DATI!$E$15*DATI!$E$25*DATI!$E$32*DATI!$E$16*(DATI!$E$29/B147),DATI!$E$15*DATI!$E$25*DATI!$E$32*DATI!$E$16*((DATI!$E$29*DATI!$E$30)/B147^2))))</f>
        <v>0.18673263179039779</v>
      </c>
      <c r="D147" s="9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</row>
    <row r="148" spans="2:24" x14ac:dyDescent="0.25">
      <c r="B148" s="174">
        <f t="shared" si="2"/>
        <v>1.430000000000001</v>
      </c>
      <c r="C148" s="121">
        <f>1/DATI!$E$21*IF(B148&lt;DATI!$E$28,DATI!$E$15*DATI!$E$25*DATI!$E$32*DATI!$E$16*(B148/DATI!$E$28+1/(DATI!$E$32*DATI!$E$16)*(1-B148/DATI!$E$28)),IF(B148&lt;DATI!$E$29,DATI!$E$15*DATI!$E$25*DATI!$E$32*DATI!$E$16,IF(B148&lt;DATI!$E$30,DATI!$E$15*DATI!$E$25*DATI!$E$32*DATI!$E$16*(DATI!$E$29/B148),DATI!$E$15*DATI!$E$25*DATI!$E$32*DATI!$E$16*((DATI!$E$29*DATI!$E$30)/B148^2))))</f>
        <v>0.18542680919046492</v>
      </c>
      <c r="D148" s="9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</row>
    <row r="149" spans="2:24" x14ac:dyDescent="0.25">
      <c r="B149" s="174">
        <f t="shared" si="2"/>
        <v>1.4400000000000011</v>
      </c>
      <c r="C149" s="121">
        <f>1/DATI!$E$21*IF(B149&lt;DATI!$E$28,DATI!$E$15*DATI!$E$25*DATI!$E$32*DATI!$E$16*(B149/DATI!$E$28+1/(DATI!$E$32*DATI!$E$16)*(1-B149/DATI!$E$28)),IF(B149&lt;DATI!$E$29,DATI!$E$15*DATI!$E$25*DATI!$E$32*DATI!$E$16,IF(B149&lt;DATI!$E$30,DATI!$E$15*DATI!$E$25*DATI!$E$32*DATI!$E$16*(DATI!$E$29/B149),DATI!$E$15*DATI!$E$25*DATI!$E$32*DATI!$E$16*((DATI!$E$29*DATI!$E$30)/B149^2))))</f>
        <v>0.18413912301553115</v>
      </c>
      <c r="D149" s="9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</row>
    <row r="150" spans="2:24" x14ac:dyDescent="0.25">
      <c r="B150" s="174">
        <f t="shared" si="2"/>
        <v>1.4500000000000011</v>
      </c>
      <c r="C150" s="121">
        <f>1/DATI!$E$21*IF(B150&lt;DATI!$E$28,DATI!$E$15*DATI!$E$25*DATI!$E$32*DATI!$E$16*(B150/DATI!$E$28+1/(DATI!$E$32*DATI!$E$16)*(1-B150/DATI!$E$28)),IF(B150&lt;DATI!$E$29,DATI!$E$15*DATI!$E$25*DATI!$E$32*DATI!$E$16,IF(B150&lt;DATI!$E$30,DATI!$E$15*DATI!$E$25*DATI!$E$32*DATI!$E$16*(DATI!$E$29/B150),DATI!$E$15*DATI!$E$25*DATI!$E$32*DATI!$E$16*((DATI!$E$29*DATI!$E$30)/B150^2))))</f>
        <v>0.18286919802921714</v>
      </c>
      <c r="D150" s="9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</row>
    <row r="151" spans="2:24" x14ac:dyDescent="0.25">
      <c r="B151" s="174">
        <f t="shared" si="2"/>
        <v>1.4600000000000011</v>
      </c>
      <c r="C151" s="121">
        <f>1/DATI!$E$21*IF(B151&lt;DATI!$E$28,DATI!$E$15*DATI!$E$25*DATI!$E$32*DATI!$E$16*(B151/DATI!$E$28+1/(DATI!$E$32*DATI!$E$16)*(1-B151/DATI!$E$28)),IF(B151&lt;DATI!$E$29,DATI!$E$15*DATI!$E$25*DATI!$E$32*DATI!$E$16,IF(B151&lt;DATI!$E$30,DATI!$E$15*DATI!$E$25*DATI!$E$32*DATI!$E$16*(DATI!$E$29/B151),DATI!$E$15*DATI!$E$25*DATI!$E$32*DATI!$E$16*((DATI!$E$29*DATI!$E$30)/B151^2))))</f>
        <v>0.18161666927559236</v>
      </c>
      <c r="D151" s="9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</row>
    <row r="152" spans="2:24" x14ac:dyDescent="0.25">
      <c r="B152" s="174">
        <f t="shared" si="2"/>
        <v>1.4700000000000011</v>
      </c>
      <c r="C152" s="121">
        <f>1/DATI!$E$21*IF(B152&lt;DATI!$E$28,DATI!$E$15*DATI!$E$25*DATI!$E$32*DATI!$E$16*(B152/DATI!$E$28+1/(DATI!$E$32*DATI!$E$16)*(1-B152/DATI!$E$28)),IF(B152&lt;DATI!$E$29,DATI!$E$15*DATI!$E$25*DATI!$E$32*DATI!$E$16,IF(B152&lt;DATI!$E$30,DATI!$E$15*DATI!$E$25*DATI!$E$32*DATI!$E$16*(DATI!$E$29/B152),DATI!$E$15*DATI!$E$25*DATI!$E$32*DATI!$E$16*((DATI!$E$29*DATI!$E$30)/B152^2))))</f>
        <v>0.18038118172949988</v>
      </c>
      <c r="D152" s="9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</row>
    <row r="153" spans="2:24" x14ac:dyDescent="0.25">
      <c r="B153" s="174">
        <f t="shared" si="2"/>
        <v>1.4800000000000011</v>
      </c>
      <c r="C153" s="121">
        <f>1/DATI!$E$21*IF(B153&lt;DATI!$E$28,DATI!$E$15*DATI!$E$25*DATI!$E$32*DATI!$E$16*(B153/DATI!$E$28+1/(DATI!$E$32*DATI!$E$16)*(1-B153/DATI!$E$28)),IF(B153&lt;DATI!$E$29,DATI!$E$15*DATI!$E$25*DATI!$E$32*DATI!$E$16,IF(B153&lt;DATI!$E$30,DATI!$E$15*DATI!$E$25*DATI!$E$32*DATI!$E$16*(DATI!$E$29/B153),DATI!$E$15*DATI!$E$25*DATI!$E$32*DATI!$E$16*((DATI!$E$29*DATI!$E$30)/B153^2))))</f>
        <v>0.17916238996105732</v>
      </c>
      <c r="D153" s="9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</row>
    <row r="154" spans="2:24" x14ac:dyDescent="0.25">
      <c r="B154" s="174">
        <f t="shared" si="2"/>
        <v>1.4900000000000011</v>
      </c>
      <c r="C154" s="121">
        <f>1/DATI!$E$21*IF(B154&lt;DATI!$E$28,DATI!$E$15*DATI!$E$25*DATI!$E$32*DATI!$E$16*(B154/DATI!$E$28+1/(DATI!$E$32*DATI!$E$16)*(1-B154/DATI!$E$28)),IF(B154&lt;DATI!$E$29,DATI!$E$15*DATI!$E$25*DATI!$E$32*DATI!$E$16,IF(B154&lt;DATI!$E$30,DATI!$E$15*DATI!$E$25*DATI!$E$32*DATI!$E$16*(DATI!$E$29/B154),DATI!$E$15*DATI!$E$25*DATI!$E$32*DATI!$E$16*((DATI!$E$29*DATI!$E$30)/B154^2))))</f>
        <v>0.17795995781366766</v>
      </c>
      <c r="D154" s="9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</row>
    <row r="155" spans="2:24" x14ac:dyDescent="0.25">
      <c r="B155" s="174">
        <f t="shared" si="2"/>
        <v>1.5000000000000011</v>
      </c>
      <c r="C155" s="121">
        <f>1/DATI!$E$21*IF(B155&lt;DATI!$E$28,DATI!$E$15*DATI!$E$25*DATI!$E$32*DATI!$E$16*(B155/DATI!$E$28+1/(DATI!$E$32*DATI!$E$16)*(1-B155/DATI!$E$28)),IF(B155&lt;DATI!$E$29,DATI!$E$15*DATI!$E$25*DATI!$E$32*DATI!$E$16,IF(B155&lt;DATI!$E$30,DATI!$E$15*DATI!$E$25*DATI!$E$32*DATI!$E$16*(DATI!$E$29/B155),DATI!$E$15*DATI!$E$25*DATI!$E$32*DATI!$E$16*((DATI!$E$29*DATI!$E$30)/B155^2))))</f>
        <v>0.17677355809490988</v>
      </c>
      <c r="D155" s="9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</row>
    <row r="156" spans="2:24" x14ac:dyDescent="0.25">
      <c r="B156" s="174">
        <f t="shared" si="2"/>
        <v>1.5100000000000011</v>
      </c>
      <c r="C156" s="121">
        <f>1/DATI!$E$21*IF(B156&lt;DATI!$E$28,DATI!$E$15*DATI!$E$25*DATI!$E$32*DATI!$E$16*(B156/DATI!$E$28+1/(DATI!$E$32*DATI!$E$16)*(1-B156/DATI!$E$28)),IF(B156&lt;DATI!$E$29,DATI!$E$15*DATI!$E$25*DATI!$E$32*DATI!$E$16,IF(B156&lt;DATI!$E$30,DATI!$E$15*DATI!$E$25*DATI!$E$32*DATI!$E$16*(DATI!$E$29/B156),DATI!$E$15*DATI!$E$25*DATI!$E$32*DATI!$E$16*((DATI!$E$29*DATI!$E$30)/B156^2))))</f>
        <v>0.1756028722797118</v>
      </c>
      <c r="D156" s="9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</row>
    <row r="157" spans="2:24" x14ac:dyDescent="0.25">
      <c r="B157" s="174">
        <f t="shared" si="2"/>
        <v>1.5200000000000011</v>
      </c>
      <c r="C157" s="121">
        <f>1/DATI!$E$21*IF(B157&lt;DATI!$E$28,DATI!$E$15*DATI!$E$25*DATI!$E$32*DATI!$E$16*(B157/DATI!$E$28+1/(DATI!$E$32*DATI!$E$16)*(1-B157/DATI!$E$28)),IF(B157&lt;DATI!$E$29,DATI!$E$15*DATI!$E$25*DATI!$E$32*DATI!$E$16,IF(B157&lt;DATI!$E$30,DATI!$E$15*DATI!$E$25*DATI!$E$32*DATI!$E$16*(DATI!$E$29/B157),DATI!$E$15*DATI!$E$25*DATI!$E$32*DATI!$E$16*((DATI!$E$29*DATI!$E$30)/B157^2))))</f>
        <v>0.17444759022524003</v>
      </c>
      <c r="D157" s="9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</row>
    <row r="158" spans="2:24" x14ac:dyDescent="0.25">
      <c r="B158" s="174">
        <f t="shared" si="2"/>
        <v>1.5300000000000011</v>
      </c>
      <c r="C158" s="121">
        <f>1/DATI!$E$21*IF(B158&lt;DATI!$E$28,DATI!$E$15*DATI!$E$25*DATI!$E$32*DATI!$E$16*(B158/DATI!$E$28+1/(DATI!$E$32*DATI!$E$16)*(1-B158/DATI!$E$28)),IF(B158&lt;DATI!$E$29,DATI!$E$15*DATI!$E$25*DATI!$E$32*DATI!$E$16,IF(B158&lt;DATI!$E$30,DATI!$E$15*DATI!$E$25*DATI!$E$32*DATI!$E$16*(DATI!$E$29/B158),DATI!$E$15*DATI!$E$25*DATI!$E$32*DATI!$E$16*((DATI!$E$29*DATI!$E$30)/B158^2))))</f>
        <v>0.17330740989697049</v>
      </c>
      <c r="D158" s="9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</row>
    <row r="159" spans="2:24" x14ac:dyDescent="0.25">
      <c r="B159" s="174">
        <f t="shared" si="2"/>
        <v>1.5400000000000011</v>
      </c>
      <c r="C159" s="121">
        <f>1/DATI!$E$21*IF(B159&lt;DATI!$E$28,DATI!$E$15*DATI!$E$25*DATI!$E$32*DATI!$E$16*(B159/DATI!$E$28+1/(DATI!$E$32*DATI!$E$16)*(1-B159/DATI!$E$28)),IF(B159&lt;DATI!$E$29,DATI!$E$15*DATI!$E$25*DATI!$E$32*DATI!$E$16,IF(B159&lt;DATI!$E$30,DATI!$E$15*DATI!$E$25*DATI!$E$32*DATI!$E$16*(DATI!$E$29/B159),DATI!$E$15*DATI!$E$25*DATI!$E$32*DATI!$E$16*((DATI!$E$29*DATI!$E$30)/B159^2))))</f>
        <v>0.1721820371054317</v>
      </c>
      <c r="D159" s="9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</row>
    <row r="160" spans="2:24" x14ac:dyDescent="0.25">
      <c r="B160" s="174">
        <f t="shared" si="2"/>
        <v>1.5500000000000012</v>
      </c>
      <c r="C160" s="121">
        <f>1/DATI!$E$21*IF(B160&lt;DATI!$E$28,DATI!$E$15*DATI!$E$25*DATI!$E$32*DATI!$E$16*(B160/DATI!$E$28+1/(DATI!$E$32*DATI!$E$16)*(1-B160/DATI!$E$28)),IF(B160&lt;DATI!$E$29,DATI!$E$15*DATI!$E$25*DATI!$E$32*DATI!$E$16,IF(B160&lt;DATI!$E$30,DATI!$E$15*DATI!$E$25*DATI!$E$32*DATI!$E$16*(DATI!$E$29/B160),DATI!$E$15*DATI!$E$25*DATI!$E$32*DATI!$E$16*((DATI!$E$29*DATI!$E$30)/B160^2))))</f>
        <v>0.17107118525313861</v>
      </c>
      <c r="D160" s="9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</row>
    <row r="161" spans="2:24" x14ac:dyDescent="0.25">
      <c r="B161" s="174">
        <f t="shared" si="2"/>
        <v>1.5600000000000012</v>
      </c>
      <c r="C161" s="121">
        <f>1/DATI!$E$21*IF(B161&lt;DATI!$E$28,DATI!$E$15*DATI!$E$25*DATI!$E$32*DATI!$E$16*(B161/DATI!$E$28+1/(DATI!$E$32*DATI!$E$16)*(1-B161/DATI!$E$28)),IF(B161&lt;DATI!$E$29,DATI!$E$15*DATI!$E$25*DATI!$E$32*DATI!$E$16,IF(B161&lt;DATI!$E$30,DATI!$E$15*DATI!$E$25*DATI!$E$32*DATI!$E$16*(DATI!$E$29/B161),DATI!$E$15*DATI!$E$25*DATI!$E$32*DATI!$E$16*((DATI!$E$29*DATI!$E$30)/B161^2))))</f>
        <v>0.16997457509125952</v>
      </c>
      <c r="D161" s="9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</row>
    <row r="162" spans="2:24" x14ac:dyDescent="0.25">
      <c r="B162" s="174">
        <f t="shared" si="2"/>
        <v>1.5700000000000012</v>
      </c>
      <c r="C162" s="121">
        <f>1/DATI!$E$21*IF(B162&lt;DATI!$E$28,DATI!$E$15*DATI!$E$25*DATI!$E$32*DATI!$E$16*(B162/DATI!$E$28+1/(DATI!$E$32*DATI!$E$16)*(1-B162/DATI!$E$28)),IF(B162&lt;DATI!$E$29,DATI!$E$15*DATI!$E$25*DATI!$E$32*DATI!$E$16,IF(B162&lt;DATI!$E$30,DATI!$E$15*DATI!$E$25*DATI!$E$32*DATI!$E$16*(DATI!$E$29/B162),DATI!$E$15*DATI!$E$25*DATI!$E$32*DATI!$E$16*((DATI!$E$29*DATI!$E$30)/B162^2))))</f>
        <v>0.16889193448558268</v>
      </c>
      <c r="D162" s="9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</row>
    <row r="163" spans="2:24" x14ac:dyDescent="0.25">
      <c r="B163" s="174">
        <f t="shared" si="2"/>
        <v>1.5800000000000012</v>
      </c>
      <c r="C163" s="121">
        <f>1/DATI!$E$21*IF(B163&lt;DATI!$E$28,DATI!$E$15*DATI!$E$25*DATI!$E$32*DATI!$E$16*(B163/DATI!$E$28+1/(DATI!$E$32*DATI!$E$16)*(1-B163/DATI!$E$28)),IF(B163&lt;DATI!$E$29,DATI!$E$15*DATI!$E$25*DATI!$E$32*DATI!$E$16,IF(B163&lt;DATI!$E$30,DATI!$E$15*DATI!$E$25*DATI!$E$32*DATI!$E$16*(DATI!$E$29/B163),DATI!$E$15*DATI!$E$25*DATI!$E$32*DATI!$E$16*((DATI!$E$29*DATI!$E$30)/B163^2))))</f>
        <v>0.16782299819137014</v>
      </c>
      <c r="D163" s="9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</row>
    <row r="164" spans="2:24" x14ac:dyDescent="0.25">
      <c r="B164" s="174">
        <f t="shared" si="2"/>
        <v>1.5900000000000012</v>
      </c>
      <c r="C164" s="121">
        <f>1/DATI!$E$21*IF(B164&lt;DATI!$E$28,DATI!$E$15*DATI!$E$25*DATI!$E$32*DATI!$E$16*(B164/DATI!$E$28+1/(DATI!$E$32*DATI!$E$16)*(1-B164/DATI!$E$28)),IF(B164&lt;DATI!$E$29,DATI!$E$15*DATI!$E$25*DATI!$E$32*DATI!$E$16,IF(B164&lt;DATI!$E$30,DATI!$E$15*DATI!$E$25*DATI!$E$32*DATI!$E$16*(DATI!$E$29/B164),DATI!$E$15*DATI!$E$25*DATI!$E$32*DATI!$E$16*((DATI!$E$29*DATI!$E$30)/B164^2))))</f>
        <v>0.16676750763670745</v>
      </c>
      <c r="D164" s="9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</row>
    <row r="165" spans="2:24" x14ac:dyDescent="0.25">
      <c r="B165" s="174">
        <f t="shared" si="2"/>
        <v>1.6000000000000012</v>
      </c>
      <c r="C165" s="121">
        <f>1/DATI!$E$21*IF(B165&lt;DATI!$E$28,DATI!$E$15*DATI!$E$25*DATI!$E$32*DATI!$E$16*(B165/DATI!$E$28+1/(DATI!$E$32*DATI!$E$16)*(1-B165/DATI!$E$28)),IF(B165&lt;DATI!$E$29,DATI!$E$15*DATI!$E$25*DATI!$E$32*DATI!$E$16,IF(B165&lt;DATI!$E$30,DATI!$E$15*DATI!$E$25*DATI!$E$32*DATI!$E$16*(DATI!$E$29/B165),DATI!$E$15*DATI!$E$25*DATI!$E$32*DATI!$E$16*((DATI!$E$29*DATI!$E$30)/B165^2))))</f>
        <v>0.16572521071397803</v>
      </c>
      <c r="D165" s="9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</row>
    <row r="166" spans="2:24" x14ac:dyDescent="0.25">
      <c r="B166" s="174">
        <f t="shared" si="2"/>
        <v>1.6100000000000012</v>
      </c>
      <c r="C166" s="121">
        <f>1/DATI!$E$21*IF(B166&lt;DATI!$E$28,DATI!$E$15*DATI!$E$25*DATI!$E$32*DATI!$E$16*(B166/DATI!$E$28+1/(DATI!$E$32*DATI!$E$16)*(1-B166/DATI!$E$28)),IF(B166&lt;DATI!$E$29,DATI!$E$15*DATI!$E$25*DATI!$E$32*DATI!$E$16,IF(B166&lt;DATI!$E$30,DATI!$E$15*DATI!$E$25*DATI!$E$32*DATI!$E$16*(DATI!$E$29/B166),DATI!$E$15*DATI!$E$25*DATI!$E$32*DATI!$E$16*((DATI!$E$29*DATI!$E$30)/B166^2))))</f>
        <v>0.16469586157910859</v>
      </c>
      <c r="D166" s="9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</row>
    <row r="167" spans="2:24" x14ac:dyDescent="0.25">
      <c r="B167" s="174">
        <f t="shared" si="2"/>
        <v>1.6200000000000012</v>
      </c>
      <c r="C167" s="121">
        <f>1/DATI!$E$21*IF(B167&lt;DATI!$E$28,DATI!$E$15*DATI!$E$25*DATI!$E$32*DATI!$E$16*(B167/DATI!$E$28+1/(DATI!$E$32*DATI!$E$16)*(1-B167/DATI!$E$28)),IF(B167&lt;DATI!$E$29,DATI!$E$15*DATI!$E$25*DATI!$E$32*DATI!$E$16,IF(B167&lt;DATI!$E$30,DATI!$E$15*DATI!$E$25*DATI!$E$32*DATI!$E$16*(DATI!$E$29/B167),DATI!$E$15*DATI!$E$25*DATI!$E$32*DATI!$E$16*((DATI!$E$29*DATI!$E$30)/B167^2))))</f>
        <v>0.16367922045824992</v>
      </c>
      <c r="D167" s="9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</row>
    <row r="168" spans="2:24" x14ac:dyDescent="0.25">
      <c r="B168" s="174">
        <f t="shared" si="2"/>
        <v>1.6300000000000012</v>
      </c>
      <c r="C168" s="121">
        <f>1/DATI!$E$21*IF(B168&lt;DATI!$E$28,DATI!$E$15*DATI!$E$25*DATI!$E$32*DATI!$E$16*(B168/DATI!$E$28+1/(DATI!$E$32*DATI!$E$16)*(1-B168/DATI!$E$28)),IF(B168&lt;DATI!$E$29,DATI!$E$15*DATI!$E$25*DATI!$E$32*DATI!$E$16,IF(B168&lt;DATI!$E$30,DATI!$E$15*DATI!$E$25*DATI!$E$32*DATI!$E$16*(DATI!$E$29/B168),DATI!$E$15*DATI!$E$25*DATI!$E$32*DATI!$E$16*((DATI!$E$29*DATI!$E$30)/B168^2))))</f>
        <v>0.16267505346157352</v>
      </c>
      <c r="D168" s="9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</row>
    <row r="169" spans="2:24" x14ac:dyDescent="0.25">
      <c r="B169" s="174">
        <f t="shared" si="2"/>
        <v>1.6400000000000012</v>
      </c>
      <c r="C169" s="121">
        <f>1/DATI!$E$21*IF(B169&lt;DATI!$E$28,DATI!$E$15*DATI!$E$25*DATI!$E$32*DATI!$E$16*(B169/DATI!$E$28+1/(DATI!$E$32*DATI!$E$16)*(1-B169/DATI!$E$28)),IF(B169&lt;DATI!$E$29,DATI!$E$15*DATI!$E$25*DATI!$E$32*DATI!$E$16,IF(B169&lt;DATI!$E$30,DATI!$E$15*DATI!$E$25*DATI!$E$32*DATI!$E$16*(DATI!$E$29/B169),DATI!$E$15*DATI!$E$25*DATI!$E$32*DATI!$E$16*((DATI!$E$29*DATI!$E$30)/B169^2))))</f>
        <v>0.16168313240388099</v>
      </c>
      <c r="D169" s="9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</row>
    <row r="170" spans="2:24" x14ac:dyDescent="0.25">
      <c r="B170" s="174">
        <f t="shared" si="2"/>
        <v>1.6500000000000012</v>
      </c>
      <c r="C170" s="121">
        <f>1/DATI!$E$21*IF(B170&lt;DATI!$E$28,DATI!$E$15*DATI!$E$25*DATI!$E$32*DATI!$E$16*(B170/DATI!$E$28+1/(DATI!$E$32*DATI!$E$16)*(1-B170/DATI!$E$28)),IF(B170&lt;DATI!$E$29,DATI!$E$15*DATI!$E$25*DATI!$E$32*DATI!$E$16,IF(B170&lt;DATI!$E$30,DATI!$E$15*DATI!$E$25*DATI!$E$32*DATI!$E$16*(DATI!$E$29/B170),DATI!$E$15*DATI!$E$25*DATI!$E$32*DATI!$E$16*((DATI!$E$29*DATI!$E$30)/B170^2))))</f>
        <v>0.16070323463173625</v>
      </c>
      <c r="D170" s="9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</row>
    <row r="171" spans="2:24" x14ac:dyDescent="0.25">
      <c r="B171" s="174">
        <f t="shared" si="2"/>
        <v>1.6600000000000013</v>
      </c>
      <c r="C171" s="121">
        <f>1/DATI!$E$21*IF(B171&lt;DATI!$E$28,DATI!$E$15*DATI!$E$25*DATI!$E$32*DATI!$E$16*(B171/DATI!$E$28+1/(DATI!$E$32*DATI!$E$16)*(1-B171/DATI!$E$28)),IF(B171&lt;DATI!$E$29,DATI!$E$15*DATI!$E$25*DATI!$E$32*DATI!$E$16,IF(B171&lt;DATI!$E$30,DATI!$E$15*DATI!$E$25*DATI!$E$32*DATI!$E$16*(DATI!$E$29/B171),DATI!$E$15*DATI!$E$25*DATI!$E$32*DATI!$E$16*((DATI!$E$29*DATI!$E$30)/B171^2))))</f>
        <v>0.15973514285684631</v>
      </c>
      <c r="D171" s="9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</row>
    <row r="172" spans="2:24" x14ac:dyDescent="0.25">
      <c r="B172" s="174">
        <f t="shared" si="2"/>
        <v>1.6700000000000013</v>
      </c>
      <c r="C172" s="121">
        <f>1/DATI!$E$21*IF(B172&lt;DATI!$E$28,DATI!$E$15*DATI!$E$25*DATI!$E$32*DATI!$E$16*(B172/DATI!$E$28+1/(DATI!$E$32*DATI!$E$16)*(1-B172/DATI!$E$28)),IF(B172&lt;DATI!$E$29,DATI!$E$15*DATI!$E$25*DATI!$E$32*DATI!$E$16,IF(B172&lt;DATI!$E$30,DATI!$E$15*DATI!$E$25*DATI!$E$32*DATI!$E$16*(DATI!$E$29/B172),DATI!$E$15*DATI!$E$25*DATI!$E$32*DATI!$E$16*((DATI!$E$29*DATI!$E$30)/B172^2))))</f>
        <v>0.15877864499542804</v>
      </c>
      <c r="D172" s="9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</row>
    <row r="173" spans="2:24" x14ac:dyDescent="0.25">
      <c r="B173" s="174">
        <f t="shared" si="2"/>
        <v>1.6800000000000013</v>
      </c>
      <c r="C173" s="121">
        <f>1/DATI!$E$21*IF(B173&lt;DATI!$E$28,DATI!$E$15*DATI!$E$25*DATI!$E$32*DATI!$E$16*(B173/DATI!$E$28+1/(DATI!$E$32*DATI!$E$16)*(1-B173/DATI!$E$28)),IF(B173&lt;DATI!$E$29,DATI!$E$15*DATI!$E$25*DATI!$E$32*DATI!$E$16,IF(B173&lt;DATI!$E$30,DATI!$E$15*DATI!$E$25*DATI!$E$32*DATI!$E$16*(DATI!$E$29/B173),DATI!$E$15*DATI!$E$25*DATI!$E$32*DATI!$E$16*((DATI!$E$29*DATI!$E$30)/B173^2))))</f>
        <v>0.1578335340133124</v>
      </c>
      <c r="D173" s="9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</row>
    <row r="174" spans="2:24" x14ac:dyDescent="0.25">
      <c r="B174" s="174">
        <f t="shared" si="2"/>
        <v>1.6900000000000013</v>
      </c>
      <c r="C174" s="121">
        <f>1/DATI!$E$21*IF(B174&lt;DATI!$E$28,DATI!$E$15*DATI!$E$25*DATI!$E$32*DATI!$E$16*(B174/DATI!$E$28+1/(DATI!$E$32*DATI!$E$16)*(1-B174/DATI!$E$28)),IF(B174&lt;DATI!$E$29,DATI!$E$15*DATI!$E$25*DATI!$E$32*DATI!$E$16,IF(B174&lt;DATI!$E$30,DATI!$E$15*DATI!$E$25*DATI!$E$32*DATI!$E$16*(DATI!$E$29/B174),DATI!$E$15*DATI!$E$25*DATI!$E$32*DATI!$E$16*((DATI!$E$29*DATI!$E$30)/B174^2))))</f>
        <v>0.15689960777654724</v>
      </c>
      <c r="D174" s="9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</row>
    <row r="175" spans="2:24" x14ac:dyDescent="0.25">
      <c r="B175" s="174">
        <f t="shared" si="2"/>
        <v>1.7000000000000013</v>
      </c>
      <c r="C175" s="121">
        <f>1/DATI!$E$21*IF(B175&lt;DATI!$E$28,DATI!$E$15*DATI!$E$25*DATI!$E$32*DATI!$E$16*(B175/DATI!$E$28+1/(DATI!$E$32*DATI!$E$16)*(1-B175/DATI!$E$28)),IF(B175&lt;DATI!$E$29,DATI!$E$15*DATI!$E$25*DATI!$E$32*DATI!$E$16,IF(B175&lt;DATI!$E$30,DATI!$E$15*DATI!$E$25*DATI!$E$32*DATI!$E$16*(DATI!$E$29/B175),DATI!$E$15*DATI!$E$25*DATI!$E$32*DATI!$E$16*((DATI!$E$29*DATI!$E$30)/B175^2))))</f>
        <v>0.15597666890727344</v>
      </c>
      <c r="D175" s="9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</row>
    <row r="176" spans="2:24" x14ac:dyDescent="0.25">
      <c r="B176" s="174">
        <f t="shared" si="2"/>
        <v>1.7100000000000013</v>
      </c>
      <c r="C176" s="121">
        <f>1/DATI!$E$21*IF(B176&lt;DATI!$E$28,DATI!$E$15*DATI!$E$25*DATI!$E$32*DATI!$E$16*(B176/DATI!$E$28+1/(DATI!$E$32*DATI!$E$16)*(1-B176/DATI!$E$28)),IF(B176&lt;DATI!$E$29,DATI!$E$15*DATI!$E$25*DATI!$E$32*DATI!$E$16,IF(B176&lt;DATI!$E$30,DATI!$E$15*DATI!$E$25*DATI!$E$32*DATI!$E$16*(DATI!$E$29/B176),DATI!$E$15*DATI!$E$25*DATI!$E$32*DATI!$E$16*((DATI!$E$29*DATI!$E$30)/B176^2))))</f>
        <v>0.15506452464465781</v>
      </c>
      <c r="D176" s="9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</row>
    <row r="177" spans="2:24" x14ac:dyDescent="0.25">
      <c r="B177" s="174">
        <f t="shared" si="2"/>
        <v>1.7200000000000013</v>
      </c>
      <c r="C177" s="121">
        <f>1/DATI!$E$21*IF(B177&lt;DATI!$E$28,DATI!$E$15*DATI!$E$25*DATI!$E$32*DATI!$E$16*(B177/DATI!$E$28+1/(DATI!$E$32*DATI!$E$16)*(1-B177/DATI!$E$28)),IF(B177&lt;DATI!$E$29,DATI!$E$15*DATI!$E$25*DATI!$E$32*DATI!$E$16,IF(B177&lt;DATI!$E$30,DATI!$E$15*DATI!$E$25*DATI!$E$32*DATI!$E$16*(DATI!$E$29/B177),DATI!$E$15*DATI!$E$25*DATI!$E$32*DATI!$E$16*((DATI!$E$29*DATI!$E$30)/B177^2))))</f>
        <v>0.15416298671067724</v>
      </c>
      <c r="D177" s="9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</row>
    <row r="178" spans="2:24" x14ac:dyDescent="0.25">
      <c r="B178" s="174">
        <f t="shared" si="2"/>
        <v>1.7300000000000013</v>
      </c>
      <c r="C178" s="121">
        <f>1/DATI!$E$21*IF(B178&lt;DATI!$E$28,DATI!$E$15*DATI!$E$25*DATI!$E$32*DATI!$E$16*(B178/DATI!$E$28+1/(DATI!$E$32*DATI!$E$16)*(1-B178/DATI!$E$28)),IF(B178&lt;DATI!$E$29,DATI!$E$15*DATI!$E$25*DATI!$E$32*DATI!$E$16,IF(B178&lt;DATI!$E$30,DATI!$E$15*DATI!$E$25*DATI!$E$32*DATI!$E$16*(DATI!$E$29/B178),DATI!$E$15*DATI!$E$25*DATI!$E$32*DATI!$E$16*((DATI!$E$29*DATI!$E$30)/B178^2))))</f>
        <v>0.15327187118055768</v>
      </c>
      <c r="D178" s="9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</row>
    <row r="179" spans="2:24" x14ac:dyDescent="0.25">
      <c r="B179" s="174">
        <f t="shared" si="2"/>
        <v>1.7400000000000013</v>
      </c>
      <c r="C179" s="121">
        <f>1/DATI!$E$21*IF(B179&lt;DATI!$E$28,DATI!$E$15*DATI!$E$25*DATI!$E$32*DATI!$E$16*(B179/DATI!$E$28+1/(DATI!$E$32*DATI!$E$16)*(1-B179/DATI!$E$28)),IF(B179&lt;DATI!$E$29,DATI!$E$15*DATI!$E$25*DATI!$E$32*DATI!$E$16,IF(B179&lt;DATI!$E$30,DATI!$E$15*DATI!$E$25*DATI!$E$32*DATI!$E$16*(DATI!$E$29/B179),DATI!$E$15*DATI!$E$25*DATI!$E$32*DATI!$E$16*((DATI!$E$29*DATI!$E$30)/B179^2))))</f>
        <v>0.15239099835768094</v>
      </c>
      <c r="D179" s="9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</row>
    <row r="180" spans="2:24" x14ac:dyDescent="0.25">
      <c r="B180" s="174">
        <f t="shared" si="2"/>
        <v>1.7500000000000013</v>
      </c>
      <c r="C180" s="121">
        <f>1/DATI!$E$21*IF(B180&lt;DATI!$E$28,DATI!$E$15*DATI!$E$25*DATI!$E$32*DATI!$E$16*(B180/DATI!$E$28+1/(DATI!$E$32*DATI!$E$16)*(1-B180/DATI!$E$28)),IF(B180&lt;DATI!$E$29,DATI!$E$15*DATI!$E$25*DATI!$E$32*DATI!$E$16,IF(B180&lt;DATI!$E$30,DATI!$E$15*DATI!$E$25*DATI!$E$32*DATI!$E$16*(DATI!$E$29/B180),DATI!$E$15*DATI!$E$25*DATI!$E$32*DATI!$E$16*((DATI!$E$29*DATI!$E$30)/B180^2))))</f>
        <v>0.15152019265277988</v>
      </c>
      <c r="D180" s="9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</row>
    <row r="181" spans="2:24" x14ac:dyDescent="0.25">
      <c r="B181" s="174">
        <f t="shared" si="2"/>
        <v>1.7600000000000013</v>
      </c>
      <c r="C181" s="121">
        <f>1/DATI!$E$21*IF(B181&lt;DATI!$E$28,DATI!$E$15*DATI!$E$25*DATI!$E$32*DATI!$E$16*(B181/DATI!$E$28+1/(DATI!$E$32*DATI!$E$16)*(1-B181/DATI!$E$28)),IF(B181&lt;DATI!$E$29,DATI!$E$15*DATI!$E$25*DATI!$E$32*DATI!$E$16,IF(B181&lt;DATI!$E$30,DATI!$E$15*DATI!$E$25*DATI!$E$32*DATI!$E$16*(DATI!$E$29/B181),DATI!$E$15*DATI!$E$25*DATI!$E$32*DATI!$E$16*((DATI!$E$29*DATI!$E$30)/B181^2))))</f>
        <v>0.15065928246725274</v>
      </c>
      <c r="D181" s="9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</row>
    <row r="182" spans="2:24" x14ac:dyDescent="0.25">
      <c r="B182" s="174">
        <f t="shared" si="2"/>
        <v>1.7700000000000014</v>
      </c>
      <c r="C182" s="121">
        <f>1/DATI!$E$21*IF(B182&lt;DATI!$E$28,DATI!$E$15*DATI!$E$25*DATI!$E$32*DATI!$E$16*(B182/DATI!$E$28+1/(DATI!$E$32*DATI!$E$16)*(1-B182/DATI!$E$28)),IF(B182&lt;DATI!$E$29,DATI!$E$15*DATI!$E$25*DATI!$E$32*DATI!$E$16,IF(B182&lt;DATI!$E$30,DATI!$E$15*DATI!$E$25*DATI!$E$32*DATI!$E$16*(DATI!$E$29/B182),DATI!$E$15*DATI!$E$25*DATI!$E$32*DATI!$E$16*((DATI!$E$29*DATI!$E$30)/B182^2))))</f>
        <v>0.14980810008043211</v>
      </c>
      <c r="D182" s="9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</row>
    <row r="183" spans="2:24" x14ac:dyDescent="0.25">
      <c r="B183" s="174">
        <f t="shared" si="2"/>
        <v>1.7800000000000014</v>
      </c>
      <c r="C183" s="121">
        <f>1/DATI!$E$21*IF(B183&lt;DATI!$E$28,DATI!$E$15*DATI!$E$25*DATI!$E$32*DATI!$E$16*(B183/DATI!$E$28+1/(DATI!$E$32*DATI!$E$16)*(1-B183/DATI!$E$28)),IF(B183&lt;DATI!$E$29,DATI!$E$15*DATI!$E$25*DATI!$E$32*DATI!$E$16,IF(B183&lt;DATI!$E$30,DATI!$E$15*DATI!$E$25*DATI!$E$32*DATI!$E$16*(DATI!$E$29/B183),DATI!$E$15*DATI!$E$25*DATI!$E$32*DATI!$E$16*((DATI!$E$29*DATI!$E$30)/B183^2))))</f>
        <v>0.14896648154065439</v>
      </c>
      <c r="D183" s="9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</row>
    <row r="184" spans="2:24" x14ac:dyDescent="0.25">
      <c r="B184" s="174">
        <f t="shared" si="2"/>
        <v>1.7900000000000014</v>
      </c>
      <c r="C184" s="121">
        <f>1/DATI!$E$21*IF(B184&lt;DATI!$E$28,DATI!$E$15*DATI!$E$25*DATI!$E$32*DATI!$E$16*(B184/DATI!$E$28+1/(DATI!$E$32*DATI!$E$16)*(1-B184/DATI!$E$28)),IF(B184&lt;DATI!$E$29,DATI!$E$15*DATI!$E$25*DATI!$E$32*DATI!$E$16,IF(B184&lt;DATI!$E$30,DATI!$E$15*DATI!$E$25*DATI!$E$32*DATI!$E$16*(DATI!$E$29/B184),DATI!$E$15*DATI!$E$25*DATI!$E$32*DATI!$E$16*((DATI!$E$29*DATI!$E$30)/B184^2))))</f>
        <v>0.14813426655998035</v>
      </c>
      <c r="D184" s="9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</row>
    <row r="185" spans="2:24" x14ac:dyDescent="0.25">
      <c r="B185" s="174">
        <f t="shared" si="2"/>
        <v>1.8000000000000014</v>
      </c>
      <c r="C185" s="121">
        <f>1/DATI!$E$21*IF(B185&lt;DATI!$E$28,DATI!$E$15*DATI!$E$25*DATI!$E$32*DATI!$E$16*(B185/DATI!$E$28+1/(DATI!$E$32*DATI!$E$16)*(1-B185/DATI!$E$28)),IF(B185&lt;DATI!$E$29,DATI!$E$15*DATI!$E$25*DATI!$E$32*DATI!$E$16,IF(B185&lt;DATI!$E$30,DATI!$E$15*DATI!$E$25*DATI!$E$32*DATI!$E$16*(DATI!$E$29/B185),DATI!$E$15*DATI!$E$25*DATI!$E$32*DATI!$E$16*((DATI!$E$29*DATI!$E$30)/B185^2))))</f>
        <v>0.14731129841242491</v>
      </c>
      <c r="D185" s="9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</row>
    <row r="186" spans="2:24" x14ac:dyDescent="0.25">
      <c r="B186" s="174">
        <f t="shared" si="2"/>
        <v>1.8100000000000014</v>
      </c>
      <c r="C186" s="121">
        <f>1/DATI!$E$21*IF(B186&lt;DATI!$E$28,DATI!$E$15*DATI!$E$25*DATI!$E$32*DATI!$E$16*(B186/DATI!$E$28+1/(DATI!$E$32*DATI!$E$16)*(1-B186/DATI!$E$28)),IF(B186&lt;DATI!$E$29,DATI!$E$15*DATI!$E$25*DATI!$E$32*DATI!$E$16,IF(B186&lt;DATI!$E$30,DATI!$E$15*DATI!$E$25*DATI!$E$32*DATI!$E$16*(DATI!$E$29/B186),DATI!$E$15*DATI!$E$25*DATI!$E$32*DATI!$E$16*((DATI!$E$29*DATI!$E$30)/B186^2))))</f>
        <v>0.14649742383556069</v>
      </c>
      <c r="D186" s="9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</row>
    <row r="187" spans="2:24" x14ac:dyDescent="0.25">
      <c r="B187" s="174">
        <f t="shared" si="2"/>
        <v>1.8200000000000014</v>
      </c>
      <c r="C187" s="121">
        <f>1/DATI!$E$21*IF(B187&lt;DATI!$E$28,DATI!$E$15*DATI!$E$25*DATI!$E$32*DATI!$E$16*(B187/DATI!$E$28+1/(DATI!$E$32*DATI!$E$16)*(1-B187/DATI!$E$28)),IF(B187&lt;DATI!$E$29,DATI!$E$15*DATI!$E$25*DATI!$E$32*DATI!$E$16,IF(B187&lt;DATI!$E$30,DATI!$E$15*DATI!$E$25*DATI!$E$32*DATI!$E$16*(DATI!$E$29/B187),DATI!$E$15*DATI!$E$25*DATI!$E$32*DATI!$E$16*((DATI!$E$29*DATI!$E$30)/B187^2))))</f>
        <v>0.14569249293536532</v>
      </c>
      <c r="D187" s="9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</row>
    <row r="188" spans="2:24" x14ac:dyDescent="0.25">
      <c r="B188" s="174">
        <f t="shared" si="2"/>
        <v>1.8300000000000014</v>
      </c>
      <c r="C188" s="121">
        <f>1/DATI!$E$21*IF(B188&lt;DATI!$E$28,DATI!$E$15*DATI!$E$25*DATI!$E$32*DATI!$E$16*(B188/DATI!$E$28+1/(DATI!$E$32*DATI!$E$16)*(1-B188/DATI!$E$28)),IF(B188&lt;DATI!$E$29,DATI!$E$15*DATI!$E$25*DATI!$E$32*DATI!$E$16,IF(B188&lt;DATI!$E$30,DATI!$E$15*DATI!$E$25*DATI!$E$32*DATI!$E$16*(DATI!$E$29/B188),DATI!$E$15*DATI!$E$25*DATI!$E$32*DATI!$E$16*((DATI!$E$29*DATI!$E$30)/B188^2))))</f>
        <v>0.14489635909418844</v>
      </c>
      <c r="D188" s="9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</row>
    <row r="189" spans="2:24" x14ac:dyDescent="0.25">
      <c r="B189" s="174">
        <f t="shared" si="2"/>
        <v>1.8400000000000014</v>
      </c>
      <c r="C189" s="121">
        <f>1/DATI!$E$21*IF(B189&lt;DATI!$E$28,DATI!$E$15*DATI!$E$25*DATI!$E$32*DATI!$E$16*(B189/DATI!$E$28+1/(DATI!$E$32*DATI!$E$16)*(1-B189/DATI!$E$28)),IF(B189&lt;DATI!$E$29,DATI!$E$15*DATI!$E$25*DATI!$E$32*DATI!$E$16,IF(B189&lt;DATI!$E$30,DATI!$E$15*DATI!$E$25*DATI!$E$32*DATI!$E$16*(DATI!$E$29/B189),DATI!$E$15*DATI!$E$25*DATI!$E$32*DATI!$E$16*((DATI!$E$29*DATI!$E$30)/B189^2))))</f>
        <v>0.14410887888172</v>
      </c>
      <c r="D189" s="9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</row>
    <row r="190" spans="2:24" x14ac:dyDescent="0.25">
      <c r="B190" s="174">
        <f t="shared" si="2"/>
        <v>1.8500000000000014</v>
      </c>
      <c r="C190" s="121">
        <f>1/DATI!$E$21*IF(B190&lt;DATI!$E$28,DATI!$E$15*DATI!$E$25*DATI!$E$32*DATI!$E$16*(B190/DATI!$E$28+1/(DATI!$E$32*DATI!$E$16)*(1-B190/DATI!$E$28)),IF(B190&lt;DATI!$E$29,DATI!$E$15*DATI!$E$25*DATI!$E$32*DATI!$E$16,IF(B190&lt;DATI!$E$30,DATI!$E$15*DATI!$E$25*DATI!$E$32*DATI!$E$16*(DATI!$E$29/B190),DATI!$E$15*DATI!$E$25*DATI!$E$32*DATI!$E$16*((DATI!$E$29*DATI!$E$30)/B190^2))))</f>
        <v>0.14332991196884584</v>
      </c>
      <c r="D190" s="9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</row>
    <row r="191" spans="2:24" x14ac:dyDescent="0.25">
      <c r="B191" s="174">
        <f t="shared" si="2"/>
        <v>1.8600000000000014</v>
      </c>
      <c r="C191" s="121">
        <f>1/DATI!$E$21*IF(B191&lt;DATI!$E$28,DATI!$E$15*DATI!$E$25*DATI!$E$32*DATI!$E$16*(B191/DATI!$E$28+1/(DATI!$E$32*DATI!$E$16)*(1-B191/DATI!$E$28)),IF(B191&lt;DATI!$E$29,DATI!$E$15*DATI!$E$25*DATI!$E$32*DATI!$E$16,IF(B191&lt;DATI!$E$30,DATI!$E$15*DATI!$E$25*DATI!$E$32*DATI!$E$16*(DATI!$E$29/B191),DATI!$E$15*DATI!$E$25*DATI!$E$32*DATI!$E$16*((DATI!$E$29*DATI!$E$30)/B191^2))))</f>
        <v>0.14255932104428218</v>
      </c>
      <c r="D191" s="9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</row>
    <row r="192" spans="2:24" x14ac:dyDescent="0.25">
      <c r="B192" s="174">
        <f t="shared" si="2"/>
        <v>1.8700000000000014</v>
      </c>
      <c r="C192" s="121">
        <f>1/DATI!$E$21*IF(B192&lt;DATI!$E$28,DATI!$E$15*DATI!$E$25*DATI!$E$32*DATI!$E$16*(B192/DATI!$E$28+1/(DATI!$E$32*DATI!$E$16)*(1-B192/DATI!$E$28)),IF(B192&lt;DATI!$E$29,DATI!$E$15*DATI!$E$25*DATI!$E$32*DATI!$E$16,IF(B192&lt;DATI!$E$30,DATI!$E$15*DATI!$E$25*DATI!$E$32*DATI!$E$16*(DATI!$E$29/B192),DATI!$E$15*DATI!$E$25*DATI!$E$32*DATI!$E$16*((DATI!$E$29*DATI!$E$30)/B192^2))))</f>
        <v>0.14179697173388495</v>
      </c>
      <c r="D192" s="9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</row>
    <row r="193" spans="2:24" x14ac:dyDescent="0.25">
      <c r="B193" s="174">
        <f t="shared" si="2"/>
        <v>1.8800000000000014</v>
      </c>
      <c r="C193" s="121">
        <f>1/DATI!$E$21*IF(B193&lt;DATI!$E$28,DATI!$E$15*DATI!$E$25*DATI!$E$32*DATI!$E$16*(B193/DATI!$E$28+1/(DATI!$E$32*DATI!$E$16)*(1-B193/DATI!$E$28)),IF(B193&lt;DATI!$E$29,DATI!$E$15*DATI!$E$25*DATI!$E$32*DATI!$E$16,IF(B193&lt;DATI!$E$30,DATI!$E$15*DATI!$E$25*DATI!$E$32*DATI!$E$16*(DATI!$E$29/B193),DATI!$E$15*DATI!$E$25*DATI!$E$32*DATI!$E$16*((DATI!$E$29*DATI!$E$30)/B193^2))))</f>
        <v>0.14104273252253449</v>
      </c>
      <c r="D193" s="9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</row>
    <row r="194" spans="2:24" x14ac:dyDescent="0.25">
      <c r="B194" s="174">
        <f t="shared" si="2"/>
        <v>1.8900000000000015</v>
      </c>
      <c r="C194" s="121">
        <f>1/DATI!$E$21*IF(B194&lt;DATI!$E$28,DATI!$E$15*DATI!$E$25*DATI!$E$32*DATI!$E$16*(B194/DATI!$E$28+1/(DATI!$E$32*DATI!$E$16)*(1-B194/DATI!$E$28)),IF(B194&lt;DATI!$E$29,DATI!$E$15*DATI!$E$25*DATI!$E$32*DATI!$E$16,IF(B194&lt;DATI!$E$30,DATI!$E$15*DATI!$E$25*DATI!$E$32*DATI!$E$16*(DATI!$E$29/B194),DATI!$E$15*DATI!$E$25*DATI!$E$32*DATI!$E$16*((DATI!$E$29*DATI!$E$30)/B194^2))))</f>
        <v>0.14029647467849993</v>
      </c>
      <c r="D194" s="9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</row>
    <row r="195" spans="2:24" x14ac:dyDescent="0.25">
      <c r="B195" s="174">
        <f t="shared" si="2"/>
        <v>1.9000000000000015</v>
      </c>
      <c r="C195" s="121">
        <f>1/DATI!$E$21*IF(B195&lt;DATI!$E$28,DATI!$E$15*DATI!$E$25*DATI!$E$32*DATI!$E$16*(B195/DATI!$E$28+1/(DATI!$E$32*DATI!$E$16)*(1-B195/DATI!$E$28)),IF(B195&lt;DATI!$E$29,DATI!$E$15*DATI!$E$25*DATI!$E$32*DATI!$E$16,IF(B195&lt;DATI!$E$30,DATI!$E$15*DATI!$E$25*DATI!$E$32*DATI!$E$16*(DATI!$E$29/B195),DATI!$E$15*DATI!$E$25*DATI!$E$32*DATI!$E$16*((DATI!$E$29*DATI!$E$30)/B195^2))))</f>
        <v>0.13955807218019201</v>
      </c>
      <c r="D195" s="9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</row>
    <row r="196" spans="2:24" x14ac:dyDescent="0.25">
      <c r="B196" s="174">
        <f t="shared" si="2"/>
        <v>1.9100000000000015</v>
      </c>
      <c r="C196" s="121">
        <f>1/DATI!$E$21*IF(B196&lt;DATI!$E$28,DATI!$E$15*DATI!$E$25*DATI!$E$32*DATI!$E$16*(B196/DATI!$E$28+1/(DATI!$E$32*DATI!$E$16)*(1-B196/DATI!$E$28)),IF(B196&lt;DATI!$E$29,DATI!$E$15*DATI!$E$25*DATI!$E$32*DATI!$E$16,IF(B196&lt;DATI!$E$30,DATI!$E$15*DATI!$E$25*DATI!$E$32*DATI!$E$16*(DATI!$E$29/B196),DATI!$E$15*DATI!$E$25*DATI!$E$32*DATI!$E$16*((DATI!$E$29*DATI!$E$30)/B196^2))))</f>
        <v>0.1388274016452172</v>
      </c>
      <c r="D196" s="9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</row>
    <row r="197" spans="2:24" x14ac:dyDescent="0.25">
      <c r="B197" s="174">
        <f t="shared" si="2"/>
        <v>1.9200000000000015</v>
      </c>
      <c r="C197" s="121">
        <f>1/DATI!$E$21*IF(B197&lt;DATI!$E$28,DATI!$E$15*DATI!$E$25*DATI!$E$32*DATI!$E$16*(B197/DATI!$E$28+1/(DATI!$E$32*DATI!$E$16)*(1-B197/DATI!$E$28)),IF(B197&lt;DATI!$E$29,DATI!$E$15*DATI!$E$25*DATI!$E$32*DATI!$E$16,IF(B197&lt;DATI!$E$30,DATI!$E$15*DATI!$E$25*DATI!$E$32*DATI!$E$16*(DATI!$E$29/B197),DATI!$E$15*DATI!$E$25*DATI!$E$32*DATI!$E$16*((DATI!$E$29*DATI!$E$30)/B197^2))))</f>
        <v>0.13810434226164836</v>
      </c>
      <c r="D197" s="9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</row>
    <row r="198" spans="2:24" x14ac:dyDescent="0.25">
      <c r="B198" s="174">
        <f t="shared" ref="B198:B261" si="3">0.01+B197</f>
        <v>1.9300000000000015</v>
      </c>
      <c r="C198" s="121">
        <f>1/DATI!$E$21*IF(B198&lt;DATI!$E$28,DATI!$E$15*DATI!$E$25*DATI!$E$32*DATI!$E$16*(B198/DATI!$E$28+1/(DATI!$E$32*DATI!$E$16)*(1-B198/DATI!$E$28)),IF(B198&lt;DATI!$E$29,DATI!$E$15*DATI!$E$25*DATI!$E$32*DATI!$E$16,IF(B198&lt;DATI!$E$30,DATI!$E$15*DATI!$E$25*DATI!$E$32*DATI!$E$16*(DATI!$E$29/B198),DATI!$E$15*DATI!$E$25*DATI!$E$32*DATI!$E$16*((DATI!$E$29*DATI!$E$30)/B198^2))))</f>
        <v>0.13738877572143254</v>
      </c>
      <c r="D198" s="9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</row>
    <row r="199" spans="2:24" x14ac:dyDescent="0.25">
      <c r="B199" s="174">
        <f t="shared" si="3"/>
        <v>1.9400000000000015</v>
      </c>
      <c r="C199" s="121">
        <f>1/DATI!$E$21*IF(B199&lt;DATI!$E$28,DATI!$E$15*DATI!$E$25*DATI!$E$32*DATI!$E$16*(B199/DATI!$E$28+1/(DATI!$E$32*DATI!$E$16)*(1-B199/DATI!$E$28)),IF(B199&lt;DATI!$E$29,DATI!$E$15*DATI!$E$25*DATI!$E$32*DATI!$E$16,IF(B199&lt;DATI!$E$30,DATI!$E$15*DATI!$E$25*DATI!$E$32*DATI!$E$16*(DATI!$E$29/B199),DATI!$E$15*DATI!$E$25*DATI!$E$32*DATI!$E$16*((DATI!$E$29*DATI!$E$30)/B199^2))))</f>
        <v>0.13668058615585818</v>
      </c>
      <c r="D199" s="9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</row>
    <row r="200" spans="2:24" x14ac:dyDescent="0.25">
      <c r="B200" s="174">
        <f t="shared" si="3"/>
        <v>1.9500000000000015</v>
      </c>
      <c r="C200" s="121">
        <f>1/DATI!$E$21*IF(B200&lt;DATI!$E$28,DATI!$E$15*DATI!$E$25*DATI!$E$32*DATI!$E$16*(B200/DATI!$E$28+1/(DATI!$E$32*DATI!$E$16)*(1-B200/DATI!$E$28)),IF(B200&lt;DATI!$E$29,DATI!$E$15*DATI!$E$25*DATI!$E$32*DATI!$E$16,IF(B200&lt;DATI!$E$30,DATI!$E$15*DATI!$E$25*DATI!$E$32*DATI!$E$16*(DATI!$E$29/B200),DATI!$E$15*DATI!$E$25*DATI!$E$32*DATI!$E$16*((DATI!$E$29*DATI!$E$30)/B200^2))))</f>
        <v>0.1359796600730076</v>
      </c>
      <c r="D200" s="9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</row>
    <row r="201" spans="2:24" x14ac:dyDescent="0.25">
      <c r="B201" s="174">
        <f t="shared" si="3"/>
        <v>1.9600000000000015</v>
      </c>
      <c r="C201" s="121">
        <f>1/DATI!$E$21*IF(B201&lt;DATI!$E$28,DATI!$E$15*DATI!$E$25*DATI!$E$32*DATI!$E$16*(B201/DATI!$E$28+1/(DATI!$E$32*DATI!$E$16)*(1-B201/DATI!$E$28)),IF(B201&lt;DATI!$E$29,DATI!$E$15*DATI!$E$25*DATI!$E$32*DATI!$E$16,IF(B201&lt;DATI!$E$30,DATI!$E$15*DATI!$E$25*DATI!$E$32*DATI!$E$16*(DATI!$E$29/B201),DATI!$E$15*DATI!$E$25*DATI!$E$32*DATI!$E$16*((DATI!$E$29*DATI!$E$30)/B201^2))))</f>
        <v>0.13528588629712493</v>
      </c>
      <c r="D201" s="9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</row>
    <row r="202" spans="2:24" x14ac:dyDescent="0.25">
      <c r="B202" s="174">
        <f t="shared" si="3"/>
        <v>1.9700000000000015</v>
      </c>
      <c r="C202" s="121">
        <f>1/DATI!$E$21*IF(B202&lt;DATI!$E$28,DATI!$E$15*DATI!$E$25*DATI!$E$32*DATI!$E$16*(B202/DATI!$E$28+1/(DATI!$E$32*DATI!$E$16)*(1-B202/DATI!$E$28)),IF(B202&lt;DATI!$E$29,DATI!$E$15*DATI!$E$25*DATI!$E$32*DATI!$E$16,IF(B202&lt;DATI!$E$30,DATI!$E$15*DATI!$E$25*DATI!$E$32*DATI!$E$16*(DATI!$E$29/B202),DATI!$E$15*DATI!$E$25*DATI!$E$32*DATI!$E$16*((DATI!$E$29*DATI!$E$30)/B202^2))))</f>
        <v>0.13459915590982988</v>
      </c>
      <c r="D202" s="9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</row>
    <row r="203" spans="2:24" x14ac:dyDescent="0.25">
      <c r="B203" s="174">
        <f t="shared" si="3"/>
        <v>1.9800000000000015</v>
      </c>
      <c r="C203" s="121">
        <f>1/DATI!$E$21*IF(B203&lt;DATI!$E$28,DATI!$E$15*DATI!$E$25*DATI!$E$32*DATI!$E$16*(B203/DATI!$E$28+1/(DATI!$E$32*DATI!$E$16)*(1-B203/DATI!$E$28)),IF(B203&lt;DATI!$E$29,DATI!$E$15*DATI!$E$25*DATI!$E$32*DATI!$E$16,IF(B203&lt;DATI!$E$30,DATI!$E$15*DATI!$E$25*DATI!$E$32*DATI!$E$16*(DATI!$E$29/B203),DATI!$E$15*DATI!$E$25*DATI!$E$32*DATI!$E$16*((DATI!$E$29*DATI!$E$30)/B203^2))))</f>
        <v>0.13391936219311357</v>
      </c>
      <c r="D203" s="9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</row>
    <row r="204" spans="2:24" x14ac:dyDescent="0.25">
      <c r="B204" s="174">
        <f t="shared" si="3"/>
        <v>1.9900000000000015</v>
      </c>
      <c r="C204" s="121">
        <f>1/DATI!$E$21*IF(B204&lt;DATI!$E$28,DATI!$E$15*DATI!$E$25*DATI!$E$32*DATI!$E$16*(B204/DATI!$E$28+1/(DATI!$E$32*DATI!$E$16)*(1-B204/DATI!$E$28)),IF(B204&lt;DATI!$E$29,DATI!$E$15*DATI!$E$25*DATI!$E$32*DATI!$E$16,IF(B204&lt;DATI!$E$30,DATI!$E$15*DATI!$E$25*DATI!$E$32*DATI!$E$16*(DATI!$E$29/B204),DATI!$E$15*DATI!$E$25*DATI!$E$32*DATI!$E$16*((DATI!$E$29*DATI!$E$30)/B204^2))))</f>
        <v>0.13324640057405268</v>
      </c>
      <c r="D204" s="9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</row>
    <row r="205" spans="2:24" x14ac:dyDescent="0.25">
      <c r="B205" s="174">
        <f t="shared" si="3"/>
        <v>2.0000000000000013</v>
      </c>
      <c r="C205" s="121">
        <f>1/DATI!$E$21*IF(B205&lt;DATI!$E$28,DATI!$E$15*DATI!$E$25*DATI!$E$32*DATI!$E$16*(B205/DATI!$E$28+1/(DATI!$E$32*DATI!$E$16)*(1-B205/DATI!$E$28)),IF(B205&lt;DATI!$E$29,DATI!$E$15*DATI!$E$25*DATI!$E$32*DATI!$E$16,IF(B205&lt;DATI!$E$30,DATI!$E$15*DATI!$E$25*DATI!$E$32*DATI!$E$16*(DATI!$E$29/B205),DATI!$E$15*DATI!$E$25*DATI!$E$32*DATI!$E$16*((DATI!$E$29*DATI!$E$30)/B205^2))))</f>
        <v>0.13258016857118243</v>
      </c>
      <c r="D205" s="9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</row>
    <row r="206" spans="2:24" x14ac:dyDescent="0.25">
      <c r="B206" s="174">
        <f t="shared" si="3"/>
        <v>2.0100000000000011</v>
      </c>
      <c r="C206" s="121">
        <f>1/DATI!$E$21*IF(B206&lt;DATI!$E$28,DATI!$E$15*DATI!$E$25*DATI!$E$32*DATI!$E$16*(B206/DATI!$E$28+1/(DATI!$E$32*DATI!$E$16)*(1-B206/DATI!$E$28)),IF(B206&lt;DATI!$E$29,DATI!$E$15*DATI!$E$25*DATI!$E$32*DATI!$E$16,IF(B206&lt;DATI!$E$30,DATI!$E$15*DATI!$E$25*DATI!$E$32*DATI!$E$16*(DATI!$E$29/B206),DATI!$E$15*DATI!$E$25*DATI!$E$32*DATI!$E$16*((DATI!$E$29*DATI!$E$30)/B206^2))))</f>
        <v>0.1319205657424701</v>
      </c>
      <c r="D206" s="9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</row>
    <row r="207" spans="2:24" x14ac:dyDescent="0.25">
      <c r="B207" s="174">
        <f t="shared" si="3"/>
        <v>2.0200000000000009</v>
      </c>
      <c r="C207" s="121">
        <f>1/DATI!$E$21*IF(B207&lt;DATI!$E$28,DATI!$E$15*DATI!$E$25*DATI!$E$32*DATI!$E$16*(B207/DATI!$E$28+1/(DATI!$E$32*DATI!$E$16)*(1-B207/DATI!$E$28)),IF(B207&lt;DATI!$E$29,DATI!$E$15*DATI!$E$25*DATI!$E$32*DATI!$E$16,IF(B207&lt;DATI!$E$30,DATI!$E$15*DATI!$E$25*DATI!$E$32*DATI!$E$16*(DATI!$E$29/B207),DATI!$E$15*DATI!$E$25*DATI!$E$32*DATI!$E$16*((DATI!$E$29*DATI!$E$30)/B207^2))))</f>
        <v>0.13126749363483411</v>
      </c>
      <c r="D207" s="9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</row>
    <row r="208" spans="2:24" x14ac:dyDescent="0.25">
      <c r="B208" s="174">
        <f t="shared" si="3"/>
        <v>2.0300000000000007</v>
      </c>
      <c r="C208" s="121">
        <f>1/DATI!$E$21*IF(B208&lt;DATI!$E$28,DATI!$E$15*DATI!$E$25*DATI!$E$32*DATI!$E$16*(B208/DATI!$E$28+1/(DATI!$E$32*DATI!$E$16)*(1-B208/DATI!$E$28)),IF(B208&lt;DATI!$E$29,DATI!$E$15*DATI!$E$25*DATI!$E$32*DATI!$E$16,IF(B208&lt;DATI!$E$30,DATI!$E$15*DATI!$E$25*DATI!$E$32*DATI!$E$16*(DATI!$E$29/B208),DATI!$E$15*DATI!$E$25*DATI!$E$32*DATI!$E$16*((DATI!$E$29*DATI!$E$30)/B208^2))))</f>
        <v>0.13062085573515514</v>
      </c>
      <c r="D208" s="9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</row>
    <row r="209" spans="2:24" x14ac:dyDescent="0.25">
      <c r="B209" s="174">
        <f t="shared" si="3"/>
        <v>2.0400000000000005</v>
      </c>
      <c r="C209" s="121">
        <f>1/DATI!$E$21*IF(B209&lt;DATI!$E$28,DATI!$E$15*DATI!$E$25*DATI!$E$32*DATI!$E$16*(B209/DATI!$E$28+1/(DATI!$E$32*DATI!$E$16)*(1-B209/DATI!$E$28)),IF(B209&lt;DATI!$E$29,DATI!$E$15*DATI!$E$25*DATI!$E$32*DATI!$E$16,IF(B209&lt;DATI!$E$30,DATI!$E$15*DATI!$E$25*DATI!$E$32*DATI!$E$16*(DATI!$E$29/B209),DATI!$E$15*DATI!$E$25*DATI!$E$32*DATI!$E$16*((DATI!$E$29*DATI!$E$30)/B209^2))))</f>
        <v>0.12998055742272793</v>
      </c>
      <c r="D209" s="9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</row>
    <row r="210" spans="2:24" x14ac:dyDescent="0.25">
      <c r="B210" s="174">
        <f t="shared" si="3"/>
        <v>2.0500000000000003</v>
      </c>
      <c r="C210" s="121">
        <f>1/DATI!$E$21*IF(B210&lt;DATI!$E$28,DATI!$E$15*DATI!$E$25*DATI!$E$32*DATI!$E$16*(B210/DATI!$E$28+1/(DATI!$E$32*DATI!$E$16)*(1-B210/DATI!$E$28)),IF(B210&lt;DATI!$E$29,DATI!$E$15*DATI!$E$25*DATI!$E$32*DATI!$E$16,IF(B210&lt;DATI!$E$30,DATI!$E$15*DATI!$E$25*DATI!$E$32*DATI!$E$16*(DATI!$E$29/B210),DATI!$E$15*DATI!$E$25*DATI!$E$32*DATI!$E$16*((DATI!$E$29*DATI!$E$30)/B210^2))))</f>
        <v>0.12934650592310487</v>
      </c>
      <c r="D210" s="9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</row>
    <row r="211" spans="2:24" x14ac:dyDescent="0.25">
      <c r="B211" s="174">
        <f t="shared" si="3"/>
        <v>2.06</v>
      </c>
      <c r="C211" s="121">
        <f>1/DATI!$E$21*IF(B211&lt;DATI!$E$28,DATI!$E$15*DATI!$E$25*DATI!$E$32*DATI!$E$16*(B211/DATI!$E$28+1/(DATI!$E$32*DATI!$E$16)*(1-B211/DATI!$E$28)),IF(B211&lt;DATI!$E$29,DATI!$E$15*DATI!$E$25*DATI!$E$32*DATI!$E$16,IF(B211&lt;DATI!$E$30,DATI!$E$15*DATI!$E$25*DATI!$E$32*DATI!$E$16*(DATI!$E$29/B211),DATI!$E$15*DATI!$E$25*DATI!$E$32*DATI!$E$16*((DATI!$E$29*DATI!$E$30)/B211^2))))</f>
        <v>0.12871861026328399</v>
      </c>
      <c r="D211" s="9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</row>
    <row r="212" spans="2:24" x14ac:dyDescent="0.25">
      <c r="B212" s="174">
        <f t="shared" si="3"/>
        <v>2.0699999999999998</v>
      </c>
      <c r="C212" s="121">
        <f>1/DATI!$E$21*IF(B212&lt;DATI!$E$28,DATI!$E$15*DATI!$E$25*DATI!$E$32*DATI!$E$16*(B212/DATI!$E$28+1/(DATI!$E$32*DATI!$E$16)*(1-B212/DATI!$E$28)),IF(B212&lt;DATI!$E$29,DATI!$E$15*DATI!$E$25*DATI!$E$32*DATI!$E$16,IF(B212&lt;DATI!$E$30,DATI!$E$15*DATI!$E$25*DATI!$E$32*DATI!$E$16*(DATI!$E$29/B212),DATI!$E$15*DATI!$E$25*DATI!$E$32*DATI!$E$16*((DATI!$E$29*DATI!$E$30)/B212^2))))</f>
        <v>0.12809678122819568</v>
      </c>
      <c r="D212" s="9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</row>
    <row r="213" spans="2:24" x14ac:dyDescent="0.25">
      <c r="B213" s="174">
        <f t="shared" si="3"/>
        <v>2.0799999999999996</v>
      </c>
      <c r="C213" s="121">
        <f>1/DATI!$E$21*IF(B213&lt;DATI!$E$28,DATI!$E$15*DATI!$E$25*DATI!$E$32*DATI!$E$16*(B213/DATI!$E$28+1/(DATI!$E$32*DATI!$E$16)*(1-B213/DATI!$E$28)),IF(B213&lt;DATI!$E$29,DATI!$E$15*DATI!$E$25*DATI!$E$32*DATI!$E$16,IF(B213&lt;DATI!$E$30,DATI!$E$15*DATI!$E$25*DATI!$E$32*DATI!$E$16*(DATI!$E$29/B213),DATI!$E$15*DATI!$E$25*DATI!$E$32*DATI!$E$16*((DATI!$E$29*DATI!$E$30)/B213^2))))</f>
        <v>0.12748093131844473</v>
      </c>
      <c r="D213" s="9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</row>
    <row r="214" spans="2:24" x14ac:dyDescent="0.25">
      <c r="B214" s="174">
        <f t="shared" si="3"/>
        <v>2.0899999999999994</v>
      </c>
      <c r="C214" s="121">
        <f>1/DATI!$E$21*IF(B214&lt;DATI!$E$28,DATI!$E$15*DATI!$E$25*DATI!$E$32*DATI!$E$16*(B214/DATI!$E$28+1/(DATI!$E$32*DATI!$E$16)*(1-B214/DATI!$E$28)),IF(B214&lt;DATI!$E$29,DATI!$E$15*DATI!$E$25*DATI!$E$32*DATI!$E$16,IF(B214&lt;DATI!$E$30,DATI!$E$15*DATI!$E$25*DATI!$E$32*DATI!$E$16*(DATI!$E$29/B214),DATI!$E$15*DATI!$E$25*DATI!$E$32*DATI!$E$16*((DATI!$E$29*DATI!$E$30)/B214^2))))</f>
        <v>0.12687097470926562</v>
      </c>
      <c r="D214" s="9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</row>
    <row r="215" spans="2:24" x14ac:dyDescent="0.25">
      <c r="B215" s="174">
        <f t="shared" si="3"/>
        <v>2.0999999999999992</v>
      </c>
      <c r="C215" s="121">
        <f>1/DATI!$E$21*IF(B215&lt;DATI!$E$28,DATI!$E$15*DATI!$E$25*DATI!$E$32*DATI!$E$16*(B215/DATI!$E$28+1/(DATI!$E$32*DATI!$E$16)*(1-B215/DATI!$E$28)),IF(B215&lt;DATI!$E$29,DATI!$E$15*DATI!$E$25*DATI!$E$32*DATI!$E$16,IF(B215&lt;DATI!$E$30,DATI!$E$15*DATI!$E$25*DATI!$E$32*DATI!$E$16*(DATI!$E$29/B215),DATI!$E$15*DATI!$E$25*DATI!$E$32*DATI!$E$16*((DATI!$E$29*DATI!$E$30)/B215^2))))</f>
        <v>0.12626682721065008</v>
      </c>
      <c r="D215" s="9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</row>
    <row r="216" spans="2:24" x14ac:dyDescent="0.25">
      <c r="B216" s="174">
        <f t="shared" si="3"/>
        <v>2.109999999999999</v>
      </c>
      <c r="C216" s="121">
        <f>1/DATI!$E$21*IF(B216&lt;DATI!$E$28,DATI!$E$15*DATI!$E$25*DATI!$E$32*DATI!$E$16*(B216/DATI!$E$28+1/(DATI!$E$32*DATI!$E$16)*(1-B216/DATI!$E$28)),IF(B216&lt;DATI!$E$29,DATI!$E$15*DATI!$E$25*DATI!$E$32*DATI!$E$16,IF(B216&lt;DATI!$E$30,DATI!$E$15*DATI!$E$25*DATI!$E$32*DATI!$E$16*(DATI!$E$29/B216),DATI!$E$15*DATI!$E$25*DATI!$E$32*DATI!$E$16*((DATI!$E$29*DATI!$E$30)/B216^2))))</f>
        <v>0.12566840622860909</v>
      </c>
      <c r="D216" s="9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</row>
    <row r="217" spans="2:24" x14ac:dyDescent="0.25">
      <c r="B217" s="174">
        <f t="shared" si="3"/>
        <v>2.1199999999999988</v>
      </c>
      <c r="C217" s="121">
        <f>1/DATI!$E$21*IF(B217&lt;DATI!$E$28,DATI!$E$15*DATI!$E$25*DATI!$E$32*DATI!$E$16*(B217/DATI!$E$28+1/(DATI!$E$32*DATI!$E$16)*(1-B217/DATI!$E$28)),IF(B217&lt;DATI!$E$29,DATI!$E$15*DATI!$E$25*DATI!$E$32*DATI!$E$16,IF(B217&lt;DATI!$E$30,DATI!$E$15*DATI!$E$25*DATI!$E$32*DATI!$E$16*(DATI!$E$29/B217),DATI!$E$15*DATI!$E$25*DATI!$E$32*DATI!$E$16*((DATI!$E$29*DATI!$E$30)/B217^2))))</f>
        <v>0.12507563072753075</v>
      </c>
      <c r="D217" s="9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</row>
    <row r="218" spans="2:24" x14ac:dyDescent="0.25">
      <c r="B218" s="174">
        <f t="shared" si="3"/>
        <v>2.1299999999999986</v>
      </c>
      <c r="C218" s="121">
        <f>1/DATI!$E$21*IF(B218&lt;DATI!$E$28,DATI!$E$15*DATI!$E$25*DATI!$E$32*DATI!$E$16*(B218/DATI!$E$28+1/(DATI!$E$32*DATI!$E$16)*(1-B218/DATI!$E$28)),IF(B218&lt;DATI!$E$29,DATI!$E$15*DATI!$E$25*DATI!$E$32*DATI!$E$16,IF(B218&lt;DATI!$E$30,DATI!$E$15*DATI!$E$25*DATI!$E$32*DATI!$E$16*(DATI!$E$29/B218),DATI!$E$15*DATI!$E$25*DATI!$E$32*DATI!$E$16*((DATI!$E$29*DATI!$E$30)/B218^2))))</f>
        <v>0.12448842119359869</v>
      </c>
      <c r="D218" s="9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</row>
    <row r="219" spans="2:24" x14ac:dyDescent="0.25">
      <c r="B219" s="174">
        <f t="shared" si="3"/>
        <v>2.1399999999999983</v>
      </c>
      <c r="C219" s="121">
        <f>1/DATI!$E$21*IF(B219&lt;DATI!$E$28,DATI!$E$15*DATI!$E$25*DATI!$E$32*DATI!$E$16*(B219/DATI!$E$28+1/(DATI!$E$32*DATI!$E$16)*(1-B219/DATI!$E$28)),IF(B219&lt;DATI!$E$29,DATI!$E$15*DATI!$E$25*DATI!$E$32*DATI!$E$16,IF(B219&lt;DATI!$E$30,DATI!$E$15*DATI!$E$25*DATI!$E$32*DATI!$E$16*(DATI!$E$29/B219),DATI!$E$15*DATI!$E$25*DATI!$E$32*DATI!$E$16*((DATI!$E$29*DATI!$E$30)/B219^2))))</f>
        <v>0.12390669959923609</v>
      </c>
      <c r="D219" s="9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</row>
    <row r="220" spans="2:24" x14ac:dyDescent="0.25">
      <c r="B220" s="174">
        <f t="shared" si="3"/>
        <v>2.1499999999999981</v>
      </c>
      <c r="C220" s="121">
        <f>1/DATI!$E$21*IF(B220&lt;DATI!$E$28,DATI!$E$15*DATI!$E$25*DATI!$E$32*DATI!$E$16*(B220/DATI!$E$28+1/(DATI!$E$32*DATI!$E$16)*(1-B220/DATI!$E$28)),IF(B220&lt;DATI!$E$29,DATI!$E$15*DATI!$E$25*DATI!$E$32*DATI!$E$16,IF(B220&lt;DATI!$E$30,DATI!$E$15*DATI!$E$25*DATI!$E$32*DATI!$E$16*(DATI!$E$29/B220),DATI!$E$15*DATI!$E$25*DATI!$E$32*DATI!$E$16*((DATI!$E$29*DATI!$E$30)/B220^2))))</f>
        <v>0.12333038936854199</v>
      </c>
      <c r="D220" s="9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</row>
    <row r="221" spans="2:24" x14ac:dyDescent="0.25">
      <c r="B221" s="174">
        <f t="shared" si="3"/>
        <v>2.1599999999999979</v>
      </c>
      <c r="C221" s="121">
        <f>1/DATI!$E$21*IF(B221&lt;DATI!$E$28,DATI!$E$15*DATI!$E$25*DATI!$E$32*DATI!$E$16*(B221/DATI!$E$28+1/(DATI!$E$32*DATI!$E$16)*(1-B221/DATI!$E$28)),IF(B221&lt;DATI!$E$29,DATI!$E$15*DATI!$E$25*DATI!$E$32*DATI!$E$16,IF(B221&lt;DATI!$E$30,DATI!$E$15*DATI!$E$25*DATI!$E$32*DATI!$E$16*(DATI!$E$29/B221),DATI!$E$15*DATI!$E$25*DATI!$E$32*DATI!$E$16*((DATI!$E$29*DATI!$E$30)/B221^2))))</f>
        <v>0.12275941534368763</v>
      </c>
      <c r="D221" s="9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</row>
    <row r="222" spans="2:24" x14ac:dyDescent="0.25">
      <c r="B222" s="174">
        <f t="shared" si="3"/>
        <v>2.1699999999999977</v>
      </c>
      <c r="C222" s="121">
        <f>1/DATI!$E$21*IF(B222&lt;DATI!$E$28,DATI!$E$15*DATI!$E$25*DATI!$E$32*DATI!$E$16*(B222/DATI!$E$28+1/(DATI!$E$32*DATI!$E$16)*(1-B222/DATI!$E$28)),IF(B222&lt;DATI!$E$29,DATI!$E$15*DATI!$E$25*DATI!$E$32*DATI!$E$16,IF(B222&lt;DATI!$E$30,DATI!$E$15*DATI!$E$25*DATI!$E$32*DATI!$E$16*(DATI!$E$29/B222),DATI!$E$15*DATI!$E$25*DATI!$E$32*DATI!$E$16*((DATI!$E$29*DATI!$E$30)/B222^2))))</f>
        <v>0.12219370375224209</v>
      </c>
      <c r="D222" s="9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</row>
    <row r="223" spans="2:24" x14ac:dyDescent="0.25">
      <c r="B223" s="174">
        <f t="shared" si="3"/>
        <v>2.1799999999999975</v>
      </c>
      <c r="C223" s="121">
        <f>1/DATI!$E$21*IF(B223&lt;DATI!$E$28,DATI!$E$15*DATI!$E$25*DATI!$E$32*DATI!$E$16*(B223/DATI!$E$28+1/(DATI!$E$32*DATI!$E$16)*(1-B223/DATI!$E$28)),IF(B223&lt;DATI!$E$29,DATI!$E$15*DATI!$E$25*DATI!$E$32*DATI!$E$16,IF(B223&lt;DATI!$E$30,DATI!$E$15*DATI!$E$25*DATI!$E$32*DATI!$E$16*(DATI!$E$29/B223),DATI!$E$15*DATI!$E$25*DATI!$E$32*DATI!$E$16*((DATI!$E$29*DATI!$E$30)/B223^2))))</f>
        <v>0.12163318217539695</v>
      </c>
      <c r="D223" s="9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</row>
    <row r="224" spans="2:24" x14ac:dyDescent="0.25">
      <c r="B224" s="174">
        <f t="shared" si="3"/>
        <v>2.1899999999999973</v>
      </c>
      <c r="C224" s="121">
        <f>1/DATI!$E$21*IF(B224&lt;DATI!$E$28,DATI!$E$15*DATI!$E$25*DATI!$E$32*DATI!$E$16*(B224/DATI!$E$28+1/(DATI!$E$32*DATI!$E$16)*(1-B224/DATI!$E$28)),IF(B224&lt;DATI!$E$29,DATI!$E$15*DATI!$E$25*DATI!$E$32*DATI!$E$16,IF(B224&lt;DATI!$E$30,DATI!$E$15*DATI!$E$25*DATI!$E$32*DATI!$E$16*(DATI!$E$29/B224),DATI!$E$15*DATI!$E$25*DATI!$E$32*DATI!$E$16*((DATI!$E$29*DATI!$E$30)/B224^2))))</f>
        <v>0.12107777951706181</v>
      </c>
      <c r="D224" s="9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</row>
    <row r="225" spans="2:24" x14ac:dyDescent="0.25">
      <c r="B225" s="174">
        <f t="shared" si="3"/>
        <v>2.1999999999999971</v>
      </c>
      <c r="C225" s="121">
        <f>1/DATI!$E$21*IF(B225&lt;DATI!$E$28,DATI!$E$15*DATI!$E$25*DATI!$E$32*DATI!$E$16*(B225/DATI!$E$28+1/(DATI!$E$32*DATI!$E$16)*(1-B225/DATI!$E$28)),IF(B225&lt;DATI!$E$29,DATI!$E$15*DATI!$E$25*DATI!$E$32*DATI!$E$16,IF(B225&lt;DATI!$E$30,DATI!$E$15*DATI!$E$25*DATI!$E$32*DATI!$E$16*(DATI!$E$29/B225),DATI!$E$15*DATI!$E$25*DATI!$E$32*DATI!$E$16*((DATI!$E$29*DATI!$E$30)/B225^2))))</f>
        <v>0.12052742597380245</v>
      </c>
      <c r="D225" s="9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</row>
    <row r="226" spans="2:24" x14ac:dyDescent="0.25">
      <c r="B226" s="174">
        <f t="shared" si="3"/>
        <v>2.2099999999999969</v>
      </c>
      <c r="C226" s="121">
        <f>1/DATI!$E$21*IF(B226&lt;DATI!$E$28,DATI!$E$15*DATI!$E$25*DATI!$E$32*DATI!$E$16*(B226/DATI!$E$28+1/(DATI!$E$32*DATI!$E$16)*(1-B226/DATI!$E$28)),IF(B226&lt;DATI!$E$29,DATI!$E$15*DATI!$E$25*DATI!$E$32*DATI!$E$16,IF(B226&lt;DATI!$E$30,DATI!$E$15*DATI!$E$25*DATI!$E$32*DATI!$E$16*(DATI!$E$29/B226),DATI!$E$15*DATI!$E$25*DATI!$E$32*DATI!$E$16*((DATI!$E$29*DATI!$E$30)/B226^2))))</f>
        <v>0.11998205300559521</v>
      </c>
      <c r="D226" s="9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</row>
    <row r="227" spans="2:24" x14ac:dyDescent="0.25">
      <c r="B227" s="174">
        <f t="shared" si="3"/>
        <v>2.2199999999999966</v>
      </c>
      <c r="C227" s="121">
        <f>1/DATI!$E$21*IF(B227&lt;DATI!$E$28,DATI!$E$15*DATI!$E$25*DATI!$E$32*DATI!$E$16*(B227/DATI!$E$28+1/(DATI!$E$32*DATI!$E$16)*(1-B227/DATI!$E$28)),IF(B227&lt;DATI!$E$29,DATI!$E$15*DATI!$E$25*DATI!$E$32*DATI!$E$16,IF(B227&lt;DATI!$E$30,DATI!$E$15*DATI!$E$25*DATI!$E$32*DATI!$E$16*(DATI!$E$29/B227),DATI!$E$15*DATI!$E$25*DATI!$E$32*DATI!$E$16*((DATI!$E$29*DATI!$E$30)/B227^2))))</f>
        <v>0.11944159330737182</v>
      </c>
      <c r="D227" s="9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</row>
    <row r="228" spans="2:24" x14ac:dyDescent="0.25">
      <c r="B228" s="174">
        <f t="shared" si="3"/>
        <v>2.2299999999999964</v>
      </c>
      <c r="C228" s="121">
        <f>1/DATI!$E$21*IF(B228&lt;DATI!$E$28,DATI!$E$15*DATI!$E$25*DATI!$E$32*DATI!$E$16*(B228/DATI!$E$28+1/(DATI!$E$32*DATI!$E$16)*(1-B228/DATI!$E$28)),IF(B228&lt;DATI!$E$29,DATI!$E$15*DATI!$E$25*DATI!$E$32*DATI!$E$16,IF(B228&lt;DATI!$E$30,DATI!$E$15*DATI!$E$25*DATI!$E$32*DATI!$E$16*(DATI!$E$29/B228),DATI!$E$15*DATI!$E$25*DATI!$E$32*DATI!$E$16*((DATI!$E$29*DATI!$E$30)/B228^2))))</f>
        <v>0.11890598078132981</v>
      </c>
      <c r="D228" s="9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</row>
    <row r="229" spans="2:24" x14ac:dyDescent="0.25">
      <c r="B229" s="174">
        <f t="shared" si="3"/>
        <v>2.2399999999999962</v>
      </c>
      <c r="C229" s="121">
        <f>1/DATI!$E$21*IF(B229&lt;DATI!$E$28,DATI!$E$15*DATI!$E$25*DATI!$E$32*DATI!$E$16*(B229/DATI!$E$28+1/(DATI!$E$32*DATI!$E$16)*(1-B229/DATI!$E$28)),IF(B229&lt;DATI!$E$29,DATI!$E$15*DATI!$E$25*DATI!$E$32*DATI!$E$16,IF(B229&lt;DATI!$E$30,DATI!$E$15*DATI!$E$25*DATI!$E$32*DATI!$E$16*(DATI!$E$29/B229),DATI!$E$15*DATI!$E$25*DATI!$E$32*DATI!$E$16*((DATI!$E$29*DATI!$E$30)/B229^2))))</f>
        <v>0.11837515050998459</v>
      </c>
      <c r="D229" s="9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</row>
    <row r="230" spans="2:24" x14ac:dyDescent="0.25">
      <c r="B230" s="174">
        <f t="shared" si="3"/>
        <v>2.249999999999996</v>
      </c>
      <c r="C230" s="121">
        <f>1/DATI!$E$21*IF(B230&lt;DATI!$E$28,DATI!$E$15*DATI!$E$25*DATI!$E$32*DATI!$E$16*(B230/DATI!$E$28+1/(DATI!$E$32*DATI!$E$16)*(1-B230/DATI!$E$28)),IF(B230&lt;DATI!$E$29,DATI!$E$15*DATI!$E$25*DATI!$E$32*DATI!$E$16,IF(B230&lt;DATI!$E$30,DATI!$E$15*DATI!$E$25*DATI!$E$32*DATI!$E$16*(DATI!$E$29/B230),DATI!$E$15*DATI!$E$25*DATI!$E$32*DATI!$E$16*((DATI!$E$29*DATI!$E$30)/B230^2))))</f>
        <v>0.11733893909938727</v>
      </c>
      <c r="D230" s="9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</row>
    <row r="231" spans="2:24" x14ac:dyDescent="0.25">
      <c r="B231" s="174">
        <f t="shared" si="3"/>
        <v>2.2599999999999958</v>
      </c>
      <c r="C231" s="121">
        <f>1/DATI!$E$21*IF(B231&lt;DATI!$E$28,DATI!$E$15*DATI!$E$25*DATI!$E$32*DATI!$E$16*(B231/DATI!$E$28+1/(DATI!$E$32*DATI!$E$16)*(1-B231/DATI!$E$28)),IF(B231&lt;DATI!$E$29,DATI!$E$15*DATI!$E$25*DATI!$E$32*DATI!$E$16,IF(B231&lt;DATI!$E$30,DATI!$E$15*DATI!$E$25*DATI!$E$32*DATI!$E$16*(DATI!$E$29/B231),DATI!$E$15*DATI!$E$25*DATI!$E$32*DATI!$E$16*((DATI!$E$29*DATI!$E$30)/B231^2))))</f>
        <v>0.11630283874826694</v>
      </c>
      <c r="D231" s="9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</row>
    <row r="232" spans="2:24" x14ac:dyDescent="0.25">
      <c r="B232" s="174">
        <f t="shared" si="3"/>
        <v>2.2699999999999956</v>
      </c>
      <c r="C232" s="121">
        <f>1/DATI!$E$21*IF(B232&lt;DATI!$E$28,DATI!$E$15*DATI!$E$25*DATI!$E$32*DATI!$E$16*(B232/DATI!$E$28+1/(DATI!$E$32*DATI!$E$16)*(1-B232/DATI!$E$28)),IF(B232&lt;DATI!$E$29,DATI!$E$15*DATI!$E$25*DATI!$E$32*DATI!$E$16,IF(B232&lt;DATI!$E$30,DATI!$E$15*DATI!$E$25*DATI!$E$32*DATI!$E$16*(DATI!$E$29/B232),DATI!$E$15*DATI!$E$25*DATI!$E$32*DATI!$E$16*((DATI!$E$29*DATI!$E$30)/B232^2))))</f>
        <v>0.11528040117034064</v>
      </c>
      <c r="D232" s="9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</row>
    <row r="233" spans="2:24" x14ac:dyDescent="0.25">
      <c r="B233" s="174">
        <f t="shared" si="3"/>
        <v>2.2799999999999954</v>
      </c>
      <c r="C233" s="121">
        <f>1/DATI!$E$21*IF(B233&lt;DATI!$E$28,DATI!$E$15*DATI!$E$25*DATI!$E$32*DATI!$E$16*(B233/DATI!$E$28+1/(DATI!$E$32*DATI!$E$16)*(1-B233/DATI!$E$28)),IF(B233&lt;DATI!$E$29,DATI!$E$15*DATI!$E$25*DATI!$E$32*DATI!$E$16,IF(B233&lt;DATI!$E$30,DATI!$E$15*DATI!$E$25*DATI!$E$32*DATI!$E$16*(DATI!$E$29/B233),DATI!$E$15*DATI!$E$25*DATI!$E$32*DATI!$E$16*((DATI!$E$29*DATI!$E$30)/B233^2))))</f>
        <v>0.11427138719426139</v>
      </c>
      <c r="D233" s="9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</row>
    <row r="234" spans="2:24" x14ac:dyDescent="0.25">
      <c r="B234" s="174">
        <f t="shared" si="3"/>
        <v>2.2899999999999952</v>
      </c>
      <c r="C234" s="121">
        <f>1/DATI!$E$21*IF(B234&lt;DATI!$E$28,DATI!$E$15*DATI!$E$25*DATI!$E$32*DATI!$E$16*(B234/DATI!$E$28+1/(DATI!$E$32*DATI!$E$16)*(1-B234/DATI!$E$28)),IF(B234&lt;DATI!$E$29,DATI!$E$15*DATI!$E$25*DATI!$E$32*DATI!$E$16,IF(B234&lt;DATI!$E$30,DATI!$E$15*DATI!$E$25*DATI!$E$32*DATI!$E$16*(DATI!$E$29/B234),DATI!$E$15*DATI!$E$25*DATI!$E$32*DATI!$E$16*((DATI!$E$29*DATI!$E$30)/B234^2))))</f>
        <v>0.11327556285933686</v>
      </c>
      <c r="D234" s="9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</row>
    <row r="235" spans="2:24" x14ac:dyDescent="0.25">
      <c r="B235" s="174">
        <f t="shared" si="3"/>
        <v>2.2999999999999949</v>
      </c>
      <c r="C235" s="121">
        <f>1/DATI!$E$21*IF(B235&lt;DATI!$E$28,DATI!$E$15*DATI!$E$25*DATI!$E$32*DATI!$E$16*(B235/DATI!$E$28+1/(DATI!$E$32*DATI!$E$16)*(1-B235/DATI!$E$28)),IF(B235&lt;DATI!$E$29,DATI!$E$15*DATI!$E$25*DATI!$E$32*DATI!$E$16,IF(B235&lt;DATI!$E$30,DATI!$E$15*DATI!$E$25*DATI!$E$32*DATI!$E$16*(DATI!$E$29/B235),DATI!$E$15*DATI!$E$25*DATI!$E$32*DATI!$E$16*((DATI!$E$29*DATI!$E$30)/B235^2))))</f>
        <v>0.11229269927989577</v>
      </c>
      <c r="D235" s="9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</row>
    <row r="236" spans="2:24" x14ac:dyDescent="0.25">
      <c r="B236" s="174">
        <f t="shared" si="3"/>
        <v>2.3099999999999947</v>
      </c>
      <c r="C236" s="121">
        <f>1/DATI!$E$21*IF(B236&lt;DATI!$E$28,DATI!$E$15*DATI!$E$25*DATI!$E$32*DATI!$E$16*(B236/DATI!$E$28+1/(DATI!$E$32*DATI!$E$16)*(1-B236/DATI!$E$28)),IF(B236&lt;DATI!$E$29,DATI!$E$15*DATI!$E$25*DATI!$E$32*DATI!$E$16,IF(B236&lt;DATI!$E$30,DATI!$E$15*DATI!$E$25*DATI!$E$32*DATI!$E$16*(DATI!$E$29/B236),DATI!$E$15*DATI!$E$25*DATI!$E$32*DATI!$E$16*((DATI!$E$29*DATI!$E$30)/B236^2))))</f>
        <v>0.11132257251375514</v>
      </c>
      <c r="D236" s="9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</row>
    <row r="237" spans="2:24" x14ac:dyDescent="0.25">
      <c r="B237" s="174">
        <f t="shared" si="3"/>
        <v>2.3199999999999945</v>
      </c>
      <c r="C237" s="121">
        <f>1/DATI!$E$21*IF(B237&lt;DATI!$E$28,DATI!$E$15*DATI!$E$25*DATI!$E$32*DATI!$E$16*(B237/DATI!$E$28+1/(DATI!$E$32*DATI!$E$16)*(1-B237/DATI!$E$28)),IF(B237&lt;DATI!$E$29,DATI!$E$15*DATI!$E$25*DATI!$E$32*DATI!$E$16,IF(B237&lt;DATI!$E$30,DATI!$E$15*DATI!$E$25*DATI!$E$32*DATI!$E$16*(DATI!$E$29/B237),DATI!$E$15*DATI!$E$25*DATI!$E$32*DATI!$E$16*((DATI!$E$29*DATI!$E$30)/B237^2))))</f>
        <v>0.11036496343464788</v>
      </c>
      <c r="D237" s="9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</row>
    <row r="238" spans="2:24" x14ac:dyDescent="0.25">
      <c r="B238" s="174">
        <f t="shared" si="3"/>
        <v>2.3299999999999943</v>
      </c>
      <c r="C238" s="121">
        <f>1/DATI!$E$21*IF(B238&lt;DATI!$E$28,DATI!$E$15*DATI!$E$25*DATI!$E$32*DATI!$E$16*(B238/DATI!$E$28+1/(DATI!$E$32*DATI!$E$16)*(1-B238/DATI!$E$28)),IF(B238&lt;DATI!$E$29,DATI!$E$15*DATI!$E$25*DATI!$E$32*DATI!$E$16,IF(B238&lt;DATI!$E$30,DATI!$E$15*DATI!$E$25*DATI!$E$32*DATI!$E$16*(DATI!$E$29/B238),DATI!$E$15*DATI!$E$25*DATI!$E$32*DATI!$E$16*((DATI!$E$29*DATI!$E$30)/B238^2))))</f>
        <v>0.10941965760847482</v>
      </c>
      <c r="D238" s="9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</row>
    <row r="239" spans="2:24" x14ac:dyDescent="0.25">
      <c r="B239" s="174">
        <f t="shared" si="3"/>
        <v>2.3399999999999941</v>
      </c>
      <c r="C239" s="121">
        <f>1/DATI!$E$21*IF(B239&lt;DATI!$E$28,DATI!$E$15*DATI!$E$25*DATI!$E$32*DATI!$E$16*(B239/DATI!$E$28+1/(DATI!$E$32*DATI!$E$16)*(1-B239/DATI!$E$28)),IF(B239&lt;DATI!$E$29,DATI!$E$15*DATI!$E$25*DATI!$E$32*DATI!$E$16,IF(B239&lt;DATI!$E$30,DATI!$E$15*DATI!$E$25*DATI!$E$32*DATI!$E$16*(DATI!$E$29/B239),DATI!$E$15*DATI!$E$25*DATI!$E$32*DATI!$E$16*((DATI!$E$29*DATI!$E$30)/B239^2))))</f>
        <v>0.10848644517325022</v>
      </c>
      <c r="D239" s="9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</row>
    <row r="240" spans="2:24" x14ac:dyDescent="0.25">
      <c r="B240" s="174">
        <f t="shared" si="3"/>
        <v>2.3499999999999939</v>
      </c>
      <c r="C240" s="121">
        <f>1/DATI!$E$21*IF(B240&lt;DATI!$E$28,DATI!$E$15*DATI!$E$25*DATI!$E$32*DATI!$E$16*(B240/DATI!$E$28+1/(DATI!$E$32*DATI!$E$16)*(1-B240/DATI!$E$28)),IF(B240&lt;DATI!$E$29,DATI!$E$15*DATI!$E$25*DATI!$E$32*DATI!$E$16,IF(B240&lt;DATI!$E$30,DATI!$E$15*DATI!$E$25*DATI!$E$32*DATI!$E$16*(DATI!$E$29/B240),DATI!$E$15*DATI!$E$25*DATI!$E$32*DATI!$E$16*((DATI!$E$29*DATI!$E$30)/B240^2))))</f>
        <v>0.1075651207226164</v>
      </c>
      <c r="D240" s="9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</row>
    <row r="241" spans="2:24" x14ac:dyDescent="0.25">
      <c r="B241" s="174">
        <f t="shared" si="3"/>
        <v>2.3599999999999937</v>
      </c>
      <c r="C241" s="121">
        <f>1/DATI!$E$21*IF(B241&lt;DATI!$E$28,DATI!$E$15*DATI!$E$25*DATI!$E$32*DATI!$E$16*(B241/DATI!$E$28+1/(DATI!$E$32*DATI!$E$16)*(1-B241/DATI!$E$28)),IF(B241&lt;DATI!$E$29,DATI!$E$15*DATI!$E$25*DATI!$E$32*DATI!$E$16,IF(B241&lt;DATI!$E$30,DATI!$E$15*DATI!$E$25*DATI!$E$32*DATI!$E$16*(DATI!$E$29/B241),DATI!$E$15*DATI!$E$25*DATI!$E$32*DATI!$E$16*((DATI!$E$29*DATI!$E$30)/B241^2))))</f>
        <v>0.10665548319280543</v>
      </c>
      <c r="D241" s="9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</row>
    <row r="242" spans="2:24" x14ac:dyDescent="0.25">
      <c r="B242" s="174">
        <f t="shared" si="3"/>
        <v>2.3699999999999934</v>
      </c>
      <c r="C242" s="121">
        <f>1/DATI!$E$21*IF(B242&lt;DATI!$E$28,DATI!$E$15*DATI!$E$25*DATI!$E$32*DATI!$E$16*(B242/DATI!$E$28+1/(DATI!$E$32*DATI!$E$16)*(1-B242/DATI!$E$28)),IF(B242&lt;DATI!$E$29,DATI!$E$15*DATI!$E$25*DATI!$E$32*DATI!$E$16,IF(B242&lt;DATI!$E$30,DATI!$E$15*DATI!$E$25*DATI!$E$32*DATI!$E$16*(DATI!$E$29/B242),DATI!$E$15*DATI!$E$25*DATI!$E$32*DATI!$E$16*((DATI!$E$29*DATI!$E$30)/B242^2))))</f>
        <v>0.10575733575293297</v>
      </c>
      <c r="D242" s="9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</row>
    <row r="243" spans="2:24" x14ac:dyDescent="0.25">
      <c r="B243" s="174">
        <f t="shared" si="3"/>
        <v>2.3799999999999932</v>
      </c>
      <c r="C243" s="121">
        <f>1/DATI!$E$21*IF(B243&lt;DATI!$E$28,DATI!$E$15*DATI!$E$25*DATI!$E$32*DATI!$E$16*(B243/DATI!$E$28+1/(DATI!$E$32*DATI!$E$16)*(1-B243/DATI!$E$28)),IF(B243&lt;DATI!$E$29,DATI!$E$15*DATI!$E$25*DATI!$E$32*DATI!$E$16,IF(B243&lt;DATI!$E$30,DATI!$E$15*DATI!$E$25*DATI!$E$32*DATI!$E$16*(DATI!$E$29/B243),DATI!$E$15*DATI!$E$25*DATI!$E$32*DATI!$E$16*((DATI!$E$29*DATI!$E$30)/B243^2))))</f>
        <v>0.10487048569851164</v>
      </c>
      <c r="D243" s="9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</row>
    <row r="244" spans="2:24" x14ac:dyDescent="0.25">
      <c r="B244" s="174">
        <f t="shared" si="3"/>
        <v>2.389999999999993</v>
      </c>
      <c r="C244" s="121">
        <f>1/DATI!$E$21*IF(B244&lt;DATI!$E$28,DATI!$E$15*DATI!$E$25*DATI!$E$32*DATI!$E$16*(B244/DATI!$E$28+1/(DATI!$E$32*DATI!$E$16)*(1-B244/DATI!$E$28)),IF(B244&lt;DATI!$E$29,DATI!$E$15*DATI!$E$25*DATI!$E$32*DATI!$E$16,IF(B244&lt;DATI!$E$30,DATI!$E$15*DATI!$E$25*DATI!$E$32*DATI!$E$16*(DATI!$E$29/B244),DATI!$E$15*DATI!$E$25*DATI!$E$32*DATI!$E$16*((DATI!$E$29*DATI!$E$30)/B244^2))))</f>
        <v>0.10399474434807679</v>
      </c>
      <c r="D244" s="9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</row>
    <row r="245" spans="2:24" x14ac:dyDescent="0.25">
      <c r="B245" s="174">
        <f t="shared" si="3"/>
        <v>2.3999999999999928</v>
      </c>
      <c r="C245" s="121">
        <f>1/DATI!$E$21*IF(B245&lt;DATI!$E$28,DATI!$E$15*DATI!$E$25*DATI!$E$32*DATI!$E$16*(B245/DATI!$E$28+1/(DATI!$E$32*DATI!$E$16)*(1-B245/DATI!$E$28)),IF(B245&lt;DATI!$E$29,DATI!$E$15*DATI!$E$25*DATI!$E$32*DATI!$E$16,IF(B245&lt;DATI!$E$30,DATI!$E$15*DATI!$E$25*DATI!$E$32*DATI!$E$16*(DATI!$E$29/B245),DATI!$E$15*DATI!$E$25*DATI!$E$32*DATI!$E$16*((DATI!$E$29*DATI!$E$30)/B245^2))))</f>
        <v>0.10312992694282111</v>
      </c>
      <c r="D245" s="9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</row>
    <row r="246" spans="2:24" x14ac:dyDescent="0.25">
      <c r="B246" s="174">
        <f t="shared" si="3"/>
        <v>2.4099999999999926</v>
      </c>
      <c r="C246" s="121">
        <f>1/DATI!$E$21*IF(B246&lt;DATI!$E$28,DATI!$E$15*DATI!$E$25*DATI!$E$32*DATI!$E$16*(B246/DATI!$E$28+1/(DATI!$E$32*DATI!$E$16)*(1-B246/DATI!$E$28)),IF(B246&lt;DATI!$E$29,DATI!$E$15*DATI!$E$25*DATI!$E$32*DATI!$E$16,IF(B246&lt;DATI!$E$30,DATI!$E$15*DATI!$E$25*DATI!$E$32*DATI!$E$16*(DATI!$E$29/B246),DATI!$E$15*DATI!$E$25*DATI!$E$32*DATI!$E$16*((DATI!$E$29*DATI!$E$30)/B246^2))))</f>
        <v>0.10227585254913821</v>
      </c>
      <c r="D246" s="9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</row>
    <row r="247" spans="2:24" x14ac:dyDescent="0.25">
      <c r="B247" s="174">
        <f t="shared" si="3"/>
        <v>2.4199999999999924</v>
      </c>
      <c r="C247" s="121">
        <f>1/DATI!$E$21*IF(B247&lt;DATI!$E$28,DATI!$E$15*DATI!$E$25*DATI!$E$32*DATI!$E$16*(B247/DATI!$E$28+1/(DATI!$E$32*DATI!$E$16)*(1-B247/DATI!$E$28)),IF(B247&lt;DATI!$E$29,DATI!$E$15*DATI!$E$25*DATI!$E$32*DATI!$E$16,IF(B247&lt;DATI!$E$30,DATI!$E$15*DATI!$E$25*DATI!$E$32*DATI!$E$16*(DATI!$E$29/B247),DATI!$E$15*DATI!$E$25*DATI!$E$32*DATI!$E$16*((DATI!$E$29*DATI!$E$30)/B247^2))))</f>
        <v>0.10143234396397953</v>
      </c>
      <c r="D247" s="9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</row>
    <row r="248" spans="2:24" x14ac:dyDescent="0.25">
      <c r="B248" s="174">
        <f t="shared" si="3"/>
        <v>2.4299999999999922</v>
      </c>
      <c r="C248" s="121">
        <f>1/DATI!$E$21*IF(B248&lt;DATI!$E$28,DATI!$E$15*DATI!$E$25*DATI!$E$32*DATI!$E$16*(B248/DATI!$E$28+1/(DATI!$E$32*DATI!$E$16)*(1-B248/DATI!$E$28)),IF(B248&lt;DATI!$E$29,DATI!$E$15*DATI!$E$25*DATI!$E$32*DATI!$E$16,IF(B248&lt;DATI!$E$30,DATI!$E$15*DATI!$E$25*DATI!$E$32*DATI!$E$16*(DATI!$E$29/B248),DATI!$E$15*DATI!$E$25*DATI!$E$32*DATI!$E$16*((DATI!$E$29*DATI!$E$30)/B248^2))))</f>
        <v>0.10059922762293178</v>
      </c>
      <c r="D248" s="9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</row>
    <row r="249" spans="2:24" x14ac:dyDescent="0.25">
      <c r="B249" s="174">
        <f t="shared" si="3"/>
        <v>2.439999999999992</v>
      </c>
      <c r="C249" s="121">
        <f>1/DATI!$E$21*IF(B249&lt;DATI!$E$28,DATI!$E$15*DATI!$E$25*DATI!$E$32*DATI!$E$16*(B249/DATI!$E$28+1/(DATI!$E$32*DATI!$E$16)*(1-B249/DATI!$E$28)),IF(B249&lt;DATI!$E$29,DATI!$E$15*DATI!$E$25*DATI!$E$32*DATI!$E$16,IF(B249&lt;DATI!$E$30,DATI!$E$15*DATI!$E$25*DATI!$E$32*DATI!$E$16*(DATI!$E$29/B249),DATI!$E$15*DATI!$E$25*DATI!$E$32*DATI!$E$16*((DATI!$E$29*DATI!$E$30)/B249^2))))</f>
        <v>9.9776333510926143E-2</v>
      </c>
      <c r="D249" s="9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</row>
    <row r="250" spans="2:24" x14ac:dyDescent="0.25">
      <c r="B250" s="174">
        <f t="shared" si="3"/>
        <v>2.4499999999999917</v>
      </c>
      <c r="C250" s="121">
        <f>1/DATI!$E$21*IF(B250&lt;DATI!$E$28,DATI!$E$15*DATI!$E$25*DATI!$E$32*DATI!$E$16*(B250/DATI!$E$28+1/(DATI!$E$32*DATI!$E$16)*(1-B250/DATI!$E$28)),IF(B250&lt;DATI!$E$29,DATI!$E$15*DATI!$E$25*DATI!$E$32*DATI!$E$16,IF(B250&lt;DATI!$E$30,DATI!$E$15*DATI!$E$25*DATI!$E$32*DATI!$E$16*(DATI!$E$29/B250),DATI!$E$15*DATI!$E$25*DATI!$E$32*DATI!$E$16*((DATI!$E$29*DATI!$E$30)/B250^2))))</f>
        <v>9.8963495075493554E-2</v>
      </c>
      <c r="D250" s="9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</row>
    <row r="251" spans="2:24" x14ac:dyDescent="0.25">
      <c r="B251" s="174">
        <f t="shared" si="3"/>
        <v>2.4599999999999915</v>
      </c>
      <c r="C251" s="121">
        <f>1/DATI!$E$21*IF(B251&lt;DATI!$E$28,DATI!$E$15*DATI!$E$25*DATI!$E$32*DATI!$E$16*(B251/DATI!$E$28+1/(DATI!$E$32*DATI!$E$16)*(1-B251/DATI!$E$28)),IF(B251&lt;DATI!$E$29,DATI!$E$15*DATI!$E$25*DATI!$E$32*DATI!$E$16,IF(B251&lt;DATI!$E$30,DATI!$E$15*DATI!$E$25*DATI!$E$32*DATI!$E$16*(DATI!$E$29/B251),DATI!$E$15*DATI!$E$25*DATI!$E$32*DATI!$E$16*((DATI!$E$29*DATI!$E$30)/B251^2))))</f>
        <v>9.8160549142482997E-2</v>
      </c>
      <c r="D251" s="9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</row>
    <row r="252" spans="2:24" x14ac:dyDescent="0.25">
      <c r="B252" s="174">
        <f t="shared" si="3"/>
        <v>2.4699999999999913</v>
      </c>
      <c r="C252" s="121">
        <f>1/DATI!$E$21*IF(B252&lt;DATI!$E$28,DATI!$E$15*DATI!$E$25*DATI!$E$32*DATI!$E$16*(B252/DATI!$E$28+1/(DATI!$E$32*DATI!$E$16)*(1-B252/DATI!$E$28)),IF(B252&lt;DATI!$E$29,DATI!$E$15*DATI!$E$25*DATI!$E$32*DATI!$E$16,IF(B252&lt;DATI!$E$30,DATI!$E$15*DATI!$E$25*DATI!$E$32*DATI!$E$16*(DATI!$E$29/B252),DATI!$E$15*DATI!$E$25*DATI!$E$32*DATI!$E$16*((DATI!$E$29*DATI!$E$30)/B252^2))))</f>
        <v>9.7367335834163848E-2</v>
      </c>
      <c r="D252" s="9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</row>
    <row r="253" spans="2:24" x14ac:dyDescent="0.25">
      <c r="B253" s="174">
        <f t="shared" si="3"/>
        <v>2.4799999999999911</v>
      </c>
      <c r="C253" s="121">
        <f>1/DATI!$E$21*IF(B253&lt;DATI!$E$28,DATI!$E$15*DATI!$E$25*DATI!$E$32*DATI!$E$16*(B253/DATI!$E$28+1/(DATI!$E$32*DATI!$E$16)*(1-B253/DATI!$E$28)),IF(B253&lt;DATI!$E$29,DATI!$E$15*DATI!$E$25*DATI!$E$32*DATI!$E$16,IF(B253&lt;DATI!$E$30,DATI!$E$15*DATI!$E$25*DATI!$E$32*DATI!$E$16*(DATI!$E$29/B253),DATI!$E$15*DATI!$E$25*DATI!$E$32*DATI!$E$16*((DATI!$E$29*DATI!$E$30)/B253^2))))</f>
        <v>9.6583698489634856E-2</v>
      </c>
      <c r="D253" s="9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</row>
    <row r="254" spans="2:24" x14ac:dyDescent="0.25">
      <c r="B254" s="174">
        <f t="shared" si="3"/>
        <v>2.4899999999999909</v>
      </c>
      <c r="C254" s="121">
        <f>1/DATI!$E$21*IF(B254&lt;DATI!$E$28,DATI!$E$15*DATI!$E$25*DATI!$E$32*DATI!$E$16*(B254/DATI!$E$28+1/(DATI!$E$32*DATI!$E$16)*(1-B254/DATI!$E$28)),IF(B254&lt;DATI!$E$29,DATI!$E$15*DATI!$E$25*DATI!$E$32*DATI!$E$16,IF(B254&lt;DATI!$E$30,DATI!$E$15*DATI!$E$25*DATI!$E$32*DATI!$E$16*(DATI!$E$29/B254),DATI!$E$15*DATI!$E$25*DATI!$E$32*DATI!$E$16*((DATI!$E$29*DATI!$E$30)/B254^2))))</f>
        <v>9.5809483587466382E-2</v>
      </c>
      <c r="D254" s="9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</row>
    <row r="255" spans="2:24" x14ac:dyDescent="0.25">
      <c r="B255" s="174">
        <f t="shared" si="3"/>
        <v>2.4999999999999907</v>
      </c>
      <c r="C255" s="121">
        <f>1/DATI!$E$21*IF(B255&lt;DATI!$E$28,DATI!$E$15*DATI!$E$25*DATI!$E$32*DATI!$E$16*(B255/DATI!$E$28+1/(DATI!$E$32*DATI!$E$16)*(1-B255/DATI!$E$28)),IF(B255&lt;DATI!$E$29,DATI!$E$15*DATI!$E$25*DATI!$E$32*DATI!$E$16,IF(B255&lt;DATI!$E$30,DATI!$E$15*DATI!$E$25*DATI!$E$32*DATI!$E$16*(DATI!$E$29/B255),DATI!$E$15*DATI!$E$25*DATI!$E$32*DATI!$E$16*((DATI!$E$29*DATI!$E$30)/B255^2))))</f>
        <v>9.5044540670504066E-2</v>
      </c>
      <c r="D255" s="9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</row>
    <row r="256" spans="2:24" x14ac:dyDescent="0.25">
      <c r="B256" s="174">
        <f t="shared" si="3"/>
        <v>2.5099999999999905</v>
      </c>
      <c r="C256" s="121">
        <f>1/DATI!$E$21*IF(B256&lt;DATI!$E$28,DATI!$E$15*DATI!$E$25*DATI!$E$32*DATI!$E$16*(B256/DATI!$E$28+1/(DATI!$E$32*DATI!$E$16)*(1-B256/DATI!$E$28)),IF(B256&lt;DATI!$E$29,DATI!$E$15*DATI!$E$25*DATI!$E$32*DATI!$E$16,IF(B256&lt;DATI!$E$30,DATI!$E$15*DATI!$E$25*DATI!$E$32*DATI!$E$16*(DATI!$E$29/B256),DATI!$E$15*DATI!$E$25*DATI!$E$32*DATI!$E$16*((DATI!$E$29*DATI!$E$30)/B256^2))))</f>
        <v>9.4288722272765579E-2</v>
      </c>
      <c r="D256" s="9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</row>
    <row r="257" spans="2:24" x14ac:dyDescent="0.25">
      <c r="B257" s="174">
        <f t="shared" si="3"/>
        <v>2.5199999999999902</v>
      </c>
      <c r="C257" s="121">
        <f>1/DATI!$E$21*IF(B257&lt;DATI!$E$28,DATI!$E$15*DATI!$E$25*DATI!$E$32*DATI!$E$16*(B257/DATI!$E$28+1/(DATI!$E$32*DATI!$E$16)*(1-B257/DATI!$E$28)),IF(B257&lt;DATI!$E$29,DATI!$E$15*DATI!$E$25*DATI!$E$32*DATI!$E$16,IF(B257&lt;DATI!$E$30,DATI!$E$15*DATI!$E$25*DATI!$E$32*DATI!$E$16*(DATI!$E$29/B257),DATI!$E$15*DATI!$E$25*DATI!$E$32*DATI!$E$16*((DATI!$E$29*DATI!$E$30)/B257^2))))</f>
        <v>9.3541883848363983E-2</v>
      </c>
      <c r="D257" s="9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</row>
    <row r="258" spans="2:24" x14ac:dyDescent="0.25">
      <c r="B258" s="174">
        <f t="shared" si="3"/>
        <v>2.52999999999999</v>
      </c>
      <c r="C258" s="121">
        <f>1/DATI!$E$21*IF(B258&lt;DATI!$E$28,DATI!$E$15*DATI!$E$25*DATI!$E$32*DATI!$E$16*(B258/DATI!$E$28+1/(DATI!$E$32*DATI!$E$16)*(1-B258/DATI!$E$28)),IF(B258&lt;DATI!$E$29,DATI!$E$15*DATI!$E$25*DATI!$E$32*DATI!$E$16,IF(B258&lt;DATI!$E$30,DATI!$E$15*DATI!$E$25*DATI!$E$32*DATI!$E$16*(DATI!$E$29/B258),DATI!$E$15*DATI!$E$25*DATI!$E$32*DATI!$E$16*((DATI!$E$29*DATI!$E$30)/B258^2))))</f>
        <v>9.2803883702393536E-2</v>
      </c>
      <c r="D258" s="9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</row>
    <row r="259" spans="2:24" x14ac:dyDescent="0.25">
      <c r="B259" s="174">
        <f t="shared" si="3"/>
        <v>2.5399999999999898</v>
      </c>
      <c r="C259" s="121">
        <f>1/DATI!$E$21*IF(B259&lt;DATI!$E$28,DATI!$E$15*DATI!$E$25*DATI!$E$32*DATI!$E$16*(B259/DATI!$E$28+1/(DATI!$E$32*DATI!$E$16)*(1-B259/DATI!$E$28)),IF(B259&lt;DATI!$E$29,DATI!$E$15*DATI!$E$25*DATI!$E$32*DATI!$E$16,IF(B259&lt;DATI!$E$30,DATI!$E$15*DATI!$E$25*DATI!$E$32*DATI!$E$16*(DATI!$E$29/B259),DATI!$E$15*DATI!$E$25*DATI!$E$32*DATI!$E$16*((DATI!$E$29*DATI!$E$30)/B259^2))))</f>
        <v>9.2074582923716702E-2</v>
      </c>
      <c r="D259" s="9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</row>
    <row r="260" spans="2:24" x14ac:dyDescent="0.25">
      <c r="B260" s="174">
        <f t="shared" si="3"/>
        <v>2.5499999999999896</v>
      </c>
      <c r="C260" s="121">
        <f>1/DATI!$E$21*IF(B260&lt;DATI!$E$28,DATI!$E$15*DATI!$E$25*DATI!$E$32*DATI!$E$16*(B260/DATI!$E$28+1/(DATI!$E$32*DATI!$E$16)*(1-B260/DATI!$E$28)),IF(B260&lt;DATI!$E$29,DATI!$E$15*DATI!$E$25*DATI!$E$32*DATI!$E$16,IF(B260&lt;DATI!$E$30,DATI!$E$15*DATI!$E$25*DATI!$E$32*DATI!$E$16*(DATI!$E$29/B260),DATI!$E$15*DATI!$E$25*DATI!$E$32*DATI!$E$16*((DATI!$E$29*DATI!$E$30)/B260^2))))</f>
        <v>9.1353845319592605E-2</v>
      </c>
      <c r="D260" s="9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</row>
    <row r="261" spans="2:24" x14ac:dyDescent="0.25">
      <c r="B261" s="174">
        <f t="shared" si="3"/>
        <v>2.5599999999999894</v>
      </c>
      <c r="C261" s="121">
        <f>1/DATI!$E$21*IF(B261&lt;DATI!$E$28,DATI!$E$15*DATI!$E$25*DATI!$E$32*DATI!$E$16*(B261/DATI!$E$28+1/(DATI!$E$32*DATI!$E$16)*(1-B261/DATI!$E$28)),IF(B261&lt;DATI!$E$29,DATI!$E$15*DATI!$E$25*DATI!$E$32*DATI!$E$16,IF(B261&lt;DATI!$E$30,DATI!$E$15*DATI!$E$25*DATI!$E$32*DATI!$E$16*(DATI!$E$29/B261),DATI!$E$15*DATI!$E$25*DATI!$E$32*DATI!$E$16*((DATI!$E$29*DATI!$E$30)/B261^2))))</f>
        <v>9.064153735208906E-2</v>
      </c>
      <c r="D261" s="9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</row>
    <row r="262" spans="2:24" x14ac:dyDescent="0.25">
      <c r="B262" s="174">
        <f t="shared" ref="B262:B325" si="4">0.01+B261</f>
        <v>2.5699999999999892</v>
      </c>
      <c r="C262" s="121">
        <f>1/DATI!$E$21*IF(B262&lt;DATI!$E$28,DATI!$E$15*DATI!$E$25*DATI!$E$32*DATI!$E$16*(B262/DATI!$E$28+1/(DATI!$E$32*DATI!$E$16)*(1-B262/DATI!$E$28)),IF(B262&lt;DATI!$E$29,DATI!$E$15*DATI!$E$25*DATI!$E$32*DATI!$E$16,IF(B262&lt;DATI!$E$30,DATI!$E$15*DATI!$E$25*DATI!$E$32*DATI!$E$16*(DATI!$E$29/B262),DATI!$E$15*DATI!$E$25*DATI!$E$32*DATI!$E$16*((DATI!$E$29*DATI!$E$30)/B262^2))))</f>
        <v>8.9937528076223849E-2</v>
      </c>
      <c r="D262" s="9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</row>
    <row r="263" spans="2:24" x14ac:dyDescent="0.25">
      <c r="B263" s="174">
        <f t="shared" si="4"/>
        <v>2.579999999999989</v>
      </c>
      <c r="C263" s="121">
        <f>1/DATI!$E$21*IF(B263&lt;DATI!$E$28,DATI!$E$15*DATI!$E$25*DATI!$E$32*DATI!$E$16*(B263/DATI!$E$28+1/(DATI!$E$32*DATI!$E$16)*(1-B263/DATI!$E$28)),IF(B263&lt;DATI!$E$29,DATI!$E$15*DATI!$E$25*DATI!$E$32*DATI!$E$16,IF(B263&lt;DATI!$E$30,DATI!$E$15*DATI!$E$25*DATI!$E$32*DATI!$E$16*(DATI!$E$29/B263),DATI!$E$15*DATI!$E$25*DATI!$E$32*DATI!$E$16*((DATI!$E$29*DATI!$E$30)/B263^2))))</f>
        <v>8.9241689079780542E-2</v>
      </c>
      <c r="D263" s="9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</row>
    <row r="264" spans="2:24" x14ac:dyDescent="0.25">
      <c r="B264" s="174">
        <f t="shared" si="4"/>
        <v>2.5899999999999888</v>
      </c>
      <c r="C264" s="121">
        <f>1/DATI!$E$21*IF(B264&lt;DATI!$E$28,DATI!$E$15*DATI!$E$25*DATI!$E$32*DATI!$E$16*(B264/DATI!$E$28+1/(DATI!$E$32*DATI!$E$16)*(1-B264/DATI!$E$28)),IF(B264&lt;DATI!$E$29,DATI!$E$15*DATI!$E$25*DATI!$E$32*DATI!$E$16,IF(B264&lt;DATI!$E$30,DATI!$E$15*DATI!$E$25*DATI!$E$32*DATI!$E$16*(DATI!$E$29/B264),DATI!$E$15*DATI!$E$25*DATI!$E$32*DATI!$E$16*((DATI!$E$29*DATI!$E$30)/B264^2))))</f>
        <v>8.855389442474787E-2</v>
      </c>
      <c r="D264" s="9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</row>
    <row r="265" spans="2:24" x14ac:dyDescent="0.25">
      <c r="B265" s="174">
        <f t="shared" si="4"/>
        <v>2.5999999999999885</v>
      </c>
      <c r="C265" s="121">
        <f>1/DATI!$E$21*IF(B265&lt;DATI!$E$28,DATI!$E$15*DATI!$E$25*DATI!$E$32*DATI!$E$16*(B265/DATI!$E$28+1/(DATI!$E$32*DATI!$E$16)*(1-B265/DATI!$E$28)),IF(B265&lt;DATI!$E$29,DATI!$E$15*DATI!$E$25*DATI!$E$32*DATI!$E$16,IF(B265&lt;DATI!$E$30,DATI!$E$15*DATI!$E$25*DATI!$E$32*DATI!$E$16*(DATI!$E$29/B265),DATI!$E$15*DATI!$E$25*DATI!$E$32*DATI!$E$16*((DATI!$E$29*DATI!$E$30)/B265^2))))</f>
        <v>8.7874020590333016E-2</v>
      </c>
      <c r="D265" s="9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</row>
    <row r="266" spans="2:24" x14ac:dyDescent="0.25">
      <c r="B266" s="174">
        <f t="shared" si="4"/>
        <v>2.6099999999999883</v>
      </c>
      <c r="C266" s="121">
        <f>1/DATI!$E$21*IF(B266&lt;DATI!$E$28,DATI!$E$15*DATI!$E$25*DATI!$E$32*DATI!$E$16*(B266/DATI!$E$28+1/(DATI!$E$32*DATI!$E$16)*(1-B266/DATI!$E$28)),IF(B266&lt;DATI!$E$29,DATI!$E$15*DATI!$E$25*DATI!$E$32*DATI!$E$16,IF(B266&lt;DATI!$E$30,DATI!$E$15*DATI!$E$25*DATI!$E$32*DATI!$E$16*(DATI!$E$29/B266),DATI!$E$15*DATI!$E$25*DATI!$E$32*DATI!$E$16*((DATI!$E$29*DATI!$E$30)/B266^2))))</f>
        <v>8.720194641749994E-2</v>
      </c>
      <c r="D266" s="9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</row>
    <row r="267" spans="2:24" x14ac:dyDescent="0.25">
      <c r="B267" s="174">
        <f t="shared" si="4"/>
        <v>2.6199999999999881</v>
      </c>
      <c r="C267" s="121">
        <f>1/DATI!$E$21*IF(B267&lt;DATI!$E$28,DATI!$E$15*DATI!$E$25*DATI!$E$32*DATI!$E$16*(B267/DATI!$E$28+1/(DATI!$E$32*DATI!$E$16)*(1-B267/DATI!$E$28)),IF(B267&lt;DATI!$E$29,DATI!$E$15*DATI!$E$25*DATI!$E$32*DATI!$E$16,IF(B267&lt;DATI!$E$30,DATI!$E$15*DATI!$E$25*DATI!$E$32*DATI!$E$16*(DATI!$E$29/B267),DATI!$E$15*DATI!$E$25*DATI!$E$32*DATI!$E$16*((DATI!$E$29*DATI!$E$30)/B267^2))))</f>
        <v>8.653755305498681E-2</v>
      </c>
      <c r="D267" s="9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</row>
    <row r="268" spans="2:24" x14ac:dyDescent="0.25">
      <c r="B268" s="174">
        <f t="shared" si="4"/>
        <v>2.6299999999999879</v>
      </c>
      <c r="C268" s="121">
        <f>1/DATI!$E$21*IF(B268&lt;DATI!$E$28,DATI!$E$15*DATI!$E$25*DATI!$E$32*DATI!$E$16*(B268/DATI!$E$28+1/(DATI!$E$32*DATI!$E$16)*(1-B268/DATI!$E$28)),IF(B268&lt;DATI!$E$29,DATI!$E$15*DATI!$E$25*DATI!$E$32*DATI!$E$16,IF(B268&lt;DATI!$E$30,DATI!$E$15*DATI!$E$25*DATI!$E$32*DATI!$E$16*(DATI!$E$29/B268),DATI!$E$15*DATI!$E$25*DATI!$E$32*DATI!$E$16*((DATI!$E$29*DATI!$E$30)/B268^2))))</f>
        <v>8.5880723906757578E-2</v>
      </c>
      <c r="D268" s="9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</row>
    <row r="269" spans="2:24" x14ac:dyDescent="0.25">
      <c r="B269" s="174">
        <f t="shared" si="4"/>
        <v>2.6399999999999877</v>
      </c>
      <c r="C269" s="121">
        <f>1/DATI!$E$21*IF(B269&lt;DATI!$E$28,DATI!$E$15*DATI!$E$25*DATI!$E$32*DATI!$E$16*(B269/DATI!$E$28+1/(DATI!$E$32*DATI!$E$16)*(1-B269/DATI!$E$28)),IF(B269&lt;DATI!$E$29,DATI!$E$15*DATI!$E$25*DATI!$E$32*DATI!$E$16,IF(B269&lt;DATI!$E$30,DATI!$E$15*DATI!$E$25*DATI!$E$32*DATI!$E$16*(DATI!$E$29/B269),DATI!$E$15*DATI!$E$25*DATI!$E$32*DATI!$E$16*((DATI!$E$29*DATI!$E$30)/B269^2))))</f>
        <v>8.5231344580844179E-2</v>
      </c>
      <c r="D269" s="9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</row>
    <row r="270" spans="2:24" x14ac:dyDescent="0.25">
      <c r="B270" s="174">
        <f t="shared" si="4"/>
        <v>2.6499999999999875</v>
      </c>
      <c r="C270" s="121">
        <f>1/DATI!$E$21*IF(B270&lt;DATI!$E$28,DATI!$E$15*DATI!$E$25*DATI!$E$32*DATI!$E$16*(B270/DATI!$E$28+1/(DATI!$E$32*DATI!$E$16)*(1-B270/DATI!$E$28)),IF(B270&lt;DATI!$E$29,DATI!$E$15*DATI!$E$25*DATI!$E$32*DATI!$E$16,IF(B270&lt;DATI!$E$30,DATI!$E$15*DATI!$E$25*DATI!$E$32*DATI!$E$16*(DATI!$E$29/B270),DATI!$E$15*DATI!$E$25*DATI!$E$32*DATI!$E$16*((DATI!$E$29*DATI!$E$30)/B270^2))))</f>
        <v>8.4589302839537445E-2</v>
      </c>
      <c r="D270" s="91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</row>
    <row r="271" spans="2:24" x14ac:dyDescent="0.25">
      <c r="B271" s="174">
        <f t="shared" si="4"/>
        <v>2.6599999999999873</v>
      </c>
      <c r="C271" s="121">
        <f>1/DATI!$E$21*IF(B271&lt;DATI!$E$28,DATI!$E$15*DATI!$E$25*DATI!$E$32*DATI!$E$16*(B271/DATI!$E$28+1/(DATI!$E$32*DATI!$E$16)*(1-B271/DATI!$E$28)),IF(B271&lt;DATI!$E$29,DATI!$E$15*DATI!$E$25*DATI!$E$32*DATI!$E$16,IF(B271&lt;DATI!$E$30,DATI!$E$15*DATI!$E$25*DATI!$E$32*DATI!$E$16*(DATI!$E$29/B271),DATI!$E$15*DATI!$E$25*DATI!$E$32*DATI!$E$16*((DATI!$E$29*DATI!$E$30)/B271^2))))</f>
        <v>8.3954488550886386E-2</v>
      </c>
      <c r="D271" s="91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</row>
    <row r="272" spans="2:24" x14ac:dyDescent="0.25">
      <c r="B272" s="174">
        <f t="shared" si="4"/>
        <v>2.6699999999999871</v>
      </c>
      <c r="C272" s="121">
        <f>1/DATI!$E$21*IF(B272&lt;DATI!$E$28,DATI!$E$15*DATI!$E$25*DATI!$E$32*DATI!$E$16*(B272/DATI!$E$28+1/(DATI!$E$32*DATI!$E$16)*(1-B272/DATI!$E$28)),IF(B272&lt;DATI!$E$29,DATI!$E$15*DATI!$E$25*DATI!$E$32*DATI!$E$16,IF(B272&lt;DATI!$E$30,DATI!$E$15*DATI!$E$25*DATI!$E$32*DATI!$E$16*(DATI!$E$29/B272),DATI!$E$15*DATI!$E$25*DATI!$E$32*DATI!$E$16*((DATI!$E$29*DATI!$E$30)/B272^2))))</f>
        <v>8.3326793641466668E-2</v>
      </c>
      <c r="D272" s="9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</row>
    <row r="273" spans="2:24" x14ac:dyDescent="0.25">
      <c r="B273" s="174">
        <f t="shared" si="4"/>
        <v>2.6799999999999868</v>
      </c>
      <c r="C273" s="121">
        <f>1/DATI!$E$21*IF(B273&lt;DATI!$E$28,DATI!$E$15*DATI!$E$25*DATI!$E$32*DATI!$E$16*(B273/DATI!$E$28+1/(DATI!$E$32*DATI!$E$16)*(1-B273/DATI!$E$28)),IF(B273&lt;DATI!$E$29,DATI!$E$15*DATI!$E$25*DATI!$E$32*DATI!$E$16,IF(B273&lt;DATI!$E$30,DATI!$E$15*DATI!$E$25*DATI!$E$32*DATI!$E$16*(DATI!$E$29/B273),DATI!$E$15*DATI!$E$25*DATI!$E$32*DATI!$E$16*((DATI!$E$29*DATI!$E$30)/B273^2))))</f>
        <v>8.2706112050380351E-2</v>
      </c>
      <c r="D273" s="91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</row>
    <row r="274" spans="2:24" x14ac:dyDescent="0.25">
      <c r="B274" s="174">
        <f t="shared" si="4"/>
        <v>2.6899999999999866</v>
      </c>
      <c r="C274" s="121">
        <f>1/DATI!$E$21*IF(B274&lt;DATI!$E$28,DATI!$E$15*DATI!$E$25*DATI!$E$32*DATI!$E$16*(B274/DATI!$E$28+1/(DATI!$E$32*DATI!$E$16)*(1-B274/DATI!$E$28)),IF(B274&lt;DATI!$E$29,DATI!$E$15*DATI!$E$25*DATI!$E$32*DATI!$E$16,IF(B274&lt;DATI!$E$30,DATI!$E$15*DATI!$E$25*DATI!$E$32*DATI!$E$16*(DATI!$E$29/B274),DATI!$E$15*DATI!$E$25*DATI!$E$32*DATI!$E$16*((DATI!$E$29*DATI!$E$30)/B274^2))))</f>
        <v>8.2092339684450455E-2</v>
      </c>
      <c r="D274" s="9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</row>
    <row r="275" spans="2:24" x14ac:dyDescent="0.25">
      <c r="B275" s="174">
        <f t="shared" si="4"/>
        <v>2.6999999999999864</v>
      </c>
      <c r="C275" s="121">
        <f>1/DATI!$E$21*IF(B275&lt;DATI!$E$28,DATI!$E$15*DATI!$E$25*DATI!$E$32*DATI!$E$16*(B275/DATI!$E$28+1/(DATI!$E$32*DATI!$E$16)*(1-B275/DATI!$E$28)),IF(B275&lt;DATI!$E$29,DATI!$E$15*DATI!$E$25*DATI!$E$32*DATI!$E$16,IF(B275&lt;DATI!$E$30,DATI!$E$15*DATI!$E$25*DATI!$E$32*DATI!$E$16*(DATI!$E$29/B275),DATI!$E$15*DATI!$E$25*DATI!$E$32*DATI!$E$16*((DATI!$E$29*DATI!$E$30)/B275^2))))</f>
        <v>8.1485374374575037E-2</v>
      </c>
      <c r="D275" s="9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</row>
    <row r="276" spans="2:24" x14ac:dyDescent="0.25">
      <c r="B276" s="174">
        <f t="shared" si="4"/>
        <v>2.7099999999999862</v>
      </c>
      <c r="C276" s="121">
        <f>1/DATI!$E$21*IF(B276&lt;DATI!$E$28,DATI!$E$15*DATI!$E$25*DATI!$E$32*DATI!$E$16*(B276/DATI!$E$28+1/(DATI!$E$32*DATI!$E$16)*(1-B276/DATI!$E$28)),IF(B276&lt;DATI!$E$29,DATI!$E$15*DATI!$E$25*DATI!$E$32*DATI!$E$16,IF(B276&lt;DATI!$E$30,DATI!$E$15*DATI!$E$25*DATI!$E$32*DATI!$E$16*(DATI!$E$29/B276),DATI!$E$15*DATI!$E$25*DATI!$E$32*DATI!$E$16*((DATI!$E$29*DATI!$E$30)/B276^2))))</f>
        <v>8.0885115833206511E-2</v>
      </c>
      <c r="D276" s="9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</row>
    <row r="277" spans="2:24" x14ac:dyDescent="0.25">
      <c r="B277" s="174">
        <f t="shared" si="4"/>
        <v>2.719999999999986</v>
      </c>
      <c r="C277" s="121">
        <f>1/DATI!$E$21*IF(B277&lt;DATI!$E$28,DATI!$E$15*DATI!$E$25*DATI!$E$32*DATI!$E$16*(B277/DATI!$E$28+1/(DATI!$E$32*DATI!$E$16)*(1-B277/DATI!$E$28)),IF(B277&lt;DATI!$E$29,DATI!$E$15*DATI!$E$25*DATI!$E$32*DATI!$E$16,IF(B277&lt;DATI!$E$30,DATI!$E$15*DATI!$E$25*DATI!$E$32*DATI!$E$16*(DATI!$E$29/B277),DATI!$E$15*DATI!$E$25*DATI!$E$32*DATI!$E$16*((DATI!$E$29*DATI!$E$30)/B277^2))))</f>
        <v>8.0291465612923343E-2</v>
      </c>
      <c r="D277" s="9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</row>
    <row r="278" spans="2:24" x14ac:dyDescent="0.25">
      <c r="B278" s="174">
        <f t="shared" si="4"/>
        <v>2.7299999999999858</v>
      </c>
      <c r="C278" s="121">
        <f>1/DATI!$E$21*IF(B278&lt;DATI!$E$28,DATI!$E$15*DATI!$E$25*DATI!$E$32*DATI!$E$16*(B278/DATI!$E$28+1/(DATI!$E$32*DATI!$E$16)*(1-B278/DATI!$E$28)),IF(B278&lt;DATI!$E$29,DATI!$E$15*DATI!$E$25*DATI!$E$32*DATI!$E$16,IF(B278&lt;DATI!$E$30,DATI!$E$15*DATI!$E$25*DATI!$E$32*DATI!$E$16*(DATI!$E$29/B278),DATI!$E$15*DATI!$E$25*DATI!$E$32*DATI!$E$16*((DATI!$E$29*DATI!$E$30)/B278^2))))</f>
        <v>7.9704327066061828E-2</v>
      </c>
      <c r="D278" s="9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</row>
    <row r="279" spans="2:24" x14ac:dyDescent="0.25">
      <c r="B279" s="174">
        <f t="shared" si="4"/>
        <v>2.7399999999999856</v>
      </c>
      <c r="C279" s="121">
        <f>1/DATI!$E$21*IF(B279&lt;DATI!$E$28,DATI!$E$15*DATI!$E$25*DATI!$E$32*DATI!$E$16*(B279/DATI!$E$28+1/(DATI!$E$32*DATI!$E$16)*(1-B279/DATI!$E$28)),IF(B279&lt;DATI!$E$29,DATI!$E$15*DATI!$E$25*DATI!$E$32*DATI!$E$16,IF(B279&lt;DATI!$E$30,DATI!$E$15*DATI!$E$25*DATI!$E$32*DATI!$E$16*(DATI!$E$29/B279),DATI!$E$15*DATI!$E$25*DATI!$E$32*DATI!$E$16*((DATI!$E$29*DATI!$E$30)/B279^2))))</f>
        <v>7.9123605305377515E-2</v>
      </c>
      <c r="D279" s="9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</row>
    <row r="280" spans="2:24" x14ac:dyDescent="0.25">
      <c r="B280" s="174">
        <f t="shared" si="4"/>
        <v>2.7499999999999853</v>
      </c>
      <c r="C280" s="121">
        <f>1/DATI!$E$21*IF(B280&lt;DATI!$E$28,DATI!$E$15*DATI!$E$25*DATI!$E$32*DATI!$E$16*(B280/DATI!$E$28+1/(DATI!$E$32*DATI!$E$16)*(1-B280/DATI!$E$28)),IF(B280&lt;DATI!$E$29,DATI!$E$15*DATI!$E$25*DATI!$E$32*DATI!$E$16,IF(B280&lt;DATI!$E$30,DATI!$E$15*DATI!$E$25*DATI!$E$32*DATI!$E$16*(DATI!$E$29/B280),DATI!$E$15*DATI!$E$25*DATI!$E$32*DATI!$E$16*((DATI!$E$29*DATI!$E$30)/B280^2))))</f>
        <v>7.8549207165706084E-2</v>
      </c>
      <c r="D280" s="9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</row>
    <row r="281" spans="2:24" x14ac:dyDescent="0.25">
      <c r="B281" s="174">
        <f t="shared" si="4"/>
        <v>2.7599999999999851</v>
      </c>
      <c r="C281" s="121">
        <f>1/DATI!$E$21*IF(B281&lt;DATI!$E$28,DATI!$E$15*DATI!$E$25*DATI!$E$32*DATI!$E$16*(B281/DATI!$E$28+1/(DATI!$E$32*DATI!$E$16)*(1-B281/DATI!$E$28)),IF(B281&lt;DATI!$E$29,DATI!$E$15*DATI!$E$25*DATI!$E$32*DATI!$E$16,IF(B281&lt;DATI!$E$30,DATI!$E$15*DATI!$E$25*DATI!$E$32*DATI!$E$16*(DATI!$E$29/B281),DATI!$E$15*DATI!$E$25*DATI!$E$32*DATI!$E$16*((DATI!$E$29*DATI!$E$30)/B281^2))))</f>
        <v>7.7981041166594781E-2</v>
      </c>
      <c r="D281" s="9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</row>
    <row r="282" spans="2:24" x14ac:dyDescent="0.25">
      <c r="B282" s="174">
        <f t="shared" si="4"/>
        <v>2.7699999999999849</v>
      </c>
      <c r="C282" s="121">
        <f>1/DATI!$E$21*IF(B282&lt;DATI!$E$28,DATI!$E$15*DATI!$E$25*DATI!$E$32*DATI!$E$16*(B282/DATI!$E$28+1/(DATI!$E$32*DATI!$E$16)*(1-B282/DATI!$E$28)),IF(B282&lt;DATI!$E$29,DATI!$E$15*DATI!$E$25*DATI!$E$32*DATI!$E$16,IF(B282&lt;DATI!$E$30,DATI!$E$15*DATI!$E$25*DATI!$E$32*DATI!$E$16*(DATI!$E$29/B282),DATI!$E$15*DATI!$E$25*DATI!$E$32*DATI!$E$16*((DATI!$E$29*DATI!$E$30)/B282^2))))</f>
        <v>7.7419017475876456E-2</v>
      </c>
      <c r="D282" s="9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</row>
    <row r="283" spans="2:24" x14ac:dyDescent="0.25">
      <c r="B283" s="174">
        <f t="shared" si="4"/>
        <v>2.7799999999999847</v>
      </c>
      <c r="C283" s="121">
        <f>1/DATI!$E$21*IF(B283&lt;DATI!$E$28,DATI!$E$15*DATI!$E$25*DATI!$E$32*DATI!$E$16*(B283/DATI!$E$28+1/(DATI!$E$32*DATI!$E$16)*(1-B283/DATI!$E$28)),IF(B283&lt;DATI!$E$29,DATI!$E$15*DATI!$E$25*DATI!$E$32*DATI!$E$16,IF(B283&lt;DATI!$E$30,DATI!$E$15*DATI!$E$25*DATI!$E$32*DATI!$E$16*(DATI!$E$29/B283),DATI!$E$15*DATI!$E$25*DATI!$E$32*DATI!$E$16*((DATI!$E$29*DATI!$E$30)/B283^2))))</f>
        <v>7.6863047874159277E-2</v>
      </c>
      <c r="D283" s="9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</row>
    <row r="284" spans="2:24" x14ac:dyDescent="0.25">
      <c r="B284" s="174">
        <f t="shared" si="4"/>
        <v>2.7899999999999845</v>
      </c>
      <c r="C284" s="121">
        <f>1/DATI!$E$21*IF(B284&lt;DATI!$E$28,DATI!$E$15*DATI!$E$25*DATI!$E$32*DATI!$E$16*(B284/DATI!$E$28+1/(DATI!$E$32*DATI!$E$16)*(1-B284/DATI!$E$28)),IF(B284&lt;DATI!$E$29,DATI!$E$15*DATI!$E$25*DATI!$E$32*DATI!$E$16,IF(B284&lt;DATI!$E$30,DATI!$E$15*DATI!$E$25*DATI!$E$32*DATI!$E$16*(DATI!$E$29/B284),DATI!$E$15*DATI!$E$25*DATI!$E$32*DATI!$E$16*((DATI!$E$29*DATI!$E$30)/B284^2))))</f>
        <v>7.6313045720205627E-2</v>
      </c>
      <c r="D284" s="9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</row>
    <row r="285" spans="2:24" x14ac:dyDescent="0.25">
      <c r="B285" s="174">
        <f t="shared" si="4"/>
        <v>2.7999999999999843</v>
      </c>
      <c r="C285" s="121">
        <f>1/DATI!$E$21*IF(B285&lt;DATI!$E$28,DATI!$E$15*DATI!$E$25*DATI!$E$32*DATI!$E$16*(B285/DATI!$E$28+1/(DATI!$E$32*DATI!$E$16)*(1-B285/DATI!$E$28)),IF(B285&lt;DATI!$E$29,DATI!$E$15*DATI!$E$25*DATI!$E$32*DATI!$E$16,IF(B285&lt;DATI!$E$30,DATI!$E$15*DATI!$E$25*DATI!$E$32*DATI!$E$16*(DATI!$E$29/B285),DATI!$E$15*DATI!$E$25*DATI!$E$32*DATI!$E$16*((DATI!$E$29*DATI!$E$30)/B285^2))))</f>
        <v>7.5768925917175087E-2</v>
      </c>
      <c r="D285" s="9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</row>
    <row r="286" spans="2:24" x14ac:dyDescent="0.25">
      <c r="B286" s="174">
        <f t="shared" si="4"/>
        <v>2.8099999999999841</v>
      </c>
      <c r="C286" s="121">
        <f>1/DATI!$E$21*IF(B286&lt;DATI!$E$28,DATI!$E$15*DATI!$E$25*DATI!$E$32*DATI!$E$16*(B286/DATI!$E$28+1/(DATI!$E$32*DATI!$E$16)*(1-B286/DATI!$E$28)),IF(B286&lt;DATI!$E$29,DATI!$E$15*DATI!$E$25*DATI!$E$32*DATI!$E$16,IF(B286&lt;DATI!$E$30,DATI!$E$15*DATI!$E$25*DATI!$E$32*DATI!$E$16*(DATI!$E$29/B286),DATI!$E$15*DATI!$E$25*DATI!$E$32*DATI!$E$16*((DATI!$E$29*DATI!$E$30)/B286^2))))</f>
        <v>7.5230604879706772E-2</v>
      </c>
      <c r="D286" s="9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</row>
    <row r="287" spans="2:24" x14ac:dyDescent="0.25">
      <c r="B287" s="174">
        <f t="shared" si="4"/>
        <v>2.8199999999999839</v>
      </c>
      <c r="C287" s="121">
        <f>1/DATI!$E$21*IF(B287&lt;DATI!$E$28,DATI!$E$15*DATI!$E$25*DATI!$E$32*DATI!$E$16*(B287/DATI!$E$28+1/(DATI!$E$32*DATI!$E$16)*(1-B287/DATI!$E$28)),IF(B287&lt;DATI!$E$29,DATI!$E$15*DATI!$E$25*DATI!$E$32*DATI!$E$16,IF(B287&lt;DATI!$E$30,DATI!$E$15*DATI!$E$25*DATI!$E$32*DATI!$E$16*(DATI!$E$29/B287),DATI!$E$15*DATI!$E$25*DATI!$E$32*DATI!$E$16*((DATI!$E$29*DATI!$E$30)/B287^2))))</f>
        <v>7.4698000501817408E-2</v>
      </c>
      <c r="D287" s="9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</row>
    <row r="288" spans="2:24" x14ac:dyDescent="0.25">
      <c r="B288" s="174">
        <f t="shared" si="4"/>
        <v>2.8299999999999836</v>
      </c>
      <c r="C288" s="121">
        <f>1/DATI!$E$21*IF(B288&lt;DATI!$E$28,DATI!$E$15*DATI!$E$25*DATI!$E$32*DATI!$E$16*(B288/DATI!$E$28+1/(DATI!$E$32*DATI!$E$16)*(1-B288/DATI!$E$28)),IF(B288&lt;DATI!$E$29,DATI!$E$15*DATI!$E$25*DATI!$E$32*DATI!$E$16,IF(B288&lt;DATI!$E$30,DATI!$E$15*DATI!$E$25*DATI!$E$32*DATI!$E$16*(DATI!$E$29/B288),DATI!$E$15*DATI!$E$25*DATI!$E$32*DATI!$E$16*((DATI!$E$29*DATI!$E$30)/B288^2))))</f>
        <v>7.4171032125591868E-2</v>
      </c>
      <c r="D288" s="9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</row>
    <row r="289" spans="2:24" x14ac:dyDescent="0.25">
      <c r="B289" s="174">
        <f t="shared" si="4"/>
        <v>2.8399999999999834</v>
      </c>
      <c r="C289" s="121">
        <f>1/DATI!$E$21*IF(B289&lt;DATI!$E$28,DATI!$E$15*DATI!$E$25*DATI!$E$32*DATI!$E$16*(B289/DATI!$E$28+1/(DATI!$E$32*DATI!$E$16)*(1-B289/DATI!$E$28)),IF(B289&lt;DATI!$E$29,DATI!$E$15*DATI!$E$25*DATI!$E$32*DATI!$E$16,IF(B289&lt;DATI!$E$30,DATI!$E$15*DATI!$E$25*DATI!$E$32*DATI!$E$16*(DATI!$E$29/B289),DATI!$E$15*DATI!$E$25*DATI!$E$32*DATI!$E$16*((DATI!$E$29*DATI!$E$30)/B289^2))))</f>
        <v>7.3649620510644331E-2</v>
      </c>
      <c r="D289" s="9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</row>
    <row r="290" spans="2:24" x14ac:dyDescent="0.25">
      <c r="B290" s="174">
        <f t="shared" si="4"/>
        <v>2.8499999999999832</v>
      </c>
      <c r="C290" s="121">
        <f>1/DATI!$E$21*IF(B290&lt;DATI!$E$28,DATI!$E$15*DATI!$E$25*DATI!$E$32*DATI!$E$16*(B290/DATI!$E$28+1/(DATI!$E$32*DATI!$E$16)*(1-B290/DATI!$E$28)),IF(B290&lt;DATI!$E$29,DATI!$E$15*DATI!$E$25*DATI!$E$32*DATI!$E$16,IF(B290&lt;DATI!$E$30,DATI!$E$15*DATI!$E$25*DATI!$E$32*DATI!$E$16*(DATI!$E$29/B290),DATI!$E$15*DATI!$E$25*DATI!$E$32*DATI!$E$16*((DATI!$E$29*DATI!$E$30)/B290^2))))</f>
        <v>7.3133687804327857E-2</v>
      </c>
      <c r="D290" s="9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</row>
    <row r="291" spans="2:24" x14ac:dyDescent="0.25">
      <c r="B291" s="174">
        <f t="shared" si="4"/>
        <v>2.859999999999983</v>
      </c>
      <c r="C291" s="121">
        <f>1/DATI!$E$21*IF(B291&lt;DATI!$E$28,DATI!$E$15*DATI!$E$25*DATI!$E$32*DATI!$E$16*(B291/DATI!$E$28+1/(DATI!$E$32*DATI!$E$16)*(1-B291/DATI!$E$28)),IF(B291&lt;DATI!$E$29,DATI!$E$15*DATI!$E$25*DATI!$E$32*DATI!$E$16,IF(B291&lt;DATI!$E$30,DATI!$E$15*DATI!$E$25*DATI!$E$32*DATI!$E$16*(DATI!$E$29/B291),DATI!$E$15*DATI!$E$25*DATI!$E$32*DATI!$E$16*((DATI!$E$29*DATI!$E$30)/B291^2))))</f>
        <v>7.2623157512672135E-2</v>
      </c>
      <c r="D291" s="9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</row>
    <row r="292" spans="2:24" x14ac:dyDescent="0.25">
      <c r="B292" s="174">
        <f t="shared" si="4"/>
        <v>2.8699999999999828</v>
      </c>
      <c r="C292" s="121">
        <f>1/DATI!$E$21*IF(B292&lt;DATI!$E$28,DATI!$E$15*DATI!$E$25*DATI!$E$32*DATI!$E$16*(B292/DATI!$E$28+1/(DATI!$E$32*DATI!$E$16)*(1-B292/DATI!$E$28)),IF(B292&lt;DATI!$E$29,DATI!$E$15*DATI!$E$25*DATI!$E$32*DATI!$E$16,IF(B292&lt;DATI!$E$30,DATI!$E$15*DATI!$E$25*DATI!$E$32*DATI!$E$16*(DATI!$E$29/B292),DATI!$E$15*DATI!$E$25*DATI!$E$32*DATI!$E$16*((DATI!$E$29*DATI!$E$30)/B292^2))))</f>
        <v>7.2117954472028692E-2</v>
      </c>
      <c r="D292" s="9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</row>
    <row r="293" spans="2:24" x14ac:dyDescent="0.25">
      <c r="B293" s="174">
        <f t="shared" si="4"/>
        <v>2.8799999999999826</v>
      </c>
      <c r="C293" s="121">
        <f>1/DATI!$E$21*IF(B293&lt;DATI!$E$28,DATI!$E$15*DATI!$E$25*DATI!$E$32*DATI!$E$16*(B293/DATI!$E$28+1/(DATI!$E$32*DATI!$E$16)*(1-B293/DATI!$E$28)),IF(B293&lt;DATI!$E$29,DATI!$E$15*DATI!$E$25*DATI!$E$32*DATI!$E$16,IF(B293&lt;DATI!$E$30,DATI!$E$15*DATI!$E$25*DATI!$E$32*DATI!$E$16*(DATI!$E$29/B293),DATI!$E$15*DATI!$E$25*DATI!$E$32*DATI!$E$16*((DATI!$E$29*DATI!$E$30)/B293^2))))</f>
        <v>7.1618004821403985E-2</v>
      </c>
      <c r="D293" s="9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</row>
    <row r="294" spans="2:24" x14ac:dyDescent="0.25">
      <c r="B294" s="174">
        <f t="shared" si="4"/>
        <v>2.8899999999999824</v>
      </c>
      <c r="C294" s="121">
        <f>1/DATI!$E$21*IF(B294&lt;DATI!$E$28,DATI!$E$15*DATI!$E$25*DATI!$E$32*DATI!$E$16*(B294/DATI!$E$28+1/(DATI!$E$32*DATI!$E$16)*(1-B294/DATI!$E$28)),IF(B294&lt;DATI!$E$29,DATI!$E$15*DATI!$E$25*DATI!$E$32*DATI!$E$16,IF(B294&lt;DATI!$E$30,DATI!$E$15*DATI!$E$25*DATI!$E$32*DATI!$E$16*(DATI!$E$29/B294),DATI!$E$15*DATI!$E$25*DATI!$E$32*DATI!$E$16*((DATI!$E$29*DATI!$E$30)/B294^2))))</f>
        <v>7.1123235975461635E-2</v>
      </c>
      <c r="D294" s="9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</row>
    <row r="295" spans="2:24" x14ac:dyDescent="0.25">
      <c r="B295" s="174">
        <f t="shared" si="4"/>
        <v>2.8999999999999821</v>
      </c>
      <c r="C295" s="121">
        <f>1/DATI!$E$21*IF(B295&lt;DATI!$E$28,DATI!$E$15*DATI!$E$25*DATI!$E$32*DATI!$E$16*(B295/DATI!$E$28+1/(DATI!$E$32*DATI!$E$16)*(1-B295/DATI!$E$28)),IF(B295&lt;DATI!$E$29,DATI!$E$15*DATI!$E$25*DATI!$E$32*DATI!$E$16,IF(B295&lt;DATI!$E$30,DATI!$E$15*DATI!$E$25*DATI!$E$32*DATI!$E$16*(DATI!$E$29/B295),DATI!$E$15*DATI!$E$25*DATI!$E$32*DATI!$E$16*((DATI!$E$29*DATI!$E$30)/B295^2))))</f>
        <v>7.063357659817518E-2</v>
      </c>
      <c r="D295" s="9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</row>
    <row r="296" spans="2:24" x14ac:dyDescent="0.25">
      <c r="B296" s="174">
        <f t="shared" si="4"/>
        <v>2.9099999999999819</v>
      </c>
      <c r="C296" s="121">
        <f>1/DATI!$E$21*IF(B296&lt;DATI!$E$28,DATI!$E$15*DATI!$E$25*DATI!$E$32*DATI!$E$16*(B296/DATI!$E$28+1/(DATI!$E$32*DATI!$E$16)*(1-B296/DATI!$E$28)),IF(B296&lt;DATI!$E$29,DATI!$E$15*DATI!$E$25*DATI!$E$32*DATI!$E$16,IF(B296&lt;DATI!$E$30,DATI!$E$15*DATI!$E$25*DATI!$E$32*DATI!$E$16*(DATI!$E$29/B296),DATI!$E$15*DATI!$E$25*DATI!$E$32*DATI!$E$16*((DATI!$E$29*DATI!$E$30)/B296^2))))</f>
        <v>7.0148956577113328E-2</v>
      </c>
      <c r="D296" s="9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</row>
    <row r="297" spans="2:24" x14ac:dyDescent="0.25">
      <c r="B297" s="174">
        <f t="shared" si="4"/>
        <v>2.9199999999999817</v>
      </c>
      <c r="C297" s="121">
        <f>1/DATI!$E$21*IF(B297&lt;DATI!$E$28,DATI!$E$15*DATI!$E$25*DATI!$E$32*DATI!$E$16*(B297/DATI!$E$28+1/(DATI!$E$32*DATI!$E$16)*(1-B297/DATI!$E$28)),IF(B297&lt;DATI!$E$29,DATI!$E$15*DATI!$E$25*DATI!$E$32*DATI!$E$16,IF(B297&lt;DATI!$E$30,DATI!$E$15*DATI!$E$25*DATI!$E$32*DATI!$E$16*(DATI!$E$29/B297),DATI!$E$15*DATI!$E$25*DATI!$E$32*DATI!$E$16*((DATI!$E$29*DATI!$E$30)/B297^2))))</f>
        <v>6.9669306998340841E-2</v>
      </c>
      <c r="D297" s="9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</row>
    <row r="298" spans="2:24" x14ac:dyDescent="0.25">
      <c r="B298" s="174">
        <f t="shared" si="4"/>
        <v>2.9299999999999815</v>
      </c>
      <c r="C298" s="121">
        <f>1/DATI!$E$21*IF(B298&lt;DATI!$E$28,DATI!$E$15*DATI!$E$25*DATI!$E$32*DATI!$E$16*(B298/DATI!$E$28+1/(DATI!$E$32*DATI!$E$16)*(1-B298/DATI!$E$28)),IF(B298&lt;DATI!$E$29,DATI!$E$15*DATI!$E$25*DATI!$E$32*DATI!$E$16,IF(B298&lt;DATI!$E$30,DATI!$E$15*DATI!$E$25*DATI!$E$32*DATI!$E$16*(DATI!$E$29/B298),DATI!$E$15*DATI!$E$25*DATI!$E$32*DATI!$E$16*((DATI!$E$29*DATI!$E$30)/B298^2))))</f>
        <v>6.9194560121917964E-2</v>
      </c>
      <c r="D298" s="9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</row>
    <row r="299" spans="2:24" x14ac:dyDescent="0.25">
      <c r="B299" s="174">
        <f t="shared" si="4"/>
        <v>2.9399999999999813</v>
      </c>
      <c r="C299" s="121">
        <f>1/DATI!$E$21*IF(B299&lt;DATI!$E$28,DATI!$E$15*DATI!$E$25*DATI!$E$32*DATI!$E$16*(B299/DATI!$E$28+1/(DATI!$E$32*DATI!$E$16)*(1-B299/DATI!$E$28)),IF(B299&lt;DATI!$E$29,DATI!$E$15*DATI!$E$25*DATI!$E$32*DATI!$E$16,IF(B299&lt;DATI!$E$30,DATI!$E$15*DATI!$E$25*DATI!$E$32*DATI!$E$16*(DATI!$E$29/B299),DATI!$E$15*DATI!$E$25*DATI!$E$32*DATI!$E$16*((DATI!$E$29*DATI!$E$30)/B299^2))))</f>
        <v>6.8724649357982046E-2</v>
      </c>
      <c r="D299" s="9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</row>
    <row r="300" spans="2:24" x14ac:dyDescent="0.25">
      <c r="B300" s="174">
        <f t="shared" si="4"/>
        <v>2.9499999999999811</v>
      </c>
      <c r="C300" s="121">
        <f>1/DATI!$E$21*IF(B300&lt;DATI!$E$28,DATI!$E$15*DATI!$E$25*DATI!$E$32*DATI!$E$16*(B300/DATI!$E$28+1/(DATI!$E$32*DATI!$E$16)*(1-B300/DATI!$E$28)),IF(B300&lt;DATI!$E$29,DATI!$E$15*DATI!$E$25*DATI!$E$32*DATI!$E$16,IF(B300&lt;DATI!$E$30,DATI!$E$15*DATI!$E$25*DATI!$E$32*DATI!$E$16*(DATI!$E$29/B300),DATI!$E$15*DATI!$E$25*DATI!$E$32*DATI!$E$16*((DATI!$E$29*DATI!$E$30)/B300^2))))</f>
        <v>6.8259509243395994E-2</v>
      </c>
      <c r="D300" s="9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</row>
    <row r="301" spans="2:24" x14ac:dyDescent="0.25">
      <c r="B301" s="174">
        <f t="shared" si="4"/>
        <v>2.9599999999999809</v>
      </c>
      <c r="C301" s="121">
        <f>1/DATI!$E$21*IF(B301&lt;DATI!$E$28,DATI!$E$15*DATI!$E$25*DATI!$E$32*DATI!$E$16*(B301/DATI!$E$28+1/(DATI!$E$32*DATI!$E$16)*(1-B301/DATI!$E$28)),IF(B301&lt;DATI!$E$29,DATI!$E$15*DATI!$E$25*DATI!$E$32*DATI!$E$16,IF(B301&lt;DATI!$E$30,DATI!$E$15*DATI!$E$25*DATI!$E$32*DATI!$E$16*(DATI!$E$29/B301),DATI!$E$15*DATI!$E$25*DATI!$E$32*DATI!$E$16*((DATI!$E$29*DATI!$E$30)/B301^2))))</f>
        <v>6.7799075418947877E-2</v>
      </c>
      <c r="D301" s="9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</row>
    <row r="302" spans="2:24" x14ac:dyDescent="0.25">
      <c r="B302" s="174">
        <f t="shared" si="4"/>
        <v>2.9699999999999807</v>
      </c>
      <c r="C302" s="121">
        <f>1/DATI!$E$21*IF(B302&lt;DATI!$E$28,DATI!$E$15*DATI!$E$25*DATI!$E$32*DATI!$E$16*(B302/DATI!$E$28+1/(DATI!$E$32*DATI!$E$16)*(1-B302/DATI!$E$28)),IF(B302&lt;DATI!$E$29,DATI!$E$15*DATI!$E$25*DATI!$E$32*DATI!$E$16,IF(B302&lt;DATI!$E$30,DATI!$E$15*DATI!$E$25*DATI!$E$32*DATI!$E$16*(DATI!$E$29/B302),DATI!$E$15*DATI!$E$25*DATI!$E$32*DATI!$E$16*((DATI!$E$29*DATI!$E$30)/B302^2))))</f>
        <v>6.7343284607087009E-2</v>
      </c>
      <c r="D302" s="9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</row>
    <row r="303" spans="2:24" x14ac:dyDescent="0.25">
      <c r="B303" s="174">
        <f t="shared" si="4"/>
        <v>2.9799999999999804</v>
      </c>
      <c r="C303" s="121">
        <f>1/DATI!$E$21*IF(B303&lt;DATI!$E$28,DATI!$E$15*DATI!$E$25*DATI!$E$32*DATI!$E$16*(B303/DATI!$E$28+1/(DATI!$E$32*DATI!$E$16)*(1-B303/DATI!$E$28)),IF(B303&lt;DATI!$E$29,DATI!$E$15*DATI!$E$25*DATI!$E$32*DATI!$E$16,IF(B303&lt;DATI!$E$30,DATI!$E$15*DATI!$E$25*DATI!$E$32*DATI!$E$16*(DATI!$E$29/B303),DATI!$E$15*DATI!$E$25*DATI!$E$32*DATI!$E$16*((DATI!$E$29*DATI!$E$30)/B303^2))))</f>
        <v>6.6892074590182177E-2</v>
      </c>
      <c r="D303" s="9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</row>
    <row r="304" spans="2:24" x14ac:dyDescent="0.25">
      <c r="B304" s="174">
        <f t="shared" si="4"/>
        <v>2.9899999999999802</v>
      </c>
      <c r="C304" s="121">
        <f>1/DATI!$E$21*IF(B304&lt;DATI!$E$28,DATI!$E$15*DATI!$E$25*DATI!$E$32*DATI!$E$16*(B304/DATI!$E$28+1/(DATI!$E$32*DATI!$E$16)*(1-B304/DATI!$E$28)),IF(B304&lt;DATI!$E$29,DATI!$E$15*DATI!$E$25*DATI!$E$32*DATI!$E$16,IF(B304&lt;DATI!$E$30,DATI!$E$15*DATI!$E$25*DATI!$E$32*DATI!$E$16*(DATI!$E$29/B304),DATI!$E$15*DATI!$E$25*DATI!$E$32*DATI!$E$16*((DATI!$E$29*DATI!$E$30)/B304^2))))</f>
        <v>6.6445384189288026E-2</v>
      </c>
      <c r="D304" s="91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</row>
    <row r="305" spans="2:24" x14ac:dyDescent="0.25">
      <c r="B305" s="174">
        <f t="shared" si="4"/>
        <v>2.99999999999998</v>
      </c>
      <c r="C305" s="121">
        <f>1/DATI!$E$21*IF(B305&lt;DATI!$E$28,DATI!$E$15*DATI!$E$25*DATI!$E$32*DATI!$E$16*(B305/DATI!$E$28+1/(DATI!$E$32*DATI!$E$16)*(1-B305/DATI!$E$28)),IF(B305&lt;DATI!$E$29,DATI!$E$15*DATI!$E$25*DATI!$E$32*DATI!$E$16,IF(B305&lt;DATI!$E$30,DATI!$E$15*DATI!$E$25*DATI!$E$32*DATI!$E$16*(DATI!$E$29/B305),DATI!$E$15*DATI!$E$25*DATI!$E$32*DATI!$E$16*((DATI!$E$29*DATI!$E$30)/B305^2))))</f>
        <v>6.6003153243405999E-2</v>
      </c>
      <c r="D305" s="9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</row>
    <row r="306" spans="2:24" x14ac:dyDescent="0.25">
      <c r="B306" s="174">
        <f t="shared" si="4"/>
        <v>3.0099999999999798</v>
      </c>
      <c r="C306" s="121">
        <f>1/DATI!$E$21*IF(B306&lt;DATI!$E$28,DATI!$E$15*DATI!$E$25*DATI!$E$32*DATI!$E$16*(B306/DATI!$E$28+1/(DATI!$E$32*DATI!$E$16)*(1-B306/DATI!$E$28)),IF(B306&lt;DATI!$E$29,DATI!$E$15*DATI!$E$25*DATI!$E$32*DATI!$E$16,IF(B306&lt;DATI!$E$30,DATI!$E$15*DATI!$E$25*DATI!$E$32*DATI!$E$16*(DATI!$E$29/B306),DATI!$E$15*DATI!$E$25*DATI!$E$32*DATI!$E$16*((DATI!$E$29*DATI!$E$30)/B306^2))))</f>
        <v>6.5565322589226829E-2</v>
      </c>
      <c r="D306" s="9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</row>
    <row r="307" spans="2:24" x14ac:dyDescent="0.25">
      <c r="B307" s="174">
        <f t="shared" si="4"/>
        <v>3.0199999999999796</v>
      </c>
      <c r="C307" s="121">
        <f>1/DATI!$E$21*IF(B307&lt;DATI!$E$28,DATI!$E$15*DATI!$E$25*DATI!$E$32*DATI!$E$16*(B307/DATI!$E$28+1/(DATI!$E$32*DATI!$E$16)*(1-B307/DATI!$E$28)),IF(B307&lt;DATI!$E$29,DATI!$E$15*DATI!$E$25*DATI!$E$32*DATI!$E$16,IF(B307&lt;DATI!$E$30,DATI!$E$15*DATI!$E$25*DATI!$E$32*DATI!$E$16*(DATI!$E$29/B307),DATI!$E$15*DATI!$E$25*DATI!$E$32*DATI!$E$16*((DATI!$E$29*DATI!$E$30)/B307^2))))</f>
        <v>6.5131834041341832E-2</v>
      </c>
      <c r="D307" s="91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</row>
    <row r="308" spans="2:24" x14ac:dyDescent="0.25">
      <c r="B308" s="174">
        <f t="shared" si="4"/>
        <v>3.0299999999999794</v>
      </c>
      <c r="C308" s="121">
        <f>1/DATI!$E$21*IF(B308&lt;DATI!$E$28,DATI!$E$15*DATI!$E$25*DATI!$E$32*DATI!$E$16*(B308/DATI!$E$28+1/(DATI!$E$32*DATI!$E$16)*(1-B308/DATI!$E$28)),IF(B308&lt;DATI!$E$29,DATI!$E$15*DATI!$E$25*DATI!$E$32*DATI!$E$16,IF(B308&lt;DATI!$E$30,DATI!$E$15*DATI!$E$25*DATI!$E$32*DATI!$E$16*(DATI!$E$29/B308),DATI!$E$15*DATI!$E$25*DATI!$E$32*DATI!$E$16*((DATI!$E$29*DATI!$E$30)/B308^2))))</f>
        <v>6.4702630372910505E-2</v>
      </c>
      <c r="D308" s="9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</row>
    <row r="309" spans="2:24" x14ac:dyDescent="0.25">
      <c r="B309" s="174">
        <f t="shared" si="4"/>
        <v>3.0399999999999792</v>
      </c>
      <c r="C309" s="121">
        <f>1/DATI!$E$21*IF(B309&lt;DATI!$E$28,DATI!$E$15*DATI!$E$25*DATI!$E$32*DATI!$E$16*(B309/DATI!$E$28+1/(DATI!$E$32*DATI!$E$16)*(1-B309/DATI!$E$28)),IF(B309&lt;DATI!$E$29,DATI!$E$15*DATI!$E$25*DATI!$E$32*DATI!$E$16,IF(B309&lt;DATI!$E$30,DATI!$E$15*DATI!$E$25*DATI!$E$32*DATI!$E$16*(DATI!$E$29/B309),DATI!$E$15*DATI!$E$25*DATI!$E$32*DATI!$E$16*((DATI!$E$29*DATI!$E$30)/B309^2))))</f>
        <v>6.4277655296772651E-2</v>
      </c>
      <c r="D309" s="9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</row>
    <row r="310" spans="2:24" x14ac:dyDescent="0.25">
      <c r="B310" s="174">
        <f t="shared" si="4"/>
        <v>3.049999999999979</v>
      </c>
      <c r="C310" s="121">
        <f>1/DATI!$E$21*IF(B310&lt;DATI!$E$28,DATI!$E$15*DATI!$E$25*DATI!$E$32*DATI!$E$16*(B310/DATI!$E$28+1/(DATI!$E$32*DATI!$E$16)*(1-B310/DATI!$E$28)),IF(B310&lt;DATI!$E$29,DATI!$E$15*DATI!$E$25*DATI!$E$32*DATI!$E$16,IF(B310&lt;DATI!$E$30,DATI!$E$15*DATI!$E$25*DATI!$E$32*DATI!$E$16*(DATI!$E$29/B310),DATI!$E$15*DATI!$E$25*DATI!$E$32*DATI!$E$16*((DATI!$E$29*DATI!$E$30)/B310^2))))</f>
        <v>6.3856853446993184E-2</v>
      </c>
      <c r="D310" s="9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</row>
    <row r="311" spans="2:24" x14ac:dyDescent="0.25">
      <c r="B311" s="174">
        <f t="shared" si="4"/>
        <v>3.0599999999999787</v>
      </c>
      <c r="C311" s="121">
        <f>1/DATI!$E$21*IF(B311&lt;DATI!$E$28,DATI!$E$15*DATI!$E$25*DATI!$E$32*DATI!$E$16*(B311/DATI!$E$28+1/(DATI!$E$32*DATI!$E$16)*(1-B311/DATI!$E$28)),IF(B311&lt;DATI!$E$29,DATI!$E$15*DATI!$E$25*DATI!$E$32*DATI!$E$16,IF(B311&lt;DATI!$E$30,DATI!$E$15*DATI!$E$25*DATI!$E$32*DATI!$E$16*(DATI!$E$29/B311),DATI!$E$15*DATI!$E$25*DATI!$E$32*DATI!$E$16*((DATI!$E$29*DATI!$E$30)/B311^2))))</f>
        <v>6.3440170360828552E-2</v>
      </c>
      <c r="D311" s="9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</row>
    <row r="312" spans="2:24" x14ac:dyDescent="0.25">
      <c r="B312" s="174">
        <f t="shared" si="4"/>
        <v>3.0699999999999785</v>
      </c>
      <c r="C312" s="121">
        <f>1/DATI!$E$21*IF(B312&lt;DATI!$E$28,DATI!$E$15*DATI!$E$25*DATI!$E$32*DATI!$E$16*(B312/DATI!$E$28+1/(DATI!$E$32*DATI!$E$16)*(1-B312/DATI!$E$28)),IF(B312&lt;DATI!$E$29,DATI!$E$15*DATI!$E$25*DATI!$E$32*DATI!$E$16,IF(B312&lt;DATI!$E$30,DATI!$E$15*DATI!$E$25*DATI!$E$32*DATI!$E$16*(DATI!$E$29/B312),DATI!$E$15*DATI!$E$25*DATI!$E$32*DATI!$E$16*((DATI!$E$29*DATI!$E$30)/B312^2))))</f>
        <v>6.3027552461103489E-2</v>
      </c>
      <c r="D312" s="9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</row>
    <row r="313" spans="2:24" x14ac:dyDescent="0.25">
      <c r="B313" s="174">
        <f t="shared" si="4"/>
        <v>3.0799999999999783</v>
      </c>
      <c r="C313" s="121">
        <f>1/DATI!$E$21*IF(B313&lt;DATI!$E$28,DATI!$E$15*DATI!$E$25*DATI!$E$32*DATI!$E$16*(B313/DATI!$E$28+1/(DATI!$E$32*DATI!$E$16)*(1-B313/DATI!$E$28)),IF(B313&lt;DATI!$E$29,DATI!$E$15*DATI!$E$25*DATI!$E$32*DATI!$E$16,IF(B313&lt;DATI!$E$30,DATI!$E$15*DATI!$E$25*DATI!$E$32*DATI!$E$16*(DATI!$E$29/B313),DATI!$E$15*DATI!$E$25*DATI!$E$32*DATI!$E$16*((DATI!$E$29*DATI!$E$30)/B313^2))))</f>
        <v>6.2618947038987849E-2</v>
      </c>
      <c r="D313" s="9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</row>
    <row r="314" spans="2:24" x14ac:dyDescent="0.25">
      <c r="B314" s="174">
        <f t="shared" si="4"/>
        <v>3.0899999999999781</v>
      </c>
      <c r="C314" s="121">
        <f>1/DATI!$E$21*IF(B314&lt;DATI!$E$28,DATI!$E$15*DATI!$E$25*DATI!$E$32*DATI!$E$16*(B314/DATI!$E$28+1/(DATI!$E$32*DATI!$E$16)*(1-B314/DATI!$E$28)),IF(B314&lt;DATI!$E$29,DATI!$E$15*DATI!$E$25*DATI!$E$32*DATI!$E$16,IF(B314&lt;DATI!$E$30,DATI!$E$15*DATI!$E$25*DATI!$E$32*DATI!$E$16*(DATI!$E$29/B314),DATI!$E$15*DATI!$E$25*DATI!$E$32*DATI!$E$16*((DATI!$E$29*DATI!$E$30)/B314^2))))</f>
        <v>6.221430223716283E-2</v>
      </c>
      <c r="D314" s="9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</row>
    <row r="315" spans="2:24" x14ac:dyDescent="0.25">
      <c r="B315" s="174">
        <f t="shared" si="4"/>
        <v>3.0999999999999779</v>
      </c>
      <c r="C315" s="121">
        <f>1/DATI!$E$21*IF(B315&lt;DATI!$E$28,DATI!$E$15*DATI!$E$25*DATI!$E$32*DATI!$E$16*(B315/DATI!$E$28+1/(DATI!$E$32*DATI!$E$16)*(1-B315/DATI!$E$28)),IF(B315&lt;DATI!$E$29,DATI!$E$15*DATI!$E$25*DATI!$E$32*DATI!$E$16,IF(B315&lt;DATI!$E$30,DATI!$E$15*DATI!$E$25*DATI!$E$32*DATI!$E$16*(DATI!$E$29/B315),DATI!$E$15*DATI!$E$25*DATI!$E$32*DATI!$E$16*((DATI!$E$29*DATI!$E$30)/B315^2))))</f>
        <v>6.1813567033366747E-2</v>
      </c>
      <c r="D315" s="9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</row>
    <row r="316" spans="2:24" x14ac:dyDescent="0.25">
      <c r="B316" s="174">
        <f t="shared" si="4"/>
        <v>3.1099999999999777</v>
      </c>
      <c r="C316" s="121">
        <f>1/DATI!$E$21*IF(B316&lt;DATI!$E$28,DATI!$E$15*DATI!$E$25*DATI!$E$32*DATI!$E$16*(B316/DATI!$E$28+1/(DATI!$E$32*DATI!$E$16)*(1-B316/DATI!$E$28)),IF(B316&lt;DATI!$E$29,DATI!$E$15*DATI!$E$25*DATI!$E$32*DATI!$E$16,IF(B316&lt;DATI!$E$30,DATI!$E$15*DATI!$E$25*DATI!$E$32*DATI!$E$16*(DATI!$E$29/B316),DATI!$E$15*DATI!$E$25*DATI!$E$32*DATI!$E$16*((DATI!$E$29*DATI!$E$30)/B316^2))))</f>
        <v>6.14166912243106E-2</v>
      </c>
      <c r="D316" s="9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</row>
    <row r="317" spans="2:24" x14ac:dyDescent="0.25">
      <c r="B317" s="174">
        <f t="shared" si="4"/>
        <v>3.1199999999999775</v>
      </c>
      <c r="C317" s="121">
        <f>1/DATI!$E$21*IF(B317&lt;DATI!$E$28,DATI!$E$15*DATI!$E$25*DATI!$E$32*DATI!$E$16*(B317/DATI!$E$28+1/(DATI!$E$32*DATI!$E$16)*(1-B317/DATI!$E$28)),IF(B317&lt;DATI!$E$29,DATI!$E$15*DATI!$E$25*DATI!$E$32*DATI!$E$16,IF(B317&lt;DATI!$E$30,DATI!$E$15*DATI!$E$25*DATI!$E$32*DATI!$E$16*(DATI!$E$29/B317),DATI!$E$15*DATI!$E$25*DATI!$E$32*DATI!$E$16*((DATI!$E$29*DATI!$E$30)/B317^2))))</f>
        <v>6.102362540995384E-2</v>
      </c>
      <c r="D317" s="9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</row>
    <row r="318" spans="2:24" x14ac:dyDescent="0.25">
      <c r="B318" s="174">
        <f t="shared" si="4"/>
        <v>3.1299999999999772</v>
      </c>
      <c r="C318" s="121">
        <f>1/DATI!$E$21*IF(B318&lt;DATI!$E$28,DATI!$E$15*DATI!$E$25*DATI!$E$32*DATI!$E$16*(B318/DATI!$E$28+1/(DATI!$E$32*DATI!$E$16)*(1-B318/DATI!$E$28)),IF(B318&lt;DATI!$E$29,DATI!$E$15*DATI!$E$25*DATI!$E$32*DATI!$E$16,IF(B318&lt;DATI!$E$30,DATI!$E$15*DATI!$E$25*DATI!$E$32*DATI!$E$16*(DATI!$E$29/B318),DATI!$E$15*DATI!$E$25*DATI!$E$32*DATI!$E$16*((DATI!$E$29*DATI!$E$30)/B318^2))))</f>
        <v>6.0634320978131317E-2</v>
      </c>
      <c r="D318" s="9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</row>
    <row r="319" spans="2:24" x14ac:dyDescent="0.25">
      <c r="B319" s="174">
        <f t="shared" si="4"/>
        <v>3.139999999999977</v>
      </c>
      <c r="C319" s="121">
        <f>1/DATI!$E$21*IF(B319&lt;DATI!$E$28,DATI!$E$15*DATI!$E$25*DATI!$E$32*DATI!$E$16*(B319/DATI!$E$28+1/(DATI!$E$32*DATI!$E$16)*(1-B319/DATI!$E$28)),IF(B319&lt;DATI!$E$29,DATI!$E$15*DATI!$E$25*DATI!$E$32*DATI!$E$16,IF(B319&lt;DATI!$E$30,DATI!$E$15*DATI!$E$25*DATI!$E$32*DATI!$E$16*(DATI!$E$29/B319),DATI!$E$15*DATI!$E$25*DATI!$E$32*DATI!$E$16*((DATI!$E$29*DATI!$E$30)/B319^2))))</f>
        <v>6.0248730089522355E-2</v>
      </c>
      <c r="D319" s="9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</row>
    <row r="320" spans="2:24" x14ac:dyDescent="0.25">
      <c r="B320" s="174">
        <f t="shared" si="4"/>
        <v>3.1499999999999768</v>
      </c>
      <c r="C320" s="121">
        <f>1/DATI!$E$21*IF(B320&lt;DATI!$E$28,DATI!$E$15*DATI!$E$25*DATI!$E$32*DATI!$E$16*(B320/DATI!$E$28+1/(DATI!$E$32*DATI!$E$16)*(1-B320/DATI!$E$28)),IF(B320&lt;DATI!$E$29,DATI!$E$15*DATI!$E$25*DATI!$E$32*DATI!$E$16,IF(B320&lt;DATI!$E$30,DATI!$E$15*DATI!$E$25*DATI!$E$32*DATI!$E$16*(DATI!$E$29/B320),DATI!$E$15*DATI!$E$25*DATI!$E$32*DATI!$E$16*((DATI!$E$29*DATI!$E$30)/B320^2))))</f>
        <v>5.9866805662953368E-2</v>
      </c>
      <c r="D320" s="9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</row>
    <row r="321" spans="2:24" x14ac:dyDescent="0.25">
      <c r="B321" s="174">
        <f t="shared" si="4"/>
        <v>3.1599999999999766</v>
      </c>
      <c r="C321" s="121">
        <f>1/DATI!$E$21*IF(B321&lt;DATI!$E$28,DATI!$E$15*DATI!$E$25*DATI!$E$32*DATI!$E$16*(B321/DATI!$E$28+1/(DATI!$E$32*DATI!$E$16)*(1-B321/DATI!$E$28)),IF(B321&lt;DATI!$E$29,DATI!$E$15*DATI!$E$25*DATI!$E$32*DATI!$E$16,IF(B321&lt;DATI!$E$30,DATI!$E$15*DATI!$E$25*DATI!$E$32*DATI!$E$16*(DATI!$E$29/B321),DATI!$E$15*DATI!$E$25*DATI!$E$32*DATI!$E$16*((DATI!$E$29*DATI!$E$30)/B321^2))))</f>
        <v>5.9488501361025355E-2</v>
      </c>
      <c r="D321" s="9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</row>
    <row r="322" spans="2:24" x14ac:dyDescent="0.25">
      <c r="B322" s="174">
        <f t="shared" si="4"/>
        <v>3.1699999999999764</v>
      </c>
      <c r="C322" s="121">
        <f>1/DATI!$E$21*IF(B322&lt;DATI!$E$28,DATI!$E$15*DATI!$E$25*DATI!$E$32*DATI!$E$16*(B322/DATI!$E$28+1/(DATI!$E$32*DATI!$E$16)*(1-B322/DATI!$E$28)),IF(B322&lt;DATI!$E$29,DATI!$E$15*DATI!$E$25*DATI!$E$32*DATI!$E$16,IF(B322&lt;DATI!$E$30,DATI!$E$15*DATI!$E$25*DATI!$E$32*DATI!$E$16*(DATI!$E$29/B322),DATI!$E$15*DATI!$E$25*DATI!$E$32*DATI!$E$16*((DATI!$E$29*DATI!$E$30)/B322^2))))</f>
        <v>5.9113771576058557E-2</v>
      </c>
      <c r="D322" s="9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</row>
    <row r="323" spans="2:24" x14ac:dyDescent="0.25">
      <c r="B323" s="174">
        <f t="shared" si="4"/>
        <v>3.1799999999999762</v>
      </c>
      <c r="C323" s="121">
        <f>1/DATI!$E$21*IF(B323&lt;DATI!$E$28,DATI!$E$15*DATI!$E$25*DATI!$E$32*DATI!$E$16*(B323/DATI!$E$28+1/(DATI!$E$32*DATI!$E$16)*(1-B323/DATI!$E$28)),IF(B323&lt;DATI!$E$29,DATI!$E$15*DATI!$E$25*DATI!$E$32*DATI!$E$16,IF(B323&lt;DATI!$E$30,DATI!$E$15*DATI!$E$25*DATI!$E$32*DATI!$E$16*(DATI!$E$29/B323),DATI!$E$15*DATI!$E$25*DATI!$E$32*DATI!$E$16*((DATI!$E$29*DATI!$E$30)/B323^2))))</f>
        <v>5.8742571416345757E-2</v>
      </c>
      <c r="D323" s="9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</row>
    <row r="324" spans="2:24" x14ac:dyDescent="0.25">
      <c r="B324" s="174">
        <f t="shared" si="4"/>
        <v>3.189999999999976</v>
      </c>
      <c r="C324" s="121">
        <f>1/DATI!$E$21*IF(B324&lt;DATI!$E$28,DATI!$E$15*DATI!$E$25*DATI!$E$32*DATI!$E$16*(B324/DATI!$E$28+1/(DATI!$E$32*DATI!$E$16)*(1-B324/DATI!$E$28)),IF(B324&lt;DATI!$E$29,DATI!$E$15*DATI!$E$25*DATI!$E$32*DATI!$E$16,IF(B324&lt;DATI!$E$30,DATI!$E$15*DATI!$E$25*DATI!$E$32*DATI!$E$16*(DATI!$E$29/B324),DATI!$E$15*DATI!$E$25*DATI!$E$32*DATI!$E$16*((DATI!$E$29*DATI!$E$30)/B324^2))))</f>
        <v>5.8374856692706922E-2</v>
      </c>
      <c r="D324" s="9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</row>
    <row r="325" spans="2:24" x14ac:dyDescent="0.25">
      <c r="B325" s="174">
        <f t="shared" si="4"/>
        <v>3.1999999999999758</v>
      </c>
      <c r="C325" s="121">
        <f>1/DATI!$E$21*IF(B325&lt;DATI!$E$28,DATI!$E$15*DATI!$E$25*DATI!$E$32*DATI!$E$16*(B325/DATI!$E$28+1/(DATI!$E$32*DATI!$E$16)*(1-B325/DATI!$E$28)),IF(B325&lt;DATI!$E$29,DATI!$E$15*DATI!$E$25*DATI!$E$32*DATI!$E$16,IF(B325&lt;DATI!$E$30,DATI!$E$15*DATI!$E$25*DATI!$E$32*DATI!$E$16*(DATI!$E$29/B325),DATI!$E$15*DATI!$E$25*DATI!$E$32*DATI!$E$16*((DATI!$E$29*DATI!$E$30)/B325^2))))</f>
        <v>5.80105839053374E-2</v>
      </c>
      <c r="D325" s="9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</row>
    <row r="326" spans="2:24" x14ac:dyDescent="0.25">
      <c r="B326" s="174">
        <f t="shared" ref="B326:B389" si="5">0.01+B325</f>
        <v>3.2099999999999755</v>
      </c>
      <c r="C326" s="121">
        <f>1/DATI!$E$21*IF(B326&lt;DATI!$E$28,DATI!$E$15*DATI!$E$25*DATI!$E$32*DATI!$E$16*(B326/DATI!$E$28+1/(DATI!$E$32*DATI!$E$16)*(1-B326/DATI!$E$28)),IF(B326&lt;DATI!$E$29,DATI!$E$15*DATI!$E$25*DATI!$E$32*DATI!$E$16,IF(B326&lt;DATI!$E$30,DATI!$E$15*DATI!$E$25*DATI!$E$32*DATI!$E$16*(DATI!$E$29/B326),DATI!$E$15*DATI!$E$25*DATI!$E$32*DATI!$E$16*((DATI!$E$29*DATI!$E$30)/B326^2))))</f>
        <v>5.7649710230942536E-2</v>
      </c>
      <c r="D326" s="9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</row>
    <row r="327" spans="2:24" x14ac:dyDescent="0.25">
      <c r="B327" s="174">
        <f t="shared" si="5"/>
        <v>3.2199999999999753</v>
      </c>
      <c r="C327" s="121">
        <f>1/DATI!$E$21*IF(B327&lt;DATI!$E$28,DATI!$E$15*DATI!$E$25*DATI!$E$32*DATI!$E$16*(B327/DATI!$E$28+1/(DATI!$E$32*DATI!$E$16)*(1-B327/DATI!$E$28)),IF(B327&lt;DATI!$E$29,DATI!$E$15*DATI!$E$25*DATI!$E$32*DATI!$E$16,IF(B327&lt;DATI!$E$30,DATI!$E$15*DATI!$E$25*DATI!$E$32*DATI!$E$16*(DATI!$E$29/B327),DATI!$E$15*DATI!$E$25*DATI!$E$32*DATI!$E$16*((DATI!$E$29*DATI!$E$30)/B327^2))))</f>
        <v>5.729219351015153E-2</v>
      </c>
      <c r="D327" s="9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</row>
    <row r="328" spans="2:24" x14ac:dyDescent="0.25">
      <c r="B328" s="174">
        <f t="shared" si="5"/>
        <v>3.2299999999999751</v>
      </c>
      <c r="C328" s="121">
        <f>1/DATI!$E$21*IF(B328&lt;DATI!$E$28,DATI!$E$15*DATI!$E$25*DATI!$E$32*DATI!$E$16*(B328/DATI!$E$28+1/(DATI!$E$32*DATI!$E$16)*(1-B328/DATI!$E$28)),IF(B328&lt;DATI!$E$29,DATI!$E$15*DATI!$E$25*DATI!$E$32*DATI!$E$16,IF(B328&lt;DATI!$E$30,DATI!$E$15*DATI!$E$25*DATI!$E$32*DATI!$E$16*(DATI!$E$29/B328),DATI!$E$15*DATI!$E$25*DATI!$E$32*DATI!$E$16*((DATI!$E$29*DATI!$E$30)/B328^2))))</f>
        <v>5.6937992235203558E-2</v>
      </c>
      <c r="D328" s="9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</row>
    <row r="329" spans="2:24" x14ac:dyDescent="0.25">
      <c r="B329" s="174">
        <f t="shared" si="5"/>
        <v>3.2399999999999749</v>
      </c>
      <c r="C329" s="121">
        <f>1/DATI!$E$21*IF(B329&lt;DATI!$E$28,DATI!$E$15*DATI!$E$25*DATI!$E$32*DATI!$E$16*(B329/DATI!$E$28+1/(DATI!$E$32*DATI!$E$16)*(1-B329/DATI!$E$28)),IF(B329&lt;DATI!$E$29,DATI!$E$15*DATI!$E$25*DATI!$E$32*DATI!$E$16,IF(B329&lt;DATI!$E$30,DATI!$E$15*DATI!$E$25*DATI!$E$32*DATI!$E$16*(DATI!$E$29/B329),DATI!$E$15*DATI!$E$25*DATI!$E$32*DATI!$E$16*((DATI!$E$29*DATI!$E$30)/B329^2))))</f>
        <v>5.6587065537899633E-2</v>
      </c>
      <c r="D329" s="9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</row>
    <row r="330" spans="2:24" x14ac:dyDescent="0.25">
      <c r="B330" s="174">
        <f t="shared" si="5"/>
        <v>3.2499999999999747</v>
      </c>
      <c r="C330" s="121">
        <f>1/DATI!$E$21*IF(B330&lt;DATI!$E$28,DATI!$E$15*DATI!$E$25*DATI!$E$32*DATI!$E$16*(B330/DATI!$E$28+1/(DATI!$E$32*DATI!$E$16)*(1-B330/DATI!$E$28)),IF(B330&lt;DATI!$E$29,DATI!$E$15*DATI!$E$25*DATI!$E$32*DATI!$E$16,IF(B330&lt;DATI!$E$30,DATI!$E$15*DATI!$E$25*DATI!$E$32*DATI!$E$16*(DATI!$E$29/B330),DATI!$E$15*DATI!$E$25*DATI!$E$32*DATI!$E$16*((DATI!$E$29*DATI!$E$30)/B330^2))))</f>
        <v>5.6239373177813523E-2</v>
      </c>
      <c r="D330" s="9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</row>
    <row r="331" spans="2:24" x14ac:dyDescent="0.25">
      <c r="B331" s="174">
        <f t="shared" si="5"/>
        <v>3.2599999999999745</v>
      </c>
      <c r="C331" s="121">
        <f>1/DATI!$E$21*IF(B331&lt;DATI!$E$28,DATI!$E$15*DATI!$E$25*DATI!$E$32*DATI!$E$16*(B331/DATI!$E$28+1/(DATI!$E$32*DATI!$E$16)*(1-B331/DATI!$E$28)),IF(B331&lt;DATI!$E$29,DATI!$E$15*DATI!$E$25*DATI!$E$32*DATI!$E$16,IF(B331&lt;DATI!$E$30,DATI!$E$15*DATI!$E$25*DATI!$E$32*DATI!$E$16*(DATI!$E$29/B331),DATI!$E$15*DATI!$E$25*DATI!$E$32*DATI!$E$16*((DATI!$E$29*DATI!$E$30)/B331^2))))</f>
        <v>5.5894875530755325E-2</v>
      </c>
      <c r="D331" s="9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</row>
    <row r="332" spans="2:24" x14ac:dyDescent="0.25">
      <c r="B332" s="174">
        <f t="shared" si="5"/>
        <v>3.2699999999999743</v>
      </c>
      <c r="C332" s="121">
        <f>1/DATI!$E$21*IF(B332&lt;DATI!$E$28,DATI!$E$15*DATI!$E$25*DATI!$E$32*DATI!$E$16*(B332/DATI!$E$28+1/(DATI!$E$32*DATI!$E$16)*(1-B332/DATI!$E$28)),IF(B332&lt;DATI!$E$29,DATI!$E$15*DATI!$E$25*DATI!$E$32*DATI!$E$16,IF(B332&lt;DATI!$E$30,DATI!$E$15*DATI!$E$25*DATI!$E$32*DATI!$E$16*(DATI!$E$29/B332),DATI!$E$15*DATI!$E$25*DATI!$E$32*DATI!$E$16*((DATI!$E$29*DATI!$E$30)/B332^2))))</f>
        <v>5.5553533577481821E-2</v>
      </c>
      <c r="D332" s="9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</row>
    <row r="333" spans="2:24" x14ac:dyDescent="0.25">
      <c r="B333" s="174">
        <f t="shared" si="5"/>
        <v>3.279999999999974</v>
      </c>
      <c r="C333" s="121">
        <f>1/DATI!$E$21*IF(B333&lt;DATI!$E$28,DATI!$E$15*DATI!$E$25*DATI!$E$32*DATI!$E$16*(B333/DATI!$E$28+1/(DATI!$E$32*DATI!$E$16)*(1-B333/DATI!$E$28)),IF(B333&lt;DATI!$E$29,DATI!$E$15*DATI!$E$25*DATI!$E$32*DATI!$E$16,IF(B333&lt;DATI!$E$30,DATI!$E$15*DATI!$E$25*DATI!$E$32*DATI!$E$16*(DATI!$E$29/B333),DATI!$E$15*DATI!$E$25*DATI!$E$32*DATI!$E$16*((DATI!$E$29*DATI!$E$30)/B333^2))))</f>
        <v>5.5215308892647183E-2</v>
      </c>
      <c r="D333" s="9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</row>
    <row r="334" spans="2:24" x14ac:dyDescent="0.25">
      <c r="B334" s="174">
        <f t="shared" si="5"/>
        <v>3.2899999999999738</v>
      </c>
      <c r="C334" s="121">
        <f>1/DATI!$E$21*IF(B334&lt;DATI!$E$28,DATI!$E$15*DATI!$E$25*DATI!$E$32*DATI!$E$16*(B334/DATI!$E$28+1/(DATI!$E$32*DATI!$E$16)*(1-B334/DATI!$E$28)),IF(B334&lt;DATI!$E$29,DATI!$E$15*DATI!$E$25*DATI!$E$32*DATI!$E$16,IF(B334&lt;DATI!$E$30,DATI!$E$15*DATI!$E$25*DATI!$E$32*DATI!$E$16*(DATI!$E$29/B334),DATI!$E$15*DATI!$E$25*DATI!$E$32*DATI!$E$16*((DATI!$E$29*DATI!$E$30)/B334^2))))</f>
        <v>5.4880163633988552E-2</v>
      </c>
      <c r="D334" s="9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</row>
    <row r="335" spans="2:24" x14ac:dyDescent="0.25">
      <c r="B335" s="174">
        <f t="shared" si="5"/>
        <v>3.2999999999999736</v>
      </c>
      <c r="C335" s="121">
        <f>1/DATI!$E$21*IF(B335&lt;DATI!$E$28,DATI!$E$15*DATI!$E$25*DATI!$E$32*DATI!$E$16*(B335/DATI!$E$28+1/(DATI!$E$32*DATI!$E$16)*(1-B335/DATI!$E$28)),IF(B335&lt;DATI!$E$29,DATI!$E$15*DATI!$E$25*DATI!$E$32*DATI!$E$16,IF(B335&lt;DATI!$E$30,DATI!$E$15*DATI!$E$25*DATI!$E$32*DATI!$E$16*(DATI!$E$29/B335),DATI!$E$15*DATI!$E$25*DATI!$E$32*DATI!$E$16*((DATI!$E$29*DATI!$E$30)/B335^2))))</f>
        <v>5.4548060531740633E-2</v>
      </c>
      <c r="D335" s="9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</row>
    <row r="336" spans="2:24" x14ac:dyDescent="0.25">
      <c r="B336" s="174">
        <f t="shared" si="5"/>
        <v>3.3099999999999734</v>
      </c>
      <c r="C336" s="121">
        <f>1/DATI!$E$21*IF(B336&lt;DATI!$E$28,DATI!$E$15*DATI!$E$25*DATI!$E$32*DATI!$E$16*(B336/DATI!$E$28+1/(DATI!$E$32*DATI!$E$16)*(1-B336/DATI!$E$28)),IF(B336&lt;DATI!$E$29,DATI!$E$15*DATI!$E$25*DATI!$E$32*DATI!$E$16,IF(B336&lt;DATI!$E$30,DATI!$E$15*DATI!$E$25*DATI!$E$32*DATI!$E$16*(DATI!$E$29/B336),DATI!$E$15*DATI!$E$25*DATI!$E$32*DATI!$E$16*((DATI!$E$29*DATI!$E$30)/B336^2))))</f>
        <v>5.4218962878273803E-2</v>
      </c>
      <c r="D336" s="91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</row>
    <row r="337" spans="2:24" x14ac:dyDescent="0.25">
      <c r="B337" s="174">
        <f t="shared" si="5"/>
        <v>3.3199999999999732</v>
      </c>
      <c r="C337" s="121">
        <f>1/DATI!$E$21*IF(B337&lt;DATI!$E$28,DATI!$E$15*DATI!$E$25*DATI!$E$32*DATI!$E$16*(B337/DATI!$E$28+1/(DATI!$E$32*DATI!$E$16)*(1-B337/DATI!$E$28)),IF(B337&lt;DATI!$E$29,DATI!$E$15*DATI!$E$25*DATI!$E$32*DATI!$E$16,IF(B337&lt;DATI!$E$30,DATI!$E$15*DATI!$E$25*DATI!$E$32*DATI!$E$16*(DATI!$E$29/B337),DATI!$E$15*DATI!$E$25*DATI!$E$32*DATI!$E$16*((DATI!$E$29*DATI!$E$30)/B337^2))))</f>
        <v>5.3892834517950315E-2</v>
      </c>
      <c r="D337" s="9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</row>
    <row r="338" spans="2:24" x14ac:dyDescent="0.25">
      <c r="B338" s="174">
        <f t="shared" si="5"/>
        <v>3.329999999999973</v>
      </c>
      <c r="C338" s="121">
        <f>1/DATI!$E$21*IF(B338&lt;DATI!$E$28,DATI!$E$15*DATI!$E$25*DATI!$E$32*DATI!$E$16*(B338/DATI!$E$28+1/(DATI!$E$32*DATI!$E$16)*(1-B338/DATI!$E$28)),IF(B338&lt;DATI!$E$29,DATI!$E$15*DATI!$E$25*DATI!$E$32*DATI!$E$16,IF(B338&lt;DATI!$E$30,DATI!$E$15*DATI!$E$25*DATI!$E$32*DATI!$E$16*(DATI!$E$29/B338),DATI!$E$15*DATI!$E$25*DATI!$E$32*DATI!$E$16*((DATI!$E$29*DATI!$E$30)/B338^2))))</f>
        <v>5.3569639837193553E-2</v>
      </c>
      <c r="D338" s="91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</row>
    <row r="339" spans="2:24" x14ac:dyDescent="0.25">
      <c r="B339" s="174">
        <f t="shared" si="5"/>
        <v>3.3399999999999728</v>
      </c>
      <c r="C339" s="121">
        <f>1/DATI!$E$21*IF(B339&lt;DATI!$E$28,DATI!$E$15*DATI!$E$25*DATI!$E$32*DATI!$E$16*(B339/DATI!$E$28+1/(DATI!$E$32*DATI!$E$16)*(1-B339/DATI!$E$28)),IF(B339&lt;DATI!$E$29,DATI!$E$15*DATI!$E$25*DATI!$E$32*DATI!$E$16,IF(B339&lt;DATI!$E$30,DATI!$E$15*DATI!$E$25*DATI!$E$32*DATI!$E$16*(DATI!$E$29/B339),DATI!$E$15*DATI!$E$25*DATI!$E$32*DATI!$E$16*((DATI!$E$29*DATI!$E$30)/B339^2))))</f>
        <v>5.3249343754764929E-2</v>
      </c>
      <c r="D339" s="9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</row>
    <row r="340" spans="2:24" x14ac:dyDescent="0.25">
      <c r="B340" s="174">
        <f t="shared" si="5"/>
        <v>3.3499999999999726</v>
      </c>
      <c r="C340" s="121">
        <f>1/DATI!$E$21*IF(B340&lt;DATI!$E$28,DATI!$E$15*DATI!$E$25*DATI!$E$32*DATI!$E$16*(B340/DATI!$E$28+1/(DATI!$E$32*DATI!$E$16)*(1-B340/DATI!$E$28)),IF(B340&lt;DATI!$E$29,DATI!$E$15*DATI!$E$25*DATI!$E$32*DATI!$E$16,IF(B340&lt;DATI!$E$30,DATI!$E$15*DATI!$E$25*DATI!$E$32*DATI!$E$16*(DATI!$E$29/B340),DATI!$E$15*DATI!$E$25*DATI!$E$32*DATI!$E$16*((DATI!$E$29*DATI!$E$30)/B340^2))))</f>
        <v>5.2931911712243769E-2</v>
      </c>
      <c r="D340" s="9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</row>
    <row r="341" spans="2:24" x14ac:dyDescent="0.25">
      <c r="B341" s="174">
        <f t="shared" si="5"/>
        <v>3.3599999999999723</v>
      </c>
      <c r="C341" s="121">
        <f>1/DATI!$E$21*IF(B341&lt;DATI!$E$28,DATI!$E$15*DATI!$E$25*DATI!$E$32*DATI!$E$16*(B341/DATI!$E$28+1/(DATI!$E$32*DATI!$E$16)*(1-B341/DATI!$E$28)),IF(B341&lt;DATI!$E$29,DATI!$E$15*DATI!$E$25*DATI!$E$32*DATI!$E$16,IF(B341&lt;DATI!$E$30,DATI!$E$15*DATI!$E$25*DATI!$E$32*DATI!$E$16*(DATI!$E$29/B341),DATI!$E$15*DATI!$E$25*DATI!$E$32*DATI!$E$16*((DATI!$E$29*DATI!$E$30)/B341^2))))</f>
        <v>5.2617309664705202E-2</v>
      </c>
      <c r="D341" s="9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</row>
    <row r="342" spans="2:24" x14ac:dyDescent="0.25">
      <c r="B342" s="174">
        <f t="shared" si="5"/>
        <v>3.3699999999999721</v>
      </c>
      <c r="C342" s="121">
        <f>1/DATI!$E$21*IF(B342&lt;DATI!$E$28,DATI!$E$15*DATI!$E$25*DATI!$E$32*DATI!$E$16*(B342/DATI!$E$28+1/(DATI!$E$32*DATI!$E$16)*(1-B342/DATI!$E$28)),IF(B342&lt;DATI!$E$29,DATI!$E$15*DATI!$E$25*DATI!$E$32*DATI!$E$16,IF(B342&lt;DATI!$E$30,DATI!$E$15*DATI!$E$25*DATI!$E$32*DATI!$E$16*(DATI!$E$29/B342),DATI!$E$15*DATI!$E$25*DATI!$E$32*DATI!$E$16*((DATI!$E$29*DATI!$E$30)/B342^2))))</f>
        <v>5.230550407159134E-2</v>
      </c>
      <c r="D342" s="9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</row>
    <row r="343" spans="2:24" x14ac:dyDescent="0.25">
      <c r="B343" s="174">
        <f t="shared" si="5"/>
        <v>3.3799999999999719</v>
      </c>
      <c r="C343" s="121">
        <f>1/DATI!$E$21*IF(B343&lt;DATI!$E$28,DATI!$E$15*DATI!$E$25*DATI!$E$32*DATI!$E$16*(B343/DATI!$E$28+1/(DATI!$E$32*DATI!$E$16)*(1-B343/DATI!$E$28)),IF(B343&lt;DATI!$E$29,DATI!$E$15*DATI!$E$25*DATI!$E$32*DATI!$E$16,IF(B343&lt;DATI!$E$30,DATI!$E$15*DATI!$E$25*DATI!$E$32*DATI!$E$16*(DATI!$E$29/B343),DATI!$E$15*DATI!$E$25*DATI!$E$32*DATI!$E$16*((DATI!$E$29*DATI!$E$30)/B343^2))))</f>
        <v>5.1996461887771427E-2</v>
      </c>
      <c r="D343" s="9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</row>
    <row r="344" spans="2:24" x14ac:dyDescent="0.25">
      <c r="B344" s="174">
        <f t="shared" si="5"/>
        <v>3.3899999999999717</v>
      </c>
      <c r="C344" s="121">
        <f>1/DATI!$E$21*IF(B344&lt;DATI!$E$28,DATI!$E$15*DATI!$E$25*DATI!$E$32*DATI!$E$16*(B344/DATI!$E$28+1/(DATI!$E$32*DATI!$E$16)*(1-B344/DATI!$E$28)),IF(B344&lt;DATI!$E$29,DATI!$E$15*DATI!$E$25*DATI!$E$32*DATI!$E$16,IF(B344&lt;DATI!$E$30,DATI!$E$15*DATI!$E$25*DATI!$E$32*DATI!$E$16*(DATI!$E$29/B344),DATI!$E$15*DATI!$E$25*DATI!$E$32*DATI!$E$16*((DATI!$E$29*DATI!$E$30)/B344^2))))</f>
        <v>5.1690150554785971E-2</v>
      </c>
      <c r="D344" s="9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</row>
    <row r="345" spans="2:24" x14ac:dyDescent="0.25">
      <c r="B345" s="174">
        <f t="shared" si="5"/>
        <v>3.3999999999999715</v>
      </c>
      <c r="C345" s="121">
        <f>1/DATI!$E$21*IF(B345&lt;DATI!$E$28,DATI!$E$15*DATI!$E$25*DATI!$E$32*DATI!$E$16*(B345/DATI!$E$28+1/(DATI!$E$32*DATI!$E$16)*(1-B345/DATI!$E$28)),IF(B345&lt;DATI!$E$29,DATI!$E$15*DATI!$E$25*DATI!$E$32*DATI!$E$16,IF(B345&lt;DATI!$E$30,DATI!$E$15*DATI!$E$25*DATI!$E$32*DATI!$E$16*(DATI!$E$29/B345),DATI!$E$15*DATI!$E$25*DATI!$E$32*DATI!$E$16*((DATI!$E$29*DATI!$E$30)/B345^2))))</f>
        <v>5.1386537992271282E-2</v>
      </c>
      <c r="D345" s="9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</row>
    <row r="346" spans="2:24" x14ac:dyDescent="0.25">
      <c r="B346" s="174">
        <f t="shared" si="5"/>
        <v>3.4099999999999713</v>
      </c>
      <c r="C346" s="121">
        <f>1/DATI!$E$21*IF(B346&lt;DATI!$E$28,DATI!$E$15*DATI!$E$25*DATI!$E$32*DATI!$E$16*(B346/DATI!$E$28+1/(DATI!$E$32*DATI!$E$16)*(1-B346/DATI!$E$28)),IF(B346&lt;DATI!$E$29,DATI!$E$15*DATI!$E$25*DATI!$E$32*DATI!$E$16,IF(B346&lt;DATI!$E$30,DATI!$E$15*DATI!$E$25*DATI!$E$32*DATI!$E$16*(DATI!$E$29/B346),DATI!$E$15*DATI!$E$25*DATI!$E$32*DATI!$E$16*((DATI!$E$29*DATI!$E$30)/B346^2))))</f>
        <v>5.1085592589559435E-2</v>
      </c>
      <c r="D346" s="9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</row>
    <row r="347" spans="2:24" x14ac:dyDescent="0.25">
      <c r="B347" s="174">
        <f t="shared" si="5"/>
        <v>3.4199999999999711</v>
      </c>
      <c r="C347" s="121">
        <f>1/DATI!$E$21*IF(B347&lt;DATI!$E$28,DATI!$E$15*DATI!$E$25*DATI!$E$32*DATI!$E$16*(B347/DATI!$E$28+1/(DATI!$E$32*DATI!$E$16)*(1-B347/DATI!$E$28)),IF(B347&lt;DATI!$E$29,DATI!$E$15*DATI!$E$25*DATI!$E$32*DATI!$E$16,IF(B347&lt;DATI!$E$30,DATI!$E$15*DATI!$E$25*DATI!$E$32*DATI!$E$16*(DATI!$E$29/B347),DATI!$E$15*DATI!$E$25*DATI!$E$32*DATI!$E$16*((DATI!$E$29*DATI!$E$30)/B347^2))))</f>
        <v>5.0787283197450163E-2</v>
      </c>
      <c r="D347" s="9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</row>
    <row r="348" spans="2:24" x14ac:dyDescent="0.25">
      <c r="B348" s="174">
        <f t="shared" si="5"/>
        <v>3.4299999999999708</v>
      </c>
      <c r="C348" s="121">
        <f>1/DATI!$E$21*IF(B348&lt;DATI!$E$28,DATI!$E$15*DATI!$E$25*DATI!$E$32*DATI!$E$16*(B348/DATI!$E$28+1/(DATI!$E$32*DATI!$E$16)*(1-B348/DATI!$E$28)),IF(B348&lt;DATI!$E$29,DATI!$E$15*DATI!$E$25*DATI!$E$32*DATI!$E$16,IF(B348&lt;DATI!$E$30,DATI!$E$15*DATI!$E$25*DATI!$E$32*DATI!$E$16*(DATI!$E$29/B348),DATI!$E$15*DATI!$E$25*DATI!$E$32*DATI!$E$16*((DATI!$E$29*DATI!$E$30)/B348^2))))</f>
        <v>5.049157912015028E-2</v>
      </c>
      <c r="D348" s="91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</row>
    <row r="349" spans="2:24" x14ac:dyDescent="0.25">
      <c r="B349" s="174">
        <f t="shared" si="5"/>
        <v>3.4399999999999706</v>
      </c>
      <c r="C349" s="121">
        <f>1/DATI!$E$21*IF(B349&lt;DATI!$E$28,DATI!$E$15*DATI!$E$25*DATI!$E$32*DATI!$E$16*(B349/DATI!$E$28+1/(DATI!$E$32*DATI!$E$16)*(1-B349/DATI!$E$28)),IF(B349&lt;DATI!$E$29,DATI!$E$15*DATI!$E$25*DATI!$E$32*DATI!$E$16,IF(B349&lt;DATI!$E$30,DATI!$E$15*DATI!$E$25*DATI!$E$32*DATI!$E$16*(DATI!$E$29/B349),DATI!$E$15*DATI!$E$25*DATI!$E$32*DATI!$E$16*((DATI!$E$29*DATI!$E$30)/B349^2))))</f>
        <v>5.0198450107376974E-2</v>
      </c>
      <c r="D349" s="9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</row>
    <row r="350" spans="2:24" x14ac:dyDescent="0.25">
      <c r="B350" s="174">
        <f t="shared" si="5"/>
        <v>3.4499999999999704</v>
      </c>
      <c r="C350" s="121">
        <f>1/DATI!$E$21*IF(B350&lt;DATI!$E$28,DATI!$E$15*DATI!$E$25*DATI!$E$32*DATI!$E$16*(B350/DATI!$E$28+1/(DATI!$E$32*DATI!$E$16)*(1-B350/DATI!$E$28)),IF(B350&lt;DATI!$E$29,DATI!$E$15*DATI!$E$25*DATI!$E$32*DATI!$E$16,IF(B350&lt;DATI!$E$30,DATI!$E$15*DATI!$E$25*DATI!$E$32*DATI!$E$16*(DATI!$E$29/B350),DATI!$E$15*DATI!$E$25*DATI!$E$32*DATI!$E$16*((DATI!$E$29*DATI!$E$30)/B350^2))))</f>
        <v>4.9907866346620977E-2</v>
      </c>
      <c r="D350" s="9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</row>
    <row r="351" spans="2:24" x14ac:dyDescent="0.25">
      <c r="B351" s="174">
        <f t="shared" si="5"/>
        <v>3.4599999999999702</v>
      </c>
      <c r="C351" s="121">
        <f>1/DATI!$E$21*IF(B351&lt;DATI!$E$28,DATI!$E$15*DATI!$E$25*DATI!$E$32*DATI!$E$16*(B351/DATI!$E$28+1/(DATI!$E$32*DATI!$E$16)*(1-B351/DATI!$E$28)),IF(B351&lt;DATI!$E$29,DATI!$E$15*DATI!$E$25*DATI!$E$32*DATI!$E$16,IF(B351&lt;DATI!$E$30,DATI!$E$15*DATI!$E$25*DATI!$E$32*DATI!$E$16*(DATI!$E$29/B351),DATI!$E$15*DATI!$E$25*DATI!$E$32*DATI!$E$16*((DATI!$E$29*DATI!$E$30)/B351^2))))</f>
        <v>4.9619798455566189E-2</v>
      </c>
      <c r="D351" s="9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</row>
    <row r="352" spans="2:24" x14ac:dyDescent="0.25">
      <c r="B352" s="174">
        <f t="shared" si="5"/>
        <v>3.46999999999997</v>
      </c>
      <c r="C352" s="121">
        <f>1/DATI!$E$21*IF(B352&lt;DATI!$E$28,DATI!$E$15*DATI!$E$25*DATI!$E$32*DATI!$E$16*(B352/DATI!$E$28+1/(DATI!$E$32*DATI!$E$16)*(1-B352/DATI!$E$28)),IF(B352&lt;DATI!$E$29,DATI!$E$15*DATI!$E$25*DATI!$E$32*DATI!$E$16,IF(B352&lt;DATI!$E$30,DATI!$E$15*DATI!$E$25*DATI!$E$32*DATI!$E$16*(DATI!$E$29/B352),DATI!$E$15*DATI!$E$25*DATI!$E$32*DATI!$E$16*((DATI!$E$29*DATI!$E$30)/B352^2))))</f>
        <v>4.9334217474661886E-2</v>
      </c>
      <c r="D352" s="9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</row>
    <row r="353" spans="2:24" x14ac:dyDescent="0.25">
      <c r="B353" s="174">
        <f t="shared" si="5"/>
        <v>3.4799999999999698</v>
      </c>
      <c r="C353" s="121">
        <f>1/DATI!$E$21*IF(B353&lt;DATI!$E$28,DATI!$E$15*DATI!$E$25*DATI!$E$32*DATI!$E$16*(B353/DATI!$E$28+1/(DATI!$E$32*DATI!$E$16)*(1-B353/DATI!$E$28)),IF(B353&lt;DATI!$E$29,DATI!$E$15*DATI!$E$25*DATI!$E$32*DATI!$E$16,IF(B353&lt;DATI!$E$30,DATI!$E$15*DATI!$E$25*DATI!$E$32*DATI!$E$16*(DATI!$E$29/B353),DATI!$E$15*DATI!$E$25*DATI!$E$32*DATI!$E$16*((DATI!$E$29*DATI!$E$30)/B353^2))))</f>
        <v>4.905109485984413E-2</v>
      </c>
      <c r="D353" s="9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</row>
    <row r="354" spans="2:24" x14ac:dyDescent="0.25">
      <c r="B354" s="174">
        <f t="shared" si="5"/>
        <v>3.4899999999999696</v>
      </c>
      <c r="C354" s="121">
        <f>1/DATI!$E$21*IF(B354&lt;DATI!$E$28,DATI!$E$15*DATI!$E$25*DATI!$E$32*DATI!$E$16*(B354/DATI!$E$28+1/(DATI!$E$32*DATI!$E$16)*(1-B354/DATI!$E$28)),IF(B354&lt;DATI!$E$29,DATI!$E$15*DATI!$E$25*DATI!$E$32*DATI!$E$16,IF(B354&lt;DATI!$E$30,DATI!$E$15*DATI!$E$25*DATI!$E$32*DATI!$E$16*(DATI!$E$29/B354),DATI!$E$15*DATI!$E$25*DATI!$E$32*DATI!$E$16*((DATI!$E$29*DATI!$E$30)/B354^2))))</f>
        <v>4.877040247540302E-2</v>
      </c>
      <c r="D354" s="9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</row>
    <row r="355" spans="2:24" x14ac:dyDescent="0.25">
      <c r="B355" s="174">
        <f t="shared" si="5"/>
        <v>3.4999999999999694</v>
      </c>
      <c r="C355" s="121">
        <f>1/DATI!$E$21*IF(B355&lt;DATI!$E$28,DATI!$E$15*DATI!$E$25*DATI!$E$32*DATI!$E$16*(B355/DATI!$E$28+1/(DATI!$E$32*DATI!$E$16)*(1-B355/DATI!$E$28)),IF(B355&lt;DATI!$E$29,DATI!$E$15*DATI!$E$25*DATI!$E$32*DATI!$E$16,IF(B355&lt;DATI!$E$30,DATI!$E$15*DATI!$E$25*DATI!$E$32*DATI!$E$16*(DATI!$E$29/B355),DATI!$E$15*DATI!$E$25*DATI!$E$32*DATI!$E$16*((DATI!$E$29*DATI!$E$30)/B355^2))))</f>
        <v>4.8492112586992361E-2</v>
      </c>
      <c r="D355" s="9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</row>
    <row r="356" spans="2:24" x14ac:dyDescent="0.25">
      <c r="B356" s="174">
        <f t="shared" si="5"/>
        <v>3.5099999999999691</v>
      </c>
      <c r="C356" s="121">
        <f>1/DATI!$E$21*IF(B356&lt;DATI!$E$28,DATI!$E$15*DATI!$E$25*DATI!$E$32*DATI!$E$16*(B356/DATI!$E$28+1/(DATI!$E$32*DATI!$E$16)*(1-B356/DATI!$E$28)),IF(B356&lt;DATI!$E$29,DATI!$E$15*DATI!$E$25*DATI!$E$32*DATI!$E$16,IF(B356&lt;DATI!$E$30,DATI!$E$15*DATI!$E$25*DATI!$E$32*DATI!$E$16*(DATI!$E$29/B356),DATI!$E$15*DATI!$E$25*DATI!$E$32*DATI!$E$16*((DATI!$E$29*DATI!$E$30)/B356^2))))</f>
        <v>4.8216197854778486E-2</v>
      </c>
      <c r="D356" s="9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</row>
    <row r="357" spans="2:24" x14ac:dyDescent="0.25">
      <c r="B357" s="174">
        <f t="shared" si="5"/>
        <v>3.5199999999999689</v>
      </c>
      <c r="C357" s="121">
        <f>1/DATI!$E$21*IF(B357&lt;DATI!$E$28,DATI!$E$15*DATI!$E$25*DATI!$E$32*DATI!$E$16*(B357/DATI!$E$28+1/(DATI!$E$32*DATI!$E$16)*(1-B357/DATI!$E$28)),IF(B357&lt;DATI!$E$29,DATI!$E$15*DATI!$E$25*DATI!$E$32*DATI!$E$16,IF(B357&lt;DATI!$E$30,DATI!$E$15*DATI!$E$25*DATI!$E$32*DATI!$E$16*(DATI!$E$29/B357),DATI!$E$15*DATI!$E$25*DATI!$E$32*DATI!$E$16*((DATI!$E$29*DATI!$E$30)/B357^2))))</f>
        <v>4.794263132672525E-2</v>
      </c>
      <c r="D357" s="9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</row>
    <row r="358" spans="2:24" x14ac:dyDescent="0.25">
      <c r="B358" s="174">
        <f t="shared" si="5"/>
        <v>3.5299999999999687</v>
      </c>
      <c r="C358" s="121">
        <f>1/DATI!$E$21*IF(B358&lt;DATI!$E$28,DATI!$E$15*DATI!$E$25*DATI!$E$32*DATI!$E$16*(B358/DATI!$E$28+1/(DATI!$E$32*DATI!$E$16)*(1-B358/DATI!$E$28)),IF(B358&lt;DATI!$E$29,DATI!$E$15*DATI!$E$25*DATI!$E$32*DATI!$E$16,IF(B358&lt;DATI!$E$30,DATI!$E$15*DATI!$E$25*DATI!$E$32*DATI!$E$16*(DATI!$E$29/B358),DATI!$E$15*DATI!$E$25*DATI!$E$32*DATI!$E$16*((DATI!$E$29*DATI!$E$30)/B358^2))))</f>
        <v>4.767138643201186E-2</v>
      </c>
      <c r="D358" s="9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</row>
    <row r="359" spans="2:24" x14ac:dyDescent="0.25">
      <c r="B359" s="174">
        <f t="shared" si="5"/>
        <v>3.5399999999999685</v>
      </c>
      <c r="C359" s="121">
        <f>1/DATI!$E$21*IF(B359&lt;DATI!$E$28,DATI!$E$15*DATI!$E$25*DATI!$E$32*DATI!$E$16*(B359/DATI!$E$28+1/(DATI!$E$32*DATI!$E$16)*(1-B359/DATI!$E$28)),IF(B359&lt;DATI!$E$29,DATI!$E$15*DATI!$E$25*DATI!$E$32*DATI!$E$16,IF(B359&lt;DATI!$E$30,DATI!$E$15*DATI!$E$25*DATI!$E$32*DATI!$E$16*(DATI!$E$29/B359),DATI!$E$15*DATI!$E$25*DATI!$E$32*DATI!$E$16*((DATI!$E$29*DATI!$E$30)/B359^2))))</f>
        <v>4.7402436974580783E-2</v>
      </c>
      <c r="D359" s="9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</row>
    <row r="360" spans="2:24" x14ac:dyDescent="0.25">
      <c r="B360" s="174">
        <f t="shared" si="5"/>
        <v>3.5499999999999683</v>
      </c>
      <c r="C360" s="121">
        <f>1/DATI!$E$21*IF(B360&lt;DATI!$E$28,DATI!$E$15*DATI!$E$25*DATI!$E$32*DATI!$E$16*(B360/DATI!$E$28+1/(DATI!$E$32*DATI!$E$16)*(1-B360/DATI!$E$28)),IF(B360&lt;DATI!$E$29,DATI!$E$15*DATI!$E$25*DATI!$E$32*DATI!$E$16,IF(B360&lt;DATI!$E$30,DATI!$E$15*DATI!$E$25*DATI!$E$32*DATI!$E$16*(DATI!$E$29/B360),DATI!$E$15*DATI!$E$25*DATI!$E$32*DATI!$E$16*((DATI!$E$29*DATI!$E$30)/B360^2))))</f>
        <v>4.7135757126812665E-2</v>
      </c>
      <c r="D360" s="9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</row>
    <row r="361" spans="2:24" x14ac:dyDescent="0.25">
      <c r="B361" s="174">
        <f t="shared" si="5"/>
        <v>3.5599999999999681</v>
      </c>
      <c r="C361" s="121">
        <f>1/DATI!$E$21*IF(B361&lt;DATI!$E$28,DATI!$E$15*DATI!$E$25*DATI!$E$32*DATI!$E$16*(B361/DATI!$E$28+1/(DATI!$E$32*DATI!$E$16)*(1-B361/DATI!$E$28)),IF(B361&lt;DATI!$E$29,DATI!$E$15*DATI!$E$25*DATI!$E$32*DATI!$E$16,IF(B361&lt;DATI!$E$30,DATI!$E$15*DATI!$E$25*DATI!$E$32*DATI!$E$16*(DATI!$E$29/B361),DATI!$E$15*DATI!$E$25*DATI!$E$32*DATI!$E$16*((DATI!$E$29*DATI!$E$30)/B361^2))))</f>
        <v>4.6871321423325389E-2</v>
      </c>
      <c r="D361" s="9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</row>
    <row r="362" spans="2:24" x14ac:dyDescent="0.25">
      <c r="B362" s="174">
        <f t="shared" si="5"/>
        <v>3.5699999999999679</v>
      </c>
      <c r="C362" s="121">
        <f>1/DATI!$E$21*IF(B362&lt;DATI!$E$28,DATI!$E$15*DATI!$E$25*DATI!$E$32*DATI!$E$16*(B362/DATI!$E$28+1/(DATI!$E$32*DATI!$E$16)*(1-B362/DATI!$E$28)),IF(B362&lt;DATI!$E$29,DATI!$E$15*DATI!$E$25*DATI!$E$32*DATI!$E$16,IF(B362&lt;DATI!$E$30,DATI!$E$15*DATI!$E$25*DATI!$E$32*DATI!$E$16*(DATI!$E$29/B362),DATI!$E$15*DATI!$E$25*DATI!$E$32*DATI!$E$16*((DATI!$E$29*DATI!$E$30)/B362^2))))</f>
        <v>4.6609104754894638E-2</v>
      </c>
      <c r="D362" s="9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</row>
    <row r="363" spans="2:24" x14ac:dyDescent="0.25">
      <c r="B363" s="174">
        <f t="shared" si="5"/>
        <v>3.5799999999999677</v>
      </c>
      <c r="C363" s="121">
        <f>1/DATI!$E$21*IF(B363&lt;DATI!$E$28,DATI!$E$15*DATI!$E$25*DATI!$E$32*DATI!$E$16*(B363/DATI!$E$28+1/(DATI!$E$32*DATI!$E$16)*(1-B363/DATI!$E$28)),IF(B363&lt;DATI!$E$29,DATI!$E$15*DATI!$E$25*DATI!$E$32*DATI!$E$16,IF(B363&lt;DATI!$E$30,DATI!$E$15*DATI!$E$25*DATI!$E$32*DATI!$E$16*(DATI!$E$29/B363),DATI!$E$15*DATI!$E$25*DATI!$E$32*DATI!$E$16*((DATI!$E$29*DATI!$E$30)/B363^2))))</f>
        <v>4.6349082362493112E-2</v>
      </c>
      <c r="D363" s="9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</row>
    <row r="364" spans="2:24" x14ac:dyDescent="0.25">
      <c r="B364" s="174">
        <f t="shared" si="5"/>
        <v>3.5899999999999674</v>
      </c>
      <c r="C364" s="121">
        <f>1/DATI!$E$21*IF(B364&lt;DATI!$E$28,DATI!$E$15*DATI!$E$25*DATI!$E$32*DATI!$E$16*(B364/DATI!$E$28+1/(DATI!$E$32*DATI!$E$16)*(1-B364/DATI!$E$28)),IF(B364&lt;DATI!$E$29,DATI!$E$15*DATI!$E$25*DATI!$E$32*DATI!$E$16,IF(B364&lt;DATI!$E$30,DATI!$E$15*DATI!$E$25*DATI!$E$32*DATI!$E$16*(DATI!$E$29/B364),DATI!$E$15*DATI!$E$25*DATI!$E$32*DATI!$E$16*((DATI!$E$29*DATI!$E$30)/B364^2))))</f>
        <v>4.6091229831445812E-2</v>
      </c>
      <c r="D364" s="9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</row>
    <row r="365" spans="2:24" x14ac:dyDescent="0.25">
      <c r="B365" s="174">
        <f t="shared" si="5"/>
        <v>3.5999999999999672</v>
      </c>
      <c r="C365" s="121">
        <f>1/DATI!$E$21*IF(B365&lt;DATI!$E$28,DATI!$E$15*DATI!$E$25*DATI!$E$32*DATI!$E$16*(B365/DATI!$E$28+1/(DATI!$E$32*DATI!$E$16)*(1-B365/DATI!$E$28)),IF(B365&lt;DATI!$E$29,DATI!$E$15*DATI!$E$25*DATI!$E$32*DATI!$E$16,IF(B365&lt;DATI!$E$30,DATI!$E$15*DATI!$E$25*DATI!$E$32*DATI!$E$16*(DATI!$E$29/B365),DATI!$E$15*DATI!$E$25*DATI!$E$32*DATI!$E$16*((DATI!$E$29*DATI!$E$30)/B365^2))))</f>
        <v>4.5835523085698826E-2</v>
      </c>
      <c r="D365" s="9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</row>
    <row r="366" spans="2:24" x14ac:dyDescent="0.25">
      <c r="B366" s="174">
        <f t="shared" si="5"/>
        <v>3.609999999999967</v>
      </c>
      <c r="C366" s="121">
        <f>1/DATI!$E$21*IF(B366&lt;DATI!$E$28,DATI!$E$15*DATI!$E$25*DATI!$E$32*DATI!$E$16*(B366/DATI!$E$28+1/(DATI!$E$32*DATI!$E$16)*(1-B366/DATI!$E$28)),IF(B366&lt;DATI!$E$29,DATI!$E$15*DATI!$E$25*DATI!$E$32*DATI!$E$16,IF(B366&lt;DATI!$E$30,DATI!$E$15*DATI!$E$25*DATI!$E$32*DATI!$E$16*(DATI!$E$29/B366),DATI!$E$15*DATI!$E$25*DATI!$E$32*DATI!$E$16*((DATI!$E$29*DATI!$E$30)/B366^2))))</f>
        <v>4.5581938382199101E-2</v>
      </c>
      <c r="D366" s="9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</row>
    <row r="367" spans="2:24" x14ac:dyDescent="0.25">
      <c r="B367" s="174">
        <f t="shared" si="5"/>
        <v>3.6199999999999668</v>
      </c>
      <c r="C367" s="121">
        <f>1/DATI!$E$21*IF(B367&lt;DATI!$E$28,DATI!$E$15*DATI!$E$25*DATI!$E$32*DATI!$E$16*(B367/DATI!$E$28+1/(DATI!$E$32*DATI!$E$16)*(1-B367/DATI!$E$28)),IF(B367&lt;DATI!$E$29,DATI!$E$15*DATI!$E$25*DATI!$E$32*DATI!$E$16,IF(B367&lt;DATI!$E$30,DATI!$E$15*DATI!$E$25*DATI!$E$32*DATI!$E$16*(DATI!$E$29/B367),DATI!$E$15*DATI!$E$25*DATI!$E$32*DATI!$E$16*((DATI!$E$29*DATI!$E$30)/B367^2))))</f>
        <v>4.5330452305382685E-2</v>
      </c>
      <c r="D367" s="9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</row>
    <row r="368" spans="2:24" x14ac:dyDescent="0.25">
      <c r="B368" s="174">
        <f t="shared" si="5"/>
        <v>3.6299999999999666</v>
      </c>
      <c r="C368" s="121">
        <f>1/DATI!$E$21*IF(B368&lt;DATI!$E$28,DATI!$E$15*DATI!$E$25*DATI!$E$32*DATI!$E$16*(B368/DATI!$E$28+1/(DATI!$E$32*DATI!$E$16)*(1-B368/DATI!$E$28)),IF(B368&lt;DATI!$E$29,DATI!$E$15*DATI!$E$25*DATI!$E$32*DATI!$E$16,IF(B368&lt;DATI!$E$30,DATI!$E$15*DATI!$E$25*DATI!$E$32*DATI!$E$16*(DATI!$E$29/B368),DATI!$E$15*DATI!$E$25*DATI!$E$32*DATI!$E$16*((DATI!$E$29*DATI!$E$30)/B368^2))))</f>
        <v>4.5081041761769219E-2</v>
      </c>
      <c r="D368" s="9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</row>
    <row r="369" spans="2:24" x14ac:dyDescent="0.25">
      <c r="B369" s="174">
        <f t="shared" si="5"/>
        <v>3.6399999999999664</v>
      </c>
      <c r="C369" s="121">
        <f>1/DATI!$E$21*IF(B369&lt;DATI!$E$28,DATI!$E$15*DATI!$E$25*DATI!$E$32*DATI!$E$16*(B369/DATI!$E$28+1/(DATI!$E$32*DATI!$E$16)*(1-B369/DATI!$E$28)),IF(B369&lt;DATI!$E$29,DATI!$E$15*DATI!$E$25*DATI!$E$32*DATI!$E$16,IF(B369&lt;DATI!$E$30,DATI!$E$15*DATI!$E$25*DATI!$E$32*DATI!$E$16*(DATI!$E$29/B369),DATI!$E$15*DATI!$E$25*DATI!$E$32*DATI!$E$16*((DATI!$E$29*DATI!$E$30)/B369^2))))</f>
        <v>4.4833683974660136E-2</v>
      </c>
      <c r="D369" s="9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</row>
    <row r="370" spans="2:24" x14ac:dyDescent="0.25">
      <c r="B370" s="174">
        <f t="shared" si="5"/>
        <v>3.6499999999999662</v>
      </c>
      <c r="C370" s="121">
        <f>1/DATI!$E$21*IF(B370&lt;DATI!$E$28,DATI!$E$15*DATI!$E$25*DATI!$E$32*DATI!$E$16*(B370/DATI!$E$28+1/(DATI!$E$32*DATI!$E$16)*(1-B370/DATI!$E$28)),IF(B370&lt;DATI!$E$29,DATI!$E$15*DATI!$E$25*DATI!$E$32*DATI!$E$16,IF(B370&lt;DATI!$E$30,DATI!$E$15*DATI!$E$25*DATI!$E$32*DATI!$E$16*(DATI!$E$29/B370),DATI!$E$15*DATI!$E$25*DATI!$E$32*DATI!$E$16*((DATI!$E$29*DATI!$E$30)/B370^2))))</f>
        <v>4.4588356478938412E-2</v>
      </c>
      <c r="D370" s="91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</row>
    <row r="371" spans="2:24" x14ac:dyDescent="0.25">
      <c r="B371" s="174">
        <f t="shared" si="5"/>
        <v>3.6599999999999659</v>
      </c>
      <c r="C371" s="121">
        <f>1/DATI!$E$21*IF(B371&lt;DATI!$E$28,DATI!$E$15*DATI!$E$25*DATI!$E$32*DATI!$E$16*(B371/DATI!$E$28+1/(DATI!$E$32*DATI!$E$16)*(1-B371/DATI!$E$28)),IF(B371&lt;DATI!$E$29,DATI!$E$15*DATI!$E$25*DATI!$E$32*DATI!$E$16,IF(B371&lt;DATI!$E$30,DATI!$E$15*DATI!$E$25*DATI!$E$32*DATI!$E$16*(DATI!$E$29/B371),DATI!$E$15*DATI!$E$25*DATI!$E$32*DATI!$E$16*((DATI!$E$29*DATI!$E$30)/B371^2))))</f>
        <v>4.4345037115967705E-2</v>
      </c>
      <c r="D371" s="91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</row>
    <row r="372" spans="2:24" x14ac:dyDescent="0.25">
      <c r="B372" s="174">
        <f t="shared" si="5"/>
        <v>3.6699999999999657</v>
      </c>
      <c r="C372" s="121">
        <f>1/DATI!$E$21*IF(B372&lt;DATI!$E$28,DATI!$E$15*DATI!$E$25*DATI!$E$32*DATI!$E$16*(B372/DATI!$E$28+1/(DATI!$E$32*DATI!$E$16)*(1-B372/DATI!$E$28)),IF(B372&lt;DATI!$E$29,DATI!$E$15*DATI!$E$25*DATI!$E$32*DATI!$E$16,IF(B372&lt;DATI!$E$30,DATI!$E$15*DATI!$E$25*DATI!$E$32*DATI!$E$16*(DATI!$E$29/B372),DATI!$E$15*DATI!$E$25*DATI!$E$32*DATI!$E$16*((DATI!$E$29*DATI!$E$30)/B372^2))))</f>
        <v>4.4103704028588597E-2</v>
      </c>
      <c r="D372" s="9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</row>
    <row r="373" spans="2:24" x14ac:dyDescent="0.25">
      <c r="B373" s="174">
        <f t="shared" si="5"/>
        <v>3.6799999999999655</v>
      </c>
      <c r="C373" s="121">
        <f>1/DATI!$E$21*IF(B373&lt;DATI!$E$28,DATI!$E$15*DATI!$E$25*DATI!$E$32*DATI!$E$16*(B373/DATI!$E$28+1/(DATI!$E$32*DATI!$E$16)*(1-B373/DATI!$E$28)),IF(B373&lt;DATI!$E$29,DATI!$E$15*DATI!$E$25*DATI!$E$32*DATI!$E$16,IF(B373&lt;DATI!$E$30,DATI!$E$15*DATI!$E$25*DATI!$E$32*DATI!$E$16*(DATI!$E$29/B373),DATI!$E$15*DATI!$E$25*DATI!$E$32*DATI!$E$16*((DATI!$E$29*DATI!$E$30)/B373^2))))</f>
        <v>4.386433565620991E-2</v>
      </c>
      <c r="D373" s="9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</row>
    <row r="374" spans="2:24" x14ac:dyDescent="0.25">
      <c r="B374" s="174">
        <f t="shared" si="5"/>
        <v>3.6899999999999653</v>
      </c>
      <c r="C374" s="121">
        <f>1/DATI!$E$21*IF(B374&lt;DATI!$E$28,DATI!$E$15*DATI!$E$25*DATI!$E$32*DATI!$E$16*(B374/DATI!$E$28+1/(DATI!$E$32*DATI!$E$16)*(1-B374/DATI!$E$28)),IF(B374&lt;DATI!$E$29,DATI!$E$15*DATI!$E$25*DATI!$E$32*DATI!$E$16,IF(B374&lt;DATI!$E$30,DATI!$E$15*DATI!$E$25*DATI!$E$32*DATI!$E$16*(DATI!$E$29/B374),DATI!$E$15*DATI!$E$25*DATI!$E$32*DATI!$E$16*((DATI!$E$29*DATI!$E$30)/B374^2))))</f>
        <v>4.3626910729992967E-2</v>
      </c>
      <c r="D374" s="91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</row>
    <row r="375" spans="2:24" x14ac:dyDescent="0.25">
      <c r="B375" s="174">
        <f t="shared" si="5"/>
        <v>3.6999999999999651</v>
      </c>
      <c r="C375" s="121">
        <f>1/DATI!$E$21*IF(B375&lt;DATI!$E$28,DATI!$E$15*DATI!$E$25*DATI!$E$32*DATI!$E$16*(B375/DATI!$E$28+1/(DATI!$E$32*DATI!$E$16)*(1-B375/DATI!$E$28)),IF(B375&lt;DATI!$E$29,DATI!$E$15*DATI!$E$25*DATI!$E$32*DATI!$E$16,IF(B375&lt;DATI!$E$30,DATI!$E$15*DATI!$E$25*DATI!$E$32*DATI!$E$16*(DATI!$E$29/B375),DATI!$E$15*DATI!$E$25*DATI!$E$32*DATI!$E$16*((DATI!$E$29*DATI!$E$30)/B375^2))))</f>
        <v>4.3391408268126895E-2</v>
      </c>
      <c r="D375" s="9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</row>
    <row r="376" spans="2:24" x14ac:dyDescent="0.25">
      <c r="B376" s="174">
        <f t="shared" si="5"/>
        <v>3.7099999999999649</v>
      </c>
      <c r="C376" s="121">
        <f>1/DATI!$E$21*IF(B376&lt;DATI!$E$28,DATI!$E$15*DATI!$E$25*DATI!$E$32*DATI!$E$16*(B376/DATI!$E$28+1/(DATI!$E$32*DATI!$E$16)*(1-B376/DATI!$E$28)),IF(B376&lt;DATI!$E$29,DATI!$E$15*DATI!$E$25*DATI!$E$32*DATI!$E$16,IF(B376&lt;DATI!$E$30,DATI!$E$15*DATI!$E$25*DATI!$E$32*DATI!$E$16*(DATI!$E$29/B376),DATI!$E$15*DATI!$E$25*DATI!$E$32*DATI!$E$16*((DATI!$E$29*DATI!$E$30)/B376^2))))</f>
        <v>4.3157807571192974E-2</v>
      </c>
      <c r="D376" s="9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</row>
    <row r="377" spans="2:24" x14ac:dyDescent="0.25">
      <c r="B377" s="174">
        <f t="shared" si="5"/>
        <v>3.7199999999999647</v>
      </c>
      <c r="C377" s="121">
        <f>1/DATI!$E$21*IF(B377&lt;DATI!$E$28,DATI!$E$15*DATI!$E$25*DATI!$E$32*DATI!$E$16*(B377/DATI!$E$28+1/(DATI!$E$32*DATI!$E$16)*(1-B377/DATI!$E$28)),IF(B377&lt;DATI!$E$29,DATI!$E$15*DATI!$E$25*DATI!$E$32*DATI!$E$16,IF(B377&lt;DATI!$E$30,DATI!$E$15*DATI!$E$25*DATI!$E$32*DATI!$E$16*(DATI!$E$29/B377),DATI!$E$15*DATI!$E$25*DATI!$E$32*DATI!$E$16*((DATI!$E$29*DATI!$E$30)/B377^2))))</f>
        <v>4.2926088217616003E-2</v>
      </c>
      <c r="D377" s="9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</row>
    <row r="378" spans="2:24" x14ac:dyDescent="0.25">
      <c r="B378" s="174">
        <f t="shared" si="5"/>
        <v>3.7299999999999645</v>
      </c>
      <c r="C378" s="121">
        <f>1/DATI!$E$21*IF(B378&lt;DATI!$E$28,DATI!$E$15*DATI!$E$25*DATI!$E$32*DATI!$E$16*(B378/DATI!$E$28+1/(DATI!$E$32*DATI!$E$16)*(1-B378/DATI!$E$28)),IF(B378&lt;DATI!$E$29,DATI!$E$15*DATI!$E$25*DATI!$E$32*DATI!$E$16,IF(B378&lt;DATI!$E$30,DATI!$E$15*DATI!$E$25*DATI!$E$32*DATI!$E$16*(DATI!$E$29/B378),DATI!$E$15*DATI!$E$25*DATI!$E$32*DATI!$E$16*((DATI!$E$29*DATI!$E$30)/B378^2))))</f>
        <v>4.2696230059200986E-2</v>
      </c>
      <c r="D378" s="9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</row>
    <row r="379" spans="2:24" x14ac:dyDescent="0.25">
      <c r="B379" s="174">
        <f t="shared" si="5"/>
        <v>3.7399999999999642</v>
      </c>
      <c r="C379" s="121">
        <f>1/DATI!$E$21*IF(B379&lt;DATI!$E$28,DATI!$E$15*DATI!$E$25*DATI!$E$32*DATI!$E$16*(B379/DATI!$E$28+1/(DATI!$E$32*DATI!$E$16)*(1-B379/DATI!$E$28)),IF(B379&lt;DATI!$E$29,DATI!$E$15*DATI!$E$25*DATI!$E$32*DATI!$E$16,IF(B379&lt;DATI!$E$30,DATI!$E$15*DATI!$E$25*DATI!$E$32*DATI!$E$16*(DATI!$E$29/B379),DATI!$E$15*DATI!$E$25*DATI!$E$32*DATI!$E$16*((DATI!$E$29*DATI!$E$30)/B379^2))))</f>
        <v>4.2468213216753224E-2</v>
      </c>
      <c r="D379" s="9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</row>
    <row r="380" spans="2:24" x14ac:dyDescent="0.25">
      <c r="B380" s="174">
        <f t="shared" si="5"/>
        <v>3.749999999999964</v>
      </c>
      <c r="C380" s="121">
        <f>1/DATI!$E$21*IF(B380&lt;DATI!$E$28,DATI!$E$15*DATI!$E$25*DATI!$E$32*DATI!$E$16*(B380/DATI!$E$28+1/(DATI!$E$32*DATI!$E$16)*(1-B380/DATI!$E$28)),IF(B380&lt;DATI!$E$29,DATI!$E$15*DATI!$E$25*DATI!$E$32*DATI!$E$16,IF(B380&lt;DATI!$E$30,DATI!$E$15*DATI!$E$25*DATI!$E$32*DATI!$E$16*(DATI!$E$29/B380),DATI!$E$15*DATI!$E$25*DATI!$E$32*DATI!$E$16*((DATI!$E$29*DATI!$E$30)/B380^2))))</f>
        <v>4.2242018075780083E-2</v>
      </c>
      <c r="D380" s="9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</row>
    <row r="381" spans="2:24" x14ac:dyDescent="0.25">
      <c r="B381" s="174">
        <f t="shared" si="5"/>
        <v>3.7599999999999638</v>
      </c>
      <c r="C381" s="121">
        <f>1/DATI!$E$21*IF(B381&lt;DATI!$E$28,DATI!$E$15*DATI!$E$25*DATI!$E$32*DATI!$E$16*(B381/DATI!$E$28+1/(DATI!$E$32*DATI!$E$16)*(1-B381/DATI!$E$28)),IF(B381&lt;DATI!$E$29,DATI!$E$15*DATI!$E$25*DATI!$E$32*DATI!$E$16,IF(B381&lt;DATI!$E$30,DATI!$E$15*DATI!$E$25*DATI!$E$32*DATI!$E$16*(DATI!$E$29/B381),DATI!$E$15*DATI!$E$25*DATI!$E$32*DATI!$E$16*((DATI!$E$29*DATI!$E$30)/B381^2))))</f>
        <v>4.2017625282272625E-2</v>
      </c>
      <c r="D381" s="9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</row>
    <row r="382" spans="2:24" x14ac:dyDescent="0.25">
      <c r="B382" s="174">
        <f t="shared" si="5"/>
        <v>3.7699999999999636</v>
      </c>
      <c r="C382" s="121">
        <f>1/DATI!$E$21*IF(B382&lt;DATI!$E$28,DATI!$E$15*DATI!$E$25*DATI!$E$32*DATI!$E$16*(B382/DATI!$E$28+1/(DATI!$E$32*DATI!$E$16)*(1-B382/DATI!$E$28)),IF(B382&lt;DATI!$E$29,DATI!$E$15*DATI!$E$25*DATI!$E$32*DATI!$E$16,IF(B382&lt;DATI!$E$30,DATI!$E$15*DATI!$E$25*DATI!$E$32*DATI!$E$16*(DATI!$E$29/B382),DATI!$E$15*DATI!$E$25*DATI!$E$32*DATI!$E$16*((DATI!$E$29*DATI!$E$30)/B382^2))))</f>
        <v>4.1795015738565484E-2</v>
      </c>
      <c r="D382" s="9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</row>
    <row r="383" spans="2:24" x14ac:dyDescent="0.25">
      <c r="B383" s="174">
        <f t="shared" si="5"/>
        <v>3.7799999999999634</v>
      </c>
      <c r="C383" s="121">
        <f>1/DATI!$E$21*IF(B383&lt;DATI!$E$28,DATI!$E$15*DATI!$E$25*DATI!$E$32*DATI!$E$16*(B383/DATI!$E$28+1/(DATI!$E$32*DATI!$E$16)*(1-B383/DATI!$E$28)),IF(B383&lt;DATI!$E$29,DATI!$E$15*DATI!$E$25*DATI!$E$32*DATI!$E$16,IF(B383&lt;DATI!$E$30,DATI!$E$15*DATI!$E$25*DATI!$E$32*DATI!$E$16*(DATI!$E$29/B383),DATI!$E$15*DATI!$E$25*DATI!$E$32*DATI!$E$16*((DATI!$E$29*DATI!$E$30)/B383^2))))</f>
        <v>4.1574170599273354E-2</v>
      </c>
      <c r="D383" s="9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</row>
    <row r="384" spans="2:24" x14ac:dyDescent="0.25">
      <c r="B384" s="174">
        <f t="shared" si="5"/>
        <v>3.7899999999999632</v>
      </c>
      <c r="C384" s="121">
        <f>1/DATI!$E$21*IF(B384&lt;DATI!$E$28,DATI!$E$15*DATI!$E$25*DATI!$E$32*DATI!$E$16*(B384/DATI!$E$28+1/(DATI!$E$32*DATI!$E$16)*(1-B384/DATI!$E$28)),IF(B384&lt;DATI!$E$29,DATI!$E$15*DATI!$E$25*DATI!$E$32*DATI!$E$16,IF(B384&lt;DATI!$E$30,DATI!$E$15*DATI!$E$25*DATI!$E$32*DATI!$E$16*(DATI!$E$29/B384),DATI!$E$15*DATI!$E$25*DATI!$E$32*DATI!$E$16*((DATI!$E$29*DATI!$E$30)/B384^2))))</f>
        <v>4.135507126730234E-2</v>
      </c>
      <c r="D384" s="9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</row>
    <row r="385" spans="2:24" x14ac:dyDescent="0.25">
      <c r="B385" s="174">
        <f t="shared" si="5"/>
        <v>3.799999999999963</v>
      </c>
      <c r="C385" s="121">
        <f>1/DATI!$E$21*IF(B385&lt;DATI!$E$28,DATI!$E$15*DATI!$E$25*DATI!$E$32*DATI!$E$16*(B385/DATI!$E$28+1/(DATI!$E$32*DATI!$E$16)*(1-B385/DATI!$E$28)),IF(B385&lt;DATI!$E$29,DATI!$E$15*DATI!$E$25*DATI!$E$32*DATI!$E$16,IF(B385&lt;DATI!$E$30,DATI!$E$15*DATI!$E$25*DATI!$E$32*DATI!$E$16*(DATI!$E$29/B385),DATI!$E$15*DATI!$E$25*DATI!$E$32*DATI!$E$16*((DATI!$E$29*DATI!$E$30)/B385^2))))</f>
        <v>4.1137699389934737E-2</v>
      </c>
      <c r="D385" s="9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</row>
    <row r="386" spans="2:24" x14ac:dyDescent="0.25">
      <c r="B386" s="174">
        <f t="shared" si="5"/>
        <v>3.8099999999999627</v>
      </c>
      <c r="C386" s="121">
        <f>1/DATI!$E$21*IF(B386&lt;DATI!$E$28,DATI!$E$15*DATI!$E$25*DATI!$E$32*DATI!$E$16*(B386/DATI!$E$28+1/(DATI!$E$32*DATI!$E$16)*(1-B386/DATI!$E$28)),IF(B386&lt;DATI!$E$29,DATI!$E$15*DATI!$E$25*DATI!$E$32*DATI!$E$16,IF(B386&lt;DATI!$E$30,DATI!$E$15*DATI!$E$25*DATI!$E$32*DATI!$E$16*(DATI!$E$29/B386),DATI!$E$15*DATI!$E$25*DATI!$E$32*DATI!$E$16*((DATI!$E$29*DATI!$E$30)/B386^2))))</f>
        <v>4.0922036854985681E-2</v>
      </c>
      <c r="D386" s="9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</row>
    <row r="387" spans="2:24" x14ac:dyDescent="0.25">
      <c r="B387" s="174">
        <f t="shared" si="5"/>
        <v>3.8199999999999625</v>
      </c>
      <c r="C387" s="121">
        <f>1/DATI!$E$21*IF(B387&lt;DATI!$E$28,DATI!$E$15*DATI!$E$25*DATI!$E$32*DATI!$E$16*(B387/DATI!$E$28+1/(DATI!$E$32*DATI!$E$16)*(1-B387/DATI!$E$28)),IF(B387&lt;DATI!$E$29,DATI!$E$15*DATI!$E$25*DATI!$E$32*DATI!$E$16,IF(B387&lt;DATI!$E$30,DATI!$E$15*DATI!$E$25*DATI!$E$32*DATI!$E$16*(DATI!$E$29/B387),DATI!$E$15*DATI!$E$25*DATI!$E$32*DATI!$E$16*((DATI!$E$29*DATI!$E$30)/B387^2))))</f>
        <v>4.0708065787030075E-2</v>
      </c>
      <c r="D387" s="9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</row>
    <row r="388" spans="2:24" x14ac:dyDescent="0.25">
      <c r="B388" s="174">
        <f t="shared" si="5"/>
        <v>3.8299999999999623</v>
      </c>
      <c r="C388" s="121">
        <f>1/DATI!$E$21*IF(B388&lt;DATI!$E$28,DATI!$E$15*DATI!$E$25*DATI!$E$32*DATI!$E$16*(B388/DATI!$E$28+1/(DATI!$E$32*DATI!$E$16)*(1-B388/DATI!$E$28)),IF(B388&lt;DATI!$E$29,DATI!$E$15*DATI!$E$25*DATI!$E$32*DATI!$E$16,IF(B388&lt;DATI!$E$30,DATI!$E$15*DATI!$E$25*DATI!$E$32*DATI!$E$16*(DATI!$E$29/B388),DATI!$E$15*DATI!$E$25*DATI!$E$32*DATI!$E$16*((DATI!$E$29*DATI!$E$30)/B388^2))))</f>
        <v>4.0495768543698414E-2</v>
      </c>
      <c r="D388" s="9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</row>
    <row r="389" spans="2:24" x14ac:dyDescent="0.25">
      <c r="B389" s="174">
        <f t="shared" si="5"/>
        <v>3.8399999999999621</v>
      </c>
      <c r="C389" s="121">
        <f>1/DATI!$E$21*IF(B389&lt;DATI!$E$28,DATI!$E$15*DATI!$E$25*DATI!$E$32*DATI!$E$16*(B389/DATI!$E$28+1/(DATI!$E$32*DATI!$E$16)*(1-B389/DATI!$E$28)),IF(B389&lt;DATI!$E$29,DATI!$E$15*DATI!$E$25*DATI!$E$32*DATI!$E$16,IF(B389&lt;DATI!$E$30,DATI!$E$15*DATI!$E$25*DATI!$E$32*DATI!$E$16*(DATI!$E$29/B389),DATI!$E$15*DATI!$E$25*DATI!$E$32*DATI!$E$16*((DATI!$E$29*DATI!$E$30)/B389^2))))</f>
        <v>4.0285127712040042E-2</v>
      </c>
      <c r="D389" s="9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</row>
    <row r="390" spans="2:24" x14ac:dyDescent="0.25">
      <c r="B390" s="174">
        <f t="shared" ref="B390:B453" si="6">0.01+B389</f>
        <v>3.8499999999999619</v>
      </c>
      <c r="C390" s="121">
        <f>1/DATI!$E$21*IF(B390&lt;DATI!$E$28,DATI!$E$15*DATI!$E$25*DATI!$E$32*DATI!$E$16*(B390/DATI!$E$28+1/(DATI!$E$32*DATI!$E$16)*(1-B390/DATI!$E$28)),IF(B390&lt;DATI!$E$29,DATI!$E$15*DATI!$E$25*DATI!$E$32*DATI!$E$16,IF(B390&lt;DATI!$E$30,DATI!$E$15*DATI!$E$25*DATI!$E$32*DATI!$E$16*(DATI!$E$29/B390),DATI!$E$15*DATI!$E$25*DATI!$E$32*DATI!$E$16*((DATI!$E$29*DATI!$E$30)/B390^2))))</f>
        <v>4.0076126104952453E-2</v>
      </c>
      <c r="D390" s="9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</row>
    <row r="391" spans="2:24" x14ac:dyDescent="0.25">
      <c r="B391" s="174">
        <f t="shared" si="6"/>
        <v>3.8599999999999617</v>
      </c>
      <c r="C391" s="121">
        <f>1/DATI!$E$21*IF(B391&lt;DATI!$E$28,DATI!$E$15*DATI!$E$25*DATI!$E$32*DATI!$E$16*(B391/DATI!$E$28+1/(DATI!$E$32*DATI!$E$16)*(1-B391/DATI!$E$28)),IF(B391&lt;DATI!$E$29,DATI!$E$15*DATI!$E$25*DATI!$E$32*DATI!$E$16,IF(B391&lt;DATI!$E$30,DATI!$E$15*DATI!$E$25*DATI!$E$32*DATI!$E$16*(DATI!$E$29/B391),DATI!$E$15*DATI!$E$25*DATI!$E$32*DATI!$E$16*((DATI!$E$29*DATI!$E$30)/B391^2))))</f>
        <v>3.9868746757675225E-2</v>
      </c>
      <c r="D391" s="9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</row>
    <row r="392" spans="2:24" x14ac:dyDescent="0.25">
      <c r="B392" s="174">
        <f t="shared" si="6"/>
        <v>3.8699999999999615</v>
      </c>
      <c r="C392" s="121">
        <f>1/DATI!$E$21*IF(B392&lt;DATI!$E$28,DATI!$E$15*DATI!$E$25*DATI!$E$32*DATI!$E$16*(B392/DATI!$E$28+1/(DATI!$E$32*DATI!$E$16)*(1-B392/DATI!$E$28)),IF(B392&lt;DATI!$E$29,DATI!$E$15*DATI!$E$25*DATI!$E$32*DATI!$E$16,IF(B392&lt;DATI!$E$30,DATI!$E$15*DATI!$E$25*DATI!$E$32*DATI!$E$16*(DATI!$E$29/B392),DATI!$E$15*DATI!$E$25*DATI!$E$32*DATI!$E$16*((DATI!$E$29*DATI!$E$30)/B392^2))))</f>
        <v>3.9662972924347353E-2</v>
      </c>
      <c r="D392" s="9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</row>
    <row r="393" spans="2:24" x14ac:dyDescent="0.25">
      <c r="B393" s="174">
        <f t="shared" si="6"/>
        <v>3.8799999999999613</v>
      </c>
      <c r="C393" s="121">
        <f>1/DATI!$E$21*IF(B393&lt;DATI!$E$28,DATI!$E$15*DATI!$E$25*DATI!$E$32*DATI!$E$16*(B393/DATI!$E$28+1/(DATI!$E$32*DATI!$E$16)*(1-B393/DATI!$E$28)),IF(B393&lt;DATI!$E$29,DATI!$E$15*DATI!$E$25*DATI!$E$32*DATI!$E$16,IF(B393&lt;DATI!$E$30,DATI!$E$15*DATI!$E$25*DATI!$E$32*DATI!$E$16*(DATI!$E$29/B393),DATI!$E$15*DATI!$E$25*DATI!$E$32*DATI!$E$16*((DATI!$E$29*DATI!$E$30)/B393^2))))</f>
        <v>3.9458788074626543E-2</v>
      </c>
      <c r="D393" s="9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</row>
    <row r="394" spans="2:24" x14ac:dyDescent="0.25">
      <c r="B394" s="174">
        <f t="shared" si="6"/>
        <v>3.889999999999961</v>
      </c>
      <c r="C394" s="121">
        <f>1/DATI!$E$21*IF(B394&lt;DATI!$E$28,DATI!$E$15*DATI!$E$25*DATI!$E$32*DATI!$E$16*(B394/DATI!$E$28+1/(DATI!$E$32*DATI!$E$16)*(1-B394/DATI!$E$28)),IF(B394&lt;DATI!$E$29,DATI!$E$15*DATI!$E$25*DATI!$E$32*DATI!$E$16,IF(B394&lt;DATI!$E$30,DATI!$E$15*DATI!$E$25*DATI!$E$32*DATI!$E$16*(DATI!$E$29/B394),DATI!$E$15*DATI!$E$25*DATI!$E$32*DATI!$E$16*((DATI!$E$29*DATI!$E$30)/B394^2))))</f>
        <v>3.9256175890369338E-2</v>
      </c>
      <c r="D394" s="9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</row>
    <row r="395" spans="2:24" x14ac:dyDescent="0.25">
      <c r="B395" s="174">
        <f t="shared" si="6"/>
        <v>3.8999999999999608</v>
      </c>
      <c r="C395" s="121">
        <f>1/DATI!$E$21*IF(B395&lt;DATI!$E$28,DATI!$E$15*DATI!$E$25*DATI!$E$32*DATI!$E$16*(B395/DATI!$E$28+1/(DATI!$E$32*DATI!$E$16)*(1-B395/DATI!$E$28)),IF(B395&lt;DATI!$E$29,DATI!$E$15*DATI!$E$25*DATI!$E$32*DATI!$E$16,IF(B395&lt;DATI!$E$30,DATI!$E$15*DATI!$E$25*DATI!$E$32*DATI!$E$16*(DATI!$E$29/B395),DATI!$E$15*DATI!$E$25*DATI!$E$32*DATI!$E$16*((DATI!$E$29*DATI!$E$30)/B395^2))))</f>
        <v>3.9055120262370666E-2</v>
      </c>
      <c r="D395" s="9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</row>
    <row r="396" spans="2:24" x14ac:dyDescent="0.25">
      <c r="B396" s="174">
        <f t="shared" si="6"/>
        <v>3.9099999999999606</v>
      </c>
      <c r="C396" s="121">
        <f>1/DATI!$E$21*IF(B396&lt;DATI!$E$28,DATI!$E$15*DATI!$E$25*DATI!$E$32*DATI!$E$16*(B396/DATI!$E$28+1/(DATI!$E$32*DATI!$E$16)*(1-B396/DATI!$E$28)),IF(B396&lt;DATI!$E$29,DATI!$E$15*DATI!$E$25*DATI!$E$32*DATI!$E$16,IF(B396&lt;DATI!$E$30,DATI!$E$15*DATI!$E$25*DATI!$E$32*DATI!$E$16*(DATI!$E$29/B396),DATI!$E$15*DATI!$E$25*DATI!$E$32*DATI!$E$16*((DATI!$E$29*DATI!$E$30)/B396^2))))</f>
        <v>3.8855605287161775E-2</v>
      </c>
      <c r="D396" s="9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</row>
    <row r="397" spans="2:24" x14ac:dyDescent="0.25">
      <c r="B397" s="174">
        <f t="shared" si="6"/>
        <v>3.9199999999999604</v>
      </c>
      <c r="C397" s="121">
        <f>1/DATI!$E$21*IF(B397&lt;DATI!$E$28,DATI!$E$15*DATI!$E$25*DATI!$E$32*DATI!$E$16*(B397/DATI!$E$28+1/(DATI!$E$32*DATI!$E$16)*(1-B397/DATI!$E$28)),IF(B397&lt;DATI!$E$29,DATI!$E$15*DATI!$E$25*DATI!$E$32*DATI!$E$16,IF(B397&lt;DATI!$E$30,DATI!$E$15*DATI!$E$25*DATI!$E$32*DATI!$E$16*(DATI!$E$29/B397),DATI!$E$15*DATI!$E$25*DATI!$E$32*DATI!$E$16*((DATI!$E$29*DATI!$E$30)/B397^2))))</f>
        <v>3.8657615263865179E-2</v>
      </c>
      <c r="D397" s="9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</row>
    <row r="398" spans="2:24" x14ac:dyDescent="0.25">
      <c r="B398" s="174">
        <f t="shared" si="6"/>
        <v>3.9299999999999602</v>
      </c>
      <c r="C398" s="121">
        <f>1/DATI!$E$21*IF(B398&lt;DATI!$E$28,DATI!$E$15*DATI!$E$25*DATI!$E$32*DATI!$E$16*(B398/DATI!$E$28+1/(DATI!$E$32*DATI!$E$16)*(1-B398/DATI!$E$28)),IF(B398&lt;DATI!$E$29,DATI!$E$15*DATI!$E$25*DATI!$E$32*DATI!$E$16,IF(B398&lt;DATI!$E$30,DATI!$E$15*DATI!$E$25*DATI!$E$32*DATI!$E$16*(DATI!$E$29/B398),DATI!$E$15*DATI!$E$25*DATI!$E$32*DATI!$E$16*((DATI!$E$29*DATI!$E$30)/B398^2))))</f>
        <v>3.8461134691105667E-2</v>
      </c>
      <c r="D398" s="9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</row>
    <row r="399" spans="2:24" x14ac:dyDescent="0.25">
      <c r="B399" s="174">
        <f t="shared" si="6"/>
        <v>3.93999999999996</v>
      </c>
      <c r="C399" s="121">
        <f>1/DATI!$E$21*IF(B399&lt;DATI!$E$28,DATI!$E$15*DATI!$E$25*DATI!$E$32*DATI!$E$16*(B399/DATI!$E$28+1/(DATI!$E$32*DATI!$E$16)*(1-B399/DATI!$E$28)),IF(B399&lt;DATI!$E$29,DATI!$E$15*DATI!$E$25*DATI!$E$32*DATI!$E$16,IF(B399&lt;DATI!$E$30,DATI!$E$15*DATI!$E$25*DATI!$E$32*DATI!$E$16*(DATI!$E$29/B399),DATI!$E$15*DATI!$E$25*DATI!$E$32*DATI!$E$16*((DATI!$E$29*DATI!$E$30)/B399^2))))</f>
        <v>3.8266148263976014E-2</v>
      </c>
      <c r="D399" s="9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</row>
    <row r="400" spans="2:24" x14ac:dyDescent="0.25">
      <c r="B400" s="174">
        <f t="shared" si="6"/>
        <v>3.9499999999999598</v>
      </c>
      <c r="C400" s="121">
        <f>1/DATI!$E$21*IF(B400&lt;DATI!$E$28,DATI!$E$15*DATI!$E$25*DATI!$E$32*DATI!$E$16*(B400/DATI!$E$28+1/(DATI!$E$32*DATI!$E$16)*(1-B400/DATI!$E$28)),IF(B400&lt;DATI!$E$29,DATI!$E$15*DATI!$E$25*DATI!$E$32*DATI!$E$16,IF(B400&lt;DATI!$E$30,DATI!$E$15*DATI!$E$25*DATI!$E$32*DATI!$E$16*(DATI!$E$29/B400),DATI!$E$15*DATI!$E$25*DATI!$E$32*DATI!$E$16*((DATI!$E$29*DATI!$E$30)/B400^2))))</f>
        <v>3.807264087105644E-2</v>
      </c>
      <c r="D400" s="9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</row>
    <row r="401" spans="2:24" x14ac:dyDescent="0.25">
      <c r="B401" s="174">
        <f t="shared" si="6"/>
        <v>3.9599999999999596</v>
      </c>
      <c r="C401" s="121">
        <f>1/DATI!$E$21*IF(B401&lt;DATI!$E$28,DATI!$E$15*DATI!$E$25*DATI!$E$32*DATI!$E$16*(B401/DATI!$E$28+1/(DATI!$E$32*DATI!$E$16)*(1-B401/DATI!$E$28)),IF(B401&lt;DATI!$E$29,DATI!$E$15*DATI!$E$25*DATI!$E$32*DATI!$E$16,IF(B401&lt;DATI!$E$30,DATI!$E$15*DATI!$E$25*DATI!$E$32*DATI!$E$16*(DATI!$E$29/B401),DATI!$E$15*DATI!$E$25*DATI!$E$32*DATI!$E$16*((DATI!$E$29*DATI!$E$30)/B401^2))))</f>
        <v>3.7880597591486716E-2</v>
      </c>
      <c r="D401" s="9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</row>
    <row r="402" spans="2:24" x14ac:dyDescent="0.25">
      <c r="B402" s="174">
        <f t="shared" si="6"/>
        <v>3.9699999999999593</v>
      </c>
      <c r="C402" s="121">
        <f>1/DATI!$E$21*IF(B402&lt;DATI!$E$28,DATI!$E$15*DATI!$E$25*DATI!$E$32*DATI!$E$16*(B402/DATI!$E$28+1/(DATI!$E$32*DATI!$E$16)*(1-B402/DATI!$E$28)),IF(B402&lt;DATI!$E$29,DATI!$E$15*DATI!$E$25*DATI!$E$32*DATI!$E$16,IF(B402&lt;DATI!$E$30,DATI!$E$15*DATI!$E$25*DATI!$E$32*DATI!$E$16*(DATI!$E$29/B402),DATI!$E$15*DATI!$E$25*DATI!$E$32*DATI!$E$16*((DATI!$E$29*DATI!$E$30)/B402^2))))</f>
        <v>3.7690003692089802E-2</v>
      </c>
      <c r="D402" s="9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</row>
    <row r="403" spans="2:24" x14ac:dyDescent="0.25">
      <c r="B403" s="174">
        <f t="shared" si="6"/>
        <v>3.9799999999999591</v>
      </c>
      <c r="C403" s="121">
        <f>1/DATI!$E$21*IF(B403&lt;DATI!$E$28,DATI!$E$15*DATI!$E$25*DATI!$E$32*DATI!$E$16*(B403/DATI!$E$28+1/(DATI!$E$32*DATI!$E$16)*(1-B403/DATI!$E$28)),IF(B403&lt;DATI!$E$29,DATI!$E$15*DATI!$E$25*DATI!$E$32*DATI!$E$16,IF(B403&lt;DATI!$E$30,DATI!$E$15*DATI!$E$25*DATI!$E$32*DATI!$E$16*(DATI!$E$29/B403),DATI!$E$15*DATI!$E$25*DATI!$E$32*DATI!$E$16*((DATI!$E$29*DATI!$E$30)/B403^2))))</f>
        <v>3.7500844624545983E-2</v>
      </c>
      <c r="D403" s="9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</row>
    <row r="404" spans="2:24" x14ac:dyDescent="0.25">
      <c r="B404" s="174">
        <f t="shared" si="6"/>
        <v>3.9899999999999589</v>
      </c>
      <c r="C404" s="121">
        <f>1/DATI!$E$21*IF(B404&lt;DATI!$E$28,DATI!$E$15*DATI!$E$25*DATI!$E$32*DATI!$E$16*(B404/DATI!$E$28+1/(DATI!$E$32*DATI!$E$16)*(1-B404/DATI!$E$28)),IF(B404&lt;DATI!$E$29,DATI!$E$15*DATI!$E$25*DATI!$E$32*DATI!$E$16,IF(B404&lt;DATI!$E$30,DATI!$E$15*DATI!$E$25*DATI!$E$32*DATI!$E$16*(DATI!$E$29/B404),DATI!$E$15*DATI!$E$25*DATI!$E$32*DATI!$E$16*((DATI!$E$29*DATI!$E$30)/B404^2))))</f>
        <v>3.7313106022616581E-2</v>
      </c>
      <c r="D404" s="91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</row>
    <row r="405" spans="2:24" x14ac:dyDescent="0.25">
      <c r="B405" s="174">
        <f t="shared" si="6"/>
        <v>3.9999999999999587</v>
      </c>
      <c r="C405" s="121">
        <f>1/DATI!$E$21*IF(B405&lt;DATI!$E$28,DATI!$E$15*DATI!$E$25*DATI!$E$32*DATI!$E$16*(B405/DATI!$E$28+1/(DATI!$E$32*DATI!$E$16)*(1-B405/DATI!$E$28)),IF(B405&lt;DATI!$E$29,DATI!$E$15*DATI!$E$25*DATI!$E$32*DATI!$E$16,IF(B405&lt;DATI!$E$30,DATI!$E$15*DATI!$E$25*DATI!$E$32*DATI!$E$16*(DATI!$E$29/B405),DATI!$E$15*DATI!$E$25*DATI!$E$32*DATI!$E$16*((DATI!$E$29*DATI!$E$30)/B405^2))))</f>
        <v>3.7126773699416145E-2</v>
      </c>
      <c r="D405" s="91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</row>
    <row r="406" spans="2:24" x14ac:dyDescent="0.25">
      <c r="B406" s="174">
        <f t="shared" si="6"/>
        <v>4.0099999999999589</v>
      </c>
      <c r="C406" s="121">
        <f>1/DATI!$E$21*IF(B406&lt;DATI!$E$28,DATI!$E$15*DATI!$E$25*DATI!$E$32*DATI!$E$16*(B406/DATI!$E$28+1/(DATI!$E$32*DATI!$E$16)*(1-B406/DATI!$E$28)),IF(B406&lt;DATI!$E$29,DATI!$E$15*DATI!$E$25*DATI!$E$32*DATI!$E$16,IF(B406&lt;DATI!$E$30,DATI!$E$15*DATI!$E$25*DATI!$E$32*DATI!$E$16*(DATI!$E$29/B406),DATI!$E$15*DATI!$E$25*DATI!$E$32*DATI!$E$16*((DATI!$E$29*DATI!$E$30)/B406^2))))</f>
        <v>3.6941833644732192E-2</v>
      </c>
      <c r="D406" s="91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</row>
    <row r="407" spans="2:24" x14ac:dyDescent="0.25">
      <c r="B407" s="174">
        <f t="shared" si="6"/>
        <v>4.0199999999999587</v>
      </c>
      <c r="C407" s="121">
        <f>1/DATI!$E$21*IF(B407&lt;DATI!$E$28,DATI!$E$15*DATI!$E$25*DATI!$E$32*DATI!$E$16*(B407/DATI!$E$28+1/(DATI!$E$32*DATI!$E$16)*(1-B407/DATI!$E$28)),IF(B407&lt;DATI!$E$29,DATI!$E$15*DATI!$E$25*DATI!$E$32*DATI!$E$16,IF(B407&lt;DATI!$E$30,DATI!$E$15*DATI!$E$25*DATI!$E$32*DATI!$E$16*(DATI!$E$29/B407),DATI!$E$15*DATI!$E$25*DATI!$E$32*DATI!$E$16*((DATI!$E$29*DATI!$E$30)/B407^2))))</f>
        <v>3.6758272022391666E-2</v>
      </c>
      <c r="D407" s="9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</row>
    <row r="408" spans="2:24" x14ac:dyDescent="0.25">
      <c r="B408" s="174">
        <f t="shared" si="6"/>
        <v>4.0299999999999585</v>
      </c>
      <c r="C408" s="121">
        <f>1/DATI!$E$21*IF(B408&lt;DATI!$E$28,DATI!$E$15*DATI!$E$25*DATI!$E$32*DATI!$E$16*(B408/DATI!$E$28+1/(DATI!$E$32*DATI!$E$16)*(1-B408/DATI!$E$28)),IF(B408&lt;DATI!$E$29,DATI!$E$15*DATI!$E$25*DATI!$E$32*DATI!$E$16,IF(B408&lt;DATI!$E$30,DATI!$E$15*DATI!$E$25*DATI!$E$32*DATI!$E$16*(DATI!$E$29/B408),DATI!$E$15*DATI!$E$25*DATI!$E$32*DATI!$E$16*((DATI!$E$29*DATI!$E$30)/B408^2))))</f>
        <v>3.6576075167672868E-2</v>
      </c>
      <c r="D408" s="9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</row>
    <row r="409" spans="2:24" x14ac:dyDescent="0.25">
      <c r="B409" s="174">
        <f t="shared" si="6"/>
        <v>4.0399999999999583</v>
      </c>
      <c r="C409" s="121">
        <f>1/DATI!$E$21*IF(B409&lt;DATI!$E$28,DATI!$E$15*DATI!$E$25*DATI!$E$32*DATI!$E$16*(B409/DATI!$E$28+1/(DATI!$E$32*DATI!$E$16)*(1-B409/DATI!$E$28)),IF(B409&lt;DATI!$E$29,DATI!$E$15*DATI!$E$25*DATI!$E$32*DATI!$E$16,IF(B409&lt;DATI!$E$30,DATI!$E$15*DATI!$E$25*DATI!$E$32*DATI!$E$16*(DATI!$E$29/B409),DATI!$E$15*DATI!$E$25*DATI!$E$32*DATI!$E$16*((DATI!$E$29*DATI!$E$30)/B409^2))))</f>
        <v>3.639522958476242E-2</v>
      </c>
      <c r="D409" s="9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</row>
    <row r="410" spans="2:24" x14ac:dyDescent="0.25">
      <c r="B410" s="174">
        <f t="shared" si="6"/>
        <v>4.0499999999999581</v>
      </c>
      <c r="C410" s="121">
        <f>1/DATI!$E$21*IF(B410&lt;DATI!$E$28,DATI!$E$15*DATI!$E$25*DATI!$E$32*DATI!$E$16*(B410/DATI!$E$28+1/(DATI!$E$32*DATI!$E$16)*(1-B410/DATI!$E$28)),IF(B410&lt;DATI!$E$29,DATI!$E$15*DATI!$E$25*DATI!$E$32*DATI!$E$16,IF(B410&lt;DATI!$E$30,DATI!$E$15*DATI!$E$25*DATI!$E$32*DATI!$E$16*(DATI!$E$29/B410),DATI!$E$15*DATI!$E$25*DATI!$E$32*DATI!$E$16*((DATI!$E$29*DATI!$E$30)/B410^2))))</f>
        <v>3.6215721944255957E-2</v>
      </c>
      <c r="D410" s="91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</row>
    <row r="411" spans="2:24" x14ac:dyDescent="0.25">
      <c r="B411" s="174">
        <f t="shared" si="6"/>
        <v>4.0599999999999579</v>
      </c>
      <c r="C411" s="121">
        <f>1/DATI!$E$21*IF(B411&lt;DATI!$E$28,DATI!$E$15*DATI!$E$25*DATI!$E$32*DATI!$E$16*(B411/DATI!$E$28+1/(DATI!$E$32*DATI!$E$16)*(1-B411/DATI!$E$28)),IF(B411&lt;DATI!$E$29,DATI!$E$15*DATI!$E$25*DATI!$E$32*DATI!$E$16,IF(B411&lt;DATI!$E$30,DATI!$E$15*DATI!$E$25*DATI!$E$32*DATI!$E$16*(DATI!$E$29/B411),DATI!$E$15*DATI!$E$25*DATI!$E$32*DATI!$E$16*((DATI!$E$29*DATI!$E$30)/B411^2))))</f>
        <v>3.6037539080701932E-2</v>
      </c>
      <c r="D411" s="9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31"/>
      <c r="T411" s="131"/>
      <c r="U411" s="131"/>
      <c r="V411" s="131"/>
      <c r="W411" s="131"/>
      <c r="X411" s="131"/>
    </row>
    <row r="412" spans="2:24" x14ac:dyDescent="0.25">
      <c r="B412" s="174">
        <f t="shared" si="6"/>
        <v>4.0699999999999577</v>
      </c>
      <c r="C412" s="121">
        <f>1/DATI!$E$21*IF(B412&lt;DATI!$E$28,DATI!$E$15*DATI!$E$25*DATI!$E$32*DATI!$E$16*(B412/DATI!$E$28+1/(DATI!$E$32*DATI!$E$16)*(1-B412/DATI!$E$28)),IF(B412&lt;DATI!$E$29,DATI!$E$15*DATI!$E$25*DATI!$E$32*DATI!$E$16,IF(B412&lt;DATI!$E$30,DATI!$E$15*DATI!$E$25*DATI!$E$32*DATI!$E$16*(DATI!$E$29/B412),DATI!$E$15*DATI!$E$25*DATI!$E$32*DATI!$E$16*((DATI!$E$29*DATI!$E$30)/B412^2))))</f>
        <v>3.5860667990187584E-2</v>
      </c>
      <c r="D412" s="9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</row>
    <row r="413" spans="2:24" x14ac:dyDescent="0.25">
      <c r="B413" s="174">
        <f t="shared" si="6"/>
        <v>4.0799999999999574</v>
      </c>
      <c r="C413" s="121">
        <f>1/DATI!$E$21*IF(B413&lt;DATI!$E$28,DATI!$E$15*DATI!$E$25*DATI!$E$32*DATI!$E$16*(B413/DATI!$E$28+1/(DATI!$E$32*DATI!$E$16)*(1-B413/DATI!$E$28)),IF(B413&lt;DATI!$E$29,DATI!$E$15*DATI!$E$25*DATI!$E$32*DATI!$E$16,IF(B413&lt;DATI!$E$30,DATI!$E$15*DATI!$E$25*DATI!$E$32*DATI!$E$16*(DATI!$E$29/B413),DATI!$E$15*DATI!$E$25*DATI!$E$32*DATI!$E$16*((DATI!$E$29*DATI!$E$30)/B413^2))))</f>
        <v>3.5685095827966314E-2</v>
      </c>
      <c r="D413" s="91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</row>
    <row r="414" spans="2:24" x14ac:dyDescent="0.25">
      <c r="B414" s="174">
        <f t="shared" si="6"/>
        <v>4.0899999999999572</v>
      </c>
      <c r="C414" s="121">
        <f>1/DATI!$E$21*IF(B414&lt;DATI!$E$28,DATI!$E$15*DATI!$E$25*DATI!$E$32*DATI!$E$16*(B414/DATI!$E$28+1/(DATI!$E$32*DATI!$E$16)*(1-B414/DATI!$E$28)),IF(B414&lt;DATI!$E$29,DATI!$E$15*DATI!$E$25*DATI!$E$32*DATI!$E$16,IF(B414&lt;DATI!$E$30,DATI!$E$15*DATI!$E$25*DATI!$E$32*DATI!$E$16*(DATI!$E$29/B414),DATI!$E$15*DATI!$E$25*DATI!$E$32*DATI!$E$16*((DATI!$E$29*DATI!$E$30)/B414^2))))</f>
        <v>3.5510809906125533E-2</v>
      </c>
      <c r="D414" s="9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</row>
    <row r="415" spans="2:24" x14ac:dyDescent="0.25">
      <c r="B415" s="174">
        <f t="shared" si="6"/>
        <v>4.099999999999957</v>
      </c>
      <c r="C415" s="121">
        <f>1/DATI!$E$21*IF(B415&lt;DATI!$E$28,DATI!$E$15*DATI!$E$25*DATI!$E$32*DATI!$E$16*(B415/DATI!$E$28+1/(DATI!$E$32*DATI!$E$16)*(1-B415/DATI!$E$28)),IF(B415&lt;DATI!$E$29,DATI!$E$15*DATI!$E$25*DATI!$E$32*DATI!$E$16,IF(B415&lt;DATI!$E$30,DATI!$E$15*DATI!$E$25*DATI!$E$32*DATI!$E$16*(DATI!$E$29/B415),DATI!$E$15*DATI!$E$25*DATI!$E$32*DATI!$E$16*((DATI!$E$29*DATI!$E$30)/B415^2))))</f>
        <v>3.5337797691294373E-2</v>
      </c>
      <c r="D415" s="91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</row>
    <row r="416" spans="2:24" x14ac:dyDescent="0.25">
      <c r="B416" s="174">
        <f t="shared" si="6"/>
        <v>4.1099999999999568</v>
      </c>
      <c r="C416" s="121">
        <f>1/DATI!$E$21*IF(B416&lt;DATI!$E$28,DATI!$E$15*DATI!$E$25*DATI!$E$32*DATI!$E$16*(B416/DATI!$E$28+1/(DATI!$E$32*DATI!$E$16)*(1-B416/DATI!$E$28)),IF(B416&lt;DATI!$E$29,DATI!$E$15*DATI!$E$25*DATI!$E$32*DATI!$E$16,IF(B416&lt;DATI!$E$30,DATI!$E$15*DATI!$E$25*DATI!$E$32*DATI!$E$16*(DATI!$E$29/B416),DATI!$E$15*DATI!$E$25*DATI!$E$32*DATI!$E$16*((DATI!$E$29*DATI!$E$30)/B416^2))))</f>
        <v>3.5166046802390383E-2</v>
      </c>
      <c r="D416" s="91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31"/>
      <c r="T416" s="131"/>
      <c r="U416" s="131"/>
      <c r="V416" s="131"/>
      <c r="W416" s="131"/>
      <c r="X416" s="131"/>
    </row>
    <row r="417" spans="2:24" x14ac:dyDescent="0.25">
      <c r="B417" s="174">
        <f t="shared" si="6"/>
        <v>4.1199999999999566</v>
      </c>
      <c r="C417" s="121">
        <f>1/DATI!$E$21*IF(B417&lt;DATI!$E$28,DATI!$E$15*DATI!$E$25*DATI!$E$32*DATI!$E$16*(B417/DATI!$E$28+1/(DATI!$E$32*DATI!$E$16)*(1-B417/DATI!$E$28)),IF(B417&lt;DATI!$E$29,DATI!$E$15*DATI!$E$25*DATI!$E$32*DATI!$E$16,IF(B417&lt;DATI!$E$30,DATI!$E$15*DATI!$E$25*DATI!$E$32*DATI!$E$16*(DATI!$E$29/B417),DATI!$E$15*DATI!$E$25*DATI!$E$32*DATI!$E$16*((DATI!$E$29*DATI!$E$30)/B417^2))))</f>
        <v>3.4995545008404336E-2</v>
      </c>
      <c r="D417" s="91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</row>
    <row r="418" spans="2:24" x14ac:dyDescent="0.25">
      <c r="B418" s="174">
        <f t="shared" si="6"/>
        <v>4.1299999999999564</v>
      </c>
      <c r="C418" s="121">
        <f>1/DATI!$E$21*IF(B418&lt;DATI!$E$28,DATI!$E$15*DATI!$E$25*DATI!$E$32*DATI!$E$16*(B418/DATI!$E$28+1/(DATI!$E$32*DATI!$E$16)*(1-B418/DATI!$E$28)),IF(B418&lt;DATI!$E$29,DATI!$E$15*DATI!$E$25*DATI!$E$32*DATI!$E$16,IF(B418&lt;DATI!$E$30,DATI!$E$15*DATI!$E$25*DATI!$E$32*DATI!$E$16*(DATI!$E$29/B418),DATI!$E$15*DATI!$E$25*DATI!$E$32*DATI!$E$16*((DATI!$E$29*DATI!$E$30)/B418^2))))</f>
        <v>3.4826280226222736E-2</v>
      </c>
      <c r="D418" s="91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</row>
    <row r="419" spans="2:24" x14ac:dyDescent="0.25">
      <c r="B419" s="174">
        <f t="shared" si="6"/>
        <v>4.1399999999999562</v>
      </c>
      <c r="C419" s="121">
        <f>1/DATI!$E$21*IF(B419&lt;DATI!$E$28,DATI!$E$15*DATI!$E$25*DATI!$E$32*DATI!$E$16*(B419/DATI!$E$28+1/(DATI!$E$32*DATI!$E$16)*(1-B419/DATI!$E$28)),IF(B419&lt;DATI!$E$29,DATI!$E$15*DATI!$E$25*DATI!$E$32*DATI!$E$16,IF(B419&lt;DATI!$E$30,DATI!$E$15*DATI!$E$25*DATI!$E$32*DATI!$E$16*(DATI!$E$29/B419),DATI!$E$15*DATI!$E$25*DATI!$E$32*DATI!$E$16*((DATI!$E$29*DATI!$E$30)/B419^2))))</f>
        <v>3.4658240518486934E-2</v>
      </c>
      <c r="D419" s="91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</row>
    <row r="420" spans="2:24" x14ac:dyDescent="0.25">
      <c r="B420" s="174">
        <f t="shared" si="6"/>
        <v>4.1499999999999559</v>
      </c>
      <c r="C420" s="121">
        <f>1/DATI!$E$21*IF(B420&lt;DATI!$E$28,DATI!$E$15*DATI!$E$25*DATI!$E$32*DATI!$E$16*(B420/DATI!$E$28+1/(DATI!$E$32*DATI!$E$16)*(1-B420/DATI!$E$28)),IF(B420&lt;DATI!$E$29,DATI!$E$15*DATI!$E$25*DATI!$E$32*DATI!$E$16,IF(B420&lt;DATI!$E$30,DATI!$E$15*DATI!$E$25*DATI!$E$32*DATI!$E$16*(DATI!$E$29/B420),DATI!$E$15*DATI!$E$25*DATI!$E$32*DATI!$E$16*((DATI!$E$29*DATI!$E$30)/B420^2))))</f>
        <v>3.4491414091488377E-2</v>
      </c>
      <c r="D420" s="91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</row>
    <row r="421" spans="2:24" x14ac:dyDescent="0.25">
      <c r="B421" s="174">
        <f t="shared" si="6"/>
        <v>4.1599999999999557</v>
      </c>
      <c r="C421" s="121">
        <f>1/DATI!$E$21*IF(B421&lt;DATI!$E$28,DATI!$E$15*DATI!$E$25*DATI!$E$32*DATI!$E$16*(B421/DATI!$E$28+1/(DATI!$E$32*DATI!$E$16)*(1-B421/DATI!$E$28)),IF(B421&lt;DATI!$E$29,DATI!$E$15*DATI!$E$25*DATI!$E$32*DATI!$E$16,IF(B421&lt;DATI!$E$30,DATI!$E$15*DATI!$E$25*DATI!$E$32*DATI!$E$16*(DATI!$E$29/B421),DATI!$E$15*DATI!$E$25*DATI!$E$32*DATI!$E$16*((DATI!$E$29*DATI!$E$30)/B421^2))))</f>
        <v>3.4325789293099263E-2</v>
      </c>
      <c r="D421" s="9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</row>
    <row r="422" spans="2:24" x14ac:dyDescent="0.25">
      <c r="B422" s="174">
        <f t="shared" si="6"/>
        <v>4.1699999999999555</v>
      </c>
      <c r="C422" s="121">
        <f>1/DATI!$E$21*IF(B422&lt;DATI!$E$28,DATI!$E$15*DATI!$E$25*DATI!$E$32*DATI!$E$16*(B422/DATI!$E$28+1/(DATI!$E$32*DATI!$E$16)*(1-B422/DATI!$E$28)),IF(B422&lt;DATI!$E$29,DATI!$E$15*DATI!$E$25*DATI!$E$32*DATI!$E$16,IF(B422&lt;DATI!$E$30,DATI!$E$15*DATI!$E$25*DATI!$E$32*DATI!$E$16*(DATI!$E$29/B422),DATI!$E$15*DATI!$E$25*DATI!$E$32*DATI!$E$16*((DATI!$E$29*DATI!$E$30)/B422^2))))</f>
        <v>3.4161354610737805E-2</v>
      </c>
      <c r="D422" s="91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</row>
    <row r="423" spans="2:24" x14ac:dyDescent="0.25">
      <c r="B423" s="174">
        <f t="shared" si="6"/>
        <v>4.1799999999999553</v>
      </c>
      <c r="C423" s="121">
        <f>1/DATI!$E$21*IF(B423&lt;DATI!$E$28,DATI!$E$15*DATI!$E$25*DATI!$E$32*DATI!$E$16*(B423/DATI!$E$28+1/(DATI!$E$32*DATI!$E$16)*(1-B423/DATI!$E$28)),IF(B423&lt;DATI!$E$29,DATI!$E$15*DATI!$E$25*DATI!$E$32*DATI!$E$16,IF(B423&lt;DATI!$E$30,DATI!$E$15*DATI!$E$25*DATI!$E$32*DATI!$E$16*(DATI!$E$29/B423),DATI!$E$15*DATI!$E$25*DATI!$E$32*DATI!$E$16*((DATI!$E$29*DATI!$E$30)/B423^2))))</f>
        <v>3.3998098669367607E-2</v>
      </c>
      <c r="D423" s="9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</row>
    <row r="424" spans="2:24" x14ac:dyDescent="0.25">
      <c r="B424" s="174">
        <f t="shared" si="6"/>
        <v>4.1899999999999551</v>
      </c>
      <c r="C424" s="121">
        <f>1/DATI!$E$21*IF(B424&lt;DATI!$E$28,DATI!$E$15*DATI!$E$25*DATI!$E$32*DATI!$E$16*(B424/DATI!$E$28+1/(DATI!$E$32*DATI!$E$16)*(1-B424/DATI!$E$28)),IF(B424&lt;DATI!$E$29,DATI!$E$15*DATI!$E$25*DATI!$E$32*DATI!$E$16,IF(B424&lt;DATI!$E$30,DATI!$E$15*DATI!$E$25*DATI!$E$32*DATI!$E$16*(DATI!$E$29/B424),DATI!$E$15*DATI!$E$25*DATI!$E$32*DATI!$E$16*((DATI!$E$29*DATI!$E$30)/B424^2))))</f>
        <v>3.3836010229530401E-2</v>
      </c>
      <c r="D424" s="91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</row>
    <row r="425" spans="2:24" x14ac:dyDescent="0.25">
      <c r="B425" s="174">
        <f t="shared" si="6"/>
        <v>4.1999999999999549</v>
      </c>
      <c r="C425" s="121">
        <f>1/DATI!$E$21*IF(B425&lt;DATI!$E$28,DATI!$E$15*DATI!$E$25*DATI!$E$32*DATI!$E$16*(B425/DATI!$E$28+1/(DATI!$E$32*DATI!$E$16)*(1-B425/DATI!$E$28)),IF(B425&lt;DATI!$E$29,DATI!$E$15*DATI!$E$25*DATI!$E$32*DATI!$E$16,IF(B425&lt;DATI!$E$30,DATI!$E$15*DATI!$E$25*DATI!$E$32*DATI!$E$16*(DATI!$E$29/B425),DATI!$E$15*DATI!$E$25*DATI!$E$32*DATI!$E$16*((DATI!$E$29*DATI!$E$30)/B425^2))))</f>
        <v>3.3675078185411496E-2</v>
      </c>
      <c r="D425" s="91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</row>
    <row r="426" spans="2:24" x14ac:dyDescent="0.25">
      <c r="B426" s="174">
        <f t="shared" si="6"/>
        <v>4.2099999999999547</v>
      </c>
      <c r="C426" s="121">
        <f>1/DATI!$E$21*IF(B426&lt;DATI!$E$28,DATI!$E$15*DATI!$E$25*DATI!$E$32*DATI!$E$16*(B426/DATI!$E$28+1/(DATI!$E$32*DATI!$E$16)*(1-B426/DATI!$E$28)),IF(B426&lt;DATI!$E$29,DATI!$E$15*DATI!$E$25*DATI!$E$32*DATI!$E$16,IF(B426&lt;DATI!$E$30,DATI!$E$15*DATI!$E$25*DATI!$E$32*DATI!$E$16*(DATI!$E$29/B426),DATI!$E$15*DATI!$E$25*DATI!$E$32*DATI!$E$16*((DATI!$E$29*DATI!$E$30)/B426^2))))</f>
        <v>3.3515291562937401E-2</v>
      </c>
      <c r="D426" s="91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</row>
    <row r="427" spans="2:24" x14ac:dyDescent="0.25">
      <c r="B427" s="174">
        <f t="shared" si="6"/>
        <v>4.2199999999999545</v>
      </c>
      <c r="C427" s="121">
        <f>1/DATI!$E$21*IF(B427&lt;DATI!$E$28,DATI!$E$15*DATI!$E$25*DATI!$E$32*DATI!$E$16*(B427/DATI!$E$28+1/(DATI!$E$32*DATI!$E$16)*(1-B427/DATI!$E$28)),IF(B427&lt;DATI!$E$29,DATI!$E$15*DATI!$E$25*DATI!$E$32*DATI!$E$16,IF(B427&lt;DATI!$E$30,DATI!$E$15*DATI!$E$25*DATI!$E$32*DATI!$E$16*(DATI!$E$29/B427),DATI!$E$15*DATI!$E$25*DATI!$E$32*DATI!$E$16*((DATI!$E$29*DATI!$E$30)/B427^2))))</f>
        <v>3.3356639517904962E-2</v>
      </c>
      <c r="D427" s="91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</row>
    <row r="428" spans="2:24" x14ac:dyDescent="0.25">
      <c r="B428" s="174">
        <f t="shared" si="6"/>
        <v>4.2299999999999542</v>
      </c>
      <c r="C428" s="121">
        <f>1/DATI!$E$21*IF(B428&lt;DATI!$E$28,DATI!$E$15*DATI!$E$25*DATI!$E$32*DATI!$E$16*(B428/DATI!$E$28+1/(DATI!$E$32*DATI!$E$16)*(1-B428/DATI!$E$28)),IF(B428&lt;DATI!$E$29,DATI!$E$15*DATI!$E$25*DATI!$E$32*DATI!$E$16,IF(B428&lt;DATI!$E$30,DATI!$E$15*DATI!$E$25*DATI!$E$32*DATI!$E$16*(DATI!$E$29/B428),DATI!$E$15*DATI!$E$25*DATI!$E$32*DATI!$E$16*((DATI!$E$29*DATI!$E$30)/B428^2))))</f>
        <v>3.3199111334141412E-2</v>
      </c>
      <c r="D428" s="9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</row>
    <row r="429" spans="2:24" x14ac:dyDescent="0.25">
      <c r="B429" s="174">
        <f t="shared" si="6"/>
        <v>4.239999999999954</v>
      </c>
      <c r="C429" s="121">
        <f>1/DATI!$E$21*IF(B429&lt;DATI!$E$28,DATI!$E$15*DATI!$E$25*DATI!$E$32*DATI!$E$16*(B429/DATI!$E$28+1/(DATI!$E$32*DATI!$E$16)*(1-B429/DATI!$E$28)),IF(B429&lt;DATI!$E$29,DATI!$E$15*DATI!$E$25*DATI!$E$32*DATI!$E$16,IF(B429&lt;DATI!$E$30,DATI!$E$15*DATI!$E$25*DATI!$E$32*DATI!$E$16*(DATI!$E$29/B429),DATI!$E$15*DATI!$E$25*DATI!$E$32*DATI!$E$16*((DATI!$E$29*DATI!$E$30)/B429^2))))</f>
        <v>3.304269642169471E-2</v>
      </c>
      <c r="D429" s="91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</row>
    <row r="430" spans="2:24" x14ac:dyDescent="0.25">
      <c r="B430" s="174">
        <f t="shared" si="6"/>
        <v>4.2499999999999538</v>
      </c>
      <c r="C430" s="121">
        <f>1/DATI!$E$21*IF(B430&lt;DATI!$E$28,DATI!$E$15*DATI!$E$25*DATI!$E$32*DATI!$E$16*(B430/DATI!$E$28+1/(DATI!$E$32*DATI!$E$16)*(1-B430/DATI!$E$28)),IF(B430&lt;DATI!$E$29,DATI!$E$15*DATI!$E$25*DATI!$E$32*DATI!$E$16,IF(B430&lt;DATI!$E$30,DATI!$E$15*DATI!$E$25*DATI!$E$32*DATI!$E$16*(DATI!$E$29/B430),DATI!$E$15*DATI!$E$25*DATI!$E$32*DATI!$E$16*((DATI!$E$29*DATI!$E$30)/B430^2))))</f>
        <v>3.288738431505378E-2</v>
      </c>
      <c r="D430" s="91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</row>
    <row r="431" spans="2:24" x14ac:dyDescent="0.25">
      <c r="B431" s="174">
        <f t="shared" si="6"/>
        <v>4.2599999999999536</v>
      </c>
      <c r="C431" s="121">
        <f>1/DATI!$E$21*IF(B431&lt;DATI!$E$28,DATI!$E$15*DATI!$E$25*DATI!$E$32*DATI!$E$16*(B431/DATI!$E$28+1/(DATI!$E$32*DATI!$E$16)*(1-B431/DATI!$E$28)),IF(B431&lt;DATI!$E$29,DATI!$E$15*DATI!$E$25*DATI!$E$32*DATI!$E$16,IF(B431&lt;DATI!$E$30,DATI!$E$15*DATI!$E$25*DATI!$E$32*DATI!$E$16*(DATI!$E$29/B431),DATI!$E$15*DATI!$E$25*DATI!$E$32*DATI!$E$16*((DATI!$E$29*DATI!$E$30)/B431^2))))</f>
        <v>3.2733164671397814E-2</v>
      </c>
      <c r="D431" s="91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</row>
    <row r="432" spans="2:24" x14ac:dyDescent="0.25">
      <c r="B432" s="174">
        <f t="shared" si="6"/>
        <v>4.2699999999999534</v>
      </c>
      <c r="C432" s="121">
        <f>1/DATI!$E$21*IF(B432&lt;DATI!$E$28,DATI!$E$15*DATI!$E$25*DATI!$E$32*DATI!$E$16*(B432/DATI!$E$28+1/(DATI!$E$32*DATI!$E$16)*(1-B432/DATI!$E$28)),IF(B432&lt;DATI!$E$29,DATI!$E$15*DATI!$E$25*DATI!$E$32*DATI!$E$16,IF(B432&lt;DATI!$E$30,DATI!$E$15*DATI!$E$25*DATI!$E$32*DATI!$E$16*(DATI!$E$29/B432),DATI!$E$15*DATI!$E$25*DATI!$E$32*DATI!$E$16*((DATI!$E$29*DATI!$E$30)/B432^2))))</f>
        <v>3.2580027268874344E-2</v>
      </c>
      <c r="D432" s="9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</row>
    <row r="433" spans="2:24" x14ac:dyDescent="0.25">
      <c r="B433" s="174">
        <f t="shared" si="6"/>
        <v>4.2799999999999532</v>
      </c>
      <c r="C433" s="121">
        <f>1/DATI!$E$21*IF(B433&lt;DATI!$E$28,DATI!$E$15*DATI!$E$25*DATI!$E$32*DATI!$E$16*(B433/DATI!$E$28+1/(DATI!$E$32*DATI!$E$16)*(1-B433/DATI!$E$28)),IF(B433&lt;DATI!$E$29,DATI!$E$15*DATI!$E$25*DATI!$E$32*DATI!$E$16,IF(B433&lt;DATI!$E$30,DATI!$E$15*DATI!$E$25*DATI!$E$32*DATI!$E$16*(DATI!$E$29/B433),DATI!$E$15*DATI!$E$25*DATI!$E$32*DATI!$E$16*((DATI!$E$29*DATI!$E$30)/B433^2))))</f>
        <v>3.2427962004905393E-2</v>
      </c>
      <c r="D433" s="9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</row>
    <row r="434" spans="2:24" x14ac:dyDescent="0.25">
      <c r="B434" s="174">
        <f t="shared" si="6"/>
        <v>4.289999999999953</v>
      </c>
      <c r="C434" s="121">
        <f>1/DATI!$E$21*IF(B434&lt;DATI!$E$28,DATI!$E$15*DATI!$E$25*DATI!$E$32*DATI!$E$16*(B434/DATI!$E$28+1/(DATI!$E$32*DATI!$E$16)*(1-B434/DATI!$E$28)),IF(B434&lt;DATI!$E$29,DATI!$E$15*DATI!$E$25*DATI!$E$32*DATI!$E$16,IF(B434&lt;DATI!$E$30,DATI!$E$15*DATI!$E$25*DATI!$E$32*DATI!$E$16*(DATI!$E$29/B434),DATI!$E$15*DATI!$E$25*DATI!$E$32*DATI!$E$16*((DATI!$E$29*DATI!$E$30)/B434^2))))</f>
        <v>3.2276958894521278E-2</v>
      </c>
      <c r="D434" s="9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</row>
    <row r="435" spans="2:24" x14ac:dyDescent="0.25">
      <c r="B435" s="174">
        <f t="shared" si="6"/>
        <v>4.2999999999999527</v>
      </c>
      <c r="C435" s="121">
        <f>1/DATI!$E$21*IF(B435&lt;DATI!$E$28,DATI!$E$15*DATI!$E$25*DATI!$E$32*DATI!$E$16*(B435/DATI!$E$28+1/(DATI!$E$32*DATI!$E$16)*(1-B435/DATI!$E$28)),IF(B435&lt;DATI!$E$29,DATI!$E$15*DATI!$E$25*DATI!$E$32*DATI!$E$16,IF(B435&lt;DATI!$E$30,DATI!$E$15*DATI!$E$25*DATI!$E$32*DATI!$E$16*(DATI!$E$29/B435),DATI!$E$15*DATI!$E$25*DATI!$E$32*DATI!$E$16*((DATI!$E$29*DATI!$E$30)/B435^2))))</f>
        <v>3.2127008068721416E-2</v>
      </c>
      <c r="D435" s="9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</row>
    <row r="436" spans="2:24" x14ac:dyDescent="0.25">
      <c r="B436" s="174">
        <f t="shared" si="6"/>
        <v>4.3099999999999525</v>
      </c>
      <c r="C436" s="121">
        <f>1/DATI!$E$21*IF(B436&lt;DATI!$E$28,DATI!$E$15*DATI!$E$25*DATI!$E$32*DATI!$E$16*(B436/DATI!$E$28+1/(DATI!$E$32*DATI!$E$16)*(1-B436/DATI!$E$28)),IF(B436&lt;DATI!$E$29,DATI!$E$15*DATI!$E$25*DATI!$E$32*DATI!$E$16,IF(B436&lt;DATI!$E$30,DATI!$E$15*DATI!$E$25*DATI!$E$32*DATI!$E$16*(DATI!$E$29/B436),DATI!$E$15*DATI!$E$25*DATI!$E$32*DATI!$E$16*((DATI!$E$29*DATI!$E$30)/B436^2))))</f>
        <v>3.1978099772861847E-2</v>
      </c>
      <c r="D436" s="9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</row>
    <row r="437" spans="2:24" x14ac:dyDescent="0.25">
      <c r="B437" s="174">
        <f t="shared" si="6"/>
        <v>4.3199999999999523</v>
      </c>
      <c r="C437" s="121">
        <f>1/DATI!$E$21*IF(B437&lt;DATI!$E$28,DATI!$E$15*DATI!$E$25*DATI!$E$32*DATI!$E$16*(B437/DATI!$E$28+1/(DATI!$E$32*DATI!$E$16)*(1-B437/DATI!$E$28)),IF(B437&lt;DATI!$E$29,DATI!$E$15*DATI!$E$25*DATI!$E$32*DATI!$E$16,IF(B437&lt;DATI!$E$30,DATI!$E$15*DATI!$E$25*DATI!$E$32*DATI!$E$16*(DATI!$E$29/B437),DATI!$E$15*DATI!$E$25*DATI!$E$32*DATI!$E$16*((DATI!$E$29*DATI!$E$30)/B437^2))))</f>
        <v>3.183022436506875E-2</v>
      </c>
      <c r="D437" s="9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</row>
    <row r="438" spans="2:24" x14ac:dyDescent="0.25">
      <c r="B438" s="174">
        <f t="shared" si="6"/>
        <v>4.3299999999999521</v>
      </c>
      <c r="C438" s="121">
        <f>1/DATI!$E$21*IF(B438&lt;DATI!$E$28,DATI!$E$15*DATI!$E$25*DATI!$E$32*DATI!$E$16*(B438/DATI!$E$28+1/(DATI!$E$32*DATI!$E$16)*(1-B438/DATI!$E$28)),IF(B438&lt;DATI!$E$29,DATI!$E$15*DATI!$E$25*DATI!$E$32*DATI!$E$16,IF(B438&lt;DATI!$E$30,DATI!$E$15*DATI!$E$25*DATI!$E$32*DATI!$E$16*(DATI!$E$29/B438),DATI!$E$15*DATI!$E$25*DATI!$E$32*DATI!$E$16*((DATI!$E$29*DATI!$E$30)/B438^2))))</f>
        <v>3.1683372314677612E-2</v>
      </c>
      <c r="D438" s="91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</row>
    <row r="439" spans="2:24" x14ac:dyDescent="0.25">
      <c r="B439" s="174">
        <f t="shared" si="6"/>
        <v>4.3399999999999519</v>
      </c>
      <c r="C439" s="121">
        <f>1/DATI!$E$21*IF(B439&lt;DATI!$E$28,DATI!$E$15*DATI!$E$25*DATI!$E$32*DATI!$E$16*(B439/DATI!$E$28+1/(DATI!$E$32*DATI!$E$16)*(1-B439/DATI!$E$28)),IF(B439&lt;DATI!$E$29,DATI!$E$15*DATI!$E$25*DATI!$E$32*DATI!$E$16,IF(B439&lt;DATI!$E$30,DATI!$E$15*DATI!$E$25*DATI!$E$32*DATI!$E$16*(DATI!$E$29/B439),DATI!$E$15*DATI!$E$25*DATI!$E$32*DATI!$E$16*((DATI!$E$29*DATI!$E$30)/B439^2))))</f>
        <v>3.1537534200697569E-2</v>
      </c>
      <c r="D439" s="91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</row>
    <row r="440" spans="2:24" x14ac:dyDescent="0.25">
      <c r="B440" s="174">
        <f t="shared" si="6"/>
        <v>4.3499999999999517</v>
      </c>
      <c r="C440" s="121">
        <f>1/DATI!$E$21*IF(B440&lt;DATI!$E$28,DATI!$E$15*DATI!$E$25*DATI!$E$32*DATI!$E$16*(B440/DATI!$E$28+1/(DATI!$E$32*DATI!$E$16)*(1-B440/DATI!$E$28)),IF(B440&lt;DATI!$E$29,DATI!$E$15*DATI!$E$25*DATI!$E$32*DATI!$E$16,IF(B440&lt;DATI!$E$30,DATI!$E$15*DATI!$E$25*DATI!$E$32*DATI!$E$16*(DATI!$E$29/B440),DATI!$E$15*DATI!$E$25*DATI!$E$32*DATI!$E$16*((DATI!$E$29*DATI!$E$30)/B440^2))))</f>
        <v>3.139270071030039E-2</v>
      </c>
      <c r="D440" s="9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</row>
    <row r="441" spans="2:24" x14ac:dyDescent="0.25">
      <c r="B441" s="174">
        <f t="shared" si="6"/>
        <v>4.3599999999999515</v>
      </c>
      <c r="C441" s="121">
        <f>1/DATI!$E$21*IF(B441&lt;DATI!$E$28,DATI!$E$15*DATI!$E$25*DATI!$E$32*DATI!$E$16*(B441/DATI!$E$28+1/(DATI!$E$32*DATI!$E$16)*(1-B441/DATI!$E$28)),IF(B441&lt;DATI!$E$29,DATI!$E$15*DATI!$E$25*DATI!$E$32*DATI!$E$16,IF(B441&lt;DATI!$E$30,DATI!$E$15*DATI!$E$25*DATI!$E$32*DATI!$E$16*(DATI!$E$29/B441),DATI!$E$15*DATI!$E$25*DATI!$E$32*DATI!$E$16*((DATI!$E$29*DATI!$E$30)/B441^2))))</f>
        <v>3.124886263733373E-2</v>
      </c>
      <c r="D441" s="91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</row>
    <row r="442" spans="2:24" x14ac:dyDescent="0.25">
      <c r="B442" s="174">
        <f t="shared" si="6"/>
        <v>4.3699999999999513</v>
      </c>
      <c r="C442" s="121">
        <f>1/DATI!$E$21*IF(B442&lt;DATI!$E$28,DATI!$E$15*DATI!$E$25*DATI!$E$32*DATI!$E$16*(B442/DATI!$E$28+1/(DATI!$E$32*DATI!$E$16)*(1-B442/DATI!$E$28)),IF(B442&lt;DATI!$E$29,DATI!$E$15*DATI!$E$25*DATI!$E$32*DATI!$E$16,IF(B442&lt;DATI!$E$30,DATI!$E$15*DATI!$E$25*DATI!$E$32*DATI!$E$16*(DATI!$E$29/B442),DATI!$E$15*DATI!$E$25*DATI!$E$32*DATI!$E$16*((DATI!$E$29*DATI!$E$30)/B442^2))))</f>
        <v>3.1106010880858112E-2</v>
      </c>
      <c r="D442" s="9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</row>
    <row r="443" spans="2:24" x14ac:dyDescent="0.25">
      <c r="B443" s="174">
        <f t="shared" si="6"/>
        <v>4.379999999999951</v>
      </c>
      <c r="C443" s="121">
        <f>1/DATI!$E$21*IF(B443&lt;DATI!$E$28,DATI!$E$15*DATI!$E$25*DATI!$E$32*DATI!$E$16*(B443/DATI!$E$28+1/(DATI!$E$32*DATI!$E$16)*(1-B443/DATI!$E$28)),IF(B443&lt;DATI!$E$29,DATI!$E$15*DATI!$E$25*DATI!$E$32*DATI!$E$16,IF(B443&lt;DATI!$E$30,DATI!$E$15*DATI!$E$25*DATI!$E$32*DATI!$E$16*(DATI!$E$29/B443),DATI!$E$15*DATI!$E$25*DATI!$E$32*DATI!$E$16*((DATI!$E$29*DATI!$E$30)/B443^2))))</f>
        <v>3.0964136443707352E-2</v>
      </c>
      <c r="D443" s="9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</row>
    <row r="444" spans="2:24" x14ac:dyDescent="0.25">
      <c r="B444" s="174">
        <f t="shared" si="6"/>
        <v>4.3899999999999508</v>
      </c>
      <c r="C444" s="121">
        <f>1/DATI!$E$21*IF(B444&lt;DATI!$E$28,DATI!$E$15*DATI!$E$25*DATI!$E$32*DATI!$E$16*(B444/DATI!$E$28+1/(DATI!$E$32*DATI!$E$16)*(1-B444/DATI!$E$28)),IF(B444&lt;DATI!$E$29,DATI!$E$15*DATI!$E$25*DATI!$E$32*DATI!$E$16,IF(B444&lt;DATI!$E$30,DATI!$E$15*DATI!$E$25*DATI!$E$32*DATI!$E$16*(DATI!$E$29/B444),DATI!$E$15*DATI!$E$25*DATI!$E$32*DATI!$E$16*((DATI!$E$29*DATI!$E$30)/B444^2))))</f>
        <v>3.0823230431071824E-2</v>
      </c>
      <c r="D444" s="9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</row>
    <row r="445" spans="2:24" x14ac:dyDescent="0.25">
      <c r="B445" s="174">
        <f t="shared" si="6"/>
        <v>4.3999999999999506</v>
      </c>
      <c r="C445" s="121">
        <f>1/DATI!$E$21*IF(B445&lt;DATI!$E$28,DATI!$E$15*DATI!$E$25*DATI!$E$32*DATI!$E$16*(B445/DATI!$E$28+1/(DATI!$E$32*DATI!$E$16)*(1-B445/DATI!$E$28)),IF(B445&lt;DATI!$E$29,DATI!$E$15*DATI!$E$25*DATI!$E$32*DATI!$E$16,IF(B445&lt;DATI!$E$30,DATI!$E$15*DATI!$E$25*DATI!$E$32*DATI!$E$16*(DATI!$E$29/B445),DATI!$E$15*DATI!$E$25*DATI!$E$32*DATI!$E$16*((DATI!$E$29*DATI!$E$30)/B445^2))))</f>
        <v>3.0683284049104302E-2</v>
      </c>
      <c r="D445" s="9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</row>
    <row r="446" spans="2:24" x14ac:dyDescent="0.25">
      <c r="B446" s="174">
        <f t="shared" si="6"/>
        <v>4.4099999999999504</v>
      </c>
      <c r="C446" s="121">
        <f>1/DATI!$E$21*IF(B446&lt;DATI!$E$28,DATI!$E$15*DATI!$E$25*DATI!$E$32*DATI!$E$16*(B446/DATI!$E$28+1/(DATI!$E$32*DATI!$E$16)*(1-B446/DATI!$E$28)),IF(B446&lt;DATI!$E$29,DATI!$E$15*DATI!$E$25*DATI!$E$32*DATI!$E$16,IF(B446&lt;DATI!$E$30,DATI!$E$15*DATI!$E$25*DATI!$E$32*DATI!$E$16*(DATI!$E$29/B446),DATI!$E$15*DATI!$E$25*DATI!$E$32*DATI!$E$16*((DATI!$E$29*DATI!$E$30)/B446^2))))</f>
        <v>3.0544288603547871E-2</v>
      </c>
      <c r="D446" s="9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</row>
    <row r="447" spans="2:24" x14ac:dyDescent="0.25">
      <c r="B447" s="174">
        <f t="shared" si="6"/>
        <v>4.4199999999999502</v>
      </c>
      <c r="C447" s="121">
        <f>1/DATI!$E$21*IF(B447&lt;DATI!$E$28,DATI!$E$15*DATI!$E$25*DATI!$E$32*DATI!$E$16*(B447/DATI!$E$28+1/(DATI!$E$32*DATI!$E$16)*(1-B447/DATI!$E$28)),IF(B447&lt;DATI!$E$29,DATI!$E$15*DATI!$E$25*DATI!$E$32*DATI!$E$16,IF(B447&lt;DATI!$E$30,DATI!$E$15*DATI!$E$25*DATI!$E$32*DATI!$E$16*(DATI!$E$29/B447),DATI!$E$15*DATI!$E$25*DATI!$E$32*DATI!$E$16*((DATI!$E$29*DATI!$E$30)/B447^2))))</f>
        <v>3.0406235498385541E-2</v>
      </c>
      <c r="D447" s="91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</row>
    <row r="448" spans="2:24" x14ac:dyDescent="0.25">
      <c r="B448" s="174">
        <f t="shared" si="6"/>
        <v>4.42999999999995</v>
      </c>
      <c r="C448" s="121">
        <f>1/DATI!$E$21*IF(B448&lt;DATI!$E$28,DATI!$E$15*DATI!$E$25*DATI!$E$32*DATI!$E$16*(B448/DATI!$E$28+1/(DATI!$E$32*DATI!$E$16)*(1-B448/DATI!$E$28)),IF(B448&lt;DATI!$E$29,DATI!$E$15*DATI!$E$25*DATI!$E$32*DATI!$E$16,IF(B448&lt;DATI!$E$30,DATI!$E$15*DATI!$E$25*DATI!$E$32*DATI!$E$16*(DATI!$E$29/B448),DATI!$E$15*DATI!$E$25*DATI!$E$32*DATI!$E$16*((DATI!$E$29*DATI!$E$30)/B448^2))))</f>
        <v>3.0269116234511229E-2</v>
      </c>
      <c r="D448" s="9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</row>
    <row r="449" spans="2:24" x14ac:dyDescent="0.25">
      <c r="B449" s="174">
        <f t="shared" si="6"/>
        <v>4.4399999999999498</v>
      </c>
      <c r="C449" s="121">
        <f>1/DATI!$E$21*IF(B449&lt;DATI!$E$28,DATI!$E$15*DATI!$E$25*DATI!$E$32*DATI!$E$16*(B449/DATI!$E$28+1/(DATI!$E$32*DATI!$E$16)*(1-B449/DATI!$E$28)),IF(B449&lt;DATI!$E$29,DATI!$E$15*DATI!$E$25*DATI!$E$32*DATI!$E$16,IF(B449&lt;DATI!$E$30,DATI!$E$15*DATI!$E$25*DATI!$E$32*DATI!$E$16*(DATI!$E$29/B449),DATI!$E$15*DATI!$E$25*DATI!$E$32*DATI!$E$16*((DATI!$E$29*DATI!$E$30)/B449^2))))</f>
        <v>3.0132922408421563E-2</v>
      </c>
      <c r="D449" s="9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</row>
    <row r="450" spans="2:24" x14ac:dyDescent="0.25">
      <c r="B450" s="174">
        <f t="shared" si="6"/>
        <v>4.4499999999999496</v>
      </c>
      <c r="C450" s="121">
        <f>1/DATI!$E$21*IF(B450&lt;DATI!$E$28,DATI!$E$15*DATI!$E$25*DATI!$E$32*DATI!$E$16*(B450/DATI!$E$28+1/(DATI!$E$32*DATI!$E$16)*(1-B450/DATI!$E$28)),IF(B450&lt;DATI!$E$29,DATI!$E$15*DATI!$E$25*DATI!$E$32*DATI!$E$16,IF(B450&lt;DATI!$E$30,DATI!$E$15*DATI!$E$25*DATI!$E$32*DATI!$E$16*(DATI!$E$29/B450),DATI!$E$15*DATI!$E$25*DATI!$E$32*DATI!$E$16*((DATI!$E$29*DATI!$E$30)/B450^2))))</f>
        <v>2.9997645710928392E-2</v>
      </c>
      <c r="D450" s="91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</row>
    <row r="451" spans="2:24" x14ac:dyDescent="0.25">
      <c r="B451" s="174">
        <f t="shared" si="6"/>
        <v>4.4599999999999493</v>
      </c>
      <c r="C451" s="121">
        <f>1/DATI!$E$21*IF(B451&lt;DATI!$E$28,DATI!$E$15*DATI!$E$25*DATI!$E$32*DATI!$E$16*(B451/DATI!$E$28+1/(DATI!$E$32*DATI!$E$16)*(1-B451/DATI!$E$28)),IF(B451&lt;DATI!$E$29,DATI!$E$15*DATI!$E$25*DATI!$E$32*DATI!$E$16,IF(B451&lt;DATI!$E$30,DATI!$E$15*DATI!$E$25*DATI!$E$32*DATI!$E$16*(DATI!$E$29/B451),DATI!$E$15*DATI!$E$25*DATI!$E$32*DATI!$E$16*((DATI!$E$29*DATI!$E$30)/B451^2))))</f>
        <v>2.9863277925891305E-2</v>
      </c>
      <c r="D451" s="9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</row>
    <row r="452" spans="2:24" x14ac:dyDescent="0.25">
      <c r="B452" s="174">
        <f t="shared" si="6"/>
        <v>4.4699999999999491</v>
      </c>
      <c r="C452" s="121">
        <f>1/DATI!$E$21*IF(B452&lt;DATI!$E$28,DATI!$E$15*DATI!$E$25*DATI!$E$32*DATI!$E$16*(B452/DATI!$E$28+1/(DATI!$E$32*DATI!$E$16)*(1-B452/DATI!$E$28)),IF(B452&lt;DATI!$E$29,DATI!$E$15*DATI!$E$25*DATI!$E$32*DATI!$E$16,IF(B452&lt;DATI!$E$30,DATI!$E$15*DATI!$E$25*DATI!$E$32*DATI!$E$16*(DATI!$E$29/B452),DATI!$E$15*DATI!$E$25*DATI!$E$32*DATI!$E$16*((DATI!$E$29*DATI!$E$30)/B452^2))))</f>
        <v>2.9729810928970143E-2</v>
      </c>
      <c r="D452" s="9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</row>
    <row r="453" spans="2:24" x14ac:dyDescent="0.25">
      <c r="B453" s="174">
        <f t="shared" si="6"/>
        <v>4.4799999999999489</v>
      </c>
      <c r="C453" s="121">
        <f>1/DATI!$E$21*IF(B453&lt;DATI!$E$28,DATI!$E$15*DATI!$E$25*DATI!$E$32*DATI!$E$16*(B453/DATI!$E$28+1/(DATI!$E$32*DATI!$E$16)*(1-B453/DATI!$E$28)),IF(B453&lt;DATI!$E$29,DATI!$E$15*DATI!$E$25*DATI!$E$32*DATI!$E$16,IF(B453&lt;DATI!$E$30,DATI!$E$15*DATI!$E$25*DATI!$E$32*DATI!$E$16*(DATI!$E$29/B453),DATI!$E$15*DATI!$E$25*DATI!$E$32*DATI!$E$16*((DATI!$E$29*DATI!$E$30)/B453^2))))</f>
        <v>2.9597236686396865E-2</v>
      </c>
      <c r="D453" s="9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</row>
    <row r="454" spans="2:24" x14ac:dyDescent="0.25">
      <c r="B454" s="174">
        <f t="shared" ref="B454:B505" si="7">0.01+B453</f>
        <v>4.4899999999999487</v>
      </c>
      <c r="C454" s="121">
        <f>1/DATI!$E$21*IF(B454&lt;DATI!$E$28,DATI!$E$15*DATI!$E$25*DATI!$E$32*DATI!$E$16*(B454/DATI!$E$28+1/(DATI!$E$32*DATI!$E$16)*(1-B454/DATI!$E$28)),IF(B454&lt;DATI!$E$29,DATI!$E$15*DATI!$E$25*DATI!$E$32*DATI!$E$16,IF(B454&lt;DATI!$E$30,DATI!$E$15*DATI!$E$25*DATI!$E$32*DATI!$E$16*(DATI!$E$29/B454),DATI!$E$15*DATI!$E$25*DATI!$E$32*DATI!$E$16*((DATI!$E$29*DATI!$E$30)/B454^2))))</f>
        <v>2.9465547253766579E-2</v>
      </c>
      <c r="D454" s="9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</row>
    <row r="455" spans="2:24" x14ac:dyDescent="0.25">
      <c r="B455" s="174">
        <f t="shared" si="7"/>
        <v>4.4999999999999485</v>
      </c>
      <c r="C455" s="121">
        <f>1/DATI!$E$21*IF(B455&lt;DATI!$E$28,DATI!$E$15*DATI!$E$25*DATI!$E$32*DATI!$E$16*(B455/DATI!$E$28+1/(DATI!$E$32*DATI!$E$16)*(1-B455/DATI!$E$28)),IF(B455&lt;DATI!$E$29,DATI!$E$15*DATI!$E$25*DATI!$E$32*DATI!$E$16,IF(B455&lt;DATI!$E$30,DATI!$E$15*DATI!$E$25*DATI!$E$32*DATI!$E$16*(DATI!$E$29/B455),DATI!$E$15*DATI!$E$25*DATI!$E$32*DATI!$E$16*((DATI!$E$29*DATI!$E$30)/B455^2))))</f>
        <v>2.9334734774847389E-2</v>
      </c>
      <c r="D455" s="9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</row>
    <row r="456" spans="2:24" x14ac:dyDescent="0.25">
      <c r="B456" s="174">
        <f t="shared" si="7"/>
        <v>4.5099999999999483</v>
      </c>
      <c r="C456" s="121">
        <f>1/DATI!$E$21*IF(B456&lt;DATI!$E$28,DATI!$E$15*DATI!$E$25*DATI!$E$32*DATI!$E$16*(B456/DATI!$E$28+1/(DATI!$E$32*DATI!$E$16)*(1-B456/DATI!$E$28)),IF(B456&lt;DATI!$E$29,DATI!$E$15*DATI!$E$25*DATI!$E$32*DATI!$E$16,IF(B456&lt;DATI!$E$30,DATI!$E$15*DATI!$E$25*DATI!$E$32*DATI!$E$16*(DATI!$E$29/B456),DATI!$E$15*DATI!$E$25*DATI!$E$32*DATI!$E$16*((DATI!$E$29*DATI!$E$30)/B456^2))))</f>
        <v>2.9204791480408634E-2</v>
      </c>
      <c r="D456" s="9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</row>
    <row r="457" spans="2:24" x14ac:dyDescent="0.25">
      <c r="B457" s="174">
        <f t="shared" si="7"/>
        <v>4.5199999999999481</v>
      </c>
      <c r="C457" s="121">
        <f>1/DATI!$E$21*IF(B457&lt;DATI!$E$28,DATI!$E$15*DATI!$E$25*DATI!$E$32*DATI!$E$16*(B457/DATI!$E$28+1/(DATI!$E$32*DATI!$E$16)*(1-B457/DATI!$E$28)),IF(B457&lt;DATI!$E$29,DATI!$E$15*DATI!$E$25*DATI!$E$32*DATI!$E$16,IF(B457&lt;DATI!$E$30,DATI!$E$15*DATI!$E$25*DATI!$E$32*DATI!$E$16*(DATI!$E$29/B457),DATI!$E$15*DATI!$E$25*DATI!$E$32*DATI!$E$16*((DATI!$E$29*DATI!$E$30)/B457^2))))</f>
        <v>2.9075709687067294E-2</v>
      </c>
      <c r="D457" s="9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</row>
    <row r="458" spans="2:24" x14ac:dyDescent="0.25">
      <c r="B458" s="174">
        <f t="shared" si="7"/>
        <v>4.5299999999999478</v>
      </c>
      <c r="C458" s="121">
        <f>1/DATI!$E$21*IF(B458&lt;DATI!$E$28,DATI!$E$15*DATI!$E$25*DATI!$E$32*DATI!$E$16*(B458/DATI!$E$28+1/(DATI!$E$32*DATI!$E$16)*(1-B458/DATI!$E$28)),IF(B458&lt;DATI!$E$29,DATI!$E$15*DATI!$E$25*DATI!$E$32*DATI!$E$16,IF(B458&lt;DATI!$E$30,DATI!$E$15*DATI!$E$25*DATI!$E$32*DATI!$E$16*(DATI!$E$29/B458),DATI!$E$15*DATI!$E$25*DATI!$E$32*DATI!$E$16*((DATI!$E$29*DATI!$E$30)/B458^2))))</f>
        <v>2.89474817961522E-2</v>
      </c>
      <c r="D458" s="9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</row>
    <row r="459" spans="2:24" x14ac:dyDescent="0.25">
      <c r="B459" s="174">
        <f t="shared" si="7"/>
        <v>4.5399999999999476</v>
      </c>
      <c r="C459" s="121">
        <f>1/DATI!$E$21*IF(B459&lt;DATI!$E$28,DATI!$E$15*DATI!$E$25*DATI!$E$32*DATI!$E$16*(B459/DATI!$E$28+1/(DATI!$E$32*DATI!$E$16)*(1-B459/DATI!$E$28)),IF(B459&lt;DATI!$E$29,DATI!$E$15*DATI!$E$25*DATI!$E$32*DATI!$E$16,IF(B459&lt;DATI!$E$30,DATI!$E$15*DATI!$E$25*DATI!$E$32*DATI!$E$16*(DATI!$E$29/B459),DATI!$E$15*DATI!$E$25*DATI!$E$32*DATI!$E$16*((DATI!$E$29*DATI!$E$30)/B459^2))))</f>
        <v>2.8820100292585721E-2</v>
      </c>
      <c r="D459" s="9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</row>
    <row r="460" spans="2:24" x14ac:dyDescent="0.25">
      <c r="B460" s="174">
        <f t="shared" si="7"/>
        <v>4.5499999999999474</v>
      </c>
      <c r="C460" s="121">
        <f>1/DATI!$E$21*IF(B460&lt;DATI!$E$28,DATI!$E$15*DATI!$E$25*DATI!$E$32*DATI!$E$16*(B460/DATI!$E$28+1/(DATI!$E$32*DATI!$E$16)*(1-B460/DATI!$E$28)),IF(B460&lt;DATI!$E$29,DATI!$E$15*DATI!$E$25*DATI!$E$32*DATI!$E$16,IF(B460&lt;DATI!$E$30,DATI!$E$15*DATI!$E$25*DATI!$E$32*DATI!$E$16*(DATI!$E$29/B460),DATI!$E$15*DATI!$E$25*DATI!$E$32*DATI!$E$16*((DATI!$E$29*DATI!$E$30)/B460^2))))</f>
        <v>2.8693557743782624E-2</v>
      </c>
      <c r="D460" s="9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</row>
    <row r="461" spans="2:24" x14ac:dyDescent="0.25">
      <c r="B461" s="174">
        <f t="shared" si="7"/>
        <v>4.5599999999999472</v>
      </c>
      <c r="C461" s="121">
        <f>1/DATI!$E$21*IF(B461&lt;DATI!$E$28,DATI!$E$15*DATI!$E$25*DATI!$E$32*DATI!$E$16*(B461/DATI!$E$28+1/(DATI!$E$32*DATI!$E$16)*(1-B461/DATI!$E$28)),IF(B461&lt;DATI!$E$29,DATI!$E$15*DATI!$E$25*DATI!$E$32*DATI!$E$16,IF(B461&lt;DATI!$E$30,DATI!$E$15*DATI!$E$25*DATI!$E$32*DATI!$E$16*(DATI!$E$29/B461),DATI!$E$15*DATI!$E$25*DATI!$E$32*DATI!$E$16*((DATI!$E$29*DATI!$E$30)/B461^2))))</f>
        <v>2.8567846798565891E-2</v>
      </c>
      <c r="D461" s="9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</row>
    <row r="462" spans="2:24" x14ac:dyDescent="0.25">
      <c r="B462" s="174">
        <f t="shared" si="7"/>
        <v>4.569999999999947</v>
      </c>
      <c r="C462" s="121">
        <f>1/DATI!$E$21*IF(B462&lt;DATI!$E$28,DATI!$E$15*DATI!$E$25*DATI!$E$32*DATI!$E$16*(B462/DATI!$E$28+1/(DATI!$E$32*DATI!$E$16)*(1-B462/DATI!$E$28)),IF(B462&lt;DATI!$E$29,DATI!$E$15*DATI!$E$25*DATI!$E$32*DATI!$E$16,IF(B462&lt;DATI!$E$30,DATI!$E$15*DATI!$E$25*DATI!$E$32*DATI!$E$16*(DATI!$E$29/B462),DATI!$E$15*DATI!$E$25*DATI!$E$32*DATI!$E$16*((DATI!$E$29*DATI!$E$30)/B462^2))))</f>
        <v>2.8442960186099042E-2</v>
      </c>
      <c r="D462" s="9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</row>
    <row r="463" spans="2:24" x14ac:dyDescent="0.25">
      <c r="B463" s="174">
        <f t="shared" si="7"/>
        <v>4.5799999999999468</v>
      </c>
      <c r="C463" s="121">
        <f>1/DATI!$E$21*IF(B463&lt;DATI!$E$28,DATI!$E$15*DATI!$E$25*DATI!$E$32*DATI!$E$16*(B463/DATI!$E$28+1/(DATI!$E$32*DATI!$E$16)*(1-B463/DATI!$E$28)),IF(B463&lt;DATI!$E$29,DATI!$E$15*DATI!$E$25*DATI!$E$32*DATI!$E$16,IF(B463&lt;DATI!$E$30,DATI!$E$15*DATI!$E$25*DATI!$E$32*DATI!$E$16*(DATI!$E$29/B463),DATI!$E$15*DATI!$E$25*DATI!$E$32*DATI!$E$16*((DATI!$E$29*DATI!$E$30)/B463^2))))</f>
        <v>2.8318890714834753E-2</v>
      </c>
      <c r="D463" s="9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</row>
    <row r="464" spans="2:24" x14ac:dyDescent="0.25">
      <c r="B464" s="174">
        <f t="shared" si="7"/>
        <v>4.5899999999999466</v>
      </c>
      <c r="C464" s="121">
        <f>1/DATI!$E$21*IF(B464&lt;DATI!$E$28,DATI!$E$15*DATI!$E$25*DATI!$E$32*DATI!$E$16*(B464/DATI!$E$28+1/(DATI!$E$32*DATI!$E$16)*(1-B464/DATI!$E$28)),IF(B464&lt;DATI!$E$29,DATI!$E$15*DATI!$E$25*DATI!$E$32*DATI!$E$16,IF(B464&lt;DATI!$E$30,DATI!$E$15*DATI!$E$25*DATI!$E$32*DATI!$E$16*(DATI!$E$29/B464),DATI!$E$15*DATI!$E$25*DATI!$E$32*DATI!$E$16*((DATI!$E$29*DATI!$E$30)/B464^2))))</f>
        <v>2.8195631271479619E-2</v>
      </c>
      <c r="D464" s="9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</row>
    <row r="465" spans="2:24" x14ac:dyDescent="0.25">
      <c r="B465" s="174">
        <f t="shared" si="7"/>
        <v>4.5999999999999464</v>
      </c>
      <c r="C465" s="121">
        <f>1/DATI!$E$21*IF(B465&lt;DATI!$E$28,DATI!$E$15*DATI!$E$25*DATI!$E$32*DATI!$E$16*(B465/DATI!$E$28+1/(DATI!$E$32*DATI!$E$16)*(1-B465/DATI!$E$28)),IF(B465&lt;DATI!$E$29,DATI!$E$15*DATI!$E$25*DATI!$E$32*DATI!$E$16,IF(B465&lt;DATI!$E$30,DATI!$E$15*DATI!$E$25*DATI!$E$32*DATI!$E$16*(DATI!$E$29/B465),DATI!$E$15*DATI!$E$25*DATI!$E$32*DATI!$E$16*((DATI!$E$29*DATI!$E$30)/B465^2))))</f>
        <v>2.8073174819974473E-2</v>
      </c>
      <c r="D465" s="9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</row>
    <row r="466" spans="2:24" x14ac:dyDescent="0.25">
      <c r="B466" s="174">
        <f t="shared" si="7"/>
        <v>4.6099999999999461</v>
      </c>
      <c r="C466" s="121">
        <f>1/DATI!$E$21*IF(B466&lt;DATI!$E$28,DATI!$E$15*DATI!$E$25*DATI!$E$32*DATI!$E$16*(B466/DATI!$E$28+1/(DATI!$E$32*DATI!$E$16)*(1-B466/DATI!$E$28)),IF(B466&lt;DATI!$E$29,DATI!$E$15*DATI!$E$25*DATI!$E$32*DATI!$E$16,IF(B466&lt;DATI!$E$30,DATI!$E$15*DATI!$E$25*DATI!$E$32*DATI!$E$16*(DATI!$E$29/B466),DATI!$E$15*DATI!$E$25*DATI!$E$32*DATI!$E$16*((DATI!$E$29*DATI!$E$30)/B466^2))))</f>
        <v>2.7951514400490297E-2</v>
      </c>
      <c r="D466" s="9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</row>
    <row r="467" spans="2:24" x14ac:dyDescent="0.25">
      <c r="B467" s="174">
        <f t="shared" si="7"/>
        <v>4.6199999999999459</v>
      </c>
      <c r="C467" s="121">
        <f>1/DATI!$E$21*IF(B467&lt;DATI!$E$28,DATI!$E$15*DATI!$E$25*DATI!$E$32*DATI!$E$16*(B467/DATI!$E$28+1/(DATI!$E$32*DATI!$E$16)*(1-B467/DATI!$E$28)),IF(B467&lt;DATI!$E$29,DATI!$E$15*DATI!$E$25*DATI!$E$32*DATI!$E$16,IF(B467&lt;DATI!$E$30,DATI!$E$15*DATI!$E$25*DATI!$E$32*DATI!$E$16*(DATI!$E$29/B467),DATI!$E$15*DATI!$E$25*DATI!$E$32*DATI!$E$16*((DATI!$E$29*DATI!$E$30)/B467^2))))</f>
        <v>2.7830643128439306E-2</v>
      </c>
      <c r="D467" s="9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</row>
    <row r="468" spans="2:24" x14ac:dyDescent="0.25">
      <c r="B468" s="174">
        <f t="shared" si="7"/>
        <v>4.6299999999999457</v>
      </c>
      <c r="C468" s="121">
        <f>1/DATI!$E$21*IF(B468&lt;DATI!$E$28,DATI!$E$15*DATI!$E$25*DATI!$E$32*DATI!$E$16*(B468/DATI!$E$28+1/(DATI!$E$32*DATI!$E$16)*(1-B468/DATI!$E$28)),IF(B468&lt;DATI!$E$29,DATI!$E$15*DATI!$E$25*DATI!$E$32*DATI!$E$16,IF(B468&lt;DATI!$E$30,DATI!$E$15*DATI!$E$25*DATI!$E$32*DATI!$E$16*(DATI!$E$29/B468),DATI!$E$15*DATI!$E$25*DATI!$E$32*DATI!$E$16*((DATI!$E$29*DATI!$E$30)/B468^2))))</f>
        <v>2.7710554193500925E-2</v>
      </c>
      <c r="D468" s="9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</row>
    <row r="469" spans="2:24" x14ac:dyDescent="0.25">
      <c r="B469" s="174">
        <f t="shared" si="7"/>
        <v>4.6399999999999455</v>
      </c>
      <c r="C469" s="121">
        <f>1/DATI!$E$21*IF(B469&lt;DATI!$E$28,DATI!$E$15*DATI!$E$25*DATI!$E$32*DATI!$E$16*(B469/DATI!$E$28+1/(DATI!$E$32*DATI!$E$16)*(1-B469/DATI!$E$28)),IF(B469&lt;DATI!$E$29,DATI!$E$15*DATI!$E$25*DATI!$E$32*DATI!$E$16,IF(B469&lt;DATI!$E$30,DATI!$E$15*DATI!$E$25*DATI!$E$32*DATI!$E$16*(DATI!$E$29/B469),DATI!$E$15*DATI!$E$25*DATI!$E$32*DATI!$E$16*((DATI!$E$29*DATI!$E$30)/B469^2))))</f>
        <v>2.7591240858662491E-2</v>
      </c>
      <c r="D469" s="9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</row>
    <row r="470" spans="2:24" x14ac:dyDescent="0.25">
      <c r="B470" s="174">
        <f t="shared" si="7"/>
        <v>4.6499999999999453</v>
      </c>
      <c r="C470" s="121">
        <f>1/DATI!$E$21*IF(B470&lt;DATI!$E$28,DATI!$E$15*DATI!$E$25*DATI!$E$32*DATI!$E$16*(B470/DATI!$E$28+1/(DATI!$E$32*DATI!$E$16)*(1-B470/DATI!$E$28)),IF(B470&lt;DATI!$E$29,DATI!$E$15*DATI!$E$25*DATI!$E$32*DATI!$E$16,IF(B470&lt;DATI!$E$30,DATI!$E$15*DATI!$E$25*DATI!$E$32*DATI!$E$16*(DATI!$E$29/B470),DATI!$E$15*DATI!$E$25*DATI!$E$32*DATI!$E$16*((DATI!$E$29*DATI!$E$30)/B470^2))))</f>
        <v>2.747269645927437E-2</v>
      </c>
      <c r="D470" s="9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</row>
    <row r="471" spans="2:24" x14ac:dyDescent="0.25">
      <c r="B471" s="174">
        <f t="shared" si="7"/>
        <v>4.6599999999999451</v>
      </c>
      <c r="C471" s="121">
        <f>1/DATI!$E$21*IF(B471&lt;DATI!$E$28,DATI!$E$15*DATI!$E$25*DATI!$E$32*DATI!$E$16*(B471/DATI!$E$28+1/(DATI!$E$32*DATI!$E$16)*(1-B471/DATI!$E$28)),IF(B471&lt;DATI!$E$29,DATI!$E$15*DATI!$E$25*DATI!$E$32*DATI!$E$16,IF(B471&lt;DATI!$E$30,DATI!$E$15*DATI!$E$25*DATI!$E$32*DATI!$E$16*(DATI!$E$29/B471),DATI!$E$15*DATI!$E$25*DATI!$E$32*DATI!$E$16*((DATI!$E$29*DATI!$E$30)/B471^2))))</f>
        <v>2.7354914402119217E-2</v>
      </c>
      <c r="D471" s="9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</row>
    <row r="472" spans="2:24" x14ac:dyDescent="0.25">
      <c r="B472" s="174">
        <f t="shared" si="7"/>
        <v>4.6699999999999449</v>
      </c>
      <c r="C472" s="121">
        <f>1/DATI!$E$21*IF(B472&lt;DATI!$E$28,DATI!$E$15*DATI!$E$25*DATI!$E$32*DATI!$E$16*(B472/DATI!$E$28+1/(DATI!$E$32*DATI!$E$16)*(1-B472/DATI!$E$28)),IF(B472&lt;DATI!$E$29,DATI!$E$15*DATI!$E$25*DATI!$E$32*DATI!$E$16,IF(B472&lt;DATI!$E$30,DATI!$E$15*DATI!$E$25*DATI!$E$32*DATI!$E$16*(DATI!$E$29/B472),DATI!$E$15*DATI!$E$25*DATI!$E$32*DATI!$E$16*((DATI!$E$29*DATI!$E$30)/B472^2))))</f>
        <v>2.7237888164495228E-2</v>
      </c>
      <c r="D472" s="9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</row>
    <row r="473" spans="2:24" x14ac:dyDescent="0.25">
      <c r="B473" s="174">
        <f t="shared" si="7"/>
        <v>4.6799999999999446</v>
      </c>
      <c r="C473" s="121">
        <f>1/DATI!$E$21*IF(B473&lt;DATI!$E$28,DATI!$E$15*DATI!$E$25*DATI!$E$32*DATI!$E$16*(B473/DATI!$E$28+1/(DATI!$E$32*DATI!$E$16)*(1-B473/DATI!$E$28)),IF(B473&lt;DATI!$E$29,DATI!$E$15*DATI!$E$25*DATI!$E$32*DATI!$E$16,IF(B473&lt;DATI!$E$30,DATI!$E$15*DATI!$E$25*DATI!$E$32*DATI!$E$16*(DATI!$E$29/B473),DATI!$E$15*DATI!$E$25*DATI!$E$32*DATI!$E$16*((DATI!$E$29*DATI!$E$30)/B473^2))))</f>
        <v>2.7121611293313065E-2</v>
      </c>
      <c r="D473" s="9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</row>
    <row r="474" spans="2:24" x14ac:dyDescent="0.25">
      <c r="B474" s="174">
        <f t="shared" si="7"/>
        <v>4.6899999999999444</v>
      </c>
      <c r="C474" s="121">
        <f>1/DATI!$E$21*IF(B474&lt;DATI!$E$28,DATI!$E$15*DATI!$E$25*DATI!$E$32*DATI!$E$16*(B474/DATI!$E$28+1/(DATI!$E$32*DATI!$E$16)*(1-B474/DATI!$E$28)),IF(B474&lt;DATI!$E$29,DATI!$E$15*DATI!$E$25*DATI!$E$32*DATI!$E$16,IF(B474&lt;DATI!$E$30,DATI!$E$15*DATI!$E$25*DATI!$E$32*DATI!$E$16*(DATI!$E$29/B474),DATI!$E$15*DATI!$E$25*DATI!$E$32*DATI!$E$16*((DATI!$E$29*DATI!$E$30)/B474^2))))</f>
        <v>2.7006077404206203E-2</v>
      </c>
      <c r="D474" s="9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</row>
    <row r="475" spans="2:24" x14ac:dyDescent="0.25">
      <c r="B475" s="174">
        <f t="shared" si="7"/>
        <v>4.6999999999999442</v>
      </c>
      <c r="C475" s="121">
        <f>1/DATI!$E$21*IF(B475&lt;DATI!$E$28,DATI!$E$15*DATI!$E$25*DATI!$E$32*DATI!$E$16*(B475/DATI!$E$28+1/(DATI!$E$32*DATI!$E$16)*(1-B475/DATI!$E$28)),IF(B475&lt;DATI!$E$29,DATI!$E$15*DATI!$E$25*DATI!$E$32*DATI!$E$16,IF(B475&lt;DATI!$E$30,DATI!$E$15*DATI!$E$25*DATI!$E$32*DATI!$E$16*(DATI!$E$29/B475),DATI!$E$15*DATI!$E$25*DATI!$E$32*DATI!$E$16*((DATI!$E$29*DATI!$E$30)/B475^2))))</f>
        <v>2.6891280180654599E-2</v>
      </c>
      <c r="D475" s="9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</row>
    <row r="476" spans="2:24" x14ac:dyDescent="0.25">
      <c r="B476" s="174">
        <f t="shared" si="7"/>
        <v>4.709999999999944</v>
      </c>
      <c r="C476" s="121">
        <f>1/DATI!$E$21*IF(B476&lt;DATI!$E$28,DATI!$E$15*DATI!$E$25*DATI!$E$32*DATI!$E$16*(B476/DATI!$E$28+1/(DATI!$E$32*DATI!$E$16)*(1-B476/DATI!$E$28)),IF(B476&lt;DATI!$E$29,DATI!$E$15*DATI!$E$25*DATI!$E$32*DATI!$E$16,IF(B476&lt;DATI!$E$30,DATI!$E$15*DATI!$E$25*DATI!$E$32*DATI!$E$16*(DATI!$E$29/B476),DATI!$E$15*DATI!$E$25*DATI!$E$32*DATI!$E$16*((DATI!$E$29*DATI!$E$30)/B476^2))))</f>
        <v>2.6777213373121295E-2</v>
      </c>
      <c r="D476" s="9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</row>
    <row r="477" spans="2:24" x14ac:dyDescent="0.25">
      <c r="B477" s="174">
        <f t="shared" si="7"/>
        <v>4.7199999999999438</v>
      </c>
      <c r="C477" s="121">
        <f>1/DATI!$E$21*IF(B477&lt;DATI!$E$28,DATI!$E$15*DATI!$E$25*DATI!$E$32*DATI!$E$16*(B477/DATI!$E$28+1/(DATI!$E$32*DATI!$E$16)*(1-B477/DATI!$E$28)),IF(B477&lt;DATI!$E$29,DATI!$E$15*DATI!$E$25*DATI!$E$32*DATI!$E$16,IF(B477&lt;DATI!$E$30,DATI!$E$15*DATI!$E$25*DATI!$E$32*DATI!$E$16*(DATI!$E$29/B477),DATI!$E$15*DATI!$E$25*DATI!$E$32*DATI!$E$16*((DATI!$E$29*DATI!$E$30)/B477^2))))</f>
        <v>2.6663870798201851E-2</v>
      </c>
      <c r="D477" s="9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</row>
    <row r="478" spans="2:24" x14ac:dyDescent="0.25">
      <c r="B478" s="174">
        <f t="shared" si="7"/>
        <v>4.7299999999999436</v>
      </c>
      <c r="C478" s="121">
        <f>1/DATI!$E$21*IF(B478&lt;DATI!$E$28,DATI!$E$15*DATI!$E$25*DATI!$E$32*DATI!$E$16*(B478/DATI!$E$28+1/(DATI!$E$32*DATI!$E$16)*(1-B478/DATI!$E$28)),IF(B478&lt;DATI!$E$29,DATI!$E$15*DATI!$E$25*DATI!$E$32*DATI!$E$16,IF(B478&lt;DATI!$E$30,DATI!$E$15*DATI!$E$25*DATI!$E$32*DATI!$E$16*(DATI!$E$29/B478),DATI!$E$15*DATI!$E$25*DATI!$E$32*DATI!$E$16*((DATI!$E$29*DATI!$E$30)/B478^2))))</f>
        <v>2.6551246337786352E-2</v>
      </c>
      <c r="D478" s="9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</row>
    <row r="479" spans="2:24" x14ac:dyDescent="0.25">
      <c r="B479" s="174">
        <f t="shared" si="7"/>
        <v>4.7399999999999434</v>
      </c>
      <c r="C479" s="121">
        <f>1/DATI!$E$21*IF(B479&lt;DATI!$E$28,DATI!$E$15*DATI!$E$25*DATI!$E$32*DATI!$E$16*(B479/DATI!$E$28+1/(DATI!$E$32*DATI!$E$16)*(1-B479/DATI!$E$28)),IF(B479&lt;DATI!$E$29,DATI!$E$15*DATI!$E$25*DATI!$E$32*DATI!$E$16,IF(B479&lt;DATI!$E$30,DATI!$E$15*DATI!$E$25*DATI!$E$32*DATI!$E$16*(DATI!$E$29/B479),DATI!$E$15*DATI!$E$25*DATI!$E$32*DATI!$E$16*((DATI!$E$29*DATI!$E$30)/B479^2))))</f>
        <v>2.6439333938233733E-2</v>
      </c>
      <c r="D479" s="9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</row>
    <row r="480" spans="2:24" x14ac:dyDescent="0.25">
      <c r="B480" s="174">
        <f t="shared" si="7"/>
        <v>4.7499999999999432</v>
      </c>
      <c r="C480" s="121">
        <f>1/DATI!$E$21*IF(B480&lt;DATI!$E$28,DATI!$E$15*DATI!$E$25*DATI!$E$32*DATI!$E$16*(B480/DATI!$E$28+1/(DATI!$E$32*DATI!$E$16)*(1-B480/DATI!$E$28)),IF(B480&lt;DATI!$E$29,DATI!$E$15*DATI!$E$25*DATI!$E$32*DATI!$E$16,IF(B480&lt;DATI!$E$30,DATI!$E$15*DATI!$E$25*DATI!$E$32*DATI!$E$16*(DATI!$E$29/B480),DATI!$E$15*DATI!$E$25*DATI!$E$32*DATI!$E$16*((DATI!$E$29*DATI!$E$30)/B480^2))))</f>
        <v>2.6328127609558348E-2</v>
      </c>
      <c r="D480" s="9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</row>
    <row r="481" spans="2:24" x14ac:dyDescent="0.25">
      <c r="B481" s="174">
        <f t="shared" si="7"/>
        <v>4.7599999999999429</v>
      </c>
      <c r="C481" s="121">
        <f>1/DATI!$E$21*IF(B481&lt;DATI!$E$28,DATI!$E$15*DATI!$E$25*DATI!$E$32*DATI!$E$16*(B481/DATI!$E$28+1/(DATI!$E$32*DATI!$E$16)*(1-B481/DATI!$E$28)),IF(B481&lt;DATI!$E$29,DATI!$E$15*DATI!$E$25*DATI!$E$32*DATI!$E$16,IF(B481&lt;DATI!$E$30,DATI!$E$15*DATI!$E$25*DATI!$E$32*DATI!$E$16*(DATI!$E$29/B481),DATI!$E$15*DATI!$E$25*DATI!$E$32*DATI!$E$16*((DATI!$E$29*DATI!$E$30)/B481^2))))</f>
        <v>2.6217621424628391E-2</v>
      </c>
      <c r="D481" s="9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</row>
    <row r="482" spans="2:24" x14ac:dyDescent="0.25">
      <c r="B482" s="174">
        <f t="shared" si="7"/>
        <v>4.7699999999999427</v>
      </c>
      <c r="C482" s="121">
        <f>1/DATI!$E$21*IF(B482&lt;DATI!$E$28,DATI!$E$15*DATI!$E$25*DATI!$E$32*DATI!$E$16*(B482/DATI!$E$28+1/(DATI!$E$32*DATI!$E$16)*(1-B482/DATI!$E$28)),IF(B482&lt;DATI!$E$29,DATI!$E$15*DATI!$E$25*DATI!$E$32*DATI!$E$16,IF(B482&lt;DATI!$E$30,DATI!$E$15*DATI!$E$25*DATI!$E$32*DATI!$E$16*(DATI!$E$29/B482),DATI!$E$15*DATI!$E$25*DATI!$E$32*DATI!$E$16*((DATI!$E$29*DATI!$E$30)/B482^2))))</f>
        <v>2.6107809518376133E-2</v>
      </c>
      <c r="D482" s="9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</row>
    <row r="483" spans="2:24" x14ac:dyDescent="0.25">
      <c r="B483" s="174">
        <f t="shared" si="7"/>
        <v>4.7799999999999425</v>
      </c>
      <c r="C483" s="121">
        <f>1/DATI!$E$21*IF(B483&lt;DATI!$E$28,DATI!$E$15*DATI!$E$25*DATI!$E$32*DATI!$E$16*(B483/DATI!$E$28+1/(DATI!$E$32*DATI!$E$16)*(1-B483/DATI!$E$28)),IF(B483&lt;DATI!$E$29,DATI!$E$15*DATI!$E$25*DATI!$E$32*DATI!$E$16,IF(B483&lt;DATI!$E$30,DATI!$E$15*DATI!$E$25*DATI!$E$32*DATI!$E$16*(DATI!$E$29/B483),DATI!$E$15*DATI!$E$25*DATI!$E$32*DATI!$E$16*((DATI!$E$29*DATI!$E$30)/B483^2))))</f>
        <v>2.5998686087019673E-2</v>
      </c>
      <c r="D483" s="9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</row>
    <row r="484" spans="2:24" x14ac:dyDescent="0.25">
      <c r="B484" s="174">
        <f t="shared" si="7"/>
        <v>4.7899999999999423</v>
      </c>
      <c r="C484" s="121">
        <f>1/DATI!$E$21*IF(B484&lt;DATI!$E$28,DATI!$E$15*DATI!$E$25*DATI!$E$32*DATI!$E$16*(B484/DATI!$E$28+1/(DATI!$E$32*DATI!$E$16)*(1-B484/DATI!$E$28)),IF(B484&lt;DATI!$E$29,DATI!$E$15*DATI!$E$25*DATI!$E$32*DATI!$E$16,IF(B484&lt;DATI!$E$30,DATI!$E$15*DATI!$E$25*DATI!$E$32*DATI!$E$16*(DATI!$E$29/B484),DATI!$E$15*DATI!$E$25*DATI!$E$32*DATI!$E$16*((DATI!$E$29*DATI!$E$30)/B484^2))))</f>
        <v>2.589024538729609E-2</v>
      </c>
      <c r="D484" s="9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</row>
    <row r="485" spans="2:24" x14ac:dyDescent="0.25">
      <c r="B485" s="174">
        <f t="shared" si="7"/>
        <v>4.7999999999999421</v>
      </c>
      <c r="C485" s="121">
        <f>1/DATI!$E$21*IF(B485&lt;DATI!$E$28,DATI!$E$15*DATI!$E$25*DATI!$E$32*DATI!$E$16*(B485/DATI!$E$28+1/(DATI!$E$32*DATI!$E$16)*(1-B485/DATI!$E$28)),IF(B485&lt;DATI!$E$29,DATI!$E$15*DATI!$E$25*DATI!$E$32*DATI!$E$16,IF(B485&lt;DATI!$E$30,DATI!$E$15*DATI!$E$25*DATI!$E$32*DATI!$E$16*(DATI!$E$29/B485),DATI!$E$15*DATI!$E$25*DATI!$E$32*DATI!$E$16*((DATI!$E$29*DATI!$E$30)/B485^2))))</f>
        <v>2.5782481735705739E-2</v>
      </c>
      <c r="D485" s="9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</row>
    <row r="486" spans="2:24" x14ac:dyDescent="0.25">
      <c r="B486" s="174">
        <f t="shared" si="7"/>
        <v>4.8099999999999419</v>
      </c>
      <c r="C486" s="121">
        <f>1/DATI!$E$21*IF(B486&lt;DATI!$E$28,DATI!$E$15*DATI!$E$25*DATI!$E$32*DATI!$E$16*(B486/DATI!$E$28+1/(DATI!$E$32*DATI!$E$16)*(1-B486/DATI!$E$28)),IF(B486&lt;DATI!$E$29,DATI!$E$15*DATI!$E$25*DATI!$E$32*DATI!$E$16,IF(B486&lt;DATI!$E$30,DATI!$E$15*DATI!$E$25*DATI!$E$32*DATI!$E$16*(DATI!$E$29/B486),DATI!$E$15*DATI!$E$25*DATI!$E$32*DATI!$E$16*((DATI!$E$29*DATI!$E$30)/B486^2))))</f>
        <v>2.5675389507767529E-2</v>
      </c>
      <c r="D486" s="91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</row>
    <row r="487" spans="2:24" x14ac:dyDescent="0.25">
      <c r="B487" s="174">
        <f t="shared" si="7"/>
        <v>4.8199999999999417</v>
      </c>
      <c r="C487" s="121">
        <f>1/DATI!$E$21*IF(B487&lt;DATI!$E$28,DATI!$E$15*DATI!$E$25*DATI!$E$32*DATI!$E$16*(B487/DATI!$E$28+1/(DATI!$E$32*DATI!$E$16)*(1-B487/DATI!$E$28)),IF(B487&lt;DATI!$E$29,DATI!$E$15*DATI!$E$25*DATI!$E$32*DATI!$E$16,IF(B487&lt;DATI!$E$30,DATI!$E$15*DATI!$E$25*DATI!$E$32*DATI!$E$16*(DATI!$E$29/B487),DATI!$E$15*DATI!$E$25*DATI!$E$32*DATI!$E$16*((DATI!$E$29*DATI!$E$30)/B487^2))))</f>
        <v>2.5568963137285017E-2</v>
      </c>
      <c r="D487" s="91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</row>
    <row r="488" spans="2:24" x14ac:dyDescent="0.25">
      <c r="B488" s="174">
        <f t="shared" si="7"/>
        <v>4.8299999999999415</v>
      </c>
      <c r="C488" s="121">
        <f>1/DATI!$E$21*IF(B488&lt;DATI!$E$28,DATI!$E$15*DATI!$E$25*DATI!$E$32*DATI!$E$16*(B488/DATI!$E$28+1/(DATI!$E$32*DATI!$E$16)*(1-B488/DATI!$E$28)),IF(B488&lt;DATI!$E$29,DATI!$E$15*DATI!$E$25*DATI!$E$32*DATI!$E$16,IF(B488&lt;DATI!$E$30,DATI!$E$15*DATI!$E$25*DATI!$E$32*DATI!$E$16*(DATI!$E$29/B488),DATI!$E$15*DATI!$E$25*DATI!$E$32*DATI!$E$16*((DATI!$E$29*DATI!$E$30)/B488^2))))</f>
        <v>2.5463197115623126E-2</v>
      </c>
      <c r="D488" s="9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</row>
    <row r="489" spans="2:24" x14ac:dyDescent="0.25">
      <c r="B489" s="174">
        <f t="shared" si="7"/>
        <v>4.8399999999999412</v>
      </c>
      <c r="C489" s="121">
        <f>1/DATI!$E$21*IF(B489&lt;DATI!$E$28,DATI!$E$15*DATI!$E$25*DATI!$E$32*DATI!$E$16*(B489/DATI!$E$28+1/(DATI!$E$32*DATI!$E$16)*(1-B489/DATI!$E$28)),IF(B489&lt;DATI!$E$29,DATI!$E$15*DATI!$E$25*DATI!$E$32*DATI!$E$16,IF(B489&lt;DATI!$E$30,DATI!$E$15*DATI!$E$25*DATI!$E$32*DATI!$E$16*(DATI!$E$29/B489),DATI!$E$15*DATI!$E$25*DATI!$E$32*DATI!$E$16*((DATI!$E$29*DATI!$E$30)/B489^2))))</f>
        <v>2.535808599099534E-2</v>
      </c>
      <c r="D489" s="9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</row>
    <row r="490" spans="2:24" x14ac:dyDescent="0.25">
      <c r="B490" s="174">
        <f t="shared" si="7"/>
        <v>4.849999999999941</v>
      </c>
      <c r="C490" s="121">
        <f>1/DATI!$E$21*IF(B490&lt;DATI!$E$28,DATI!$E$15*DATI!$E$25*DATI!$E$32*DATI!$E$16*(B490/DATI!$E$28+1/(DATI!$E$32*DATI!$E$16)*(1-B490/DATI!$E$28)),IF(B490&lt;DATI!$E$29,DATI!$E$15*DATI!$E$25*DATI!$E$32*DATI!$E$16,IF(B490&lt;DATI!$E$30,DATI!$E$15*DATI!$E$25*DATI!$E$32*DATI!$E$16*(DATI!$E$29/B490),DATI!$E$15*DATI!$E$25*DATI!$E$32*DATI!$E$16*((DATI!$E$29*DATI!$E$30)/B490^2))))</f>
        <v>2.5253624367761095E-2</v>
      </c>
      <c r="D490" s="9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</row>
    <row r="491" spans="2:24" x14ac:dyDescent="0.25">
      <c r="B491" s="174">
        <f t="shared" si="7"/>
        <v>4.8599999999999408</v>
      </c>
      <c r="C491" s="121">
        <f>1/DATI!$E$21*IF(B491&lt;DATI!$E$28,DATI!$E$15*DATI!$E$25*DATI!$E$32*DATI!$E$16*(B491/DATI!$E$28+1/(DATI!$E$32*DATI!$E$16)*(1-B491/DATI!$E$28)),IF(B491&lt;DATI!$E$29,DATI!$E$15*DATI!$E$25*DATI!$E$32*DATI!$E$16,IF(B491&lt;DATI!$E$30,DATI!$E$15*DATI!$E$25*DATI!$E$32*DATI!$E$16*(DATI!$E$29/B491),DATI!$E$15*DATI!$E$25*DATI!$E$32*DATI!$E$16*((DATI!$E$29*DATI!$E$30)/B491^2))))</f>
        <v>2.5149806905733388E-2</v>
      </c>
      <c r="D491" s="9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</row>
    <row r="492" spans="2:24" x14ac:dyDescent="0.25">
      <c r="B492" s="174">
        <f t="shared" si="7"/>
        <v>4.8699999999999406</v>
      </c>
      <c r="C492" s="121">
        <f>1/DATI!$E$21*IF(B492&lt;DATI!$E$28,DATI!$E$15*DATI!$E$25*DATI!$E$32*DATI!$E$16*(B492/DATI!$E$28+1/(DATI!$E$32*DATI!$E$16)*(1-B492/DATI!$E$28)),IF(B492&lt;DATI!$E$29,DATI!$E$15*DATI!$E$25*DATI!$E$32*DATI!$E$16,IF(B492&lt;DATI!$E$30,DATI!$E$15*DATI!$E$25*DATI!$E$32*DATI!$E$16*(DATI!$E$29/B492),DATI!$E$15*DATI!$E$25*DATI!$E$32*DATI!$E$16*((DATI!$E$29*DATI!$E$30)/B492^2))))</f>
        <v>2.5046628319496247E-2</v>
      </c>
      <c r="D492" s="9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</row>
    <row r="493" spans="2:24" x14ac:dyDescent="0.25">
      <c r="B493" s="174">
        <f t="shared" si="7"/>
        <v>4.8799999999999404</v>
      </c>
      <c r="C493" s="121">
        <f>1/DATI!$E$21*IF(B493&lt;DATI!$E$28,DATI!$E$15*DATI!$E$25*DATI!$E$32*DATI!$E$16*(B493/DATI!$E$28+1/(DATI!$E$32*DATI!$E$16)*(1-B493/DATI!$E$28)),IF(B493&lt;DATI!$E$29,DATI!$E$15*DATI!$E$25*DATI!$E$32*DATI!$E$16,IF(B493&lt;DATI!$E$30,DATI!$E$15*DATI!$E$25*DATI!$E$32*DATI!$E$16*(DATI!$E$29/B493),DATI!$E$15*DATI!$E$25*DATI!$E$32*DATI!$E$16*((DATI!$E$29*DATI!$E$30)/B493^2))))</f>
        <v>2.4944083377731983E-2</v>
      </c>
      <c r="D493" s="9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</row>
    <row r="494" spans="2:24" x14ac:dyDescent="0.25">
      <c r="B494" s="174">
        <f t="shared" si="7"/>
        <v>4.8899999999999402</v>
      </c>
      <c r="C494" s="121">
        <f>1/DATI!$E$21*IF(B494&lt;DATI!$E$28,DATI!$E$15*DATI!$E$25*DATI!$E$32*DATI!$E$16*(B494/DATI!$E$28+1/(DATI!$E$32*DATI!$E$16)*(1-B494/DATI!$E$28)),IF(B494&lt;DATI!$E$29,DATI!$E$15*DATI!$E$25*DATI!$E$32*DATI!$E$16,IF(B494&lt;DATI!$E$30,DATI!$E$15*DATI!$E$25*DATI!$E$32*DATI!$E$16*(DATI!$E$29/B494),DATI!$E$15*DATI!$E$25*DATI!$E$32*DATI!$E$16*((DATI!$E$29*DATI!$E$30)/B494^2))))</f>
        <v>2.4842166902558138E-2</v>
      </c>
      <c r="D494" s="9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</row>
    <row r="495" spans="2:24" x14ac:dyDescent="0.25">
      <c r="B495" s="174">
        <f t="shared" si="7"/>
        <v>4.89999999999994</v>
      </c>
      <c r="C495" s="121">
        <f>1/DATI!$E$21*IF(B495&lt;DATI!$E$28,DATI!$E$15*DATI!$E$25*DATI!$E$32*DATI!$E$16*(B495/DATI!$E$28+1/(DATI!$E$32*DATI!$E$16)*(1-B495/DATI!$E$28)),IF(B495&lt;DATI!$E$29,DATI!$E$15*DATI!$E$25*DATI!$E$32*DATI!$E$16,IF(B495&lt;DATI!$E$30,DATI!$E$15*DATI!$E$25*DATI!$E$32*DATI!$E$16*(DATI!$E$29/B495),DATI!$E$15*DATI!$E$25*DATI!$E$32*DATI!$E$16*((DATI!$E$29*DATI!$E$30)/B495^2))))</f>
        <v>2.4740873768873826E-2</v>
      </c>
      <c r="D495" s="9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</row>
    <row r="496" spans="2:24" x14ac:dyDescent="0.25">
      <c r="B496" s="174">
        <f t="shared" si="7"/>
        <v>4.9099999999999397</v>
      </c>
      <c r="C496" s="121">
        <f>1/DATI!$E$21*IF(B496&lt;DATI!$E$28,DATI!$E$15*DATI!$E$25*DATI!$E$32*DATI!$E$16*(B496/DATI!$E$28+1/(DATI!$E$32*DATI!$E$16)*(1-B496/DATI!$E$28)),IF(B496&lt;DATI!$E$29,DATI!$E$15*DATI!$E$25*DATI!$E$32*DATI!$E$16,IF(B496&lt;DATI!$E$30,DATI!$E$15*DATI!$E$25*DATI!$E$32*DATI!$E$16*(DATI!$E$29/B496),DATI!$E$15*DATI!$E$25*DATI!$E$32*DATI!$E$16*((DATI!$E$29*DATI!$E$30)/B496^2))))</f>
        <v>2.4640198903715375E-2</v>
      </c>
      <c r="D496" s="9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</row>
    <row r="497" spans="2:24" x14ac:dyDescent="0.25">
      <c r="B497" s="174">
        <f t="shared" si="7"/>
        <v>4.9199999999999395</v>
      </c>
      <c r="C497" s="121">
        <f>1/DATI!$E$21*IF(B497&lt;DATI!$E$28,DATI!$E$15*DATI!$E$25*DATI!$E$32*DATI!$E$16*(B497/DATI!$E$28+1/(DATI!$E$32*DATI!$E$16)*(1-B497/DATI!$E$28)),IF(B497&lt;DATI!$E$29,DATI!$E$15*DATI!$E$25*DATI!$E$32*DATI!$E$16,IF(B497&lt;DATI!$E$30,DATI!$E$15*DATI!$E$25*DATI!$E$32*DATI!$E$16*(DATI!$E$29/B497),DATI!$E$15*DATI!$E$25*DATI!$E$32*DATI!$E$16*((DATI!$E$29*DATI!$E$30)/B497^2))))</f>
        <v>2.4540137285621183E-2</v>
      </c>
      <c r="D497" s="9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</row>
    <row r="498" spans="2:24" x14ac:dyDescent="0.25">
      <c r="B498" s="174">
        <f t="shared" si="7"/>
        <v>4.9299999999999393</v>
      </c>
      <c r="C498" s="121">
        <f>1/DATI!$E$21*IF(B498&lt;DATI!$E$28,DATI!$E$15*DATI!$E$25*DATI!$E$32*DATI!$E$16*(B498/DATI!$E$28+1/(DATI!$E$32*DATI!$E$16)*(1-B498/DATI!$E$28)),IF(B498&lt;DATI!$E$29,DATI!$E$15*DATI!$E$25*DATI!$E$32*DATI!$E$16,IF(B498&lt;DATI!$E$30,DATI!$E$15*DATI!$E$25*DATI!$E$32*DATI!$E$16*(DATI!$E$29/B498),DATI!$E$15*DATI!$E$25*DATI!$E$32*DATI!$E$16*((DATI!$E$29*DATI!$E$30)/B498^2))))</f>
        <v>2.4440683944005552E-2</v>
      </c>
      <c r="D498" s="9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</row>
    <row r="499" spans="2:24" x14ac:dyDescent="0.25">
      <c r="B499" s="174">
        <f t="shared" si="7"/>
        <v>4.9399999999999391</v>
      </c>
      <c r="C499" s="121">
        <f>1/DATI!$E$21*IF(B499&lt;DATI!$E$28,DATI!$E$15*DATI!$E$25*DATI!$E$32*DATI!$E$16*(B499/DATI!$E$28+1/(DATI!$E$32*DATI!$E$16)*(1-B499/DATI!$E$28)),IF(B499&lt;DATI!$E$29,DATI!$E$15*DATI!$E$25*DATI!$E$32*DATI!$E$16,IF(B499&lt;DATI!$E$30,DATI!$E$15*DATI!$E$25*DATI!$E$32*DATI!$E$16*(DATI!$E$29/B499),DATI!$E$15*DATI!$E$25*DATI!$E$32*DATI!$E$16*((DATI!$E$29*DATI!$E$30)/B499^2))))</f>
        <v>2.4341833958541389E-2</v>
      </c>
      <c r="D499" s="9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</row>
    <row r="500" spans="2:24" x14ac:dyDescent="0.25">
      <c r="B500" s="174">
        <f t="shared" si="7"/>
        <v>4.9499999999999389</v>
      </c>
      <c r="C500" s="121">
        <f>1/DATI!$E$21*IF(B500&lt;DATI!$E$28,DATI!$E$15*DATI!$E$25*DATI!$E$32*DATI!$E$16*(B500/DATI!$E$28+1/(DATI!$E$32*DATI!$E$16)*(1-B500/DATI!$E$28)),IF(B500&lt;DATI!$E$29,DATI!$E$15*DATI!$E$25*DATI!$E$32*DATI!$E$16,IF(B500&lt;DATI!$E$30,DATI!$E$15*DATI!$E$25*DATI!$E$32*DATI!$E$16*(DATI!$E$29/B500),DATI!$E$15*DATI!$E$25*DATI!$E$32*DATI!$E$16*((DATI!$E$29*DATI!$E$30)/B500^2))))</f>
        <v>2.4243582458551606E-2</v>
      </c>
      <c r="D500" s="9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</row>
    <row r="501" spans="2:24" x14ac:dyDescent="0.25">
      <c r="B501" s="174">
        <f t="shared" si="7"/>
        <v>4.9599999999999387</v>
      </c>
      <c r="C501" s="121">
        <f>1/DATI!$E$21*IF(B501&lt;DATI!$E$28,DATI!$E$15*DATI!$E$25*DATI!$E$32*DATI!$E$16*(B501/DATI!$E$28+1/(DATI!$E$32*DATI!$E$16)*(1-B501/DATI!$E$28)),IF(B501&lt;DATI!$E$29,DATI!$E$15*DATI!$E$25*DATI!$E$32*DATI!$E$16,IF(B501&lt;DATI!$E$30,DATI!$E$15*DATI!$E$25*DATI!$E$32*DATI!$E$16*(DATI!$E$29/B501),DATI!$E$15*DATI!$E$25*DATI!$E$32*DATI!$E$16*((DATI!$E$29*DATI!$E$30)/B501^2))))</f>
        <v>2.4145924622409141E-2</v>
      </c>
      <c r="D501" s="9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</row>
    <row r="502" spans="2:24" x14ac:dyDescent="0.25">
      <c r="B502" s="174">
        <f t="shared" si="7"/>
        <v>4.9699999999999385</v>
      </c>
      <c r="C502" s="121">
        <f>1/DATI!$E$21*IF(B502&lt;DATI!$E$28,DATI!$E$15*DATI!$E$25*DATI!$E$32*DATI!$E$16*(B502/DATI!$E$28+1/(DATI!$E$32*DATI!$E$16)*(1-B502/DATI!$E$28)),IF(B502&lt;DATI!$E$29,DATI!$E$15*DATI!$E$25*DATI!$E$32*DATI!$E$16,IF(B502&lt;DATI!$E$30,DATI!$E$15*DATI!$E$25*DATI!$E$32*DATI!$E$16*(DATI!$E$29/B502),DATI!$E$15*DATI!$E$25*DATI!$E$32*DATI!$E$16*((DATI!$E$29*DATI!$E$30)/B502^2))))</f>
        <v>2.4048855676945403E-2</v>
      </c>
      <c r="D502" s="9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</row>
    <row r="503" spans="2:24" x14ac:dyDescent="0.25">
      <c r="B503" s="174">
        <f t="shared" si="7"/>
        <v>4.9799999999999383</v>
      </c>
      <c r="C503" s="121">
        <f>1/DATI!$E$21*IF(B503&lt;DATI!$E$28,DATI!$E$15*DATI!$E$25*DATI!$E$32*DATI!$E$16*(B503/DATI!$E$28+1/(DATI!$E$32*DATI!$E$16)*(1-B503/DATI!$E$28)),IF(B503&lt;DATI!$E$29,DATI!$E$15*DATI!$E$25*DATI!$E$32*DATI!$E$16,IF(B503&lt;DATI!$E$30,DATI!$E$15*DATI!$E$25*DATI!$E$32*DATI!$E$16*(DATI!$E$29/B503),DATI!$E$15*DATI!$E$25*DATI!$E$32*DATI!$E$16*((DATI!$E$29*DATI!$E$30)/B503^2))))</f>
        <v>2.3952370896867015E-2</v>
      </c>
      <c r="D503" s="9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</row>
    <row r="504" spans="2:24" x14ac:dyDescent="0.25">
      <c r="B504" s="174">
        <f t="shared" si="7"/>
        <v>4.989999999999938</v>
      </c>
      <c r="C504" s="121">
        <f>1/DATI!$E$21*IF(B504&lt;DATI!$E$28,DATI!$E$15*DATI!$E$25*DATI!$E$32*DATI!$E$16*(B504/DATI!$E$28+1/(DATI!$E$32*DATI!$E$16)*(1-B504/DATI!$E$28)),IF(B504&lt;DATI!$E$29,DATI!$E$15*DATI!$E$25*DATI!$E$32*DATI!$E$16,IF(B504&lt;DATI!$E$30,DATI!$E$15*DATI!$E$25*DATI!$E$32*DATI!$E$16*(DATI!$E$29/B504),DATI!$E$15*DATI!$E$25*DATI!$E$32*DATI!$E$16*((DATI!$E$29*DATI!$E$30)/B504^2))))</f>
        <v>2.3856465604180737E-2</v>
      </c>
      <c r="D504" s="9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</row>
    <row r="505" spans="2:24" x14ac:dyDescent="0.25">
      <c r="B505" s="174">
        <f t="shared" si="7"/>
        <v>4.9999999999999378</v>
      </c>
      <c r="C505" s="121">
        <f>1/DATI!$E$21*IF(B505&lt;DATI!$E$28,DATI!$E$15*DATI!$E$25*DATI!$E$32*DATI!$E$16*(B505/DATI!$E$28+1/(DATI!$E$32*DATI!$E$16)*(1-B505/DATI!$E$28)),IF(B505&lt;DATI!$E$29,DATI!$E$15*DATI!$E$25*DATI!$E$32*DATI!$E$16,IF(B505&lt;DATI!$E$30,DATI!$E$15*DATI!$E$25*DATI!$E$32*DATI!$E$16*(DATI!$E$29/B505),DATI!$E$15*DATI!$E$25*DATI!$E$32*DATI!$E$16*((DATI!$E$29*DATI!$E$30)/B505^2))))</f>
        <v>2.3761135167626429E-2</v>
      </c>
      <c r="D505" s="9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</row>
    <row r="506" spans="2:24" x14ac:dyDescent="0.25">
      <c r="B506" s="3"/>
      <c r="C506" s="3"/>
      <c r="D506" s="3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</row>
    <row r="507" spans="2:24" x14ac:dyDescent="0.25">
      <c r="B507" s="3"/>
      <c r="C507" s="3"/>
      <c r="D507" s="3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</row>
    <row r="508" spans="2:24" x14ac:dyDescent="0.25">
      <c r="B508" s="3"/>
      <c r="C508" s="3"/>
      <c r="D508" s="3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</row>
    <row r="509" spans="2:24" x14ac:dyDescent="0.25">
      <c r="B509" s="3"/>
      <c r="C509" s="3"/>
      <c r="D509" s="3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</row>
    <row r="510" spans="2:24" x14ac:dyDescent="0.25">
      <c r="B510" s="3"/>
      <c r="C510" s="3"/>
      <c r="D510" s="3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</row>
    <row r="511" spans="2:24" x14ac:dyDescent="0.25">
      <c r="B511" s="3"/>
      <c r="C511" s="3"/>
      <c r="D511" s="3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</row>
    <row r="512" spans="2:24" x14ac:dyDescent="0.25">
      <c r="B512" s="3"/>
      <c r="C512" s="3"/>
      <c r="D512" s="3"/>
      <c r="E512" s="2"/>
      <c r="F512" s="2"/>
      <c r="G512" s="2"/>
      <c r="H512" s="2"/>
      <c r="I512" s="2"/>
      <c r="J512" s="2"/>
      <c r="K512" s="2"/>
    </row>
    <row r="513" spans="2:11" x14ac:dyDescent="0.25">
      <c r="B513" s="3"/>
      <c r="C513" s="3"/>
      <c r="D513" s="3"/>
      <c r="E513" s="2"/>
      <c r="F513" s="2"/>
      <c r="G513" s="2"/>
      <c r="H513" s="2"/>
      <c r="I513" s="2"/>
      <c r="J513" s="2"/>
      <c r="K513" s="2"/>
    </row>
    <row r="514" spans="2:11" x14ac:dyDescent="0.25">
      <c r="B514" s="3"/>
      <c r="C514" s="3"/>
      <c r="D514" s="3"/>
      <c r="E514" s="2"/>
      <c r="F514" s="2"/>
      <c r="G514" s="2"/>
      <c r="H514" s="2"/>
      <c r="I514" s="2"/>
      <c r="J514" s="2"/>
      <c r="K514" s="2"/>
    </row>
    <row r="515" spans="2:11" x14ac:dyDescent="0.25">
      <c r="B515" s="3"/>
      <c r="C515" s="3"/>
      <c r="D515" s="3"/>
      <c r="E515" s="2"/>
      <c r="F515" s="2"/>
      <c r="G515" s="2"/>
      <c r="H515" s="2"/>
      <c r="I515" s="2"/>
      <c r="J515" s="2"/>
      <c r="K515" s="2"/>
    </row>
    <row r="516" spans="2:11" x14ac:dyDescent="0.25">
      <c r="B516" s="3"/>
      <c r="C516" s="3"/>
      <c r="D516" s="3"/>
      <c r="E516" s="2"/>
      <c r="F516" s="2"/>
      <c r="G516" s="2"/>
      <c r="H516" s="2"/>
      <c r="I516" s="2"/>
      <c r="J516" s="2"/>
      <c r="K516" s="2"/>
    </row>
    <row r="517" spans="2:11" x14ac:dyDescent="0.25">
      <c r="B517" s="3"/>
      <c r="C517" s="3"/>
      <c r="D517" s="3"/>
      <c r="E517" s="2"/>
      <c r="F517" s="2"/>
      <c r="G517" s="2"/>
      <c r="H517" s="2"/>
      <c r="I517" s="2"/>
      <c r="J517" s="2"/>
      <c r="K517" s="2"/>
    </row>
    <row r="518" spans="2:11" x14ac:dyDescent="0.25">
      <c r="B518" s="3"/>
      <c r="C518" s="3"/>
      <c r="D518" s="3"/>
      <c r="E518" s="2"/>
      <c r="F518" s="2"/>
      <c r="G518" s="2"/>
      <c r="H518" s="2"/>
      <c r="I518" s="2"/>
      <c r="J518" s="2"/>
      <c r="K518" s="2"/>
    </row>
    <row r="519" spans="2:11" x14ac:dyDescent="0.25">
      <c r="B519" s="3"/>
      <c r="C519" s="3"/>
      <c r="D519" s="3"/>
      <c r="E519" s="2"/>
      <c r="F519" s="2"/>
      <c r="G519" s="2"/>
      <c r="H519" s="2"/>
      <c r="I519" s="2"/>
      <c r="J519" s="2"/>
      <c r="K519" s="2"/>
    </row>
    <row r="520" spans="2:11" x14ac:dyDescent="0.25">
      <c r="B520" s="3"/>
      <c r="C520" s="3"/>
      <c r="D520" s="3"/>
      <c r="E520" s="2"/>
      <c r="F520" s="2"/>
      <c r="G520" s="2"/>
      <c r="H520" s="2"/>
      <c r="I520" s="2"/>
      <c r="J520" s="2"/>
      <c r="K520" s="2"/>
    </row>
    <row r="521" spans="2:11" x14ac:dyDescent="0.25">
      <c r="B521" s="3"/>
      <c r="C521" s="3"/>
      <c r="D521" s="3"/>
      <c r="E521" s="2"/>
      <c r="F521" s="2"/>
      <c r="G521" s="2"/>
      <c r="H521" s="2"/>
      <c r="I521" s="2"/>
      <c r="J521" s="2"/>
      <c r="K521" s="2"/>
    </row>
    <row r="522" spans="2:11" x14ac:dyDescent="0.25">
      <c r="B522" s="3"/>
      <c r="C522" s="3"/>
      <c r="D522" s="3"/>
      <c r="E522" s="2"/>
      <c r="F522" s="2"/>
      <c r="G522" s="2"/>
      <c r="H522" s="2"/>
      <c r="I522" s="2"/>
      <c r="J522" s="2"/>
      <c r="K522" s="2"/>
    </row>
    <row r="523" spans="2:11" x14ac:dyDescent="0.25">
      <c r="B523" s="3"/>
      <c r="C523" s="3"/>
      <c r="D523" s="3"/>
      <c r="E523" s="2"/>
      <c r="F523" s="2"/>
      <c r="G523" s="2"/>
      <c r="H523" s="2"/>
      <c r="I523" s="2"/>
      <c r="J523" s="2"/>
      <c r="K523" s="2"/>
    </row>
    <row r="524" spans="2:11" x14ac:dyDescent="0.25">
      <c r="B524" s="3"/>
      <c r="C524" s="3"/>
      <c r="D524" s="3"/>
      <c r="E524" s="2"/>
      <c r="F524" s="2"/>
      <c r="G524" s="2"/>
      <c r="H524" s="2"/>
      <c r="I524" s="2"/>
      <c r="J524" s="2"/>
      <c r="K524" s="2"/>
    </row>
    <row r="525" spans="2:11" x14ac:dyDescent="0.25">
      <c r="B525" s="3"/>
      <c r="C525" s="3"/>
      <c r="D525" s="3"/>
      <c r="E525" s="2"/>
      <c r="F525" s="2"/>
      <c r="G525" s="2"/>
      <c r="H525" s="2"/>
      <c r="I525" s="2"/>
      <c r="J525" s="2"/>
      <c r="K525" s="2"/>
    </row>
    <row r="526" spans="2:11" x14ac:dyDescent="0.25">
      <c r="B526" s="3"/>
      <c r="C526" s="3"/>
      <c r="D526" s="3"/>
      <c r="E526" s="2"/>
      <c r="F526" s="2"/>
      <c r="G526" s="2"/>
      <c r="H526" s="2"/>
      <c r="I526" s="2"/>
      <c r="J526" s="2"/>
      <c r="K526" s="2"/>
    </row>
    <row r="527" spans="2:11" x14ac:dyDescent="0.25">
      <c r="B527" s="3"/>
      <c r="C527" s="3"/>
      <c r="D527" s="3"/>
      <c r="E527" s="2"/>
      <c r="F527" s="2"/>
      <c r="G527" s="2"/>
      <c r="H527" s="2"/>
      <c r="I527" s="2"/>
      <c r="J527" s="2"/>
      <c r="K527" s="2"/>
    </row>
    <row r="528" spans="2:11" x14ac:dyDescent="0.25">
      <c r="B528" s="3"/>
      <c r="C528" s="3"/>
      <c r="D528" s="3"/>
      <c r="E528" s="2"/>
      <c r="F528" s="2"/>
      <c r="G528" s="2"/>
      <c r="H528" s="2"/>
      <c r="I528" s="2"/>
      <c r="J528" s="2"/>
      <c r="K528" s="2"/>
    </row>
    <row r="529" spans="2:11" x14ac:dyDescent="0.25">
      <c r="B529" s="3"/>
      <c r="C529" s="3"/>
      <c r="D529" s="3"/>
      <c r="E529" s="2"/>
      <c r="F529" s="2"/>
      <c r="G529" s="2"/>
      <c r="H529" s="2"/>
      <c r="I529" s="2"/>
      <c r="J529" s="2"/>
      <c r="K529" s="2"/>
    </row>
    <row r="530" spans="2:11" x14ac:dyDescent="0.25">
      <c r="B530" s="3"/>
      <c r="C530" s="3"/>
      <c r="D530" s="3"/>
      <c r="E530" s="2"/>
      <c r="F530" s="2"/>
      <c r="G530" s="2"/>
      <c r="H530" s="2"/>
      <c r="I530" s="2"/>
      <c r="J530" s="2"/>
      <c r="K530" s="2"/>
    </row>
    <row r="531" spans="2:11" x14ac:dyDescent="0.25">
      <c r="B531" s="3"/>
      <c r="C531" s="3"/>
      <c r="D531" s="3"/>
      <c r="E531" s="2"/>
      <c r="F531" s="2"/>
      <c r="G531" s="2"/>
      <c r="H531" s="2"/>
      <c r="I531" s="2"/>
      <c r="J531" s="2"/>
      <c r="K531" s="2"/>
    </row>
    <row r="532" spans="2:11" x14ac:dyDescent="0.25">
      <c r="B532" s="3"/>
      <c r="C532" s="3"/>
      <c r="D532" s="3"/>
      <c r="E532" s="2"/>
      <c r="F532" s="2"/>
      <c r="G532" s="2"/>
      <c r="H532" s="2"/>
      <c r="I532" s="2"/>
      <c r="J532" s="2"/>
      <c r="K532" s="2"/>
    </row>
    <row r="533" spans="2:11" x14ac:dyDescent="0.25">
      <c r="B533" s="3"/>
      <c r="C533" s="3"/>
      <c r="D533" s="3"/>
      <c r="E533" s="2"/>
      <c r="F533" s="2"/>
      <c r="G533" s="2"/>
      <c r="H533" s="2"/>
      <c r="I533" s="2"/>
      <c r="J533" s="2"/>
      <c r="K533" s="2"/>
    </row>
    <row r="534" spans="2:11" x14ac:dyDescent="0.25">
      <c r="B534" s="3"/>
      <c r="C534" s="3"/>
      <c r="D534" s="3"/>
      <c r="E534" s="2"/>
      <c r="F534" s="2"/>
      <c r="G534" s="2"/>
      <c r="H534" s="2"/>
      <c r="I534" s="2"/>
      <c r="J534" s="2"/>
      <c r="K534" s="2"/>
    </row>
    <row r="535" spans="2:11" x14ac:dyDescent="0.25">
      <c r="B535" s="3"/>
      <c r="C535" s="3"/>
      <c r="D535" s="3"/>
      <c r="E535" s="2"/>
      <c r="F535" s="2"/>
      <c r="G535" s="2"/>
      <c r="H535" s="2"/>
      <c r="I535" s="2"/>
      <c r="J535" s="2"/>
      <c r="K535" s="2"/>
    </row>
    <row r="536" spans="2:11" x14ac:dyDescent="0.25">
      <c r="B536" s="3"/>
      <c r="C536" s="3"/>
      <c r="D536" s="3"/>
      <c r="E536" s="2"/>
      <c r="F536" s="2"/>
      <c r="G536" s="2"/>
      <c r="H536" s="2"/>
      <c r="I536" s="2"/>
      <c r="J536" s="2"/>
      <c r="K536" s="2"/>
    </row>
    <row r="537" spans="2:11" x14ac:dyDescent="0.25">
      <c r="B537" s="3"/>
      <c r="C537" s="3"/>
      <c r="D537" s="3"/>
      <c r="E537" s="2"/>
      <c r="F537" s="2"/>
      <c r="G537" s="2"/>
      <c r="H537" s="2"/>
      <c r="I537" s="2"/>
      <c r="J537" s="2"/>
      <c r="K537" s="2"/>
    </row>
    <row r="538" spans="2:11" x14ac:dyDescent="0.25">
      <c r="B538" s="3"/>
      <c r="C538" s="3"/>
      <c r="D538" s="3"/>
      <c r="E538" s="2"/>
      <c r="F538" s="2"/>
      <c r="G538" s="2"/>
      <c r="H538" s="2"/>
      <c r="I538" s="2"/>
      <c r="J538" s="2"/>
      <c r="K538" s="2"/>
    </row>
    <row r="539" spans="2:11" x14ac:dyDescent="0.25">
      <c r="B539" s="3"/>
      <c r="C539" s="3"/>
      <c r="D539" s="3"/>
      <c r="E539" s="2"/>
      <c r="F539" s="2"/>
      <c r="G539" s="2"/>
      <c r="H539" s="2"/>
      <c r="I539" s="2"/>
      <c r="J539" s="2"/>
      <c r="K539" s="2"/>
    </row>
    <row r="540" spans="2:11" x14ac:dyDescent="0.25">
      <c r="B540" s="3"/>
      <c r="C540" s="3"/>
      <c r="D540" s="3"/>
      <c r="E540" s="2"/>
      <c r="F540" s="2"/>
      <c r="G540" s="2"/>
      <c r="H540" s="2"/>
      <c r="I540" s="2"/>
      <c r="J540" s="2"/>
      <c r="K540" s="2"/>
    </row>
    <row r="541" spans="2:11" x14ac:dyDescent="0.25">
      <c r="B541" s="3"/>
      <c r="C541" s="3"/>
      <c r="D541" s="3"/>
      <c r="E541" s="2"/>
      <c r="F541" s="2"/>
      <c r="G541" s="2"/>
      <c r="H541" s="2"/>
      <c r="I541" s="2"/>
      <c r="J541" s="2"/>
      <c r="K541" s="2"/>
    </row>
    <row r="542" spans="2:11" x14ac:dyDescent="0.25">
      <c r="B542" s="3"/>
      <c r="C542" s="3"/>
      <c r="D542" s="3"/>
      <c r="E542" s="2"/>
      <c r="F542" s="2"/>
      <c r="G542" s="2"/>
      <c r="H542" s="2"/>
      <c r="I542" s="2"/>
      <c r="J542" s="2"/>
      <c r="K542" s="2"/>
    </row>
    <row r="543" spans="2:11" x14ac:dyDescent="0.25">
      <c r="B543" s="3"/>
      <c r="C543" s="3"/>
      <c r="D543" s="3"/>
      <c r="E543" s="2"/>
      <c r="F543" s="2"/>
      <c r="G543" s="2"/>
      <c r="H543" s="2"/>
      <c r="I543" s="2"/>
      <c r="J543" s="2"/>
      <c r="K543" s="2"/>
    </row>
    <row r="544" spans="2:11" x14ac:dyDescent="0.25">
      <c r="B544" s="3"/>
      <c r="C544" s="3"/>
      <c r="D544" s="3"/>
      <c r="E544" s="2"/>
      <c r="F544" s="2"/>
      <c r="G544" s="2"/>
      <c r="H544" s="2"/>
      <c r="I544" s="2"/>
      <c r="J544" s="2"/>
      <c r="K544" s="2"/>
    </row>
    <row r="545" spans="2:11" x14ac:dyDescent="0.25">
      <c r="B545" s="3"/>
      <c r="C545" s="3"/>
      <c r="D545" s="3"/>
      <c r="E545" s="2"/>
      <c r="F545" s="2"/>
      <c r="G545" s="2"/>
      <c r="H545" s="2"/>
      <c r="I545" s="2"/>
      <c r="J545" s="2"/>
      <c r="K545" s="2"/>
    </row>
    <row r="546" spans="2:11" x14ac:dyDescent="0.25">
      <c r="B546" s="3"/>
      <c r="C546" s="3"/>
      <c r="D546" s="3"/>
      <c r="E546" s="2"/>
      <c r="F546" s="2"/>
      <c r="G546" s="2"/>
      <c r="H546" s="2"/>
      <c r="I546" s="2"/>
      <c r="J546" s="2"/>
      <c r="K546" s="2"/>
    </row>
    <row r="547" spans="2:11" x14ac:dyDescent="0.25">
      <c r="B547" s="3"/>
      <c r="C547" s="3"/>
      <c r="D547" s="3"/>
      <c r="E547" s="2"/>
      <c r="F547" s="2"/>
      <c r="G547" s="2"/>
      <c r="H547" s="2"/>
      <c r="I547" s="2"/>
      <c r="J547" s="2"/>
      <c r="K547" s="2"/>
    </row>
    <row r="548" spans="2:11" x14ac:dyDescent="0.25">
      <c r="B548" s="3"/>
      <c r="C548" s="3"/>
      <c r="D548" s="3"/>
      <c r="E548" s="2"/>
      <c r="F548" s="2"/>
      <c r="G548" s="2"/>
      <c r="H548" s="2"/>
      <c r="I548" s="2"/>
      <c r="J548" s="2"/>
      <c r="K548" s="2"/>
    </row>
    <row r="549" spans="2:11" x14ac:dyDescent="0.25">
      <c r="B549" s="3"/>
      <c r="C549" s="3"/>
      <c r="D549" s="3"/>
      <c r="E549" s="2"/>
      <c r="F549" s="2"/>
      <c r="G549" s="2"/>
      <c r="H549" s="2"/>
      <c r="I549" s="2"/>
      <c r="J549" s="2"/>
      <c r="K549" s="2"/>
    </row>
    <row r="550" spans="2:11" x14ac:dyDescent="0.25">
      <c r="B550" s="3"/>
      <c r="C550" s="3"/>
      <c r="D550" s="3"/>
      <c r="E550" s="2"/>
      <c r="F550" s="2"/>
      <c r="G550" s="2"/>
      <c r="H550" s="2"/>
      <c r="I550" s="2"/>
      <c r="J550" s="2"/>
      <c r="K550" s="2"/>
    </row>
    <row r="551" spans="2:11" x14ac:dyDescent="0.25">
      <c r="B551" s="3"/>
      <c r="C551" s="3"/>
      <c r="D551" s="3"/>
      <c r="E551" s="2"/>
      <c r="F551" s="2"/>
      <c r="G551" s="2"/>
      <c r="H551" s="2"/>
      <c r="I551" s="2"/>
      <c r="J551" s="2"/>
      <c r="K551" s="2"/>
    </row>
    <row r="552" spans="2:11" x14ac:dyDescent="0.25">
      <c r="B552" s="3"/>
      <c r="C552" s="3"/>
      <c r="D552" s="3"/>
      <c r="E552" s="2"/>
      <c r="F552" s="2"/>
      <c r="G552" s="2"/>
      <c r="H552" s="2"/>
      <c r="I552" s="2"/>
      <c r="J552" s="2"/>
      <c r="K552" s="2"/>
    </row>
    <row r="553" spans="2:11" x14ac:dyDescent="0.25">
      <c r="B553" s="3"/>
      <c r="C553" s="3"/>
      <c r="D553" s="3"/>
      <c r="E553" s="2"/>
      <c r="F553" s="2"/>
      <c r="G553" s="2"/>
      <c r="H553" s="2"/>
      <c r="I553" s="2"/>
      <c r="J553" s="2"/>
      <c r="K553" s="2"/>
    </row>
    <row r="554" spans="2:11" x14ac:dyDescent="0.25">
      <c r="B554" s="3"/>
      <c r="C554" s="3"/>
      <c r="D554" s="3"/>
      <c r="E554" s="2"/>
      <c r="F554" s="2"/>
      <c r="G554" s="2"/>
      <c r="H554" s="2"/>
      <c r="I554" s="2"/>
      <c r="J554" s="2"/>
      <c r="K554" s="2"/>
    </row>
    <row r="555" spans="2:11" x14ac:dyDescent="0.25">
      <c r="B555" s="3"/>
      <c r="C555" s="3"/>
      <c r="D555" s="3"/>
      <c r="E555" s="2"/>
      <c r="F555" s="2"/>
      <c r="G555" s="2"/>
      <c r="H555" s="2"/>
      <c r="I555" s="2"/>
      <c r="J555" s="2"/>
      <c r="K555" s="2"/>
    </row>
    <row r="556" spans="2:11" x14ac:dyDescent="0.25">
      <c r="B556" s="3"/>
      <c r="C556" s="3"/>
      <c r="D556" s="3"/>
      <c r="E556" s="2"/>
      <c r="F556" s="2"/>
      <c r="G556" s="2"/>
      <c r="H556" s="2"/>
      <c r="I556" s="2"/>
      <c r="J556" s="2"/>
      <c r="K556" s="2"/>
    </row>
    <row r="557" spans="2:11" x14ac:dyDescent="0.25">
      <c r="B557" s="3"/>
      <c r="C557" s="3"/>
      <c r="D557" s="3"/>
      <c r="E557" s="2"/>
      <c r="F557" s="2"/>
      <c r="G557" s="2"/>
      <c r="H557" s="2"/>
      <c r="I557" s="2"/>
      <c r="J557" s="2"/>
      <c r="K557" s="2"/>
    </row>
    <row r="558" spans="2:11" x14ac:dyDescent="0.25">
      <c r="B558" s="3"/>
      <c r="C558" s="3"/>
      <c r="D558" s="3"/>
      <c r="E558" s="2"/>
      <c r="F558" s="2"/>
      <c r="G558" s="2"/>
      <c r="H558" s="2"/>
      <c r="I558" s="2"/>
      <c r="J558" s="2"/>
      <c r="K558" s="2"/>
    </row>
    <row r="559" spans="2:11" x14ac:dyDescent="0.25">
      <c r="B559" s="3"/>
      <c r="C559" s="3"/>
      <c r="D559" s="3"/>
      <c r="E559" s="2"/>
      <c r="F559" s="2"/>
      <c r="G559" s="2"/>
      <c r="H559" s="2"/>
      <c r="I559" s="2"/>
      <c r="J559" s="2"/>
      <c r="K559" s="2"/>
    </row>
    <row r="560" spans="2:11" x14ac:dyDescent="0.25">
      <c r="B560" s="3"/>
      <c r="C560" s="3"/>
      <c r="D560" s="3"/>
      <c r="E560" s="2"/>
      <c r="F560" s="2"/>
      <c r="G560" s="2"/>
      <c r="H560" s="2"/>
      <c r="I560" s="2"/>
      <c r="J560" s="2"/>
      <c r="K560" s="2"/>
    </row>
    <row r="561" spans="2:11" x14ac:dyDescent="0.25">
      <c r="B561" s="3"/>
      <c r="C561" s="3"/>
      <c r="D561" s="3"/>
      <c r="E561" s="2"/>
      <c r="F561" s="2"/>
      <c r="G561" s="2"/>
      <c r="H561" s="2"/>
      <c r="I561" s="2"/>
      <c r="J561" s="2"/>
      <c r="K561" s="2"/>
    </row>
    <row r="562" spans="2:11" x14ac:dyDescent="0.25">
      <c r="B562" s="3"/>
      <c r="C562" s="3"/>
      <c r="D562" s="3"/>
      <c r="E562" s="2"/>
      <c r="F562" s="2"/>
      <c r="G562" s="2"/>
      <c r="H562" s="2"/>
      <c r="I562" s="2"/>
      <c r="J562" s="2"/>
      <c r="K562" s="2"/>
    </row>
    <row r="563" spans="2:11" x14ac:dyDescent="0.25">
      <c r="B563" s="3"/>
      <c r="C563" s="3"/>
      <c r="D563" s="3"/>
      <c r="E563" s="2"/>
      <c r="F563" s="2"/>
      <c r="G563" s="2"/>
      <c r="H563" s="2"/>
      <c r="I563" s="2"/>
      <c r="J563" s="2"/>
      <c r="K563" s="2"/>
    </row>
    <row r="564" spans="2:11" x14ac:dyDescent="0.25">
      <c r="B564" s="3"/>
      <c r="C564" s="3"/>
      <c r="D564" s="3"/>
      <c r="E564" s="2"/>
      <c r="F564" s="2"/>
      <c r="G564" s="2"/>
      <c r="H564" s="2"/>
      <c r="I564" s="2"/>
      <c r="J564" s="2"/>
      <c r="K564" s="2"/>
    </row>
    <row r="565" spans="2:11" x14ac:dyDescent="0.25">
      <c r="B565" s="3"/>
      <c r="C565" s="3"/>
      <c r="D565" s="3"/>
      <c r="E565" s="2"/>
      <c r="F565" s="2"/>
      <c r="G565" s="2"/>
      <c r="H565" s="2"/>
      <c r="I565" s="2"/>
      <c r="J565" s="2"/>
      <c r="K565" s="2"/>
    </row>
    <row r="566" spans="2:11" x14ac:dyDescent="0.25">
      <c r="B566" s="3"/>
      <c r="C566" s="3"/>
      <c r="D566" s="3"/>
      <c r="E566" s="2"/>
      <c r="F566" s="2"/>
      <c r="G566" s="2"/>
      <c r="H566" s="2"/>
      <c r="I566" s="2"/>
      <c r="J566" s="2"/>
      <c r="K566" s="2"/>
    </row>
    <row r="567" spans="2:11" x14ac:dyDescent="0.25">
      <c r="B567" s="3"/>
      <c r="C567" s="3"/>
      <c r="D567" s="3"/>
      <c r="E567" s="2"/>
      <c r="F567" s="2"/>
      <c r="G567" s="2"/>
      <c r="H567" s="2"/>
      <c r="I567" s="2"/>
      <c r="J567" s="2"/>
      <c r="K567" s="2"/>
    </row>
    <row r="568" spans="2:11" x14ac:dyDescent="0.25">
      <c r="B568" s="3"/>
      <c r="C568" s="3"/>
      <c r="D568" s="3"/>
      <c r="E568" s="2"/>
      <c r="F568" s="2"/>
      <c r="G568" s="2"/>
      <c r="H568" s="2"/>
      <c r="I568" s="2"/>
      <c r="J568" s="2"/>
      <c r="K568" s="2"/>
    </row>
    <row r="569" spans="2:11" x14ac:dyDescent="0.25">
      <c r="B569" s="3"/>
      <c r="C569" s="3"/>
      <c r="D569" s="3"/>
      <c r="E569" s="2"/>
      <c r="F569" s="2"/>
      <c r="G569" s="2"/>
      <c r="H569" s="2"/>
      <c r="I569" s="2"/>
      <c r="J569" s="2"/>
      <c r="K569" s="2"/>
    </row>
    <row r="570" spans="2:11" x14ac:dyDescent="0.25">
      <c r="B570" s="3"/>
      <c r="C570" s="3"/>
      <c r="D570" s="3"/>
      <c r="E570" s="2"/>
      <c r="F570" s="2"/>
      <c r="G570" s="2"/>
      <c r="H570" s="2"/>
      <c r="I570" s="2"/>
      <c r="J570" s="2"/>
      <c r="K570" s="2"/>
    </row>
    <row r="571" spans="2:11" x14ac:dyDescent="0.25">
      <c r="B571" s="3"/>
      <c r="C571" s="3"/>
      <c r="D571" s="3"/>
      <c r="E571" s="2"/>
      <c r="F571" s="2"/>
      <c r="G571" s="2"/>
      <c r="H571" s="2"/>
      <c r="I571" s="2"/>
      <c r="J571" s="2"/>
      <c r="K571" s="2"/>
    </row>
    <row r="572" spans="2:11" x14ac:dyDescent="0.25">
      <c r="B572" s="3"/>
      <c r="C572" s="3"/>
      <c r="D572" s="3"/>
      <c r="E572" s="2"/>
      <c r="F572" s="2"/>
      <c r="G572" s="2"/>
      <c r="H572" s="2"/>
      <c r="I572" s="2"/>
      <c r="J572" s="2"/>
      <c r="K572" s="2"/>
    </row>
    <row r="573" spans="2:11" x14ac:dyDescent="0.25">
      <c r="B573" s="3"/>
      <c r="C573" s="3"/>
      <c r="D573" s="3"/>
      <c r="E573" s="2"/>
      <c r="F573" s="2"/>
      <c r="G573" s="2"/>
      <c r="H573" s="2"/>
      <c r="I573" s="2"/>
      <c r="J573" s="2"/>
      <c r="K573" s="2"/>
    </row>
    <row r="574" spans="2:11" x14ac:dyDescent="0.25">
      <c r="B574" s="3"/>
      <c r="C574" s="3"/>
      <c r="D574" s="3"/>
      <c r="E574" s="2"/>
      <c r="F574" s="2"/>
      <c r="G574" s="2"/>
      <c r="H574" s="2"/>
      <c r="I574" s="2"/>
      <c r="J574" s="2"/>
      <c r="K574" s="2"/>
    </row>
    <row r="575" spans="2:11" x14ac:dyDescent="0.25">
      <c r="B575" s="3"/>
      <c r="C575" s="3"/>
      <c r="D575" s="3"/>
      <c r="E575" s="2"/>
      <c r="F575" s="2"/>
      <c r="G575" s="2"/>
      <c r="H575" s="2"/>
      <c r="I575" s="2"/>
      <c r="J575" s="2"/>
      <c r="K575" s="2"/>
    </row>
    <row r="576" spans="2:11" x14ac:dyDescent="0.25">
      <c r="B576" s="3"/>
      <c r="C576" s="3"/>
      <c r="D576" s="3"/>
      <c r="E576" s="2"/>
      <c r="F576" s="2"/>
      <c r="G576" s="2"/>
      <c r="H576" s="2"/>
      <c r="I576" s="2"/>
      <c r="J576" s="2"/>
      <c r="K576" s="2"/>
    </row>
    <row r="577" spans="2:11" x14ac:dyDescent="0.25">
      <c r="B577" s="3"/>
      <c r="C577" s="3"/>
      <c r="D577" s="3"/>
      <c r="E577" s="2"/>
      <c r="F577" s="2"/>
      <c r="G577" s="2"/>
      <c r="H577" s="2"/>
      <c r="I577" s="2"/>
      <c r="J577" s="2"/>
      <c r="K577" s="2"/>
    </row>
    <row r="578" spans="2:11" x14ac:dyDescent="0.25">
      <c r="B578" s="3"/>
      <c r="C578" s="3"/>
      <c r="D578" s="3"/>
      <c r="E578" s="2"/>
      <c r="F578" s="2"/>
      <c r="G578" s="2"/>
      <c r="H578" s="2"/>
      <c r="I578" s="2"/>
      <c r="J578" s="2"/>
      <c r="K578" s="2"/>
    </row>
    <row r="579" spans="2:11" x14ac:dyDescent="0.25">
      <c r="B579" s="3"/>
      <c r="C579" s="3"/>
      <c r="D579" s="3"/>
      <c r="E579" s="2"/>
      <c r="F579" s="2"/>
      <c r="G579" s="2"/>
      <c r="H579" s="2"/>
      <c r="I579" s="2"/>
      <c r="J579" s="2"/>
      <c r="K579" s="2"/>
    </row>
    <row r="580" spans="2:11" x14ac:dyDescent="0.25">
      <c r="B580" s="3"/>
      <c r="C580" s="3"/>
      <c r="D580" s="3"/>
      <c r="E580" s="2"/>
      <c r="F580" s="2"/>
      <c r="G580" s="2"/>
      <c r="H580" s="2"/>
      <c r="I580" s="2"/>
      <c r="J580" s="2"/>
      <c r="K580" s="2"/>
    </row>
    <row r="581" spans="2:11" x14ac:dyDescent="0.25">
      <c r="B581" s="3"/>
      <c r="C581" s="3"/>
      <c r="D581" s="3"/>
      <c r="E581" s="2"/>
      <c r="F581" s="2"/>
      <c r="G581" s="2"/>
      <c r="H581" s="2"/>
      <c r="I581" s="2"/>
      <c r="J581" s="2"/>
      <c r="K581" s="2"/>
    </row>
    <row r="582" spans="2:11" x14ac:dyDescent="0.25">
      <c r="B582" s="3"/>
      <c r="C582" s="3"/>
      <c r="D582" s="3"/>
      <c r="E582" s="2"/>
      <c r="F582" s="2"/>
      <c r="G582" s="2"/>
      <c r="H582" s="2"/>
      <c r="I582" s="2"/>
      <c r="J582" s="2"/>
      <c r="K582" s="2"/>
    </row>
    <row r="583" spans="2:11" x14ac:dyDescent="0.25">
      <c r="B583" s="3"/>
      <c r="C583" s="3"/>
      <c r="D583" s="3"/>
      <c r="E583" s="2"/>
      <c r="F583" s="2"/>
      <c r="G583" s="2"/>
      <c r="H583" s="2"/>
      <c r="I583" s="2"/>
      <c r="J583" s="2"/>
      <c r="K583" s="2"/>
    </row>
    <row r="584" spans="2:11" x14ac:dyDescent="0.25">
      <c r="B584" s="3"/>
      <c r="C584" s="3"/>
      <c r="D584" s="3"/>
      <c r="E584" s="2"/>
      <c r="F584" s="2"/>
      <c r="G584" s="2"/>
      <c r="H584" s="2"/>
      <c r="I584" s="2"/>
      <c r="J584" s="2"/>
      <c r="K584" s="2"/>
    </row>
    <row r="585" spans="2:11" x14ac:dyDescent="0.25">
      <c r="B585" s="3"/>
      <c r="C585" s="3"/>
      <c r="D585" s="3"/>
      <c r="E585" s="2"/>
      <c r="F585" s="2"/>
      <c r="G585" s="2"/>
      <c r="H585" s="2"/>
      <c r="I585" s="2"/>
      <c r="J585" s="2"/>
      <c r="K585" s="2"/>
    </row>
    <row r="586" spans="2:11" x14ac:dyDescent="0.25">
      <c r="B586" s="3"/>
      <c r="C586" s="3"/>
      <c r="D586" s="3"/>
      <c r="E586" s="2"/>
      <c r="F586" s="2"/>
      <c r="G586" s="2"/>
      <c r="H586" s="2"/>
      <c r="I586" s="2"/>
      <c r="J586" s="2"/>
      <c r="K586" s="2"/>
    </row>
    <row r="587" spans="2:11" x14ac:dyDescent="0.25">
      <c r="B587" s="3"/>
      <c r="C587" s="3"/>
      <c r="D587" s="3"/>
      <c r="E587" s="2"/>
      <c r="F587" s="2"/>
      <c r="G587" s="2"/>
      <c r="H587" s="2"/>
      <c r="I587" s="2"/>
      <c r="J587" s="2"/>
      <c r="K587" s="2"/>
    </row>
    <row r="588" spans="2:11" x14ac:dyDescent="0.25">
      <c r="B588" s="3"/>
      <c r="C588" s="3"/>
      <c r="D588" s="3"/>
      <c r="E588" s="2"/>
      <c r="F588" s="2"/>
      <c r="G588" s="2"/>
      <c r="H588" s="2"/>
      <c r="I588" s="2"/>
      <c r="J588" s="2"/>
      <c r="K588" s="2"/>
    </row>
    <row r="589" spans="2:11" x14ac:dyDescent="0.25">
      <c r="B589" s="3"/>
      <c r="C589" s="3"/>
      <c r="D589" s="3"/>
      <c r="E589" s="2"/>
      <c r="F589" s="2"/>
      <c r="G589" s="2"/>
      <c r="H589" s="2"/>
      <c r="I589" s="2"/>
      <c r="J589" s="2"/>
      <c r="K589" s="2"/>
    </row>
    <row r="590" spans="2:11" x14ac:dyDescent="0.25">
      <c r="B590" s="3"/>
      <c r="C590" s="3"/>
      <c r="D590" s="3"/>
      <c r="E590" s="2"/>
      <c r="F590" s="2"/>
      <c r="G590" s="2"/>
      <c r="H590" s="2"/>
      <c r="I590" s="2"/>
      <c r="J590" s="2"/>
      <c r="K590" s="2"/>
    </row>
    <row r="591" spans="2:11" x14ac:dyDescent="0.25">
      <c r="B591" s="3"/>
      <c r="C591" s="3"/>
      <c r="D591" s="3"/>
      <c r="E591" s="2"/>
      <c r="F591" s="2"/>
      <c r="G591" s="2"/>
      <c r="H591" s="2"/>
      <c r="I591" s="2"/>
      <c r="J591" s="2"/>
      <c r="K591" s="2"/>
    </row>
    <row r="592" spans="2:11" x14ac:dyDescent="0.25">
      <c r="B592" s="3"/>
      <c r="C592" s="3"/>
      <c r="D592" s="3"/>
      <c r="E592" s="2"/>
      <c r="F592" s="2"/>
      <c r="G592" s="2"/>
      <c r="H592" s="2"/>
      <c r="I592" s="2"/>
      <c r="J592" s="2"/>
      <c r="K592" s="2"/>
    </row>
    <row r="593" spans="2:11" x14ac:dyDescent="0.25">
      <c r="B593" s="3"/>
      <c r="C593" s="3"/>
      <c r="D593" s="3"/>
      <c r="E593" s="2"/>
      <c r="F593" s="2"/>
      <c r="G593" s="2"/>
      <c r="H593" s="2"/>
      <c r="I593" s="2"/>
      <c r="J593" s="2"/>
      <c r="K593" s="2"/>
    </row>
    <row r="594" spans="2:11" x14ac:dyDescent="0.25">
      <c r="B594" s="3"/>
      <c r="C594" s="3"/>
      <c r="D594" s="3"/>
      <c r="E594" s="2"/>
      <c r="F594" s="2"/>
      <c r="G594" s="2"/>
      <c r="H594" s="2"/>
      <c r="I594" s="2"/>
      <c r="J594" s="2"/>
      <c r="K594" s="2"/>
    </row>
    <row r="595" spans="2:11" x14ac:dyDescent="0.25">
      <c r="B595" s="3"/>
      <c r="C595" s="3"/>
      <c r="D595" s="3"/>
      <c r="E595" s="2"/>
      <c r="F595" s="2"/>
      <c r="G595" s="2"/>
      <c r="H595" s="2"/>
      <c r="I595" s="2"/>
      <c r="J595" s="2"/>
      <c r="K595" s="2"/>
    </row>
    <row r="596" spans="2:11" x14ac:dyDescent="0.25">
      <c r="B596" s="3"/>
      <c r="C596" s="3"/>
      <c r="D596" s="3"/>
      <c r="E596" s="2"/>
      <c r="F596" s="2"/>
      <c r="G596" s="2"/>
      <c r="H596" s="2"/>
      <c r="I596" s="2"/>
      <c r="J596" s="2"/>
      <c r="K596" s="2"/>
    </row>
    <row r="597" spans="2:11" x14ac:dyDescent="0.25">
      <c r="B597" s="3"/>
      <c r="C597" s="3"/>
      <c r="D597" s="3"/>
      <c r="E597" s="2"/>
      <c r="F597" s="2"/>
      <c r="G597" s="2"/>
      <c r="H597" s="2"/>
      <c r="I597" s="2"/>
      <c r="J597" s="2"/>
      <c r="K597" s="2"/>
    </row>
    <row r="598" spans="2:11" x14ac:dyDescent="0.25">
      <c r="B598" s="3"/>
      <c r="C598" s="3"/>
      <c r="D598" s="3"/>
      <c r="E598" s="2"/>
      <c r="F598" s="2"/>
      <c r="G598" s="2"/>
      <c r="H598" s="2"/>
      <c r="I598" s="2"/>
      <c r="J598" s="2"/>
      <c r="K598" s="2"/>
    </row>
    <row r="599" spans="2:11" x14ac:dyDescent="0.25">
      <c r="B599" s="3"/>
      <c r="C599" s="3"/>
      <c r="D599" s="3"/>
      <c r="E599" s="2"/>
      <c r="F599" s="2"/>
      <c r="G599" s="2"/>
      <c r="H599" s="2"/>
      <c r="I599" s="2"/>
      <c r="J599" s="2"/>
      <c r="K599" s="2"/>
    </row>
    <row r="600" spans="2:11" x14ac:dyDescent="0.25">
      <c r="B600" s="3"/>
      <c r="C600" s="3"/>
      <c r="D600" s="3"/>
      <c r="E600" s="2"/>
      <c r="F600" s="2"/>
      <c r="G600" s="2"/>
      <c r="H600" s="2"/>
      <c r="I600" s="2"/>
      <c r="J600" s="2"/>
      <c r="K600" s="2"/>
    </row>
    <row r="601" spans="2:11" x14ac:dyDescent="0.25">
      <c r="B601" s="3"/>
      <c r="C601" s="3"/>
      <c r="D601" s="3"/>
      <c r="E601" s="2"/>
      <c r="F601" s="2"/>
      <c r="G601" s="2"/>
      <c r="H601" s="2"/>
      <c r="I601" s="2"/>
      <c r="J601" s="2"/>
      <c r="K601" s="2"/>
    </row>
    <row r="602" spans="2:11" x14ac:dyDescent="0.25">
      <c r="B602" s="3"/>
      <c r="C602" s="3"/>
      <c r="D602" s="3"/>
      <c r="E602" s="2"/>
      <c r="F602" s="2"/>
      <c r="G602" s="2"/>
      <c r="H602" s="2"/>
      <c r="I602" s="2"/>
      <c r="J602" s="2"/>
      <c r="K602" s="2"/>
    </row>
    <row r="603" spans="2:11" x14ac:dyDescent="0.25">
      <c r="B603" s="3"/>
      <c r="C603" s="3"/>
      <c r="D603" s="3"/>
      <c r="E603" s="2"/>
      <c r="F603" s="2"/>
      <c r="G603" s="2"/>
      <c r="H603" s="2"/>
      <c r="I603" s="2"/>
      <c r="J603" s="2"/>
      <c r="K603" s="2"/>
    </row>
    <row r="604" spans="2:11" x14ac:dyDescent="0.25">
      <c r="B604" s="3"/>
      <c r="C604" s="3"/>
      <c r="D604" s="3"/>
      <c r="E604" s="2"/>
      <c r="F604" s="2"/>
      <c r="G604" s="2"/>
      <c r="H604" s="2"/>
      <c r="I604" s="2"/>
      <c r="J604" s="2"/>
      <c r="K604" s="2"/>
    </row>
    <row r="605" spans="2:11" x14ac:dyDescent="0.25">
      <c r="B605" s="3"/>
      <c r="C605" s="3"/>
      <c r="D605" s="3"/>
      <c r="E605" s="2"/>
      <c r="F605" s="2"/>
      <c r="G605" s="2"/>
      <c r="H605" s="2"/>
      <c r="I605" s="2"/>
      <c r="J605" s="2"/>
      <c r="K605" s="2"/>
    </row>
    <row r="606" spans="2:11" x14ac:dyDescent="0.25">
      <c r="B606" s="3"/>
      <c r="C606" s="3"/>
      <c r="D606" s="3"/>
      <c r="E606" s="2"/>
      <c r="F606" s="2"/>
      <c r="G606" s="2"/>
      <c r="H606" s="2"/>
      <c r="I606" s="2"/>
      <c r="J606" s="2"/>
      <c r="K606" s="2"/>
    </row>
    <row r="607" spans="2:11" x14ac:dyDescent="0.25">
      <c r="B607" s="3"/>
      <c r="C607" s="3"/>
      <c r="D607" s="3"/>
      <c r="E607" s="2"/>
      <c r="F607" s="2"/>
      <c r="G607" s="2"/>
      <c r="H607" s="2"/>
      <c r="I607" s="2"/>
      <c r="J607" s="2"/>
      <c r="K607" s="2"/>
    </row>
    <row r="608" spans="2:11" x14ac:dyDescent="0.25">
      <c r="B608" s="3"/>
      <c r="C608" s="3"/>
      <c r="D608" s="3"/>
      <c r="E608" s="2"/>
      <c r="F608" s="2"/>
      <c r="G608" s="2"/>
      <c r="H608" s="2"/>
      <c r="I608" s="2"/>
      <c r="J608" s="2"/>
      <c r="K608" s="2"/>
    </row>
    <row r="609" spans="2:11" x14ac:dyDescent="0.25">
      <c r="B609" s="3"/>
      <c r="C609" s="3"/>
      <c r="D609" s="3"/>
      <c r="E609" s="2"/>
      <c r="F609" s="2"/>
      <c r="G609" s="2"/>
      <c r="H609" s="2"/>
      <c r="I609" s="2"/>
      <c r="J609" s="2"/>
      <c r="K609" s="2"/>
    </row>
    <row r="610" spans="2:11" x14ac:dyDescent="0.25">
      <c r="B610" s="3"/>
      <c r="C610" s="3"/>
      <c r="D610" s="3"/>
      <c r="E610" s="2"/>
      <c r="F610" s="2"/>
      <c r="G610" s="2"/>
      <c r="H610" s="2"/>
      <c r="I610" s="2"/>
      <c r="J610" s="2"/>
      <c r="K610" s="2"/>
    </row>
    <row r="611" spans="2:11" x14ac:dyDescent="0.25">
      <c r="B611" s="3"/>
      <c r="C611" s="3"/>
      <c r="D611" s="3"/>
      <c r="E611" s="2"/>
      <c r="F611" s="2"/>
      <c r="G611" s="2"/>
      <c r="H611" s="2"/>
      <c r="I611" s="2"/>
      <c r="J611" s="2"/>
      <c r="K611" s="2"/>
    </row>
    <row r="612" spans="2:11" x14ac:dyDescent="0.25">
      <c r="B612" s="3"/>
      <c r="C612" s="3"/>
      <c r="D612" s="3"/>
      <c r="E612" s="2"/>
      <c r="F612" s="2"/>
      <c r="G612" s="2"/>
      <c r="H612" s="2"/>
      <c r="I612" s="2"/>
      <c r="J612" s="2"/>
      <c r="K612" s="2"/>
    </row>
    <row r="613" spans="2:11" x14ac:dyDescent="0.25">
      <c r="B613" s="3"/>
      <c r="C613" s="3"/>
      <c r="D613" s="3"/>
      <c r="E613" s="2"/>
      <c r="F613" s="2"/>
      <c r="G613" s="2"/>
      <c r="H613" s="2"/>
      <c r="I613" s="2"/>
      <c r="J613" s="2"/>
      <c r="K613" s="2"/>
    </row>
    <row r="614" spans="2:11" x14ac:dyDescent="0.25">
      <c r="B614" s="3"/>
      <c r="C614" s="3"/>
      <c r="D614" s="3"/>
      <c r="E614" s="2"/>
      <c r="F614" s="2"/>
      <c r="G614" s="2"/>
      <c r="H614" s="2"/>
      <c r="I614" s="2"/>
      <c r="J614" s="2"/>
      <c r="K614" s="2"/>
    </row>
    <row r="615" spans="2:11" x14ac:dyDescent="0.25">
      <c r="B615" s="3"/>
      <c r="C615" s="3"/>
      <c r="D615" s="3"/>
      <c r="E615" s="2"/>
      <c r="F615" s="2"/>
      <c r="G615" s="2"/>
      <c r="H615" s="2"/>
      <c r="I615" s="2"/>
      <c r="J615" s="2"/>
      <c r="K615" s="2"/>
    </row>
    <row r="616" spans="2:11" x14ac:dyDescent="0.25">
      <c r="B616" s="3"/>
      <c r="C616" s="3"/>
      <c r="D616" s="3"/>
      <c r="E616" s="2"/>
      <c r="F616" s="2"/>
      <c r="G616" s="2"/>
      <c r="H616" s="2"/>
      <c r="I616" s="2"/>
      <c r="J616" s="2"/>
      <c r="K616" s="2"/>
    </row>
    <row r="617" spans="2:11" x14ac:dyDescent="0.25">
      <c r="B617" s="3"/>
      <c r="C617" s="3"/>
      <c r="D617" s="3"/>
      <c r="E617" s="2"/>
      <c r="F617" s="2"/>
      <c r="G617" s="2"/>
      <c r="H617" s="2"/>
      <c r="I617" s="2"/>
      <c r="J617" s="2"/>
      <c r="K617" s="2"/>
    </row>
    <row r="618" spans="2:11" x14ac:dyDescent="0.25">
      <c r="B618" s="3"/>
      <c r="C618" s="3"/>
      <c r="D618" s="3"/>
      <c r="E618" s="2"/>
      <c r="F618" s="2"/>
      <c r="G618" s="2"/>
      <c r="H618" s="2"/>
      <c r="I618" s="2"/>
      <c r="J618" s="2"/>
      <c r="K618" s="2"/>
    </row>
    <row r="619" spans="2:11" x14ac:dyDescent="0.25">
      <c r="B619" s="3"/>
      <c r="C619" s="3"/>
      <c r="D619" s="3"/>
      <c r="E619" s="2"/>
      <c r="F619" s="2"/>
      <c r="G619" s="2"/>
      <c r="H619" s="2"/>
      <c r="I619" s="2"/>
      <c r="J619" s="2"/>
      <c r="K619" s="2"/>
    </row>
    <row r="620" spans="2:11" x14ac:dyDescent="0.25">
      <c r="B620" s="3"/>
      <c r="C620" s="3"/>
      <c r="D620" s="3"/>
      <c r="E620" s="2"/>
      <c r="F620" s="2"/>
      <c r="G620" s="2"/>
      <c r="H620" s="2"/>
      <c r="I620" s="2"/>
      <c r="J620" s="2"/>
      <c r="K620" s="2"/>
    </row>
    <row r="621" spans="2:11" x14ac:dyDescent="0.25">
      <c r="B621" s="3"/>
      <c r="C621" s="3"/>
      <c r="D621" s="3"/>
      <c r="E621" s="2"/>
      <c r="F621" s="2"/>
      <c r="G621" s="2"/>
      <c r="H621" s="2"/>
      <c r="I621" s="2"/>
      <c r="J621" s="2"/>
      <c r="K621" s="2"/>
    </row>
    <row r="622" spans="2:11" x14ac:dyDescent="0.25">
      <c r="B622" s="3"/>
      <c r="C622" s="3"/>
      <c r="D622" s="3"/>
      <c r="E622" s="2"/>
      <c r="F622" s="2"/>
      <c r="G622" s="2"/>
      <c r="H622" s="2"/>
      <c r="I622" s="2"/>
      <c r="J622" s="2"/>
      <c r="K622" s="2"/>
    </row>
    <row r="623" spans="2:11" x14ac:dyDescent="0.25">
      <c r="B623" s="3"/>
      <c r="C623" s="3"/>
      <c r="D623" s="3"/>
      <c r="E623" s="2"/>
      <c r="F623" s="2"/>
      <c r="G623" s="2"/>
      <c r="H623" s="2"/>
      <c r="I623" s="2"/>
      <c r="J623" s="2"/>
      <c r="K623" s="2"/>
    </row>
    <row r="624" spans="2:11" x14ac:dyDescent="0.25">
      <c r="B624" s="3"/>
      <c r="C624" s="3"/>
      <c r="D624" s="3"/>
      <c r="E624" s="2"/>
      <c r="F624" s="2"/>
      <c r="G624" s="2"/>
      <c r="H624" s="2"/>
      <c r="I624" s="2"/>
      <c r="J624" s="2"/>
      <c r="K624" s="2"/>
    </row>
    <row r="625" spans="2:11" x14ac:dyDescent="0.25">
      <c r="B625" s="3"/>
      <c r="C625" s="3"/>
      <c r="D625" s="3"/>
      <c r="E625" s="2"/>
      <c r="F625" s="2"/>
      <c r="G625" s="2"/>
      <c r="H625" s="2"/>
      <c r="I625" s="2"/>
      <c r="J625" s="2"/>
      <c r="K625" s="2"/>
    </row>
    <row r="626" spans="2:11" x14ac:dyDescent="0.25">
      <c r="B626" s="3"/>
      <c r="C626" s="3"/>
      <c r="D626" s="3"/>
      <c r="E626" s="2"/>
      <c r="F626" s="2"/>
      <c r="G626" s="2"/>
      <c r="H626" s="2"/>
      <c r="I626" s="2"/>
      <c r="J626" s="2"/>
      <c r="K626" s="2"/>
    </row>
    <row r="627" spans="2:11" x14ac:dyDescent="0.25">
      <c r="B627" s="3"/>
      <c r="C627" s="3"/>
      <c r="D627" s="3"/>
      <c r="E627" s="2"/>
      <c r="F627" s="2"/>
      <c r="G627" s="2"/>
      <c r="H627" s="2"/>
      <c r="I627" s="2"/>
      <c r="J627" s="2"/>
      <c r="K627" s="2"/>
    </row>
    <row r="628" spans="2:11" x14ac:dyDescent="0.25">
      <c r="B628" s="3"/>
      <c r="C628" s="3"/>
      <c r="D628" s="3"/>
      <c r="E628" s="2"/>
      <c r="F628" s="2"/>
      <c r="G628" s="2"/>
      <c r="H628" s="2"/>
      <c r="I628" s="2"/>
      <c r="J628" s="2"/>
      <c r="K628" s="2"/>
    </row>
    <row r="629" spans="2:11" x14ac:dyDescent="0.25">
      <c r="B629" s="3"/>
      <c r="C629" s="3"/>
      <c r="D629" s="3"/>
      <c r="E629" s="2"/>
      <c r="F629" s="2"/>
      <c r="G629" s="2"/>
      <c r="H629" s="2"/>
      <c r="I629" s="2"/>
      <c r="J629" s="2"/>
      <c r="K629" s="2"/>
    </row>
    <row r="630" spans="2:11" x14ac:dyDescent="0.25">
      <c r="B630" s="3"/>
      <c r="C630" s="3"/>
      <c r="D630" s="3"/>
      <c r="E630" s="2"/>
      <c r="F630" s="2"/>
      <c r="G630" s="2"/>
      <c r="H630" s="2"/>
      <c r="I630" s="2"/>
      <c r="J630" s="2"/>
      <c r="K630" s="2"/>
    </row>
    <row r="631" spans="2:11" x14ac:dyDescent="0.25">
      <c r="B631" s="3"/>
      <c r="C631" s="3"/>
      <c r="D631" s="3"/>
      <c r="E631" s="2"/>
      <c r="F631" s="2"/>
      <c r="G631" s="2"/>
      <c r="H631" s="2"/>
      <c r="I631" s="2"/>
      <c r="J631" s="2"/>
      <c r="K631" s="2"/>
    </row>
    <row r="632" spans="2:11" x14ac:dyDescent="0.25">
      <c r="B632" s="3"/>
      <c r="C632" s="3"/>
      <c r="D632" s="3"/>
      <c r="E632" s="2"/>
      <c r="F632" s="2"/>
      <c r="G632" s="2"/>
      <c r="H632" s="2"/>
      <c r="I632" s="2"/>
      <c r="J632" s="2"/>
      <c r="K632" s="2"/>
    </row>
    <row r="633" spans="2:11" x14ac:dyDescent="0.25">
      <c r="B633" s="3"/>
      <c r="C633" s="3"/>
      <c r="D633" s="3"/>
      <c r="E633" s="2"/>
      <c r="F633" s="2"/>
      <c r="G633" s="2"/>
      <c r="H633" s="2"/>
      <c r="I633" s="2"/>
      <c r="J633" s="2"/>
      <c r="K633" s="2"/>
    </row>
    <row r="634" spans="2:11" x14ac:dyDescent="0.25">
      <c r="B634" s="3"/>
      <c r="C634" s="3"/>
      <c r="D634" s="3"/>
      <c r="E634" s="2"/>
      <c r="F634" s="2"/>
      <c r="G634" s="2"/>
      <c r="H634" s="2"/>
      <c r="I634" s="2"/>
      <c r="J634" s="2"/>
      <c r="K634" s="2"/>
    </row>
    <row r="635" spans="2:11" x14ac:dyDescent="0.25">
      <c r="B635" s="3"/>
      <c r="C635" s="3"/>
      <c r="D635" s="3"/>
      <c r="E635" s="2"/>
      <c r="F635" s="2"/>
      <c r="G635" s="2"/>
      <c r="H635" s="2"/>
      <c r="I635" s="2"/>
      <c r="J635" s="2"/>
      <c r="K635" s="2"/>
    </row>
    <row r="636" spans="2:11" x14ac:dyDescent="0.25">
      <c r="B636" s="3"/>
      <c r="C636" s="3"/>
      <c r="D636" s="3"/>
      <c r="E636" s="2"/>
      <c r="F636" s="2"/>
      <c r="G636" s="2"/>
      <c r="H636" s="2"/>
      <c r="I636" s="2"/>
      <c r="J636" s="2"/>
      <c r="K636" s="2"/>
    </row>
    <row r="637" spans="2:11" x14ac:dyDescent="0.25">
      <c r="B637" s="3"/>
      <c r="C637" s="3"/>
      <c r="D637" s="3"/>
      <c r="E637" s="2"/>
      <c r="F637" s="2"/>
      <c r="G637" s="2"/>
      <c r="H637" s="2"/>
      <c r="I637" s="2"/>
      <c r="J637" s="2"/>
      <c r="K637" s="2"/>
    </row>
    <row r="638" spans="2:11" x14ac:dyDescent="0.25">
      <c r="B638" s="3"/>
      <c r="C638" s="3"/>
      <c r="D638" s="3"/>
      <c r="E638" s="2"/>
      <c r="F638" s="2"/>
      <c r="G638" s="2"/>
      <c r="H638" s="2"/>
      <c r="I638" s="2"/>
      <c r="J638" s="2"/>
      <c r="K638" s="2"/>
    </row>
    <row r="639" spans="2:11" x14ac:dyDescent="0.25">
      <c r="B639" s="3"/>
      <c r="C639" s="3"/>
      <c r="D639" s="3"/>
      <c r="E639" s="2"/>
      <c r="F639" s="2"/>
      <c r="G639" s="2"/>
      <c r="H639" s="2"/>
      <c r="I639" s="2"/>
      <c r="J639" s="2"/>
      <c r="K639" s="2"/>
    </row>
    <row r="640" spans="2:11" x14ac:dyDescent="0.25">
      <c r="B640" s="3"/>
      <c r="C640" s="3"/>
      <c r="D640" s="3"/>
      <c r="E640" s="2"/>
      <c r="F640" s="2"/>
      <c r="G640" s="2"/>
      <c r="H640" s="2"/>
      <c r="I640" s="2"/>
      <c r="J640" s="2"/>
      <c r="K640" s="2"/>
    </row>
    <row r="641" spans="2:11" x14ac:dyDescent="0.25">
      <c r="B641" s="3"/>
      <c r="C641" s="3"/>
      <c r="D641" s="3"/>
      <c r="E641" s="2"/>
      <c r="F641" s="2"/>
      <c r="G641" s="2"/>
      <c r="H641" s="2"/>
      <c r="I641" s="2"/>
      <c r="J641" s="2"/>
      <c r="K641" s="2"/>
    </row>
    <row r="642" spans="2:11" x14ac:dyDescent="0.25">
      <c r="B642" s="3"/>
      <c r="C642" s="3"/>
      <c r="D642" s="3"/>
      <c r="E642" s="2"/>
      <c r="F642" s="2"/>
      <c r="G642" s="2"/>
      <c r="H642" s="2"/>
      <c r="I642" s="2"/>
      <c r="J642" s="2"/>
      <c r="K642" s="2"/>
    </row>
    <row r="643" spans="2:11" x14ac:dyDescent="0.25">
      <c r="B643" s="3"/>
      <c r="C643" s="3"/>
      <c r="D643" s="3"/>
      <c r="E643" s="2"/>
      <c r="F643" s="2"/>
      <c r="G643" s="2"/>
      <c r="H643" s="2"/>
      <c r="I643" s="2"/>
      <c r="J643" s="2"/>
      <c r="K643" s="2"/>
    </row>
    <row r="644" spans="2:11" x14ac:dyDescent="0.25">
      <c r="B644" s="3"/>
      <c r="C644" s="3"/>
      <c r="D644" s="3"/>
      <c r="E644" s="2"/>
      <c r="F644" s="2"/>
      <c r="G644" s="2"/>
      <c r="H644" s="2"/>
      <c r="I644" s="2"/>
      <c r="J644" s="2"/>
      <c r="K644" s="2"/>
    </row>
    <row r="645" spans="2:11" x14ac:dyDescent="0.25">
      <c r="B645" s="3"/>
      <c r="C645" s="3"/>
      <c r="D645" s="3"/>
      <c r="E645" s="2"/>
      <c r="F645" s="2"/>
      <c r="G645" s="2"/>
      <c r="H645" s="2"/>
      <c r="I645" s="2"/>
      <c r="J645" s="2"/>
      <c r="K645" s="2"/>
    </row>
    <row r="646" spans="2:11" x14ac:dyDescent="0.25">
      <c r="B646" s="3"/>
      <c r="C646" s="3"/>
      <c r="D646" s="3"/>
      <c r="E646" s="2"/>
      <c r="F646" s="2"/>
      <c r="G646" s="2"/>
      <c r="H646" s="2"/>
      <c r="I646" s="2"/>
      <c r="J646" s="2"/>
      <c r="K646" s="2"/>
    </row>
    <row r="647" spans="2:11" x14ac:dyDescent="0.25">
      <c r="B647" s="3"/>
      <c r="C647" s="3"/>
      <c r="D647" s="3"/>
      <c r="E647" s="2"/>
      <c r="F647" s="2"/>
      <c r="G647" s="2"/>
      <c r="H647" s="2"/>
      <c r="I647" s="2"/>
      <c r="J647" s="2"/>
      <c r="K647" s="2"/>
    </row>
    <row r="648" spans="2:11" x14ac:dyDescent="0.25">
      <c r="B648" s="3"/>
      <c r="C648" s="3"/>
      <c r="D648" s="3"/>
      <c r="E648" s="2"/>
      <c r="F648" s="2"/>
      <c r="G648" s="2"/>
      <c r="H648" s="2"/>
      <c r="I648" s="2"/>
      <c r="J648" s="2"/>
      <c r="K648" s="2"/>
    </row>
    <row r="649" spans="2:11" x14ac:dyDescent="0.25">
      <c r="B649" s="3"/>
      <c r="C649" s="3"/>
      <c r="D649" s="3"/>
      <c r="E649" s="2"/>
      <c r="F649" s="2"/>
      <c r="G649" s="2"/>
      <c r="H649" s="2"/>
      <c r="I649" s="2"/>
      <c r="J649" s="2"/>
      <c r="K649" s="2"/>
    </row>
    <row r="650" spans="2:11" x14ac:dyDescent="0.25">
      <c r="B650" s="3"/>
      <c r="C650" s="3"/>
      <c r="D650" s="3"/>
      <c r="E650" s="2"/>
      <c r="F650" s="2"/>
      <c r="G650" s="2"/>
      <c r="H650" s="2"/>
      <c r="I650" s="2"/>
      <c r="J650" s="2"/>
      <c r="K650" s="2"/>
    </row>
    <row r="651" spans="2:11" x14ac:dyDescent="0.25">
      <c r="B651" s="3"/>
      <c r="C651" s="3"/>
      <c r="D651" s="3"/>
      <c r="E651" s="2"/>
      <c r="F651" s="2"/>
      <c r="G651" s="2"/>
      <c r="H651" s="2"/>
      <c r="I651" s="2"/>
      <c r="J651" s="2"/>
      <c r="K651" s="2"/>
    </row>
    <row r="652" spans="2:11" x14ac:dyDescent="0.25">
      <c r="B652" s="3"/>
      <c r="C652" s="3"/>
      <c r="D652" s="3"/>
      <c r="E652" s="2"/>
      <c r="F652" s="2"/>
      <c r="G652" s="2"/>
      <c r="H652" s="2"/>
      <c r="I652" s="2"/>
      <c r="J652" s="2"/>
      <c r="K652" s="2"/>
    </row>
    <row r="653" spans="2:11" x14ac:dyDescent="0.25">
      <c r="B653" s="37"/>
      <c r="C653" s="37"/>
      <c r="D653" s="37"/>
    </row>
    <row r="654" spans="2:11" x14ac:dyDescent="0.25">
      <c r="B654" s="37"/>
      <c r="C654" s="37"/>
      <c r="D654" s="37"/>
    </row>
    <row r="655" spans="2:11" x14ac:dyDescent="0.25">
      <c r="B655" s="37"/>
      <c r="C655" s="37"/>
      <c r="D655" s="37"/>
    </row>
    <row r="656" spans="2:11" x14ac:dyDescent="0.25">
      <c r="B656" s="37"/>
      <c r="C656" s="37"/>
      <c r="D656" s="37"/>
    </row>
    <row r="657" spans="2:4" x14ac:dyDescent="0.25">
      <c r="B657" s="37"/>
      <c r="C657" s="37"/>
      <c r="D657" s="37"/>
    </row>
    <row r="658" spans="2:4" x14ac:dyDescent="0.25">
      <c r="B658" s="37"/>
      <c r="C658" s="37"/>
      <c r="D658" s="37"/>
    </row>
    <row r="659" spans="2:4" x14ac:dyDescent="0.25">
      <c r="B659" s="37"/>
      <c r="C659" s="37"/>
      <c r="D659" s="37"/>
    </row>
    <row r="660" spans="2:4" x14ac:dyDescent="0.25">
      <c r="B660" s="37"/>
      <c r="C660" s="37"/>
      <c r="D660" s="37"/>
    </row>
    <row r="661" spans="2:4" x14ac:dyDescent="0.25">
      <c r="B661" s="37"/>
      <c r="C661" s="37"/>
      <c r="D661" s="37"/>
    </row>
    <row r="662" spans="2:4" x14ac:dyDescent="0.25">
      <c r="B662" s="37"/>
      <c r="C662" s="37"/>
      <c r="D662" s="37"/>
    </row>
    <row r="663" spans="2:4" x14ac:dyDescent="0.25">
      <c r="B663" s="37"/>
      <c r="C663" s="37"/>
      <c r="D663" s="37"/>
    </row>
    <row r="664" spans="2:4" x14ac:dyDescent="0.25">
      <c r="B664" s="37"/>
      <c r="C664" s="37"/>
      <c r="D664" s="37"/>
    </row>
    <row r="665" spans="2:4" x14ac:dyDescent="0.25">
      <c r="B665" s="37"/>
      <c r="C665" s="37"/>
      <c r="D665" s="37"/>
    </row>
    <row r="666" spans="2:4" x14ac:dyDescent="0.25">
      <c r="B666" s="37"/>
      <c r="C666" s="37"/>
      <c r="D666" s="37"/>
    </row>
    <row r="667" spans="2:4" x14ac:dyDescent="0.25">
      <c r="B667" s="37"/>
      <c r="C667" s="37"/>
      <c r="D667" s="37"/>
    </row>
    <row r="668" spans="2:4" x14ac:dyDescent="0.25">
      <c r="B668" s="37"/>
      <c r="C668" s="37"/>
      <c r="D668" s="37"/>
    </row>
    <row r="669" spans="2:4" x14ac:dyDescent="0.25">
      <c r="B669" s="37"/>
      <c r="C669" s="37"/>
      <c r="D669" s="37"/>
    </row>
    <row r="670" spans="2:4" x14ac:dyDescent="0.25">
      <c r="B670" s="37"/>
      <c r="C670" s="37"/>
      <c r="D670" s="37"/>
    </row>
    <row r="671" spans="2:4" x14ac:dyDescent="0.25">
      <c r="B671" s="37"/>
      <c r="C671" s="37"/>
      <c r="D671" s="37"/>
    </row>
    <row r="672" spans="2:4" x14ac:dyDescent="0.25">
      <c r="B672" s="37"/>
      <c r="C672" s="37"/>
      <c r="D672" s="37"/>
    </row>
    <row r="673" spans="2:4" x14ac:dyDescent="0.25">
      <c r="B673" s="37"/>
      <c r="C673" s="37"/>
      <c r="D673" s="37"/>
    </row>
    <row r="674" spans="2:4" x14ac:dyDescent="0.25">
      <c r="B674" s="37"/>
      <c r="C674" s="37"/>
      <c r="D674" s="37"/>
    </row>
    <row r="675" spans="2:4" x14ac:dyDescent="0.25">
      <c r="B675" s="37"/>
      <c r="C675" s="37"/>
      <c r="D675" s="37"/>
    </row>
    <row r="676" spans="2:4" x14ac:dyDescent="0.25">
      <c r="B676" s="37"/>
      <c r="C676" s="37"/>
      <c r="D676" s="37"/>
    </row>
    <row r="677" spans="2:4" x14ac:dyDescent="0.25">
      <c r="B677" s="37"/>
      <c r="C677" s="37"/>
      <c r="D677" s="37"/>
    </row>
    <row r="678" spans="2:4" x14ac:dyDescent="0.25">
      <c r="B678" s="37"/>
      <c r="C678" s="37"/>
      <c r="D678" s="37"/>
    </row>
    <row r="679" spans="2:4" x14ac:dyDescent="0.25">
      <c r="B679" s="37"/>
      <c r="C679" s="37"/>
      <c r="D679" s="37"/>
    </row>
    <row r="680" spans="2:4" x14ac:dyDescent="0.25">
      <c r="B680" s="37"/>
      <c r="C680" s="37"/>
      <c r="D680" s="37"/>
    </row>
    <row r="681" spans="2:4" x14ac:dyDescent="0.25">
      <c r="B681" s="37"/>
      <c r="C681" s="37"/>
      <c r="D681" s="37"/>
    </row>
    <row r="682" spans="2:4" x14ac:dyDescent="0.25">
      <c r="B682" s="37"/>
      <c r="C682" s="37"/>
      <c r="D682" s="37"/>
    </row>
    <row r="683" spans="2:4" x14ac:dyDescent="0.25">
      <c r="B683" s="37"/>
      <c r="C683" s="37"/>
      <c r="D683" s="37"/>
    </row>
    <row r="684" spans="2:4" x14ac:dyDescent="0.25">
      <c r="B684" s="37"/>
      <c r="C684" s="37"/>
      <c r="D684" s="37"/>
    </row>
    <row r="685" spans="2:4" x14ac:dyDescent="0.25">
      <c r="B685" s="37"/>
      <c r="C685" s="37"/>
      <c r="D685" s="37"/>
    </row>
    <row r="686" spans="2:4" x14ac:dyDescent="0.25">
      <c r="B686" s="37"/>
      <c r="C686" s="37"/>
      <c r="D686" s="37"/>
    </row>
    <row r="687" spans="2:4" x14ac:dyDescent="0.25">
      <c r="B687" s="37"/>
      <c r="C687" s="37"/>
      <c r="D687" s="37"/>
    </row>
    <row r="688" spans="2:4" x14ac:dyDescent="0.25">
      <c r="B688" s="37"/>
      <c r="C688" s="37"/>
      <c r="D688" s="37"/>
    </row>
    <row r="689" spans="2:4" x14ac:dyDescent="0.25">
      <c r="B689" s="37"/>
      <c r="C689" s="37"/>
      <c r="D689" s="37"/>
    </row>
    <row r="690" spans="2:4" x14ac:dyDescent="0.25">
      <c r="B690" s="37"/>
      <c r="C690" s="37"/>
      <c r="D690" s="37"/>
    </row>
    <row r="691" spans="2:4" x14ac:dyDescent="0.25">
      <c r="B691" s="37"/>
      <c r="C691" s="37"/>
      <c r="D691" s="37"/>
    </row>
    <row r="692" spans="2:4" x14ac:dyDescent="0.25">
      <c r="B692" s="37"/>
      <c r="C692" s="37"/>
      <c r="D692" s="37"/>
    </row>
    <row r="693" spans="2:4" x14ac:dyDescent="0.25">
      <c r="B693" s="37"/>
      <c r="C693" s="37"/>
      <c r="D693" s="37"/>
    </row>
    <row r="694" spans="2:4" x14ac:dyDescent="0.25">
      <c r="B694" s="37"/>
      <c r="C694" s="37"/>
      <c r="D694" s="37"/>
    </row>
    <row r="695" spans="2:4" x14ac:dyDescent="0.25">
      <c r="B695" s="37"/>
      <c r="C695" s="37"/>
      <c r="D695" s="37"/>
    </row>
    <row r="696" spans="2:4" x14ac:dyDescent="0.25">
      <c r="B696" s="37"/>
      <c r="C696" s="37"/>
      <c r="D696" s="37"/>
    </row>
    <row r="697" spans="2:4" x14ac:dyDescent="0.25">
      <c r="B697" s="37"/>
      <c r="C697" s="37"/>
      <c r="D697" s="37"/>
    </row>
    <row r="698" spans="2:4" x14ac:dyDescent="0.25">
      <c r="B698" s="37"/>
      <c r="C698" s="37"/>
      <c r="D698" s="37"/>
    </row>
    <row r="699" spans="2:4" x14ac:dyDescent="0.25">
      <c r="B699" s="37"/>
      <c r="C699" s="37"/>
      <c r="D699" s="37"/>
    </row>
    <row r="700" spans="2:4" x14ac:dyDescent="0.25">
      <c r="B700" s="37"/>
      <c r="C700" s="37"/>
      <c r="D700" s="37"/>
    </row>
    <row r="701" spans="2:4" x14ac:dyDescent="0.25">
      <c r="B701" s="37"/>
      <c r="C701" s="37"/>
      <c r="D701" s="37"/>
    </row>
    <row r="702" spans="2:4" x14ac:dyDescent="0.25">
      <c r="B702" s="37"/>
      <c r="C702" s="37"/>
      <c r="D702" s="37"/>
    </row>
    <row r="703" spans="2:4" x14ac:dyDescent="0.25">
      <c r="B703" s="37"/>
      <c r="C703" s="37"/>
      <c r="D703" s="37"/>
    </row>
    <row r="704" spans="2:4" x14ac:dyDescent="0.25">
      <c r="B704" s="37"/>
      <c r="C704" s="37"/>
      <c r="D704" s="37"/>
    </row>
    <row r="705" spans="2:4" x14ac:dyDescent="0.25">
      <c r="B705" s="37"/>
      <c r="C705" s="37"/>
      <c r="D705" s="37"/>
    </row>
    <row r="706" spans="2:4" x14ac:dyDescent="0.25">
      <c r="B706" s="37"/>
      <c r="C706" s="37"/>
      <c r="D706" s="37"/>
    </row>
    <row r="707" spans="2:4" x14ac:dyDescent="0.25">
      <c r="B707" s="37"/>
      <c r="C707" s="37"/>
      <c r="D707" s="37"/>
    </row>
    <row r="708" spans="2:4" x14ac:dyDescent="0.25">
      <c r="B708" s="37"/>
      <c r="C708" s="37"/>
      <c r="D708" s="37"/>
    </row>
    <row r="709" spans="2:4" x14ac:dyDescent="0.25">
      <c r="B709" s="37"/>
      <c r="C709" s="37"/>
      <c r="D709" s="37"/>
    </row>
    <row r="710" spans="2:4" x14ac:dyDescent="0.25">
      <c r="B710" s="37"/>
      <c r="C710" s="37"/>
      <c r="D710" s="37"/>
    </row>
    <row r="711" spans="2:4" x14ac:dyDescent="0.25">
      <c r="B711" s="37"/>
      <c r="C711" s="37"/>
      <c r="D711" s="37"/>
    </row>
    <row r="712" spans="2:4" x14ac:dyDescent="0.25">
      <c r="B712" s="37"/>
      <c r="C712" s="37"/>
      <c r="D712" s="37"/>
    </row>
    <row r="713" spans="2:4" x14ac:dyDescent="0.25">
      <c r="B713" s="37"/>
      <c r="C713" s="37"/>
      <c r="D713" s="37"/>
    </row>
    <row r="714" spans="2:4" x14ac:dyDescent="0.25">
      <c r="B714" s="37"/>
      <c r="C714" s="37"/>
      <c r="D714" s="37"/>
    </row>
    <row r="715" spans="2:4" x14ac:dyDescent="0.25">
      <c r="B715" s="37"/>
      <c r="C715" s="37"/>
      <c r="D715" s="37"/>
    </row>
    <row r="716" spans="2:4" x14ac:dyDescent="0.25">
      <c r="B716" s="37"/>
      <c r="C716" s="37"/>
      <c r="D716" s="37"/>
    </row>
    <row r="717" spans="2:4" x14ac:dyDescent="0.25">
      <c r="B717" s="37"/>
      <c r="C717" s="37"/>
      <c r="D717" s="37"/>
    </row>
    <row r="718" spans="2:4" x14ac:dyDescent="0.25">
      <c r="B718" s="37"/>
      <c r="C718" s="37"/>
      <c r="D718" s="37"/>
    </row>
    <row r="719" spans="2:4" x14ac:dyDescent="0.25">
      <c r="B719" s="37"/>
      <c r="C719" s="37"/>
      <c r="D719" s="37"/>
    </row>
    <row r="720" spans="2:4" x14ac:dyDescent="0.25">
      <c r="B720" s="37"/>
      <c r="C720" s="37"/>
      <c r="D720" s="37"/>
    </row>
    <row r="721" spans="2:4" x14ac:dyDescent="0.25">
      <c r="B721" s="37"/>
      <c r="C721" s="37"/>
      <c r="D721" s="37"/>
    </row>
    <row r="722" spans="2:4" x14ac:dyDescent="0.25">
      <c r="B722" s="37"/>
      <c r="C722" s="37"/>
      <c r="D722" s="37"/>
    </row>
    <row r="723" spans="2:4" x14ac:dyDescent="0.25">
      <c r="B723" s="37"/>
      <c r="C723" s="37"/>
      <c r="D723" s="37"/>
    </row>
    <row r="724" spans="2:4" x14ac:dyDescent="0.25">
      <c r="B724" s="37"/>
      <c r="C724" s="37"/>
      <c r="D724" s="37"/>
    </row>
    <row r="725" spans="2:4" x14ac:dyDescent="0.25">
      <c r="B725" s="37"/>
      <c r="C725" s="37"/>
      <c r="D725" s="37"/>
    </row>
    <row r="726" spans="2:4" x14ac:dyDescent="0.25">
      <c r="B726" s="37"/>
      <c r="C726" s="37"/>
      <c r="D726" s="37"/>
    </row>
    <row r="727" spans="2:4" x14ac:dyDescent="0.25">
      <c r="B727" s="37"/>
      <c r="C727" s="37"/>
      <c r="D727" s="37"/>
    </row>
    <row r="728" spans="2:4" x14ac:dyDescent="0.25">
      <c r="B728" s="37"/>
      <c r="C728" s="37"/>
      <c r="D728" s="37"/>
    </row>
    <row r="729" spans="2:4" x14ac:dyDescent="0.25">
      <c r="B729" s="37"/>
      <c r="C729" s="37"/>
      <c r="D729" s="37"/>
    </row>
    <row r="730" spans="2:4" x14ac:dyDescent="0.25">
      <c r="B730" s="37"/>
      <c r="C730" s="37"/>
      <c r="D730" s="37"/>
    </row>
    <row r="731" spans="2:4" x14ac:dyDescent="0.25">
      <c r="B731" s="37"/>
      <c r="C731" s="37"/>
      <c r="D731" s="37"/>
    </row>
    <row r="732" spans="2:4" x14ac:dyDescent="0.25">
      <c r="B732" s="37"/>
      <c r="C732" s="37"/>
      <c r="D732" s="37"/>
    </row>
    <row r="733" spans="2:4" x14ac:dyDescent="0.25">
      <c r="B733" s="37"/>
      <c r="C733" s="37"/>
      <c r="D733" s="37"/>
    </row>
    <row r="734" spans="2:4" x14ac:dyDescent="0.25">
      <c r="B734" s="37"/>
      <c r="C734" s="37"/>
      <c r="D734" s="37"/>
    </row>
    <row r="735" spans="2:4" x14ac:dyDescent="0.25">
      <c r="B735" s="37"/>
      <c r="C735" s="37"/>
      <c r="D735" s="37"/>
    </row>
    <row r="736" spans="2:4" x14ac:dyDescent="0.25">
      <c r="B736" s="37"/>
      <c r="C736" s="37"/>
      <c r="D736" s="37"/>
    </row>
    <row r="737" spans="2:4" x14ac:dyDescent="0.25">
      <c r="B737" s="37"/>
      <c r="C737" s="37"/>
      <c r="D737" s="37"/>
    </row>
    <row r="738" spans="2:4" x14ac:dyDescent="0.25">
      <c r="B738" s="37"/>
      <c r="C738" s="37"/>
      <c r="D738" s="37"/>
    </row>
    <row r="739" spans="2:4" x14ac:dyDescent="0.25">
      <c r="B739" s="37"/>
      <c r="C739" s="37"/>
      <c r="D739" s="37"/>
    </row>
    <row r="740" spans="2:4" x14ac:dyDescent="0.25">
      <c r="B740" s="37"/>
      <c r="C740" s="37"/>
      <c r="D740" s="37"/>
    </row>
    <row r="741" spans="2:4" x14ac:dyDescent="0.25">
      <c r="B741" s="37"/>
      <c r="C741" s="37"/>
      <c r="D741" s="37"/>
    </row>
    <row r="742" spans="2:4" x14ac:dyDescent="0.25">
      <c r="B742" s="37"/>
      <c r="C742" s="37"/>
      <c r="D742" s="37"/>
    </row>
    <row r="743" spans="2:4" x14ac:dyDescent="0.25">
      <c r="B743" s="37"/>
      <c r="C743" s="37"/>
      <c r="D743" s="37"/>
    </row>
    <row r="744" spans="2:4" x14ac:dyDescent="0.25">
      <c r="B744" s="37"/>
      <c r="C744" s="37"/>
      <c r="D744" s="37"/>
    </row>
    <row r="745" spans="2:4" x14ac:dyDescent="0.25">
      <c r="B745" s="37"/>
      <c r="C745" s="37"/>
      <c r="D745" s="37"/>
    </row>
    <row r="746" spans="2:4" x14ac:dyDescent="0.25">
      <c r="B746" s="37"/>
      <c r="C746" s="37"/>
      <c r="D746" s="37"/>
    </row>
    <row r="747" spans="2:4" x14ac:dyDescent="0.25">
      <c r="B747" s="37"/>
      <c r="C747" s="37"/>
      <c r="D747" s="37"/>
    </row>
    <row r="748" spans="2:4" x14ac:dyDescent="0.25">
      <c r="B748" s="37"/>
      <c r="C748" s="37"/>
      <c r="D748" s="37"/>
    </row>
    <row r="749" spans="2:4" x14ac:dyDescent="0.25">
      <c r="B749" s="37"/>
      <c r="C749" s="37"/>
      <c r="D749" s="37"/>
    </row>
    <row r="750" spans="2:4" x14ac:dyDescent="0.25">
      <c r="B750" s="37"/>
      <c r="C750" s="37"/>
      <c r="D750" s="37"/>
    </row>
    <row r="751" spans="2:4" x14ac:dyDescent="0.25">
      <c r="B751" s="37"/>
      <c r="C751" s="37"/>
      <c r="D751" s="37"/>
    </row>
    <row r="752" spans="2:4" x14ac:dyDescent="0.25">
      <c r="B752" s="37"/>
      <c r="C752" s="37"/>
      <c r="D752" s="37"/>
    </row>
    <row r="753" spans="2:4" x14ac:dyDescent="0.25">
      <c r="B753" s="37"/>
      <c r="C753" s="37"/>
      <c r="D753" s="37"/>
    </row>
    <row r="754" spans="2:4" x14ac:dyDescent="0.25">
      <c r="B754" s="37"/>
      <c r="C754" s="37"/>
      <c r="D754" s="37"/>
    </row>
    <row r="755" spans="2:4" x14ac:dyDescent="0.25">
      <c r="B755" s="37"/>
      <c r="C755" s="37"/>
      <c r="D755" s="37"/>
    </row>
    <row r="756" spans="2:4" x14ac:dyDescent="0.25">
      <c r="B756" s="37"/>
      <c r="C756" s="37"/>
      <c r="D756" s="37"/>
    </row>
    <row r="757" spans="2:4" x14ac:dyDescent="0.25">
      <c r="B757" s="37"/>
      <c r="C757" s="37"/>
      <c r="D757" s="37"/>
    </row>
    <row r="758" spans="2:4" x14ac:dyDescent="0.25">
      <c r="B758" s="37"/>
      <c r="C758" s="37"/>
      <c r="D758" s="37"/>
    </row>
    <row r="759" spans="2:4" x14ac:dyDescent="0.25">
      <c r="B759" s="37"/>
      <c r="C759" s="37"/>
      <c r="D759" s="37"/>
    </row>
    <row r="760" spans="2:4" x14ac:dyDescent="0.25">
      <c r="B760" s="37"/>
      <c r="C760" s="37"/>
      <c r="D760" s="37"/>
    </row>
    <row r="761" spans="2:4" x14ac:dyDescent="0.25">
      <c r="B761" s="37"/>
      <c r="C761" s="37"/>
      <c r="D761" s="37"/>
    </row>
    <row r="762" spans="2:4" x14ac:dyDescent="0.25">
      <c r="B762" s="37"/>
      <c r="C762" s="37"/>
      <c r="D762" s="37"/>
    </row>
    <row r="763" spans="2:4" x14ac:dyDescent="0.25">
      <c r="B763" s="37"/>
      <c r="C763" s="37"/>
      <c r="D763" s="37"/>
    </row>
    <row r="764" spans="2:4" x14ac:dyDescent="0.25">
      <c r="B764" s="37"/>
      <c r="C764" s="37"/>
      <c r="D764" s="37"/>
    </row>
    <row r="765" spans="2:4" x14ac:dyDescent="0.25">
      <c r="B765" s="37"/>
      <c r="C765" s="37"/>
      <c r="D765" s="37"/>
    </row>
    <row r="766" spans="2:4" x14ac:dyDescent="0.25">
      <c r="B766" s="37"/>
      <c r="C766" s="37"/>
      <c r="D766" s="37"/>
    </row>
    <row r="767" spans="2:4" x14ac:dyDescent="0.25">
      <c r="B767" s="37"/>
      <c r="C767" s="37"/>
      <c r="D767" s="37"/>
    </row>
    <row r="768" spans="2:4" x14ac:dyDescent="0.25">
      <c r="B768" s="37"/>
      <c r="C768" s="37"/>
      <c r="D768" s="37"/>
    </row>
    <row r="769" spans="2:4" x14ac:dyDescent="0.25">
      <c r="B769" s="37"/>
      <c r="C769" s="37"/>
      <c r="D769" s="37"/>
    </row>
    <row r="770" spans="2:4" x14ac:dyDescent="0.25">
      <c r="B770" s="37"/>
      <c r="C770" s="37"/>
      <c r="D770" s="37"/>
    </row>
    <row r="771" spans="2:4" x14ac:dyDescent="0.25">
      <c r="B771" s="37"/>
      <c r="C771" s="37"/>
      <c r="D771" s="37"/>
    </row>
    <row r="772" spans="2:4" x14ac:dyDescent="0.25">
      <c r="B772" s="37"/>
      <c r="C772" s="37"/>
      <c r="D772" s="37"/>
    </row>
    <row r="773" spans="2:4" x14ac:dyDescent="0.25">
      <c r="B773" s="37"/>
      <c r="C773" s="37"/>
      <c r="D773" s="37"/>
    </row>
    <row r="774" spans="2:4" x14ac:dyDescent="0.25">
      <c r="B774" s="37"/>
      <c r="C774" s="37"/>
      <c r="D774" s="37"/>
    </row>
    <row r="775" spans="2:4" x14ac:dyDescent="0.25">
      <c r="B775" s="37"/>
      <c r="C775" s="37"/>
      <c r="D775" s="37"/>
    </row>
    <row r="776" spans="2:4" x14ac:dyDescent="0.25">
      <c r="B776" s="37"/>
      <c r="C776" s="37"/>
      <c r="D776" s="37"/>
    </row>
    <row r="777" spans="2:4" x14ac:dyDescent="0.25">
      <c r="B777" s="37"/>
      <c r="C777" s="37"/>
      <c r="D777" s="37"/>
    </row>
    <row r="778" spans="2:4" x14ac:dyDescent="0.25">
      <c r="B778" s="37"/>
      <c r="C778" s="37"/>
      <c r="D778" s="37"/>
    </row>
    <row r="779" spans="2:4" x14ac:dyDescent="0.25">
      <c r="B779" s="37"/>
      <c r="C779" s="37"/>
      <c r="D779" s="37"/>
    </row>
    <row r="780" spans="2:4" x14ac:dyDescent="0.25">
      <c r="B780" s="37"/>
      <c r="C780" s="37"/>
      <c r="D780" s="37"/>
    </row>
    <row r="781" spans="2:4" x14ac:dyDescent="0.25">
      <c r="B781" s="37"/>
      <c r="C781" s="37"/>
      <c r="D781" s="37"/>
    </row>
    <row r="782" spans="2:4" x14ac:dyDescent="0.25">
      <c r="B782" s="37"/>
      <c r="C782" s="37"/>
      <c r="D782" s="37"/>
    </row>
    <row r="783" spans="2:4" x14ac:dyDescent="0.25">
      <c r="B783" s="37"/>
      <c r="C783" s="37"/>
      <c r="D783" s="37"/>
    </row>
    <row r="784" spans="2:4" x14ac:dyDescent="0.25">
      <c r="B784" s="37"/>
      <c r="C784" s="37"/>
      <c r="D784" s="37"/>
    </row>
    <row r="785" spans="2:4" x14ac:dyDescent="0.25">
      <c r="B785" s="37"/>
      <c r="C785" s="37"/>
      <c r="D785" s="37"/>
    </row>
    <row r="786" spans="2:4" x14ac:dyDescent="0.25">
      <c r="B786" s="37"/>
      <c r="C786" s="37"/>
      <c r="D786" s="37"/>
    </row>
    <row r="787" spans="2:4" x14ac:dyDescent="0.25">
      <c r="B787" s="37"/>
      <c r="C787" s="37"/>
      <c r="D787" s="37"/>
    </row>
    <row r="788" spans="2:4" x14ac:dyDescent="0.25">
      <c r="B788" s="37"/>
      <c r="C788" s="37"/>
      <c r="D788" s="37"/>
    </row>
    <row r="789" spans="2:4" x14ac:dyDescent="0.25">
      <c r="B789" s="37"/>
      <c r="C789" s="37"/>
      <c r="D789" s="37"/>
    </row>
    <row r="790" spans="2:4" x14ac:dyDescent="0.25">
      <c r="B790" s="37"/>
      <c r="C790" s="37"/>
      <c r="D790" s="37"/>
    </row>
    <row r="791" spans="2:4" x14ac:dyDescent="0.25">
      <c r="B791" s="37"/>
      <c r="C791" s="37"/>
      <c r="D791" s="37"/>
    </row>
    <row r="792" spans="2:4" x14ac:dyDescent="0.25">
      <c r="B792" s="37"/>
      <c r="C792" s="37"/>
      <c r="D792" s="37"/>
    </row>
    <row r="793" spans="2:4" x14ac:dyDescent="0.25">
      <c r="B793" s="37"/>
      <c r="C793" s="37"/>
      <c r="D793" s="37"/>
    </row>
    <row r="794" spans="2:4" x14ac:dyDescent="0.25">
      <c r="B794" s="37"/>
      <c r="C794" s="37"/>
      <c r="D794" s="37"/>
    </row>
    <row r="795" spans="2:4" x14ac:dyDescent="0.25">
      <c r="B795" s="37"/>
      <c r="C795" s="37"/>
      <c r="D795" s="37"/>
    </row>
    <row r="796" spans="2:4" x14ac:dyDescent="0.25">
      <c r="B796" s="37"/>
      <c r="C796" s="37"/>
      <c r="D796" s="37"/>
    </row>
    <row r="797" spans="2:4" x14ac:dyDescent="0.25">
      <c r="B797" s="37"/>
      <c r="C797" s="37"/>
      <c r="D797" s="37"/>
    </row>
    <row r="798" spans="2:4" x14ac:dyDescent="0.25">
      <c r="B798" s="37"/>
      <c r="C798" s="37"/>
      <c r="D798" s="37"/>
    </row>
    <row r="799" spans="2:4" x14ac:dyDescent="0.25">
      <c r="B799" s="37"/>
      <c r="C799" s="37"/>
      <c r="D799" s="37"/>
    </row>
    <row r="800" spans="2:4" x14ac:dyDescent="0.25">
      <c r="B800" s="37"/>
      <c r="C800" s="37"/>
      <c r="D800" s="37"/>
    </row>
    <row r="801" spans="2:4" x14ac:dyDescent="0.25">
      <c r="B801" s="37"/>
      <c r="C801" s="37"/>
      <c r="D801" s="37"/>
    </row>
    <row r="802" spans="2:4" x14ac:dyDescent="0.25">
      <c r="B802" s="37"/>
      <c r="C802" s="37"/>
      <c r="D802" s="37"/>
    </row>
    <row r="803" spans="2:4" x14ac:dyDescent="0.25">
      <c r="B803" s="37"/>
      <c r="C803" s="37"/>
      <c r="D803" s="37"/>
    </row>
    <row r="804" spans="2:4" x14ac:dyDescent="0.25">
      <c r="B804" s="37"/>
      <c r="C804" s="37"/>
      <c r="D804" s="37"/>
    </row>
    <row r="805" spans="2:4" x14ac:dyDescent="0.25">
      <c r="B805" s="37"/>
      <c r="C805" s="37"/>
      <c r="D805" s="37"/>
    </row>
    <row r="806" spans="2:4" x14ac:dyDescent="0.25">
      <c r="B806" s="37"/>
      <c r="C806" s="37"/>
      <c r="D806" s="37"/>
    </row>
    <row r="807" spans="2:4" x14ac:dyDescent="0.25">
      <c r="B807" s="37"/>
      <c r="C807" s="37"/>
      <c r="D807" s="37"/>
    </row>
    <row r="808" spans="2:4" x14ac:dyDescent="0.25">
      <c r="B808" s="37"/>
      <c r="C808" s="37"/>
      <c r="D808" s="37"/>
    </row>
    <row r="809" spans="2:4" x14ac:dyDescent="0.25">
      <c r="B809" s="37"/>
      <c r="C809" s="37"/>
      <c r="D809" s="37"/>
    </row>
    <row r="810" spans="2:4" x14ac:dyDescent="0.25">
      <c r="B810" s="37"/>
      <c r="C810" s="37"/>
      <c r="D810" s="37"/>
    </row>
    <row r="811" spans="2:4" x14ac:dyDescent="0.25">
      <c r="B811" s="37"/>
      <c r="C811" s="37"/>
      <c r="D811" s="37"/>
    </row>
    <row r="812" spans="2:4" x14ac:dyDescent="0.25">
      <c r="B812" s="37"/>
      <c r="C812" s="37"/>
      <c r="D812" s="37"/>
    </row>
    <row r="813" spans="2:4" x14ac:dyDescent="0.25">
      <c r="B813" s="37"/>
      <c r="C813" s="37"/>
      <c r="D813" s="37"/>
    </row>
    <row r="814" spans="2:4" x14ac:dyDescent="0.25">
      <c r="B814" s="37"/>
      <c r="C814" s="37"/>
      <c r="D814" s="37"/>
    </row>
    <row r="815" spans="2:4" x14ac:dyDescent="0.25">
      <c r="B815" s="37"/>
      <c r="C815" s="37"/>
      <c r="D815" s="37"/>
    </row>
    <row r="816" spans="2:4" x14ac:dyDescent="0.25">
      <c r="B816" s="37"/>
      <c r="C816" s="37"/>
      <c r="D816" s="37"/>
    </row>
    <row r="817" spans="2:4" x14ac:dyDescent="0.25">
      <c r="B817" s="37"/>
      <c r="C817" s="37"/>
      <c r="D817" s="37"/>
    </row>
    <row r="818" spans="2:4" x14ac:dyDescent="0.25">
      <c r="B818" s="37"/>
      <c r="C818" s="37"/>
      <c r="D818" s="37"/>
    </row>
    <row r="819" spans="2:4" x14ac:dyDescent="0.25">
      <c r="B819" s="37"/>
      <c r="C819" s="37"/>
      <c r="D819" s="37"/>
    </row>
    <row r="820" spans="2:4" x14ac:dyDescent="0.25">
      <c r="B820" s="37"/>
      <c r="C820" s="37"/>
      <c r="D820" s="37"/>
    </row>
    <row r="821" spans="2:4" x14ac:dyDescent="0.25">
      <c r="B821" s="37"/>
      <c r="C821" s="37"/>
      <c r="D821" s="37"/>
    </row>
    <row r="822" spans="2:4" x14ac:dyDescent="0.25">
      <c r="B822" s="37"/>
      <c r="C822" s="37"/>
      <c r="D822" s="37"/>
    </row>
    <row r="823" spans="2:4" x14ac:dyDescent="0.25">
      <c r="B823" s="37"/>
      <c r="C823" s="37"/>
      <c r="D823" s="37"/>
    </row>
    <row r="824" spans="2:4" x14ac:dyDescent="0.25">
      <c r="B824" s="37"/>
      <c r="C824" s="37"/>
      <c r="D824" s="37"/>
    </row>
    <row r="825" spans="2:4" x14ac:dyDescent="0.25">
      <c r="B825" s="37"/>
      <c r="C825" s="37"/>
      <c r="D825" s="37"/>
    </row>
    <row r="826" spans="2:4" x14ac:dyDescent="0.25">
      <c r="B826" s="37"/>
      <c r="C826" s="37"/>
      <c r="D826" s="37"/>
    </row>
    <row r="827" spans="2:4" x14ac:dyDescent="0.25">
      <c r="B827" s="37"/>
      <c r="C827" s="37"/>
      <c r="D827" s="37"/>
    </row>
    <row r="828" spans="2:4" x14ac:dyDescent="0.25">
      <c r="B828" s="37"/>
      <c r="C828" s="37"/>
      <c r="D828" s="37"/>
    </row>
    <row r="829" spans="2:4" x14ac:dyDescent="0.25">
      <c r="B829" s="37"/>
      <c r="C829" s="37"/>
      <c r="D829" s="37"/>
    </row>
    <row r="830" spans="2:4" x14ac:dyDescent="0.25">
      <c r="B830" s="37"/>
      <c r="C830" s="37"/>
      <c r="D830" s="37"/>
    </row>
    <row r="831" spans="2:4" x14ac:dyDescent="0.25">
      <c r="B831" s="37"/>
      <c r="C831" s="37"/>
      <c r="D831" s="37"/>
    </row>
    <row r="832" spans="2:4" x14ac:dyDescent="0.25">
      <c r="B832" s="37"/>
      <c r="C832" s="37"/>
      <c r="D832" s="37"/>
    </row>
    <row r="833" spans="2:4" x14ac:dyDescent="0.25">
      <c r="B833" s="37"/>
      <c r="C833" s="37"/>
      <c r="D833" s="37"/>
    </row>
    <row r="834" spans="2:4" x14ac:dyDescent="0.25">
      <c r="B834" s="37"/>
      <c r="C834" s="37"/>
      <c r="D834" s="37"/>
    </row>
    <row r="835" spans="2:4" x14ac:dyDescent="0.25">
      <c r="B835" s="37"/>
      <c r="C835" s="37"/>
      <c r="D835" s="37"/>
    </row>
    <row r="836" spans="2:4" x14ac:dyDescent="0.25">
      <c r="B836" s="37"/>
      <c r="C836" s="37"/>
      <c r="D836" s="37"/>
    </row>
    <row r="837" spans="2:4" x14ac:dyDescent="0.25">
      <c r="B837" s="37"/>
      <c r="C837" s="37"/>
      <c r="D837" s="37"/>
    </row>
    <row r="838" spans="2:4" x14ac:dyDescent="0.25">
      <c r="B838" s="37"/>
      <c r="C838" s="37"/>
      <c r="D838" s="37"/>
    </row>
    <row r="839" spans="2:4" x14ac:dyDescent="0.25">
      <c r="B839" s="37"/>
      <c r="C839" s="37"/>
      <c r="D839" s="37"/>
    </row>
    <row r="840" spans="2:4" x14ac:dyDescent="0.25">
      <c r="B840" s="37"/>
      <c r="C840" s="37"/>
      <c r="D840" s="37"/>
    </row>
    <row r="841" spans="2:4" x14ac:dyDescent="0.25">
      <c r="B841" s="37"/>
      <c r="C841" s="37"/>
      <c r="D841" s="37"/>
    </row>
    <row r="842" spans="2:4" x14ac:dyDescent="0.25">
      <c r="B842" s="37"/>
      <c r="C842" s="37"/>
      <c r="D842" s="37"/>
    </row>
    <row r="843" spans="2:4" x14ac:dyDescent="0.25">
      <c r="B843" s="37"/>
      <c r="C843" s="37"/>
      <c r="D843" s="37"/>
    </row>
    <row r="844" spans="2:4" x14ac:dyDescent="0.25">
      <c r="B844" s="37"/>
      <c r="C844" s="37"/>
      <c r="D844" s="37"/>
    </row>
    <row r="845" spans="2:4" x14ac:dyDescent="0.25">
      <c r="B845" s="37"/>
      <c r="C845" s="37"/>
      <c r="D845" s="37"/>
    </row>
    <row r="846" spans="2:4" x14ac:dyDescent="0.25">
      <c r="B846" s="37"/>
      <c r="C846" s="37"/>
      <c r="D846" s="37"/>
    </row>
    <row r="847" spans="2:4" x14ac:dyDescent="0.25">
      <c r="B847" s="37"/>
      <c r="C847" s="37"/>
      <c r="D847" s="37"/>
    </row>
    <row r="848" spans="2:4" x14ac:dyDescent="0.25">
      <c r="B848" s="37"/>
      <c r="C848" s="37"/>
      <c r="D848" s="37"/>
    </row>
    <row r="849" spans="2:4" x14ac:dyDescent="0.25">
      <c r="B849" s="37"/>
      <c r="C849" s="37"/>
      <c r="D849" s="37"/>
    </row>
    <row r="850" spans="2:4" x14ac:dyDescent="0.25">
      <c r="B850" s="37"/>
      <c r="C850" s="37"/>
      <c r="D850" s="37"/>
    </row>
    <row r="851" spans="2:4" x14ac:dyDescent="0.25">
      <c r="B851" s="37"/>
      <c r="C851" s="37"/>
      <c r="D851" s="37"/>
    </row>
    <row r="852" spans="2:4" x14ac:dyDescent="0.25">
      <c r="B852" s="37"/>
      <c r="C852" s="37"/>
      <c r="D852" s="37"/>
    </row>
    <row r="853" spans="2:4" x14ac:dyDescent="0.25">
      <c r="B853" s="37"/>
      <c r="C853" s="37"/>
      <c r="D853" s="37"/>
    </row>
    <row r="854" spans="2:4" x14ac:dyDescent="0.25">
      <c r="B854" s="37"/>
      <c r="C854" s="37"/>
      <c r="D854" s="37"/>
    </row>
    <row r="855" spans="2:4" x14ac:dyDescent="0.25">
      <c r="B855" s="37"/>
      <c r="C855" s="37"/>
      <c r="D855" s="37"/>
    </row>
    <row r="856" spans="2:4" x14ac:dyDescent="0.25">
      <c r="B856" s="37"/>
      <c r="C856" s="37"/>
      <c r="D856" s="37"/>
    </row>
    <row r="857" spans="2:4" x14ac:dyDescent="0.25">
      <c r="B857" s="37"/>
      <c r="C857" s="37"/>
      <c r="D857" s="37"/>
    </row>
    <row r="858" spans="2:4" x14ac:dyDescent="0.25">
      <c r="B858" s="37"/>
      <c r="C858" s="37"/>
      <c r="D858" s="37"/>
    </row>
    <row r="859" spans="2:4" x14ac:dyDescent="0.25">
      <c r="B859" s="37"/>
      <c r="C859" s="37"/>
      <c r="D859" s="37"/>
    </row>
    <row r="860" spans="2:4" x14ac:dyDescent="0.25">
      <c r="B860" s="37"/>
      <c r="C860" s="37"/>
      <c r="D860" s="37"/>
    </row>
    <row r="861" spans="2:4" x14ac:dyDescent="0.25">
      <c r="B861" s="37"/>
      <c r="C861" s="37"/>
      <c r="D861" s="37"/>
    </row>
    <row r="862" spans="2:4" x14ac:dyDescent="0.25">
      <c r="B862" s="37"/>
      <c r="C862" s="37"/>
      <c r="D862" s="37"/>
    </row>
    <row r="863" spans="2:4" x14ac:dyDescent="0.25">
      <c r="B863" s="37"/>
      <c r="C863" s="37"/>
      <c r="D863" s="37"/>
    </row>
    <row r="864" spans="2:4" x14ac:dyDescent="0.25">
      <c r="B864" s="37"/>
      <c r="C864" s="37"/>
      <c r="D864" s="37"/>
    </row>
    <row r="865" spans="2:4" x14ac:dyDescent="0.25">
      <c r="B865" s="37"/>
      <c r="C865" s="37"/>
      <c r="D865" s="37"/>
    </row>
    <row r="866" spans="2:4" x14ac:dyDescent="0.25">
      <c r="B866" s="37"/>
      <c r="C866" s="37"/>
      <c r="D866" s="37"/>
    </row>
    <row r="867" spans="2:4" x14ac:dyDescent="0.25">
      <c r="B867" s="37"/>
      <c r="C867" s="37"/>
      <c r="D867" s="37"/>
    </row>
    <row r="868" spans="2:4" x14ac:dyDescent="0.25">
      <c r="B868" s="37"/>
      <c r="C868" s="37"/>
      <c r="D868" s="37"/>
    </row>
    <row r="869" spans="2:4" x14ac:dyDescent="0.25">
      <c r="B869" s="37"/>
      <c r="C869" s="37"/>
      <c r="D869" s="37"/>
    </row>
    <row r="870" spans="2:4" x14ac:dyDescent="0.25">
      <c r="B870" s="37"/>
      <c r="C870" s="37"/>
      <c r="D870" s="37"/>
    </row>
    <row r="871" spans="2:4" x14ac:dyDescent="0.25">
      <c r="B871" s="37"/>
      <c r="C871" s="37"/>
      <c r="D871" s="37"/>
    </row>
    <row r="872" spans="2:4" x14ac:dyDescent="0.25">
      <c r="B872" s="37"/>
      <c r="C872" s="37"/>
      <c r="D872" s="37"/>
    </row>
    <row r="873" spans="2:4" x14ac:dyDescent="0.25">
      <c r="B873" s="37"/>
      <c r="C873" s="37"/>
      <c r="D873" s="37"/>
    </row>
    <row r="874" spans="2:4" x14ac:dyDescent="0.25">
      <c r="B874" s="37"/>
      <c r="C874" s="37"/>
      <c r="D874" s="37"/>
    </row>
    <row r="875" spans="2:4" x14ac:dyDescent="0.25">
      <c r="B875" s="37"/>
      <c r="C875" s="37"/>
      <c r="D875" s="37"/>
    </row>
    <row r="876" spans="2:4" x14ac:dyDescent="0.25">
      <c r="B876" s="37"/>
      <c r="C876" s="37"/>
      <c r="D876" s="37"/>
    </row>
    <row r="877" spans="2:4" x14ac:dyDescent="0.25">
      <c r="B877" s="37"/>
      <c r="C877" s="37"/>
      <c r="D877" s="37"/>
    </row>
    <row r="878" spans="2:4" x14ac:dyDescent="0.25">
      <c r="B878" s="37"/>
      <c r="C878" s="37"/>
      <c r="D878" s="37"/>
    </row>
    <row r="879" spans="2:4" x14ac:dyDescent="0.25">
      <c r="B879" s="37"/>
      <c r="C879" s="37"/>
      <c r="D879" s="37"/>
    </row>
    <row r="880" spans="2:4" x14ac:dyDescent="0.25">
      <c r="B880" s="37"/>
      <c r="C880" s="37"/>
      <c r="D880" s="37"/>
    </row>
    <row r="881" spans="2:4" x14ac:dyDescent="0.25">
      <c r="B881" s="37"/>
      <c r="C881" s="37"/>
      <c r="D881" s="37"/>
    </row>
    <row r="882" spans="2:4" x14ac:dyDescent="0.25">
      <c r="B882" s="37"/>
      <c r="C882" s="37"/>
      <c r="D882" s="37"/>
    </row>
    <row r="883" spans="2:4" x14ac:dyDescent="0.25">
      <c r="B883" s="37"/>
      <c r="C883" s="37"/>
      <c r="D883" s="37"/>
    </row>
    <row r="884" spans="2:4" x14ac:dyDescent="0.25">
      <c r="B884" s="37"/>
      <c r="C884" s="37"/>
      <c r="D884" s="37"/>
    </row>
    <row r="885" spans="2:4" x14ac:dyDescent="0.25">
      <c r="B885" s="37"/>
      <c r="C885" s="37"/>
      <c r="D885" s="37"/>
    </row>
    <row r="886" spans="2:4" x14ac:dyDescent="0.25">
      <c r="B886" s="37"/>
      <c r="C886" s="37"/>
      <c r="D886" s="37"/>
    </row>
    <row r="887" spans="2:4" x14ac:dyDescent="0.25">
      <c r="B887" s="37"/>
      <c r="C887" s="37"/>
      <c r="D887" s="37"/>
    </row>
    <row r="888" spans="2:4" x14ac:dyDescent="0.25">
      <c r="B888" s="37"/>
      <c r="C888" s="37"/>
      <c r="D888" s="37"/>
    </row>
    <row r="889" spans="2:4" x14ac:dyDescent="0.25">
      <c r="B889" s="37"/>
      <c r="C889" s="37"/>
      <c r="D889" s="37"/>
    </row>
    <row r="890" spans="2:4" x14ac:dyDescent="0.25">
      <c r="B890" s="37"/>
      <c r="C890" s="37"/>
      <c r="D890" s="37"/>
    </row>
    <row r="891" spans="2:4" x14ac:dyDescent="0.25">
      <c r="B891" s="37"/>
      <c r="C891" s="37"/>
      <c r="D891" s="37"/>
    </row>
    <row r="892" spans="2:4" x14ac:dyDescent="0.25">
      <c r="B892" s="37"/>
      <c r="C892" s="37"/>
      <c r="D892" s="37"/>
    </row>
    <row r="893" spans="2:4" x14ac:dyDescent="0.25">
      <c r="B893" s="37"/>
      <c r="C893" s="37"/>
      <c r="D893" s="37"/>
    </row>
    <row r="894" spans="2:4" x14ac:dyDescent="0.25">
      <c r="B894" s="37"/>
      <c r="C894" s="37"/>
      <c r="D894" s="37"/>
    </row>
    <row r="895" spans="2:4" x14ac:dyDescent="0.25">
      <c r="B895" s="37"/>
      <c r="C895" s="37"/>
      <c r="D895" s="37"/>
    </row>
    <row r="896" spans="2:4" x14ac:dyDescent="0.25">
      <c r="B896" s="37"/>
      <c r="C896" s="37"/>
      <c r="D896" s="37"/>
    </row>
    <row r="897" spans="2:4" x14ac:dyDescent="0.25">
      <c r="B897" s="37"/>
      <c r="C897" s="37"/>
      <c r="D897" s="37"/>
    </row>
    <row r="898" spans="2:4" x14ac:dyDescent="0.25">
      <c r="B898" s="37"/>
      <c r="C898" s="37"/>
      <c r="D898" s="37"/>
    </row>
    <row r="899" spans="2:4" x14ac:dyDescent="0.25">
      <c r="B899" s="37"/>
      <c r="C899" s="37"/>
      <c r="D899" s="37"/>
    </row>
    <row r="900" spans="2:4" x14ac:dyDescent="0.25">
      <c r="B900" s="37"/>
      <c r="C900" s="37"/>
      <c r="D900" s="37"/>
    </row>
    <row r="901" spans="2:4" x14ac:dyDescent="0.25">
      <c r="B901" s="37"/>
      <c r="C901" s="37"/>
      <c r="D901" s="37"/>
    </row>
    <row r="902" spans="2:4" x14ac:dyDescent="0.25">
      <c r="B902" s="37"/>
      <c r="C902" s="37"/>
      <c r="D902" s="37"/>
    </row>
    <row r="903" spans="2:4" x14ac:dyDescent="0.25">
      <c r="B903" s="37"/>
      <c r="C903" s="37"/>
      <c r="D903" s="37"/>
    </row>
    <row r="904" spans="2:4" x14ac:dyDescent="0.25">
      <c r="B904" s="37"/>
      <c r="C904" s="37"/>
      <c r="D904" s="37"/>
    </row>
    <row r="905" spans="2:4" x14ac:dyDescent="0.25">
      <c r="B905" s="37"/>
      <c r="C905" s="37"/>
      <c r="D905" s="37"/>
    </row>
    <row r="906" spans="2:4" x14ac:dyDescent="0.25">
      <c r="B906" s="37"/>
      <c r="C906" s="37"/>
      <c r="D906" s="37"/>
    </row>
    <row r="907" spans="2:4" x14ac:dyDescent="0.25">
      <c r="B907" s="37"/>
      <c r="C907" s="37"/>
      <c r="D907" s="37"/>
    </row>
    <row r="908" spans="2:4" x14ac:dyDescent="0.25">
      <c r="B908" s="37"/>
      <c r="C908" s="37"/>
      <c r="D908" s="37"/>
    </row>
    <row r="909" spans="2:4" x14ac:dyDescent="0.25">
      <c r="B909" s="37"/>
      <c r="C909" s="37"/>
      <c r="D909" s="37"/>
    </row>
    <row r="910" spans="2:4" x14ac:dyDescent="0.25">
      <c r="B910" s="37"/>
      <c r="C910" s="37"/>
      <c r="D910" s="37"/>
    </row>
    <row r="911" spans="2:4" x14ac:dyDescent="0.25">
      <c r="B911" s="37"/>
      <c r="C911" s="37"/>
      <c r="D911" s="37"/>
    </row>
    <row r="912" spans="2:4" x14ac:dyDescent="0.25">
      <c r="B912" s="37"/>
      <c r="C912" s="37"/>
      <c r="D912" s="37"/>
    </row>
    <row r="913" spans="2:4" x14ac:dyDescent="0.25">
      <c r="B913" s="37"/>
      <c r="C913" s="37"/>
      <c r="D913" s="37"/>
    </row>
    <row r="914" spans="2:4" x14ac:dyDescent="0.25">
      <c r="B914" s="37"/>
      <c r="C914" s="37"/>
      <c r="D914" s="37"/>
    </row>
    <row r="915" spans="2:4" x14ac:dyDescent="0.25">
      <c r="B915" s="37"/>
      <c r="C915" s="37"/>
      <c r="D915" s="37"/>
    </row>
    <row r="916" spans="2:4" x14ac:dyDescent="0.25">
      <c r="B916" s="37"/>
      <c r="C916" s="37"/>
      <c r="D916" s="37"/>
    </row>
    <row r="917" spans="2:4" x14ac:dyDescent="0.25">
      <c r="B917" s="37"/>
      <c r="C917" s="37"/>
      <c r="D917" s="37"/>
    </row>
    <row r="918" spans="2:4" x14ac:dyDescent="0.25">
      <c r="B918" s="37"/>
      <c r="C918" s="37"/>
      <c r="D918" s="37"/>
    </row>
    <row r="919" spans="2:4" x14ac:dyDescent="0.25">
      <c r="B919" s="37"/>
      <c r="C919" s="37"/>
      <c r="D919" s="37"/>
    </row>
    <row r="920" spans="2:4" x14ac:dyDescent="0.25">
      <c r="B920" s="37"/>
      <c r="C920" s="37"/>
      <c r="D920" s="37"/>
    </row>
    <row r="921" spans="2:4" x14ac:dyDescent="0.25">
      <c r="B921" s="37"/>
      <c r="C921" s="37"/>
      <c r="D921" s="37"/>
    </row>
    <row r="922" spans="2:4" x14ac:dyDescent="0.25">
      <c r="B922" s="37"/>
      <c r="C922" s="37"/>
      <c r="D922" s="37"/>
    </row>
    <row r="923" spans="2:4" x14ac:dyDescent="0.25">
      <c r="B923" s="37"/>
      <c r="C923" s="37"/>
      <c r="D923" s="37"/>
    </row>
    <row r="924" spans="2:4" x14ac:dyDescent="0.25">
      <c r="B924" s="37"/>
      <c r="C924" s="37"/>
      <c r="D924" s="37"/>
    </row>
    <row r="925" spans="2:4" x14ac:dyDescent="0.25">
      <c r="B925" s="37"/>
      <c r="C925" s="37"/>
      <c r="D925" s="37"/>
    </row>
    <row r="926" spans="2:4" x14ac:dyDescent="0.25">
      <c r="B926" s="37"/>
      <c r="C926" s="37"/>
      <c r="D926" s="37"/>
    </row>
    <row r="927" spans="2:4" x14ac:dyDescent="0.25">
      <c r="B927" s="37"/>
      <c r="C927" s="37"/>
      <c r="D927" s="37"/>
    </row>
    <row r="928" spans="2:4" x14ac:dyDescent="0.25">
      <c r="B928" s="37"/>
      <c r="C928" s="37"/>
      <c r="D928" s="37"/>
    </row>
    <row r="929" spans="2:4" x14ac:dyDescent="0.25">
      <c r="B929" s="37"/>
      <c r="C929" s="37"/>
      <c r="D929" s="37"/>
    </row>
    <row r="930" spans="2:4" x14ac:dyDescent="0.25">
      <c r="B930" s="37"/>
      <c r="C930" s="37"/>
      <c r="D930" s="37"/>
    </row>
    <row r="931" spans="2:4" x14ac:dyDescent="0.25">
      <c r="B931" s="37"/>
      <c r="C931" s="37"/>
      <c r="D931" s="37"/>
    </row>
    <row r="932" spans="2:4" x14ac:dyDescent="0.25">
      <c r="B932" s="37"/>
      <c r="C932" s="37"/>
      <c r="D932" s="37"/>
    </row>
    <row r="933" spans="2:4" x14ac:dyDescent="0.25">
      <c r="B933" s="37"/>
      <c r="C933" s="37"/>
      <c r="D933" s="37"/>
    </row>
    <row r="934" spans="2:4" x14ac:dyDescent="0.25">
      <c r="B934" s="37"/>
      <c r="C934" s="37"/>
      <c r="D934" s="37"/>
    </row>
    <row r="935" spans="2:4" x14ac:dyDescent="0.25">
      <c r="B935" s="37"/>
      <c r="C935" s="37"/>
      <c r="D935" s="37"/>
    </row>
    <row r="936" spans="2:4" x14ac:dyDescent="0.25">
      <c r="B936" s="37"/>
      <c r="C936" s="37"/>
      <c r="D936" s="37"/>
    </row>
    <row r="937" spans="2:4" x14ac:dyDescent="0.25">
      <c r="B937" s="37"/>
      <c r="C937" s="37"/>
      <c r="D937" s="37"/>
    </row>
    <row r="938" spans="2:4" x14ac:dyDescent="0.25">
      <c r="B938" s="37"/>
      <c r="C938" s="37"/>
      <c r="D938" s="37"/>
    </row>
    <row r="939" spans="2:4" x14ac:dyDescent="0.25">
      <c r="B939" s="37"/>
      <c r="C939" s="37"/>
      <c r="D939" s="37"/>
    </row>
    <row r="940" spans="2:4" x14ac:dyDescent="0.25">
      <c r="B940" s="37"/>
      <c r="C940" s="37"/>
      <c r="D940" s="37"/>
    </row>
    <row r="941" spans="2:4" x14ac:dyDescent="0.25">
      <c r="B941" s="37"/>
      <c r="C941" s="37"/>
      <c r="D941" s="37"/>
    </row>
    <row r="942" spans="2:4" x14ac:dyDescent="0.25">
      <c r="B942" s="37"/>
      <c r="C942" s="37"/>
      <c r="D942" s="37"/>
    </row>
    <row r="943" spans="2:4" x14ac:dyDescent="0.25">
      <c r="B943" s="37"/>
      <c r="C943" s="37"/>
      <c r="D943" s="37"/>
    </row>
    <row r="944" spans="2:4" x14ac:dyDescent="0.25">
      <c r="B944" s="37"/>
      <c r="C944" s="37"/>
      <c r="D944" s="37"/>
    </row>
    <row r="945" spans="2:4" x14ac:dyDescent="0.25">
      <c r="B945" s="37"/>
      <c r="C945" s="37"/>
      <c r="D945" s="37"/>
    </row>
    <row r="946" spans="2:4" x14ac:dyDescent="0.25">
      <c r="B946" s="37"/>
      <c r="C946" s="37"/>
      <c r="D946" s="37"/>
    </row>
    <row r="947" spans="2:4" x14ac:dyDescent="0.25">
      <c r="B947" s="37"/>
      <c r="C947" s="37"/>
      <c r="D947" s="37"/>
    </row>
    <row r="948" spans="2:4" x14ac:dyDescent="0.25">
      <c r="B948" s="37"/>
      <c r="C948" s="37"/>
      <c r="D948" s="37"/>
    </row>
    <row r="949" spans="2:4" x14ac:dyDescent="0.25">
      <c r="B949" s="37"/>
      <c r="C949" s="37"/>
      <c r="D949" s="37"/>
    </row>
    <row r="950" spans="2:4" x14ac:dyDescent="0.25">
      <c r="B950" s="37"/>
      <c r="C950" s="37"/>
      <c r="D950" s="37"/>
    </row>
    <row r="951" spans="2:4" x14ac:dyDescent="0.25">
      <c r="B951" s="37"/>
      <c r="C951" s="37"/>
      <c r="D951" s="37"/>
    </row>
    <row r="952" spans="2:4" x14ac:dyDescent="0.25">
      <c r="B952" s="37"/>
      <c r="C952" s="37"/>
      <c r="D952" s="37"/>
    </row>
    <row r="953" spans="2:4" x14ac:dyDescent="0.25">
      <c r="B953" s="37"/>
      <c r="C953" s="37"/>
      <c r="D953" s="37"/>
    </row>
    <row r="954" spans="2:4" x14ac:dyDescent="0.25">
      <c r="B954" s="37"/>
      <c r="C954" s="37"/>
      <c r="D954" s="37"/>
    </row>
    <row r="955" spans="2:4" x14ac:dyDescent="0.25">
      <c r="B955" s="37"/>
      <c r="C955" s="37"/>
      <c r="D955" s="37"/>
    </row>
    <row r="956" spans="2:4" x14ac:dyDescent="0.25">
      <c r="B956" s="37"/>
      <c r="C956" s="37"/>
      <c r="D956" s="37"/>
    </row>
    <row r="957" spans="2:4" x14ac:dyDescent="0.25">
      <c r="B957" s="37"/>
      <c r="C957" s="37"/>
      <c r="D957" s="37"/>
    </row>
    <row r="958" spans="2:4" x14ac:dyDescent="0.25">
      <c r="B958" s="37"/>
      <c r="C958" s="37"/>
      <c r="D958" s="37"/>
    </row>
    <row r="959" spans="2:4" x14ac:dyDescent="0.25">
      <c r="B959" s="37"/>
      <c r="C959" s="37"/>
      <c r="D959" s="37"/>
    </row>
    <row r="960" spans="2:4" x14ac:dyDescent="0.25">
      <c r="B960" s="37"/>
      <c r="C960" s="37"/>
      <c r="D960" s="37"/>
    </row>
    <row r="961" spans="2:4" x14ac:dyDescent="0.25">
      <c r="B961" s="37"/>
      <c r="C961" s="37"/>
      <c r="D961" s="37"/>
    </row>
    <row r="962" spans="2:4" x14ac:dyDescent="0.25">
      <c r="B962" s="37"/>
      <c r="C962" s="37"/>
      <c r="D962" s="37"/>
    </row>
    <row r="963" spans="2:4" x14ac:dyDescent="0.25">
      <c r="B963" s="37"/>
      <c r="C963" s="37"/>
      <c r="D963" s="37"/>
    </row>
    <row r="964" spans="2:4" x14ac:dyDescent="0.25">
      <c r="B964" s="37"/>
      <c r="C964" s="37"/>
      <c r="D964" s="37"/>
    </row>
    <row r="965" spans="2:4" x14ac:dyDescent="0.25">
      <c r="B965" s="37"/>
      <c r="C965" s="37"/>
      <c r="D965" s="37"/>
    </row>
    <row r="966" spans="2:4" x14ac:dyDescent="0.25">
      <c r="B966" s="37"/>
      <c r="C966" s="37"/>
      <c r="D966" s="37"/>
    </row>
    <row r="967" spans="2:4" x14ac:dyDescent="0.25">
      <c r="B967" s="37"/>
      <c r="C967" s="37"/>
      <c r="D967" s="37"/>
    </row>
    <row r="968" spans="2:4" x14ac:dyDescent="0.25">
      <c r="B968" s="37"/>
      <c r="C968" s="37"/>
      <c r="D968" s="37"/>
    </row>
    <row r="969" spans="2:4" x14ac:dyDescent="0.25">
      <c r="B969" s="37"/>
      <c r="C969" s="37"/>
      <c r="D969" s="37"/>
    </row>
    <row r="970" spans="2:4" x14ac:dyDescent="0.25">
      <c r="B970" s="37"/>
      <c r="C970" s="37"/>
      <c r="D970" s="37"/>
    </row>
    <row r="971" spans="2:4" x14ac:dyDescent="0.25">
      <c r="B971" s="37"/>
      <c r="C971" s="37"/>
      <c r="D971" s="37"/>
    </row>
    <row r="972" spans="2:4" x14ac:dyDescent="0.25">
      <c r="B972" s="37"/>
      <c r="C972" s="37"/>
      <c r="D972" s="37"/>
    </row>
    <row r="973" spans="2:4" x14ac:dyDescent="0.25">
      <c r="B973" s="37"/>
      <c r="C973" s="37"/>
      <c r="D973" s="37"/>
    </row>
    <row r="974" spans="2:4" x14ac:dyDescent="0.25">
      <c r="B974" s="37"/>
      <c r="C974" s="37"/>
      <c r="D974" s="37"/>
    </row>
    <row r="975" spans="2:4" x14ac:dyDescent="0.25">
      <c r="B975" s="37"/>
      <c r="C975" s="37"/>
      <c r="D975" s="37"/>
    </row>
    <row r="976" spans="2:4" x14ac:dyDescent="0.25">
      <c r="B976" s="37"/>
      <c r="C976" s="37"/>
      <c r="D976" s="37"/>
    </row>
    <row r="977" spans="2:4" x14ac:dyDescent="0.25">
      <c r="B977" s="37"/>
      <c r="C977" s="37"/>
      <c r="D977" s="37"/>
    </row>
    <row r="978" spans="2:4" x14ac:dyDescent="0.25">
      <c r="B978" s="37"/>
      <c r="C978" s="37"/>
      <c r="D978" s="37"/>
    </row>
    <row r="979" spans="2:4" x14ac:dyDescent="0.25">
      <c r="B979" s="37"/>
      <c r="C979" s="37"/>
      <c r="D979" s="37"/>
    </row>
    <row r="980" spans="2:4" x14ac:dyDescent="0.25">
      <c r="B980" s="37"/>
      <c r="C980" s="37"/>
      <c r="D980" s="37"/>
    </row>
    <row r="981" spans="2:4" x14ac:dyDescent="0.25">
      <c r="B981" s="37"/>
      <c r="C981" s="37"/>
      <c r="D981" s="37"/>
    </row>
    <row r="982" spans="2:4" x14ac:dyDescent="0.25">
      <c r="B982" s="37"/>
      <c r="C982" s="37"/>
      <c r="D982" s="37"/>
    </row>
    <row r="983" spans="2:4" x14ac:dyDescent="0.25">
      <c r="B983" s="37"/>
      <c r="C983" s="37"/>
      <c r="D983" s="37"/>
    </row>
    <row r="984" spans="2:4" x14ac:dyDescent="0.25">
      <c r="B984" s="37"/>
      <c r="C984" s="37"/>
      <c r="D984" s="37"/>
    </row>
    <row r="985" spans="2:4" x14ac:dyDescent="0.25">
      <c r="B985" s="37"/>
      <c r="C985" s="37"/>
      <c r="D985" s="37"/>
    </row>
    <row r="986" spans="2:4" x14ac:dyDescent="0.25">
      <c r="B986" s="37"/>
      <c r="C986" s="37"/>
      <c r="D986" s="37"/>
    </row>
    <row r="987" spans="2:4" x14ac:dyDescent="0.25">
      <c r="B987" s="37"/>
      <c r="C987" s="37"/>
      <c r="D987" s="37"/>
    </row>
    <row r="988" spans="2:4" x14ac:dyDescent="0.25">
      <c r="B988" s="37"/>
      <c r="C988" s="37"/>
      <c r="D988" s="37"/>
    </row>
    <row r="989" spans="2:4" x14ac:dyDescent="0.25">
      <c r="B989" s="37"/>
      <c r="C989" s="37"/>
      <c r="D989" s="37"/>
    </row>
    <row r="990" spans="2:4" x14ac:dyDescent="0.25">
      <c r="B990" s="37"/>
      <c r="C990" s="37"/>
      <c r="D990" s="37"/>
    </row>
    <row r="991" spans="2:4" x14ac:dyDescent="0.25">
      <c r="B991" s="37"/>
      <c r="C991" s="37"/>
      <c r="D991" s="37"/>
    </row>
    <row r="992" spans="2:4" x14ac:dyDescent="0.25">
      <c r="B992" s="37"/>
      <c r="C992" s="37"/>
      <c r="D992" s="37"/>
    </row>
    <row r="993" spans="2:4" x14ac:dyDescent="0.25">
      <c r="B993" s="37"/>
      <c r="C993" s="37"/>
      <c r="D993" s="37"/>
    </row>
    <row r="994" spans="2:4" x14ac:dyDescent="0.25">
      <c r="B994" s="37"/>
      <c r="C994" s="37"/>
      <c r="D994" s="37"/>
    </row>
    <row r="995" spans="2:4" x14ac:dyDescent="0.25">
      <c r="B995" s="37"/>
      <c r="C995" s="37"/>
      <c r="D995" s="37"/>
    </row>
    <row r="996" spans="2:4" x14ac:dyDescent="0.25">
      <c r="B996" s="37"/>
      <c r="C996" s="37"/>
      <c r="D996" s="37"/>
    </row>
    <row r="997" spans="2:4" x14ac:dyDescent="0.25">
      <c r="B997" s="37"/>
      <c r="C997" s="37"/>
      <c r="D997" s="37"/>
    </row>
    <row r="998" spans="2:4" x14ac:dyDescent="0.25">
      <c r="B998" s="37"/>
      <c r="C998" s="37"/>
      <c r="D998" s="37"/>
    </row>
    <row r="999" spans="2:4" x14ac:dyDescent="0.25">
      <c r="B999" s="37"/>
      <c r="C999" s="37"/>
      <c r="D999" s="37"/>
    </row>
    <row r="1000" spans="2:4" x14ac:dyDescent="0.25">
      <c r="B1000" s="37"/>
      <c r="C1000" s="37"/>
      <c r="D1000" s="37"/>
    </row>
    <row r="1001" spans="2:4" x14ac:dyDescent="0.25">
      <c r="B1001" s="37"/>
      <c r="C1001" s="37"/>
      <c r="D1001" s="37"/>
    </row>
    <row r="1002" spans="2:4" x14ac:dyDescent="0.25">
      <c r="B1002" s="37"/>
      <c r="C1002" s="37"/>
      <c r="D1002" s="37"/>
    </row>
    <row r="1003" spans="2:4" x14ac:dyDescent="0.25">
      <c r="B1003" s="37"/>
      <c r="C1003" s="37"/>
      <c r="D1003" s="37"/>
    </row>
    <row r="1004" spans="2:4" x14ac:dyDescent="0.25">
      <c r="B1004" s="37"/>
      <c r="C1004" s="37"/>
      <c r="D1004" s="37"/>
    </row>
    <row r="1005" spans="2:4" x14ac:dyDescent="0.25">
      <c r="B1005" s="27"/>
    </row>
    <row r="1006" spans="2:4" x14ac:dyDescent="0.25">
      <c r="B1006" s="27"/>
    </row>
    <row r="1007" spans="2:4" x14ac:dyDescent="0.25">
      <c r="B1007" s="27"/>
    </row>
    <row r="1008" spans="2:4" x14ac:dyDescent="0.25">
      <c r="B1008" s="27"/>
    </row>
    <row r="1009" spans="2:2" x14ac:dyDescent="0.25">
      <c r="B1009" s="27"/>
    </row>
    <row r="1010" spans="2:2" x14ac:dyDescent="0.25">
      <c r="B1010" s="27"/>
    </row>
    <row r="1011" spans="2:2" x14ac:dyDescent="0.25">
      <c r="B1011" s="27"/>
    </row>
    <row r="1012" spans="2:2" x14ac:dyDescent="0.25">
      <c r="B1012" s="27"/>
    </row>
    <row r="1013" spans="2:2" x14ac:dyDescent="0.25">
      <c r="B1013" s="27"/>
    </row>
    <row r="1014" spans="2:2" x14ac:dyDescent="0.25">
      <c r="B1014" s="27"/>
    </row>
    <row r="1015" spans="2:2" x14ac:dyDescent="0.25">
      <c r="B1015" s="27"/>
    </row>
    <row r="1016" spans="2:2" x14ac:dyDescent="0.25">
      <c r="B1016" s="27"/>
    </row>
    <row r="1017" spans="2:2" x14ac:dyDescent="0.25">
      <c r="B1017" s="27"/>
    </row>
    <row r="1018" spans="2:2" x14ac:dyDescent="0.25">
      <c r="B1018" s="27"/>
    </row>
    <row r="1019" spans="2:2" x14ac:dyDescent="0.25">
      <c r="B1019" s="27"/>
    </row>
    <row r="1020" spans="2:2" x14ac:dyDescent="0.25">
      <c r="B1020" s="27"/>
    </row>
    <row r="1021" spans="2:2" x14ac:dyDescent="0.25">
      <c r="B1021" s="27"/>
    </row>
    <row r="1022" spans="2:2" x14ac:dyDescent="0.25">
      <c r="B1022" s="27"/>
    </row>
    <row r="1023" spans="2:2" x14ac:dyDescent="0.25">
      <c r="B1023" s="27"/>
    </row>
    <row r="1024" spans="2:2" x14ac:dyDescent="0.25">
      <c r="B1024" s="27"/>
    </row>
    <row r="1025" spans="2:2" x14ac:dyDescent="0.25">
      <c r="B1025" s="27"/>
    </row>
    <row r="1026" spans="2:2" x14ac:dyDescent="0.25">
      <c r="B1026" s="27"/>
    </row>
    <row r="1027" spans="2:2" x14ac:dyDescent="0.25">
      <c r="B1027" s="27"/>
    </row>
    <row r="1028" spans="2:2" x14ac:dyDescent="0.25">
      <c r="B1028" s="27"/>
    </row>
    <row r="1029" spans="2:2" x14ac:dyDescent="0.25">
      <c r="B1029" s="27"/>
    </row>
    <row r="1030" spans="2:2" x14ac:dyDescent="0.25">
      <c r="B1030" s="27"/>
    </row>
    <row r="1031" spans="2:2" x14ac:dyDescent="0.25">
      <c r="B1031" s="27"/>
    </row>
    <row r="1032" spans="2:2" x14ac:dyDescent="0.25">
      <c r="B1032" s="27"/>
    </row>
    <row r="1033" spans="2:2" x14ac:dyDescent="0.25">
      <c r="B1033" s="27"/>
    </row>
    <row r="1034" spans="2:2" x14ac:dyDescent="0.25">
      <c r="B1034" s="27"/>
    </row>
    <row r="1035" spans="2:2" x14ac:dyDescent="0.25">
      <c r="B1035" s="27"/>
    </row>
    <row r="1036" spans="2:2" x14ac:dyDescent="0.25">
      <c r="B1036" s="27"/>
    </row>
    <row r="1037" spans="2:2" x14ac:dyDescent="0.25">
      <c r="B1037" s="27"/>
    </row>
    <row r="1038" spans="2:2" x14ac:dyDescent="0.25">
      <c r="B1038" s="27"/>
    </row>
    <row r="1039" spans="2:2" x14ac:dyDescent="0.25">
      <c r="B1039" s="27"/>
    </row>
    <row r="1040" spans="2:2" x14ac:dyDescent="0.25">
      <c r="B1040" s="27"/>
    </row>
    <row r="1041" spans="2:2" x14ac:dyDescent="0.25">
      <c r="B1041" s="27"/>
    </row>
    <row r="1042" spans="2:2" x14ac:dyDescent="0.25">
      <c r="B1042" s="27"/>
    </row>
    <row r="1043" spans="2:2" x14ac:dyDescent="0.25">
      <c r="B1043" s="27"/>
    </row>
    <row r="1044" spans="2:2" x14ac:dyDescent="0.25">
      <c r="B1044" s="27"/>
    </row>
    <row r="1045" spans="2:2" x14ac:dyDescent="0.25">
      <c r="B1045" s="27"/>
    </row>
    <row r="1046" spans="2:2" x14ac:dyDescent="0.25">
      <c r="B1046" s="27"/>
    </row>
    <row r="1047" spans="2:2" x14ac:dyDescent="0.25">
      <c r="B1047" s="27"/>
    </row>
    <row r="1048" spans="2:2" x14ac:dyDescent="0.25">
      <c r="B1048" s="27"/>
    </row>
    <row r="1049" spans="2:2" x14ac:dyDescent="0.25">
      <c r="B1049" s="27"/>
    </row>
    <row r="1050" spans="2:2" x14ac:dyDescent="0.25">
      <c r="B1050" s="27"/>
    </row>
    <row r="1051" spans="2:2" x14ac:dyDescent="0.25">
      <c r="B1051" s="27"/>
    </row>
    <row r="1052" spans="2:2" x14ac:dyDescent="0.25">
      <c r="B1052" s="27"/>
    </row>
    <row r="1053" spans="2:2" x14ac:dyDescent="0.25">
      <c r="B1053" s="27"/>
    </row>
    <row r="1054" spans="2:2" x14ac:dyDescent="0.25">
      <c r="B1054" s="27"/>
    </row>
    <row r="1055" spans="2:2" x14ac:dyDescent="0.25">
      <c r="B1055" s="27"/>
    </row>
    <row r="1056" spans="2:2" x14ac:dyDescent="0.25">
      <c r="B1056" s="27"/>
    </row>
    <row r="1057" spans="2:2" x14ac:dyDescent="0.25">
      <c r="B1057" s="27"/>
    </row>
    <row r="1058" spans="2:2" x14ac:dyDescent="0.25">
      <c r="B1058" s="27"/>
    </row>
    <row r="1059" spans="2:2" x14ac:dyDescent="0.25">
      <c r="B1059" s="27"/>
    </row>
    <row r="1060" spans="2:2" x14ac:dyDescent="0.25">
      <c r="B1060" s="27"/>
    </row>
    <row r="1061" spans="2:2" x14ac:dyDescent="0.25">
      <c r="B1061" s="27"/>
    </row>
    <row r="1062" spans="2:2" x14ac:dyDescent="0.25">
      <c r="B1062" s="27"/>
    </row>
    <row r="1063" spans="2:2" x14ac:dyDescent="0.25">
      <c r="B1063" s="27"/>
    </row>
    <row r="1064" spans="2:2" x14ac:dyDescent="0.25">
      <c r="B1064" s="27"/>
    </row>
    <row r="1065" spans="2:2" x14ac:dyDescent="0.25">
      <c r="B1065" s="27"/>
    </row>
    <row r="1066" spans="2:2" x14ac:dyDescent="0.25">
      <c r="B1066" s="27"/>
    </row>
    <row r="1067" spans="2:2" x14ac:dyDescent="0.25">
      <c r="B1067" s="27"/>
    </row>
    <row r="1068" spans="2:2" x14ac:dyDescent="0.25">
      <c r="B1068" s="27"/>
    </row>
    <row r="1069" spans="2:2" x14ac:dyDescent="0.25">
      <c r="B1069" s="27"/>
    </row>
    <row r="1070" spans="2:2" x14ac:dyDescent="0.25">
      <c r="B1070" s="27"/>
    </row>
    <row r="1071" spans="2:2" x14ac:dyDescent="0.25">
      <c r="B1071" s="27"/>
    </row>
    <row r="1072" spans="2:2" x14ac:dyDescent="0.25">
      <c r="B1072" s="27"/>
    </row>
    <row r="1073" spans="2:2" x14ac:dyDescent="0.25">
      <c r="B1073" s="27"/>
    </row>
    <row r="1074" spans="2:2" x14ac:dyDescent="0.25">
      <c r="B1074" s="27"/>
    </row>
    <row r="1075" spans="2:2" x14ac:dyDescent="0.25">
      <c r="B1075" s="27"/>
    </row>
    <row r="1076" spans="2:2" x14ac:dyDescent="0.25">
      <c r="B1076" s="27"/>
    </row>
    <row r="1077" spans="2:2" x14ac:dyDescent="0.25">
      <c r="B1077" s="27"/>
    </row>
    <row r="1078" spans="2:2" x14ac:dyDescent="0.25">
      <c r="B1078" s="27"/>
    </row>
    <row r="1079" spans="2:2" x14ac:dyDescent="0.25">
      <c r="B1079" s="27"/>
    </row>
    <row r="1080" spans="2:2" x14ac:dyDescent="0.25">
      <c r="B1080" s="27"/>
    </row>
    <row r="1081" spans="2:2" x14ac:dyDescent="0.25">
      <c r="B1081" s="27"/>
    </row>
    <row r="1082" spans="2:2" x14ac:dyDescent="0.25">
      <c r="B1082" s="27"/>
    </row>
    <row r="1083" spans="2:2" x14ac:dyDescent="0.25">
      <c r="B1083" s="27"/>
    </row>
    <row r="1084" spans="2:2" x14ac:dyDescent="0.25">
      <c r="B1084" s="27"/>
    </row>
    <row r="1085" spans="2:2" x14ac:dyDescent="0.25">
      <c r="B1085" s="27"/>
    </row>
    <row r="1086" spans="2:2" x14ac:dyDescent="0.25">
      <c r="B1086" s="27"/>
    </row>
    <row r="1087" spans="2:2" x14ac:dyDescent="0.25">
      <c r="B1087" s="27"/>
    </row>
    <row r="1088" spans="2:2" x14ac:dyDescent="0.25">
      <c r="B1088" s="27"/>
    </row>
    <row r="1089" spans="2:2" x14ac:dyDescent="0.25">
      <c r="B1089" s="27"/>
    </row>
    <row r="1090" spans="2:2" x14ac:dyDescent="0.25">
      <c r="B1090" s="27"/>
    </row>
    <row r="1091" spans="2:2" x14ac:dyDescent="0.25">
      <c r="B1091" s="27"/>
    </row>
    <row r="1092" spans="2:2" x14ac:dyDescent="0.25">
      <c r="B1092" s="27"/>
    </row>
    <row r="1093" spans="2:2" x14ac:dyDescent="0.25">
      <c r="B1093" s="27"/>
    </row>
    <row r="1094" spans="2:2" x14ac:dyDescent="0.25">
      <c r="B1094" s="27"/>
    </row>
    <row r="1095" spans="2:2" x14ac:dyDescent="0.25">
      <c r="B1095" s="27"/>
    </row>
    <row r="1096" spans="2:2" x14ac:dyDescent="0.25">
      <c r="B1096" s="27"/>
    </row>
    <row r="1097" spans="2:2" x14ac:dyDescent="0.25">
      <c r="B1097" s="27"/>
    </row>
    <row r="1098" spans="2:2" x14ac:dyDescent="0.25">
      <c r="B1098" s="27"/>
    </row>
    <row r="1099" spans="2:2" x14ac:dyDescent="0.25">
      <c r="B1099" s="27"/>
    </row>
    <row r="1100" spans="2:2" x14ac:dyDescent="0.25">
      <c r="B1100" s="27"/>
    </row>
    <row r="1101" spans="2:2" x14ac:dyDescent="0.25">
      <c r="B1101" s="27"/>
    </row>
    <row r="1102" spans="2:2" x14ac:dyDescent="0.25">
      <c r="B1102" s="27"/>
    </row>
    <row r="1103" spans="2:2" x14ac:dyDescent="0.25">
      <c r="B1103" s="27"/>
    </row>
    <row r="1104" spans="2:2" x14ac:dyDescent="0.25">
      <c r="B1104" s="27"/>
    </row>
    <row r="1105" spans="2:2" x14ac:dyDescent="0.25">
      <c r="B1105" s="27"/>
    </row>
    <row r="1106" spans="2:2" x14ac:dyDescent="0.25">
      <c r="B1106" s="27"/>
    </row>
    <row r="1107" spans="2:2" x14ac:dyDescent="0.25">
      <c r="B1107" s="27"/>
    </row>
    <row r="1108" spans="2:2" x14ac:dyDescent="0.25">
      <c r="B1108" s="27"/>
    </row>
    <row r="1109" spans="2:2" x14ac:dyDescent="0.25">
      <c r="B1109" s="27"/>
    </row>
    <row r="1110" spans="2:2" x14ac:dyDescent="0.25">
      <c r="B1110" s="27"/>
    </row>
    <row r="1111" spans="2:2" x14ac:dyDescent="0.25">
      <c r="B1111" s="27"/>
    </row>
    <row r="1112" spans="2:2" x14ac:dyDescent="0.25">
      <c r="B1112" s="27"/>
    </row>
    <row r="1113" spans="2:2" x14ac:dyDescent="0.25">
      <c r="B1113" s="27"/>
    </row>
    <row r="1114" spans="2:2" x14ac:dyDescent="0.25">
      <c r="B1114" s="27"/>
    </row>
    <row r="1115" spans="2:2" x14ac:dyDescent="0.25">
      <c r="B1115" s="27"/>
    </row>
    <row r="1116" spans="2:2" x14ac:dyDescent="0.25">
      <c r="B1116" s="27"/>
    </row>
    <row r="1117" spans="2:2" x14ac:dyDescent="0.25">
      <c r="B1117" s="27"/>
    </row>
    <row r="1118" spans="2:2" x14ac:dyDescent="0.25">
      <c r="B1118" s="27"/>
    </row>
    <row r="1119" spans="2:2" x14ac:dyDescent="0.25">
      <c r="B1119" s="27"/>
    </row>
    <row r="1120" spans="2:2" x14ac:dyDescent="0.25">
      <c r="B1120" s="27"/>
    </row>
    <row r="1121" spans="2:2" x14ac:dyDescent="0.25">
      <c r="B1121" s="27"/>
    </row>
    <row r="1122" spans="2:2" x14ac:dyDescent="0.25">
      <c r="B1122" s="27"/>
    </row>
    <row r="1123" spans="2:2" x14ac:dyDescent="0.25">
      <c r="B1123" s="27"/>
    </row>
    <row r="1124" spans="2:2" x14ac:dyDescent="0.25">
      <c r="B1124" s="27"/>
    </row>
    <row r="1125" spans="2:2" x14ac:dyDescent="0.25">
      <c r="B1125" s="27"/>
    </row>
    <row r="1126" spans="2:2" x14ac:dyDescent="0.25">
      <c r="B1126" s="27"/>
    </row>
    <row r="1127" spans="2:2" x14ac:dyDescent="0.25">
      <c r="B1127" s="27"/>
    </row>
    <row r="1128" spans="2:2" x14ac:dyDescent="0.25">
      <c r="B1128" s="27"/>
    </row>
    <row r="1129" spans="2:2" x14ac:dyDescent="0.25">
      <c r="B1129" s="27"/>
    </row>
    <row r="1130" spans="2:2" x14ac:dyDescent="0.25">
      <c r="B1130" s="27"/>
    </row>
    <row r="1131" spans="2:2" x14ac:dyDescent="0.25">
      <c r="B1131" s="27"/>
    </row>
    <row r="1132" spans="2:2" x14ac:dyDescent="0.25">
      <c r="B1132" s="27"/>
    </row>
    <row r="1133" spans="2:2" x14ac:dyDescent="0.25">
      <c r="B1133" s="27"/>
    </row>
    <row r="1134" spans="2:2" x14ac:dyDescent="0.25">
      <c r="B1134" s="27"/>
    </row>
    <row r="1135" spans="2:2" x14ac:dyDescent="0.25">
      <c r="B1135" s="27"/>
    </row>
    <row r="1136" spans="2:2" x14ac:dyDescent="0.25">
      <c r="B1136" s="27"/>
    </row>
    <row r="1137" spans="2:2" x14ac:dyDescent="0.25">
      <c r="B1137" s="27"/>
    </row>
    <row r="1138" spans="2:2" x14ac:dyDescent="0.25">
      <c r="B1138" s="27"/>
    </row>
    <row r="1139" spans="2:2" x14ac:dyDescent="0.25">
      <c r="B1139" s="27"/>
    </row>
    <row r="1140" spans="2:2" x14ac:dyDescent="0.25">
      <c r="B1140" s="27"/>
    </row>
    <row r="1141" spans="2:2" x14ac:dyDescent="0.25">
      <c r="B1141" s="27"/>
    </row>
    <row r="1142" spans="2:2" x14ac:dyDescent="0.25">
      <c r="B1142" s="27"/>
    </row>
    <row r="1143" spans="2:2" x14ac:dyDescent="0.25">
      <c r="B1143" s="27"/>
    </row>
    <row r="1144" spans="2:2" x14ac:dyDescent="0.25">
      <c r="B1144" s="27"/>
    </row>
    <row r="1145" spans="2:2" x14ac:dyDescent="0.25">
      <c r="B1145" s="27"/>
    </row>
    <row r="1146" spans="2:2" x14ac:dyDescent="0.25">
      <c r="B1146" s="27"/>
    </row>
    <row r="1147" spans="2:2" x14ac:dyDescent="0.25">
      <c r="B1147" s="27"/>
    </row>
    <row r="1148" spans="2:2" x14ac:dyDescent="0.25">
      <c r="B1148" s="27"/>
    </row>
    <row r="1149" spans="2:2" x14ac:dyDescent="0.25">
      <c r="B1149" s="27"/>
    </row>
    <row r="1150" spans="2:2" x14ac:dyDescent="0.25">
      <c r="B1150" s="27"/>
    </row>
    <row r="1151" spans="2:2" x14ac:dyDescent="0.25">
      <c r="B1151" s="27"/>
    </row>
    <row r="1152" spans="2:2" x14ac:dyDescent="0.25">
      <c r="B1152" s="27"/>
    </row>
    <row r="1153" spans="2:2" x14ac:dyDescent="0.25">
      <c r="B1153" s="27"/>
    </row>
    <row r="1154" spans="2:2" x14ac:dyDescent="0.25">
      <c r="B1154" s="27"/>
    </row>
    <row r="1155" spans="2:2" x14ac:dyDescent="0.25">
      <c r="B1155" s="27"/>
    </row>
    <row r="1156" spans="2:2" x14ac:dyDescent="0.25">
      <c r="B1156" s="27"/>
    </row>
    <row r="1157" spans="2:2" x14ac:dyDescent="0.25">
      <c r="B1157" s="27"/>
    </row>
    <row r="1158" spans="2:2" x14ac:dyDescent="0.25">
      <c r="B1158" s="27"/>
    </row>
    <row r="1159" spans="2:2" x14ac:dyDescent="0.25">
      <c r="B1159" s="27"/>
    </row>
    <row r="1160" spans="2:2" x14ac:dyDescent="0.25">
      <c r="B1160" s="27"/>
    </row>
    <row r="1161" spans="2:2" x14ac:dyDescent="0.25">
      <c r="B1161" s="27"/>
    </row>
    <row r="1162" spans="2:2" x14ac:dyDescent="0.25">
      <c r="B1162" s="27"/>
    </row>
    <row r="1163" spans="2:2" x14ac:dyDescent="0.25">
      <c r="B1163" s="27"/>
    </row>
    <row r="1164" spans="2:2" x14ac:dyDescent="0.25">
      <c r="B1164" s="27"/>
    </row>
    <row r="1165" spans="2:2" x14ac:dyDescent="0.25">
      <c r="B1165" s="27"/>
    </row>
    <row r="1166" spans="2:2" x14ac:dyDescent="0.25">
      <c r="B1166" s="27"/>
    </row>
    <row r="1167" spans="2:2" x14ac:dyDescent="0.25">
      <c r="B1167" s="27"/>
    </row>
    <row r="1168" spans="2:2" x14ac:dyDescent="0.25">
      <c r="B1168" s="27"/>
    </row>
    <row r="1169" spans="2:2" x14ac:dyDescent="0.25">
      <c r="B1169" s="27"/>
    </row>
    <row r="1170" spans="2:2" x14ac:dyDescent="0.25">
      <c r="B1170" s="27"/>
    </row>
    <row r="1171" spans="2:2" x14ac:dyDescent="0.25">
      <c r="B1171" s="27"/>
    </row>
    <row r="1172" spans="2:2" x14ac:dyDescent="0.25">
      <c r="B1172" s="27"/>
    </row>
    <row r="1173" spans="2:2" x14ac:dyDescent="0.25">
      <c r="B1173" s="27"/>
    </row>
    <row r="1174" spans="2:2" x14ac:dyDescent="0.25">
      <c r="B1174" s="27"/>
    </row>
    <row r="1175" spans="2:2" x14ac:dyDescent="0.25">
      <c r="B1175" s="27"/>
    </row>
    <row r="1176" spans="2:2" x14ac:dyDescent="0.25">
      <c r="B1176" s="27"/>
    </row>
    <row r="1177" spans="2:2" x14ac:dyDescent="0.25">
      <c r="B1177" s="27"/>
    </row>
    <row r="1178" spans="2:2" x14ac:dyDescent="0.25">
      <c r="B1178" s="27"/>
    </row>
    <row r="1179" spans="2:2" x14ac:dyDescent="0.25">
      <c r="B1179" s="27"/>
    </row>
    <row r="1180" spans="2:2" x14ac:dyDescent="0.25">
      <c r="B1180" s="27"/>
    </row>
    <row r="1181" spans="2:2" x14ac:dyDescent="0.25">
      <c r="B1181" s="27"/>
    </row>
    <row r="1182" spans="2:2" x14ac:dyDescent="0.25">
      <c r="B1182" s="27"/>
    </row>
    <row r="1183" spans="2:2" x14ac:dyDescent="0.25">
      <c r="B1183" s="27"/>
    </row>
    <row r="1184" spans="2:2" x14ac:dyDescent="0.25">
      <c r="B1184" s="27"/>
    </row>
    <row r="1185" spans="2:2" x14ac:dyDescent="0.25">
      <c r="B1185" s="27"/>
    </row>
    <row r="1186" spans="2:2" x14ac:dyDescent="0.25">
      <c r="B1186" s="27"/>
    </row>
    <row r="1187" spans="2:2" x14ac:dyDescent="0.25">
      <c r="B1187" s="27"/>
    </row>
    <row r="1188" spans="2:2" x14ac:dyDescent="0.25">
      <c r="B1188" s="27"/>
    </row>
    <row r="1189" spans="2:2" x14ac:dyDescent="0.25">
      <c r="B1189" s="27"/>
    </row>
    <row r="1190" spans="2:2" x14ac:dyDescent="0.25">
      <c r="B1190" s="27"/>
    </row>
    <row r="1191" spans="2:2" x14ac:dyDescent="0.25">
      <c r="B1191" s="27"/>
    </row>
    <row r="1192" spans="2:2" x14ac:dyDescent="0.25">
      <c r="B1192" s="27"/>
    </row>
    <row r="1193" spans="2:2" x14ac:dyDescent="0.25">
      <c r="B1193" s="27"/>
    </row>
    <row r="1194" spans="2:2" x14ac:dyDescent="0.25">
      <c r="B1194" s="27"/>
    </row>
    <row r="1195" spans="2:2" x14ac:dyDescent="0.25">
      <c r="B1195" s="27"/>
    </row>
    <row r="1196" spans="2:2" x14ac:dyDescent="0.25">
      <c r="B1196" s="27"/>
    </row>
    <row r="1197" spans="2:2" x14ac:dyDescent="0.25">
      <c r="B1197" s="27"/>
    </row>
    <row r="1198" spans="2:2" x14ac:dyDescent="0.25">
      <c r="B1198" s="27"/>
    </row>
    <row r="1199" spans="2:2" x14ac:dyDescent="0.25">
      <c r="B1199" s="27"/>
    </row>
    <row r="1200" spans="2:2" x14ac:dyDescent="0.25">
      <c r="B1200" s="27"/>
    </row>
    <row r="1201" spans="2:2" x14ac:dyDescent="0.25">
      <c r="B1201" s="27"/>
    </row>
    <row r="1202" spans="2:2" x14ac:dyDescent="0.25">
      <c r="B1202" s="27"/>
    </row>
    <row r="1203" spans="2:2" x14ac:dyDescent="0.25">
      <c r="B1203" s="27"/>
    </row>
    <row r="1204" spans="2:2" x14ac:dyDescent="0.25">
      <c r="B1204" s="27"/>
    </row>
    <row r="1205" spans="2:2" x14ac:dyDescent="0.25">
      <c r="B1205" s="27"/>
    </row>
    <row r="1206" spans="2:2" x14ac:dyDescent="0.25">
      <c r="B1206" s="27"/>
    </row>
    <row r="1207" spans="2:2" x14ac:dyDescent="0.25">
      <c r="B1207" s="27"/>
    </row>
    <row r="1208" spans="2:2" x14ac:dyDescent="0.25">
      <c r="B1208" s="27"/>
    </row>
    <row r="1209" spans="2:2" x14ac:dyDescent="0.25">
      <c r="B1209" s="27"/>
    </row>
    <row r="1210" spans="2:2" x14ac:dyDescent="0.25">
      <c r="B1210" s="27"/>
    </row>
    <row r="1211" spans="2:2" x14ac:dyDescent="0.25">
      <c r="B1211" s="27"/>
    </row>
    <row r="1212" spans="2:2" x14ac:dyDescent="0.25">
      <c r="B1212" s="27"/>
    </row>
    <row r="1213" spans="2:2" x14ac:dyDescent="0.25">
      <c r="B1213" s="27"/>
    </row>
    <row r="1214" spans="2:2" x14ac:dyDescent="0.25">
      <c r="B1214" s="27"/>
    </row>
    <row r="1215" spans="2:2" x14ac:dyDescent="0.25">
      <c r="B1215" s="27"/>
    </row>
    <row r="1216" spans="2:2" x14ac:dyDescent="0.25">
      <c r="B1216" s="27"/>
    </row>
    <row r="1217" spans="2:2" x14ac:dyDescent="0.25">
      <c r="B1217" s="27"/>
    </row>
    <row r="1218" spans="2:2" x14ac:dyDescent="0.25">
      <c r="B1218" s="27"/>
    </row>
    <row r="1219" spans="2:2" x14ac:dyDescent="0.25">
      <c r="B1219" s="27"/>
    </row>
    <row r="1220" spans="2:2" x14ac:dyDescent="0.25">
      <c r="B1220" s="27"/>
    </row>
    <row r="1221" spans="2:2" x14ac:dyDescent="0.25">
      <c r="B1221" s="27"/>
    </row>
    <row r="1222" spans="2:2" x14ac:dyDescent="0.25">
      <c r="B1222" s="27"/>
    </row>
    <row r="1223" spans="2:2" x14ac:dyDescent="0.25">
      <c r="B1223" s="27"/>
    </row>
    <row r="1224" spans="2:2" x14ac:dyDescent="0.25">
      <c r="B1224" s="27"/>
    </row>
    <row r="1225" spans="2:2" x14ac:dyDescent="0.25">
      <c r="B1225" s="27"/>
    </row>
    <row r="1226" spans="2:2" x14ac:dyDescent="0.25">
      <c r="B1226" s="27"/>
    </row>
    <row r="1227" spans="2:2" x14ac:dyDescent="0.25">
      <c r="B1227" s="27"/>
    </row>
    <row r="1228" spans="2:2" x14ac:dyDescent="0.25">
      <c r="B1228" s="27"/>
    </row>
    <row r="1229" spans="2:2" x14ac:dyDescent="0.25">
      <c r="B1229" s="27"/>
    </row>
    <row r="1230" spans="2:2" x14ac:dyDescent="0.25">
      <c r="B1230" s="27"/>
    </row>
    <row r="1231" spans="2:2" x14ac:dyDescent="0.25">
      <c r="B1231" s="27"/>
    </row>
    <row r="1232" spans="2:2" x14ac:dyDescent="0.25">
      <c r="B1232" s="27"/>
    </row>
    <row r="1233" spans="2:2" x14ac:dyDescent="0.25">
      <c r="B1233" s="27"/>
    </row>
    <row r="1234" spans="2:2" x14ac:dyDescent="0.25">
      <c r="B1234" s="27"/>
    </row>
    <row r="1235" spans="2:2" x14ac:dyDescent="0.25">
      <c r="B1235" s="27"/>
    </row>
    <row r="1236" spans="2:2" x14ac:dyDescent="0.25">
      <c r="B1236" s="27"/>
    </row>
    <row r="1237" spans="2:2" x14ac:dyDescent="0.25">
      <c r="B1237" s="27"/>
    </row>
    <row r="1238" spans="2:2" x14ac:dyDescent="0.25">
      <c r="B1238" s="27"/>
    </row>
    <row r="1239" spans="2:2" x14ac:dyDescent="0.25">
      <c r="B1239" s="27"/>
    </row>
    <row r="1240" spans="2:2" x14ac:dyDescent="0.25">
      <c r="B1240" s="27"/>
    </row>
    <row r="1241" spans="2:2" x14ac:dyDescent="0.25">
      <c r="B1241" s="27"/>
    </row>
    <row r="1242" spans="2:2" x14ac:dyDescent="0.25">
      <c r="B1242" s="27"/>
    </row>
    <row r="1243" spans="2:2" x14ac:dyDescent="0.25">
      <c r="B1243" s="27"/>
    </row>
    <row r="1244" spans="2:2" x14ac:dyDescent="0.25">
      <c r="B1244" s="27"/>
    </row>
    <row r="1245" spans="2:2" x14ac:dyDescent="0.25">
      <c r="B1245" s="27"/>
    </row>
    <row r="1246" spans="2:2" x14ac:dyDescent="0.25">
      <c r="B1246" s="27"/>
    </row>
    <row r="1247" spans="2:2" x14ac:dyDescent="0.25">
      <c r="B1247" s="27"/>
    </row>
    <row r="1248" spans="2:2" x14ac:dyDescent="0.25">
      <c r="B1248" s="27"/>
    </row>
    <row r="1249" spans="2:2" x14ac:dyDescent="0.25">
      <c r="B1249" s="27"/>
    </row>
    <row r="1250" spans="2:2" x14ac:dyDescent="0.25">
      <c r="B1250" s="27"/>
    </row>
    <row r="1251" spans="2:2" x14ac:dyDescent="0.25">
      <c r="B1251" s="27"/>
    </row>
    <row r="1252" spans="2:2" x14ac:dyDescent="0.25">
      <c r="B1252" s="27"/>
    </row>
    <row r="1253" spans="2:2" x14ac:dyDescent="0.25">
      <c r="B1253" s="27"/>
    </row>
    <row r="1254" spans="2:2" x14ac:dyDescent="0.25">
      <c r="B1254" s="27"/>
    </row>
    <row r="1255" spans="2:2" x14ac:dyDescent="0.25">
      <c r="B1255" s="27"/>
    </row>
    <row r="1256" spans="2:2" x14ac:dyDescent="0.25">
      <c r="B1256" s="27"/>
    </row>
    <row r="1257" spans="2:2" x14ac:dyDescent="0.25">
      <c r="B1257" s="27"/>
    </row>
    <row r="1258" spans="2:2" x14ac:dyDescent="0.25">
      <c r="B1258" s="27"/>
    </row>
    <row r="1259" spans="2:2" x14ac:dyDescent="0.25">
      <c r="B1259" s="27"/>
    </row>
    <row r="1260" spans="2:2" x14ac:dyDescent="0.25">
      <c r="B1260" s="27"/>
    </row>
    <row r="1261" spans="2:2" x14ac:dyDescent="0.25">
      <c r="B1261" s="27"/>
    </row>
    <row r="1262" spans="2:2" x14ac:dyDescent="0.25">
      <c r="B1262" s="27"/>
    </row>
    <row r="1263" spans="2:2" x14ac:dyDescent="0.25">
      <c r="B1263" s="27"/>
    </row>
    <row r="1264" spans="2:2" x14ac:dyDescent="0.25">
      <c r="B1264" s="27"/>
    </row>
    <row r="1265" spans="2:2" x14ac:dyDescent="0.25">
      <c r="B1265" s="27"/>
    </row>
    <row r="1266" spans="2:2" x14ac:dyDescent="0.25">
      <c r="B1266" s="27"/>
    </row>
    <row r="1267" spans="2:2" x14ac:dyDescent="0.25">
      <c r="B1267" s="27"/>
    </row>
    <row r="1268" spans="2:2" x14ac:dyDescent="0.25">
      <c r="B1268" s="27"/>
    </row>
    <row r="1269" spans="2:2" x14ac:dyDescent="0.25">
      <c r="B1269" s="27"/>
    </row>
    <row r="1270" spans="2:2" x14ac:dyDescent="0.25">
      <c r="B1270" s="27"/>
    </row>
    <row r="1271" spans="2:2" x14ac:dyDescent="0.25">
      <c r="B1271" s="27"/>
    </row>
    <row r="1272" spans="2:2" x14ac:dyDescent="0.25">
      <c r="B1272" s="27"/>
    </row>
    <row r="1273" spans="2:2" x14ac:dyDescent="0.25">
      <c r="B1273" s="27"/>
    </row>
    <row r="1274" spans="2:2" x14ac:dyDescent="0.25">
      <c r="B1274" s="27"/>
    </row>
    <row r="1275" spans="2:2" x14ac:dyDescent="0.25">
      <c r="B1275" s="27"/>
    </row>
    <row r="1276" spans="2:2" x14ac:dyDescent="0.25">
      <c r="B1276" s="27"/>
    </row>
    <row r="1277" spans="2:2" x14ac:dyDescent="0.25">
      <c r="B1277" s="27"/>
    </row>
    <row r="1278" spans="2:2" x14ac:dyDescent="0.25">
      <c r="B1278" s="27"/>
    </row>
    <row r="1279" spans="2:2" x14ac:dyDescent="0.25">
      <c r="B1279" s="27"/>
    </row>
    <row r="1280" spans="2:2" x14ac:dyDescent="0.25">
      <c r="B1280" s="27"/>
    </row>
    <row r="1281" spans="2:2" x14ac:dyDescent="0.25">
      <c r="B1281" s="27"/>
    </row>
    <row r="1282" spans="2:2" x14ac:dyDescent="0.25">
      <c r="B1282" s="27"/>
    </row>
    <row r="1283" spans="2:2" x14ac:dyDescent="0.25">
      <c r="B1283" s="27"/>
    </row>
    <row r="1284" spans="2:2" x14ac:dyDescent="0.25">
      <c r="B1284" s="27"/>
    </row>
    <row r="1285" spans="2:2" x14ac:dyDescent="0.25">
      <c r="B1285" s="27"/>
    </row>
    <row r="1286" spans="2:2" x14ac:dyDescent="0.25">
      <c r="B1286" s="27"/>
    </row>
    <row r="1287" spans="2:2" x14ac:dyDescent="0.25">
      <c r="B1287" s="27"/>
    </row>
    <row r="1288" spans="2:2" x14ac:dyDescent="0.25">
      <c r="B1288" s="27"/>
    </row>
    <row r="1289" spans="2:2" x14ac:dyDescent="0.25">
      <c r="B1289" s="27"/>
    </row>
    <row r="1290" spans="2:2" x14ac:dyDescent="0.25">
      <c r="B1290" s="27"/>
    </row>
    <row r="1291" spans="2:2" x14ac:dyDescent="0.25">
      <c r="B1291" s="27"/>
    </row>
    <row r="1292" spans="2:2" x14ac:dyDescent="0.25">
      <c r="B1292" s="27"/>
    </row>
    <row r="1293" spans="2:2" x14ac:dyDescent="0.25">
      <c r="B1293" s="27"/>
    </row>
    <row r="1294" spans="2:2" x14ac:dyDescent="0.25">
      <c r="B1294" s="27"/>
    </row>
    <row r="1295" spans="2:2" x14ac:dyDescent="0.25">
      <c r="B1295" s="27"/>
    </row>
    <row r="1296" spans="2:2" x14ac:dyDescent="0.25">
      <c r="B1296" s="27"/>
    </row>
    <row r="1297" spans="2:2" x14ac:dyDescent="0.25">
      <c r="B1297" s="27"/>
    </row>
    <row r="1298" spans="2:2" x14ac:dyDescent="0.25">
      <c r="B1298" s="27"/>
    </row>
    <row r="1299" spans="2:2" x14ac:dyDescent="0.25">
      <c r="B1299" s="27"/>
    </row>
    <row r="1300" spans="2:2" x14ac:dyDescent="0.25">
      <c r="B1300" s="27"/>
    </row>
    <row r="1301" spans="2:2" x14ac:dyDescent="0.25">
      <c r="B1301" s="27"/>
    </row>
    <row r="1302" spans="2:2" x14ac:dyDescent="0.25">
      <c r="B1302" s="27"/>
    </row>
    <row r="1303" spans="2:2" x14ac:dyDescent="0.25">
      <c r="B1303" s="27"/>
    </row>
    <row r="1304" spans="2:2" x14ac:dyDescent="0.25">
      <c r="B1304" s="27"/>
    </row>
    <row r="1305" spans="2:2" x14ac:dyDescent="0.25">
      <c r="B1305" s="27"/>
    </row>
    <row r="1306" spans="2:2" x14ac:dyDescent="0.25">
      <c r="B1306" s="27"/>
    </row>
    <row r="1307" spans="2:2" x14ac:dyDescent="0.25">
      <c r="B1307" s="27"/>
    </row>
    <row r="1308" spans="2:2" x14ac:dyDescent="0.25">
      <c r="B1308" s="27"/>
    </row>
    <row r="1309" spans="2:2" x14ac:dyDescent="0.25">
      <c r="B1309" s="27"/>
    </row>
    <row r="1310" spans="2:2" x14ac:dyDescent="0.25">
      <c r="B1310" s="27"/>
    </row>
    <row r="1311" spans="2:2" x14ac:dyDescent="0.25">
      <c r="B1311" s="27"/>
    </row>
    <row r="1312" spans="2:2" x14ac:dyDescent="0.25">
      <c r="B1312" s="27"/>
    </row>
    <row r="1313" spans="2:2" x14ac:dyDescent="0.25">
      <c r="B1313" s="27"/>
    </row>
    <row r="1314" spans="2:2" x14ac:dyDescent="0.25">
      <c r="B1314" s="27"/>
    </row>
    <row r="1315" spans="2:2" x14ac:dyDescent="0.25">
      <c r="B1315" s="27"/>
    </row>
    <row r="1316" spans="2:2" x14ac:dyDescent="0.25">
      <c r="B1316" s="27"/>
    </row>
    <row r="1317" spans="2:2" x14ac:dyDescent="0.25">
      <c r="B1317" s="27"/>
    </row>
    <row r="1318" spans="2:2" x14ac:dyDescent="0.25">
      <c r="B1318" s="27"/>
    </row>
    <row r="1319" spans="2:2" x14ac:dyDescent="0.25">
      <c r="B1319" s="27"/>
    </row>
    <row r="1320" spans="2:2" x14ac:dyDescent="0.25">
      <c r="B1320" s="27"/>
    </row>
    <row r="1321" spans="2:2" x14ac:dyDescent="0.25">
      <c r="B1321" s="27"/>
    </row>
    <row r="1322" spans="2:2" x14ac:dyDescent="0.25">
      <c r="B1322" s="27"/>
    </row>
    <row r="1323" spans="2:2" x14ac:dyDescent="0.25">
      <c r="B1323" s="27"/>
    </row>
    <row r="1324" spans="2:2" x14ac:dyDescent="0.25">
      <c r="B1324" s="27"/>
    </row>
    <row r="1325" spans="2:2" x14ac:dyDescent="0.25">
      <c r="B1325" s="27"/>
    </row>
    <row r="1326" spans="2:2" x14ac:dyDescent="0.25">
      <c r="B1326" s="27"/>
    </row>
    <row r="1327" spans="2:2" x14ac:dyDescent="0.25">
      <c r="B1327" s="27"/>
    </row>
    <row r="1328" spans="2:2" x14ac:dyDescent="0.25">
      <c r="B1328" s="27"/>
    </row>
    <row r="1329" spans="2:2" x14ac:dyDescent="0.25">
      <c r="B1329" s="27"/>
    </row>
    <row r="1330" spans="2:2" x14ac:dyDescent="0.25">
      <c r="B1330" s="27"/>
    </row>
    <row r="1331" spans="2:2" x14ac:dyDescent="0.25">
      <c r="B1331" s="27"/>
    </row>
    <row r="1332" spans="2:2" x14ac:dyDescent="0.25">
      <c r="B1332" s="27"/>
    </row>
    <row r="1333" spans="2:2" x14ac:dyDescent="0.25">
      <c r="B1333" s="27"/>
    </row>
    <row r="1334" spans="2:2" x14ac:dyDescent="0.25">
      <c r="B1334" s="27"/>
    </row>
    <row r="1335" spans="2:2" x14ac:dyDescent="0.25">
      <c r="B1335" s="27"/>
    </row>
    <row r="1336" spans="2:2" x14ac:dyDescent="0.25">
      <c r="B1336" s="27"/>
    </row>
    <row r="1337" spans="2:2" x14ac:dyDescent="0.25">
      <c r="B1337" s="27"/>
    </row>
    <row r="1338" spans="2:2" x14ac:dyDescent="0.25">
      <c r="B1338" s="27"/>
    </row>
    <row r="1339" spans="2:2" x14ac:dyDescent="0.25">
      <c r="B1339" s="27"/>
    </row>
    <row r="1340" spans="2:2" x14ac:dyDescent="0.25">
      <c r="B1340" s="27"/>
    </row>
    <row r="1341" spans="2:2" x14ac:dyDescent="0.25">
      <c r="B1341" s="27"/>
    </row>
    <row r="1342" spans="2:2" x14ac:dyDescent="0.25">
      <c r="B1342" s="27"/>
    </row>
    <row r="1343" spans="2:2" x14ac:dyDescent="0.25">
      <c r="B1343" s="27"/>
    </row>
    <row r="1344" spans="2:2" x14ac:dyDescent="0.25">
      <c r="B1344" s="27"/>
    </row>
    <row r="1345" spans="2:2" x14ac:dyDescent="0.25">
      <c r="B1345" s="27"/>
    </row>
    <row r="1346" spans="2:2" x14ac:dyDescent="0.25">
      <c r="B1346" s="27"/>
    </row>
    <row r="1347" spans="2:2" x14ac:dyDescent="0.25">
      <c r="B1347" s="27"/>
    </row>
    <row r="1348" spans="2:2" x14ac:dyDescent="0.25">
      <c r="B1348" s="27"/>
    </row>
    <row r="1349" spans="2:2" x14ac:dyDescent="0.25">
      <c r="B1349" s="27"/>
    </row>
    <row r="1350" spans="2:2" x14ac:dyDescent="0.25">
      <c r="B1350" s="27"/>
    </row>
    <row r="1351" spans="2:2" x14ac:dyDescent="0.25">
      <c r="B1351" s="27"/>
    </row>
    <row r="1352" spans="2:2" x14ac:dyDescent="0.25">
      <c r="B1352" s="27"/>
    </row>
    <row r="1353" spans="2:2" x14ac:dyDescent="0.25">
      <c r="B1353" s="27"/>
    </row>
    <row r="1354" spans="2:2" x14ac:dyDescent="0.25">
      <c r="B1354" s="27"/>
    </row>
    <row r="1355" spans="2:2" x14ac:dyDescent="0.25">
      <c r="B1355" s="27"/>
    </row>
    <row r="1356" spans="2:2" x14ac:dyDescent="0.25">
      <c r="B1356" s="27"/>
    </row>
    <row r="1357" spans="2:2" x14ac:dyDescent="0.25">
      <c r="B1357" s="27"/>
    </row>
    <row r="1358" spans="2:2" x14ac:dyDescent="0.25">
      <c r="B1358" s="27"/>
    </row>
    <row r="1359" spans="2:2" x14ac:dyDescent="0.25">
      <c r="B1359" s="27"/>
    </row>
    <row r="1360" spans="2:2" x14ac:dyDescent="0.25">
      <c r="B1360" s="27"/>
    </row>
    <row r="1361" spans="2:2" x14ac:dyDescent="0.25">
      <c r="B1361" s="27"/>
    </row>
    <row r="1362" spans="2:2" x14ac:dyDescent="0.25">
      <c r="B1362" s="27"/>
    </row>
    <row r="1363" spans="2:2" x14ac:dyDescent="0.25">
      <c r="B1363" s="27"/>
    </row>
    <row r="1364" spans="2:2" x14ac:dyDescent="0.25">
      <c r="B1364" s="27"/>
    </row>
    <row r="1365" spans="2:2" x14ac:dyDescent="0.25">
      <c r="B1365" s="27"/>
    </row>
    <row r="1366" spans="2:2" x14ac:dyDescent="0.25">
      <c r="B1366" s="27"/>
    </row>
    <row r="1367" spans="2:2" x14ac:dyDescent="0.25">
      <c r="B1367" s="27"/>
    </row>
    <row r="1368" spans="2:2" x14ac:dyDescent="0.25">
      <c r="B1368" s="27"/>
    </row>
    <row r="1369" spans="2:2" x14ac:dyDescent="0.25">
      <c r="B1369" s="27"/>
    </row>
    <row r="1370" spans="2:2" x14ac:dyDescent="0.25">
      <c r="B1370" s="27"/>
    </row>
    <row r="1371" spans="2:2" x14ac:dyDescent="0.25">
      <c r="B1371" s="27"/>
    </row>
    <row r="1372" spans="2:2" x14ac:dyDescent="0.25">
      <c r="B1372" s="27"/>
    </row>
    <row r="1373" spans="2:2" x14ac:dyDescent="0.25">
      <c r="B1373" s="27"/>
    </row>
    <row r="1374" spans="2:2" x14ac:dyDescent="0.25">
      <c r="B1374" s="27"/>
    </row>
    <row r="1375" spans="2:2" x14ac:dyDescent="0.25">
      <c r="B1375" s="27"/>
    </row>
    <row r="1376" spans="2:2" x14ac:dyDescent="0.25">
      <c r="B1376" s="27"/>
    </row>
    <row r="1377" spans="2:2" x14ac:dyDescent="0.25">
      <c r="B1377" s="27"/>
    </row>
    <row r="1378" spans="2:2" x14ac:dyDescent="0.25">
      <c r="B1378" s="27"/>
    </row>
    <row r="1379" spans="2:2" x14ac:dyDescent="0.25">
      <c r="B1379" s="27"/>
    </row>
    <row r="1380" spans="2:2" x14ac:dyDescent="0.25">
      <c r="B1380" s="27"/>
    </row>
    <row r="1381" spans="2:2" x14ac:dyDescent="0.25">
      <c r="B1381" s="27"/>
    </row>
    <row r="1382" spans="2:2" x14ac:dyDescent="0.25">
      <c r="B1382" s="27"/>
    </row>
    <row r="1383" spans="2:2" x14ac:dyDescent="0.25">
      <c r="B1383" s="27"/>
    </row>
    <row r="1384" spans="2:2" x14ac:dyDescent="0.25">
      <c r="B1384" s="27"/>
    </row>
    <row r="1385" spans="2:2" x14ac:dyDescent="0.25">
      <c r="B1385" s="27"/>
    </row>
    <row r="1386" spans="2:2" x14ac:dyDescent="0.25">
      <c r="B1386" s="27"/>
    </row>
    <row r="1387" spans="2:2" x14ac:dyDescent="0.25">
      <c r="B1387" s="27"/>
    </row>
    <row r="1388" spans="2:2" x14ac:dyDescent="0.25">
      <c r="B1388" s="27"/>
    </row>
    <row r="1389" spans="2:2" x14ac:dyDescent="0.25">
      <c r="B1389" s="27"/>
    </row>
    <row r="1390" spans="2:2" x14ac:dyDescent="0.25">
      <c r="B1390" s="27"/>
    </row>
    <row r="1391" spans="2:2" x14ac:dyDescent="0.25">
      <c r="B1391" s="27"/>
    </row>
    <row r="1392" spans="2:2" x14ac:dyDescent="0.25">
      <c r="B1392" s="27"/>
    </row>
    <row r="1393" spans="2:2" x14ac:dyDescent="0.25">
      <c r="B1393" s="27"/>
    </row>
    <row r="1394" spans="2:2" x14ac:dyDescent="0.25">
      <c r="B1394" s="27"/>
    </row>
    <row r="1395" spans="2:2" x14ac:dyDescent="0.25">
      <c r="B1395" s="27"/>
    </row>
    <row r="1396" spans="2:2" x14ac:dyDescent="0.25">
      <c r="B1396" s="27"/>
    </row>
    <row r="1397" spans="2:2" x14ac:dyDescent="0.25">
      <c r="B1397" s="27"/>
    </row>
    <row r="1398" spans="2:2" x14ac:dyDescent="0.25">
      <c r="B1398" s="27"/>
    </row>
    <row r="1399" spans="2:2" x14ac:dyDescent="0.25">
      <c r="B1399" s="27"/>
    </row>
    <row r="1400" spans="2:2" x14ac:dyDescent="0.25">
      <c r="B1400" s="27"/>
    </row>
    <row r="1401" spans="2:2" x14ac:dyDescent="0.25">
      <c r="B1401" s="27"/>
    </row>
    <row r="1402" spans="2:2" x14ac:dyDescent="0.25">
      <c r="B1402" s="27"/>
    </row>
    <row r="1403" spans="2:2" x14ac:dyDescent="0.25">
      <c r="B1403" s="27"/>
    </row>
    <row r="1404" spans="2:2" x14ac:dyDescent="0.25">
      <c r="B1404" s="27"/>
    </row>
    <row r="1405" spans="2:2" x14ac:dyDescent="0.25">
      <c r="B1405" s="27"/>
    </row>
    <row r="1406" spans="2:2" x14ac:dyDescent="0.25">
      <c r="B1406" s="27"/>
    </row>
    <row r="1407" spans="2:2" x14ac:dyDescent="0.25">
      <c r="B1407" s="27"/>
    </row>
    <row r="1408" spans="2:2" x14ac:dyDescent="0.25">
      <c r="B1408" s="27"/>
    </row>
    <row r="1409" spans="2:2" x14ac:dyDescent="0.25">
      <c r="B1409" s="27"/>
    </row>
    <row r="1410" spans="2:2" x14ac:dyDescent="0.25">
      <c r="B1410" s="27"/>
    </row>
    <row r="1411" spans="2:2" x14ac:dyDescent="0.25">
      <c r="B1411" s="27"/>
    </row>
    <row r="1412" spans="2:2" x14ac:dyDescent="0.25">
      <c r="B1412" s="27"/>
    </row>
    <row r="1413" spans="2:2" x14ac:dyDescent="0.25">
      <c r="B1413" s="27"/>
    </row>
    <row r="1414" spans="2:2" x14ac:dyDescent="0.25">
      <c r="B1414" s="27"/>
    </row>
    <row r="1415" spans="2:2" x14ac:dyDescent="0.25">
      <c r="B1415" s="27"/>
    </row>
    <row r="1416" spans="2:2" x14ac:dyDescent="0.25">
      <c r="B1416" s="27"/>
    </row>
    <row r="1417" spans="2:2" x14ac:dyDescent="0.25">
      <c r="B1417" s="27"/>
    </row>
    <row r="1418" spans="2:2" x14ac:dyDescent="0.25">
      <c r="B1418" s="27"/>
    </row>
    <row r="1419" spans="2:2" x14ac:dyDescent="0.25">
      <c r="B1419" s="27"/>
    </row>
    <row r="1420" spans="2:2" x14ac:dyDescent="0.25">
      <c r="B1420" s="27"/>
    </row>
    <row r="1421" spans="2:2" x14ac:dyDescent="0.25">
      <c r="B1421" s="27"/>
    </row>
    <row r="1422" spans="2:2" x14ac:dyDescent="0.25">
      <c r="B1422" s="27"/>
    </row>
    <row r="1423" spans="2:2" x14ac:dyDescent="0.25">
      <c r="B1423" s="27"/>
    </row>
    <row r="1424" spans="2:2" x14ac:dyDescent="0.25">
      <c r="B1424" s="27"/>
    </row>
    <row r="1425" spans="2:2" x14ac:dyDescent="0.25">
      <c r="B1425" s="27"/>
    </row>
    <row r="1426" spans="2:2" x14ac:dyDescent="0.25">
      <c r="B1426" s="27"/>
    </row>
    <row r="1427" spans="2:2" x14ac:dyDescent="0.25">
      <c r="B1427" s="27"/>
    </row>
    <row r="1428" spans="2:2" x14ac:dyDescent="0.25">
      <c r="B1428" s="27"/>
    </row>
    <row r="1429" spans="2:2" x14ac:dyDescent="0.25">
      <c r="B1429" s="27"/>
    </row>
    <row r="1430" spans="2:2" x14ac:dyDescent="0.25">
      <c r="B1430" s="27"/>
    </row>
    <row r="1431" spans="2:2" x14ac:dyDescent="0.25">
      <c r="B1431" s="27"/>
    </row>
    <row r="1432" spans="2:2" x14ac:dyDescent="0.25">
      <c r="B1432" s="27"/>
    </row>
    <row r="1433" spans="2:2" x14ac:dyDescent="0.25">
      <c r="B1433" s="27"/>
    </row>
    <row r="1434" spans="2:2" x14ac:dyDescent="0.25">
      <c r="B1434" s="27"/>
    </row>
    <row r="1435" spans="2:2" x14ac:dyDescent="0.25">
      <c r="B1435" s="27"/>
    </row>
    <row r="1436" spans="2:2" x14ac:dyDescent="0.25">
      <c r="B1436" s="27"/>
    </row>
    <row r="1437" spans="2:2" x14ac:dyDescent="0.25">
      <c r="B1437" s="27"/>
    </row>
    <row r="1438" spans="2:2" x14ac:dyDescent="0.25">
      <c r="B1438" s="27"/>
    </row>
    <row r="1439" spans="2:2" x14ac:dyDescent="0.25">
      <c r="B1439" s="27"/>
    </row>
    <row r="1440" spans="2:2" x14ac:dyDescent="0.25">
      <c r="B1440" s="27"/>
    </row>
    <row r="1441" spans="2:2" x14ac:dyDescent="0.25">
      <c r="B1441" s="27"/>
    </row>
    <row r="1442" spans="2:2" x14ac:dyDescent="0.25">
      <c r="B1442" s="27"/>
    </row>
    <row r="1443" spans="2:2" x14ac:dyDescent="0.25">
      <c r="B1443" s="27"/>
    </row>
    <row r="1444" spans="2:2" x14ac:dyDescent="0.25">
      <c r="B1444" s="27"/>
    </row>
    <row r="1445" spans="2:2" x14ac:dyDescent="0.25">
      <c r="B1445" s="27"/>
    </row>
    <row r="1446" spans="2:2" x14ac:dyDescent="0.25">
      <c r="B1446" s="27"/>
    </row>
    <row r="1447" spans="2:2" x14ac:dyDescent="0.25">
      <c r="B1447" s="27"/>
    </row>
    <row r="1448" spans="2:2" x14ac:dyDescent="0.25">
      <c r="B1448" s="27"/>
    </row>
    <row r="1449" spans="2:2" x14ac:dyDescent="0.25">
      <c r="B1449" s="27"/>
    </row>
    <row r="1450" spans="2:2" x14ac:dyDescent="0.25">
      <c r="B1450" s="27"/>
    </row>
    <row r="1451" spans="2:2" x14ac:dyDescent="0.25">
      <c r="B1451" s="27"/>
    </row>
    <row r="1452" spans="2:2" x14ac:dyDescent="0.25">
      <c r="B1452" s="27"/>
    </row>
    <row r="1453" spans="2:2" x14ac:dyDescent="0.25">
      <c r="B1453" s="27"/>
    </row>
    <row r="1454" spans="2:2" x14ac:dyDescent="0.25">
      <c r="B1454" s="27"/>
    </row>
    <row r="1455" spans="2:2" x14ac:dyDescent="0.25">
      <c r="B1455" s="27"/>
    </row>
    <row r="1456" spans="2:2" x14ac:dyDescent="0.25">
      <c r="B1456" s="27"/>
    </row>
    <row r="1457" spans="2:2" x14ac:dyDescent="0.25">
      <c r="B1457" s="27"/>
    </row>
    <row r="1458" spans="2:2" x14ac:dyDescent="0.25">
      <c r="B1458" s="27"/>
    </row>
    <row r="1459" spans="2:2" x14ac:dyDescent="0.25">
      <c r="B1459" s="27"/>
    </row>
    <row r="1460" spans="2:2" x14ac:dyDescent="0.25">
      <c r="B1460" s="27"/>
    </row>
    <row r="1461" spans="2:2" x14ac:dyDescent="0.25">
      <c r="B1461" s="27"/>
    </row>
    <row r="1462" spans="2:2" x14ac:dyDescent="0.25">
      <c r="B1462" s="27"/>
    </row>
    <row r="1463" spans="2:2" x14ac:dyDescent="0.25">
      <c r="B1463" s="27"/>
    </row>
    <row r="1464" spans="2:2" x14ac:dyDescent="0.25">
      <c r="B1464" s="27"/>
    </row>
    <row r="1465" spans="2:2" x14ac:dyDescent="0.25">
      <c r="B1465" s="27"/>
    </row>
    <row r="1466" spans="2:2" x14ac:dyDescent="0.25">
      <c r="B1466" s="27"/>
    </row>
    <row r="1467" spans="2:2" x14ac:dyDescent="0.25">
      <c r="B1467" s="27"/>
    </row>
    <row r="1468" spans="2:2" x14ac:dyDescent="0.25">
      <c r="B1468" s="27"/>
    </row>
    <row r="1469" spans="2:2" x14ac:dyDescent="0.25">
      <c r="B1469" s="27"/>
    </row>
    <row r="1470" spans="2:2" x14ac:dyDescent="0.25">
      <c r="B1470" s="27"/>
    </row>
    <row r="1471" spans="2:2" x14ac:dyDescent="0.25">
      <c r="B1471" s="27"/>
    </row>
    <row r="1472" spans="2:2" x14ac:dyDescent="0.25">
      <c r="B1472" s="27"/>
    </row>
    <row r="1473" spans="2:2" x14ac:dyDescent="0.25">
      <c r="B1473" s="27"/>
    </row>
    <row r="1474" spans="2:2" x14ac:dyDescent="0.25">
      <c r="B1474" s="27"/>
    </row>
    <row r="1475" spans="2:2" x14ac:dyDescent="0.25">
      <c r="B1475" s="27"/>
    </row>
    <row r="1476" spans="2:2" x14ac:dyDescent="0.25">
      <c r="B1476" s="27"/>
    </row>
    <row r="1477" spans="2:2" x14ac:dyDescent="0.25">
      <c r="B1477" s="27"/>
    </row>
    <row r="1478" spans="2:2" x14ac:dyDescent="0.25">
      <c r="B1478" s="27"/>
    </row>
    <row r="1479" spans="2:2" x14ac:dyDescent="0.25">
      <c r="B1479" s="27"/>
    </row>
    <row r="1480" spans="2:2" x14ac:dyDescent="0.25">
      <c r="B1480" s="27"/>
    </row>
    <row r="1481" spans="2:2" x14ac:dyDescent="0.25">
      <c r="B1481" s="27"/>
    </row>
    <row r="1482" spans="2:2" x14ac:dyDescent="0.25">
      <c r="B1482" s="27"/>
    </row>
    <row r="1483" spans="2:2" x14ac:dyDescent="0.25">
      <c r="B1483" s="27"/>
    </row>
    <row r="1484" spans="2:2" x14ac:dyDescent="0.25">
      <c r="B1484" s="27"/>
    </row>
    <row r="1485" spans="2:2" x14ac:dyDescent="0.25">
      <c r="B1485" s="27"/>
    </row>
    <row r="1486" spans="2:2" x14ac:dyDescent="0.25">
      <c r="B1486" s="27"/>
    </row>
    <row r="1487" spans="2:2" x14ac:dyDescent="0.25">
      <c r="B1487" s="27"/>
    </row>
    <row r="1488" spans="2:2" x14ac:dyDescent="0.25">
      <c r="B1488" s="27"/>
    </row>
    <row r="1489" spans="2:2" x14ac:dyDescent="0.25">
      <c r="B1489" s="27"/>
    </row>
    <row r="1490" spans="2:2" x14ac:dyDescent="0.25">
      <c r="B1490" s="27"/>
    </row>
    <row r="1491" spans="2:2" x14ac:dyDescent="0.25">
      <c r="B1491" s="27"/>
    </row>
    <row r="1492" spans="2:2" x14ac:dyDescent="0.25">
      <c r="B1492" s="27"/>
    </row>
    <row r="1493" spans="2:2" x14ac:dyDescent="0.25">
      <c r="B1493" s="27"/>
    </row>
    <row r="1494" spans="2:2" x14ac:dyDescent="0.25">
      <c r="B1494" s="27"/>
    </row>
    <row r="1495" spans="2:2" x14ac:dyDescent="0.25">
      <c r="B1495" s="27"/>
    </row>
    <row r="1496" spans="2:2" x14ac:dyDescent="0.25">
      <c r="B1496" s="27"/>
    </row>
    <row r="1497" spans="2:2" x14ac:dyDescent="0.25">
      <c r="B1497" s="27"/>
    </row>
    <row r="1498" spans="2:2" x14ac:dyDescent="0.25">
      <c r="B1498" s="27"/>
    </row>
    <row r="1499" spans="2:2" x14ac:dyDescent="0.25">
      <c r="B1499" s="27"/>
    </row>
    <row r="1500" spans="2:2" x14ac:dyDescent="0.25">
      <c r="B1500" s="27"/>
    </row>
    <row r="1501" spans="2:2" x14ac:dyDescent="0.25">
      <c r="B1501" s="27"/>
    </row>
    <row r="1502" spans="2:2" x14ac:dyDescent="0.25">
      <c r="B1502" s="27"/>
    </row>
    <row r="1503" spans="2:2" x14ac:dyDescent="0.25">
      <c r="B1503" s="27"/>
    </row>
    <row r="1504" spans="2:2" x14ac:dyDescent="0.25">
      <c r="B1504" s="27"/>
    </row>
    <row r="1505" spans="2:2" x14ac:dyDescent="0.25">
      <c r="B1505" s="27"/>
    </row>
    <row r="1506" spans="2:2" x14ac:dyDescent="0.25">
      <c r="B1506" s="27"/>
    </row>
    <row r="1507" spans="2:2" x14ac:dyDescent="0.25">
      <c r="B1507" s="27"/>
    </row>
    <row r="1508" spans="2:2" x14ac:dyDescent="0.25">
      <c r="B1508" s="27"/>
    </row>
    <row r="1509" spans="2:2" x14ac:dyDescent="0.25">
      <c r="B1509" s="27"/>
    </row>
    <row r="1510" spans="2:2" x14ac:dyDescent="0.25">
      <c r="B1510" s="27"/>
    </row>
    <row r="1511" spans="2:2" x14ac:dyDescent="0.25">
      <c r="B1511" s="27"/>
    </row>
    <row r="1512" spans="2:2" x14ac:dyDescent="0.25">
      <c r="B1512" s="27"/>
    </row>
    <row r="1513" spans="2:2" x14ac:dyDescent="0.25">
      <c r="B1513" s="27"/>
    </row>
    <row r="1514" spans="2:2" x14ac:dyDescent="0.25">
      <c r="B1514" s="27"/>
    </row>
    <row r="1515" spans="2:2" x14ac:dyDescent="0.25">
      <c r="B1515" s="27"/>
    </row>
    <row r="1516" spans="2:2" x14ac:dyDescent="0.25">
      <c r="B1516" s="27"/>
    </row>
    <row r="1517" spans="2:2" x14ac:dyDescent="0.25">
      <c r="B1517" s="27"/>
    </row>
    <row r="1518" spans="2:2" x14ac:dyDescent="0.25">
      <c r="B1518" s="27"/>
    </row>
    <row r="1519" spans="2:2" x14ac:dyDescent="0.25">
      <c r="B1519" s="27"/>
    </row>
    <row r="1520" spans="2:2" x14ac:dyDescent="0.25">
      <c r="B1520" s="27"/>
    </row>
    <row r="1521" spans="2:2" x14ac:dyDescent="0.25">
      <c r="B1521" s="27"/>
    </row>
    <row r="1522" spans="2:2" x14ac:dyDescent="0.25">
      <c r="B1522" s="27"/>
    </row>
    <row r="1523" spans="2:2" x14ac:dyDescent="0.25">
      <c r="B1523" s="27"/>
    </row>
    <row r="1524" spans="2:2" x14ac:dyDescent="0.25">
      <c r="B1524" s="27"/>
    </row>
    <row r="1525" spans="2:2" x14ac:dyDescent="0.25">
      <c r="B1525" s="27"/>
    </row>
    <row r="1526" spans="2:2" x14ac:dyDescent="0.25">
      <c r="B1526" s="27"/>
    </row>
    <row r="1527" spans="2:2" x14ac:dyDescent="0.25">
      <c r="B1527" s="27"/>
    </row>
    <row r="1528" spans="2:2" x14ac:dyDescent="0.25">
      <c r="B1528" s="27"/>
    </row>
    <row r="1529" spans="2:2" x14ac:dyDescent="0.25">
      <c r="B1529" s="27"/>
    </row>
    <row r="1530" spans="2:2" x14ac:dyDescent="0.25">
      <c r="B1530" s="27"/>
    </row>
    <row r="1531" spans="2:2" x14ac:dyDescent="0.25">
      <c r="B1531" s="27"/>
    </row>
    <row r="1532" spans="2:2" x14ac:dyDescent="0.25">
      <c r="B1532" s="27"/>
    </row>
    <row r="1533" spans="2:2" x14ac:dyDescent="0.25">
      <c r="B1533" s="27"/>
    </row>
    <row r="1534" spans="2:2" x14ac:dyDescent="0.25">
      <c r="B1534" s="27"/>
    </row>
    <row r="1535" spans="2:2" x14ac:dyDescent="0.25">
      <c r="B1535" s="27"/>
    </row>
    <row r="1536" spans="2:2" x14ac:dyDescent="0.25">
      <c r="B1536" s="27"/>
    </row>
    <row r="1537" spans="2:2" x14ac:dyDescent="0.25">
      <c r="B1537" s="27"/>
    </row>
    <row r="1538" spans="2:2" x14ac:dyDescent="0.25">
      <c r="B1538" s="27"/>
    </row>
    <row r="1539" spans="2:2" x14ac:dyDescent="0.25">
      <c r="B1539" s="27"/>
    </row>
    <row r="1540" spans="2:2" x14ac:dyDescent="0.25">
      <c r="B1540" s="27"/>
    </row>
    <row r="1541" spans="2:2" x14ac:dyDescent="0.25">
      <c r="B1541" s="27"/>
    </row>
    <row r="1542" spans="2:2" x14ac:dyDescent="0.25">
      <c r="B1542" s="27"/>
    </row>
    <row r="1543" spans="2:2" x14ac:dyDescent="0.25">
      <c r="B1543" s="27"/>
    </row>
    <row r="1544" spans="2:2" x14ac:dyDescent="0.25">
      <c r="B1544" s="27"/>
    </row>
    <row r="1545" spans="2:2" x14ac:dyDescent="0.25">
      <c r="B1545" s="27"/>
    </row>
    <row r="1546" spans="2:2" x14ac:dyDescent="0.25">
      <c r="B1546" s="27"/>
    </row>
    <row r="1547" spans="2:2" x14ac:dyDescent="0.25">
      <c r="B1547" s="27"/>
    </row>
    <row r="1548" spans="2:2" x14ac:dyDescent="0.25">
      <c r="B1548" s="27"/>
    </row>
    <row r="1549" spans="2:2" x14ac:dyDescent="0.25">
      <c r="B1549" s="27"/>
    </row>
    <row r="1550" spans="2:2" x14ac:dyDescent="0.25">
      <c r="B1550" s="27"/>
    </row>
    <row r="1551" spans="2:2" x14ac:dyDescent="0.25">
      <c r="B1551" s="27"/>
    </row>
    <row r="1552" spans="2:2" x14ac:dyDescent="0.25">
      <c r="B1552" s="27"/>
    </row>
    <row r="1553" spans="2:2" x14ac:dyDescent="0.25">
      <c r="B1553" s="27"/>
    </row>
    <row r="1554" spans="2:2" x14ac:dyDescent="0.25">
      <c r="B1554" s="27"/>
    </row>
    <row r="1555" spans="2:2" x14ac:dyDescent="0.25">
      <c r="B1555" s="27"/>
    </row>
    <row r="1556" spans="2:2" x14ac:dyDescent="0.25">
      <c r="B1556" s="27"/>
    </row>
    <row r="1557" spans="2:2" x14ac:dyDescent="0.25">
      <c r="B1557" s="27"/>
    </row>
    <row r="1558" spans="2:2" x14ac:dyDescent="0.25">
      <c r="B1558" s="27"/>
    </row>
    <row r="1559" spans="2:2" x14ac:dyDescent="0.25">
      <c r="B1559" s="27"/>
    </row>
    <row r="1560" spans="2:2" x14ac:dyDescent="0.25">
      <c r="B1560" s="27"/>
    </row>
    <row r="1561" spans="2:2" x14ac:dyDescent="0.25">
      <c r="B1561" s="27"/>
    </row>
    <row r="1562" spans="2:2" x14ac:dyDescent="0.25">
      <c r="B1562" s="27"/>
    </row>
    <row r="1563" spans="2:2" x14ac:dyDescent="0.25">
      <c r="B1563" s="27"/>
    </row>
    <row r="1564" spans="2:2" x14ac:dyDescent="0.25">
      <c r="B1564" s="27"/>
    </row>
    <row r="1565" spans="2:2" x14ac:dyDescent="0.25">
      <c r="B1565" s="27"/>
    </row>
    <row r="1566" spans="2:2" x14ac:dyDescent="0.25">
      <c r="B1566" s="27"/>
    </row>
    <row r="1567" spans="2:2" x14ac:dyDescent="0.25">
      <c r="B1567" s="27"/>
    </row>
    <row r="1568" spans="2:2" x14ac:dyDescent="0.25">
      <c r="B1568" s="27"/>
    </row>
    <row r="1569" spans="2:2" x14ac:dyDescent="0.25">
      <c r="B1569" s="27"/>
    </row>
    <row r="1570" spans="2:2" x14ac:dyDescent="0.25">
      <c r="B1570" s="27"/>
    </row>
    <row r="1571" spans="2:2" x14ac:dyDescent="0.25">
      <c r="B1571" s="27"/>
    </row>
    <row r="1572" spans="2:2" x14ac:dyDescent="0.25">
      <c r="B1572" s="27"/>
    </row>
    <row r="1573" spans="2:2" x14ac:dyDescent="0.25">
      <c r="B1573" s="27"/>
    </row>
    <row r="1574" spans="2:2" x14ac:dyDescent="0.25">
      <c r="B1574" s="27"/>
    </row>
    <row r="1575" spans="2:2" x14ac:dyDescent="0.25">
      <c r="B1575" s="27"/>
    </row>
    <row r="1576" spans="2:2" x14ac:dyDescent="0.25">
      <c r="B1576" s="27"/>
    </row>
    <row r="1577" spans="2:2" x14ac:dyDescent="0.25">
      <c r="B1577" s="27"/>
    </row>
    <row r="1578" spans="2:2" x14ac:dyDescent="0.25">
      <c r="B1578" s="27"/>
    </row>
    <row r="1579" spans="2:2" x14ac:dyDescent="0.25">
      <c r="B1579" s="27"/>
    </row>
    <row r="1580" spans="2:2" x14ac:dyDescent="0.25">
      <c r="B1580" s="27"/>
    </row>
    <row r="1581" spans="2:2" x14ac:dyDescent="0.25">
      <c r="B1581" s="27"/>
    </row>
    <row r="1582" spans="2:2" x14ac:dyDescent="0.25">
      <c r="B1582" s="27"/>
    </row>
    <row r="1583" spans="2:2" x14ac:dyDescent="0.25">
      <c r="B1583" s="27"/>
    </row>
    <row r="1584" spans="2:2" x14ac:dyDescent="0.25">
      <c r="B1584" s="27"/>
    </row>
    <row r="1585" spans="2:2" x14ac:dyDescent="0.25">
      <c r="B1585" s="27"/>
    </row>
    <row r="1586" spans="2:2" x14ac:dyDescent="0.25">
      <c r="B1586" s="27"/>
    </row>
    <row r="1587" spans="2:2" x14ac:dyDescent="0.25">
      <c r="B1587" s="27"/>
    </row>
    <row r="1588" spans="2:2" x14ac:dyDescent="0.25">
      <c r="B1588" s="27"/>
    </row>
    <row r="1589" spans="2:2" x14ac:dyDescent="0.25">
      <c r="B1589" s="27"/>
    </row>
    <row r="1590" spans="2:2" x14ac:dyDescent="0.25">
      <c r="B1590" s="27"/>
    </row>
    <row r="1591" spans="2:2" x14ac:dyDescent="0.25">
      <c r="B1591" s="27"/>
    </row>
    <row r="1592" spans="2:2" x14ac:dyDescent="0.25">
      <c r="B1592" s="27"/>
    </row>
    <row r="1593" spans="2:2" x14ac:dyDescent="0.25">
      <c r="B1593" s="27"/>
    </row>
    <row r="1594" spans="2:2" x14ac:dyDescent="0.25">
      <c r="B1594" s="27"/>
    </row>
    <row r="1595" spans="2:2" x14ac:dyDescent="0.25">
      <c r="B1595" s="27"/>
    </row>
    <row r="1596" spans="2:2" x14ac:dyDescent="0.25">
      <c r="B1596" s="27"/>
    </row>
    <row r="1597" spans="2:2" x14ac:dyDescent="0.25">
      <c r="B1597" s="27"/>
    </row>
    <row r="1598" spans="2:2" x14ac:dyDescent="0.25">
      <c r="B1598" s="27"/>
    </row>
    <row r="1599" spans="2:2" x14ac:dyDescent="0.25">
      <c r="B1599" s="27"/>
    </row>
    <row r="1600" spans="2:2" x14ac:dyDescent="0.25">
      <c r="B1600" s="27"/>
    </row>
    <row r="1601" spans="2:2" x14ac:dyDescent="0.25">
      <c r="B1601" s="27"/>
    </row>
    <row r="1602" spans="2:2" x14ac:dyDescent="0.25">
      <c r="B1602" s="27"/>
    </row>
    <row r="1603" spans="2:2" x14ac:dyDescent="0.25">
      <c r="B1603" s="27"/>
    </row>
    <row r="1604" spans="2:2" x14ac:dyDescent="0.25">
      <c r="B1604" s="27"/>
    </row>
    <row r="1605" spans="2:2" x14ac:dyDescent="0.25">
      <c r="B1605" s="27"/>
    </row>
    <row r="1606" spans="2:2" x14ac:dyDescent="0.25">
      <c r="B1606" s="27"/>
    </row>
    <row r="1607" spans="2:2" x14ac:dyDescent="0.25">
      <c r="B1607" s="27"/>
    </row>
    <row r="1608" spans="2:2" x14ac:dyDescent="0.25">
      <c r="B1608" s="27"/>
    </row>
    <row r="1609" spans="2:2" x14ac:dyDescent="0.25">
      <c r="B1609" s="27"/>
    </row>
    <row r="1610" spans="2:2" x14ac:dyDescent="0.25">
      <c r="B1610" s="27"/>
    </row>
    <row r="1611" spans="2:2" x14ac:dyDescent="0.25">
      <c r="B1611" s="27"/>
    </row>
    <row r="1612" spans="2:2" x14ac:dyDescent="0.25">
      <c r="B1612" s="27"/>
    </row>
    <row r="1613" spans="2:2" x14ac:dyDescent="0.25">
      <c r="B1613" s="27"/>
    </row>
    <row r="1614" spans="2:2" x14ac:dyDescent="0.25">
      <c r="B1614" s="27"/>
    </row>
    <row r="1615" spans="2:2" x14ac:dyDescent="0.25">
      <c r="B1615" s="27"/>
    </row>
    <row r="1616" spans="2:2" x14ac:dyDescent="0.25">
      <c r="B1616" s="27"/>
    </row>
    <row r="1617" spans="2:2" x14ac:dyDescent="0.25">
      <c r="B1617" s="27"/>
    </row>
    <row r="1618" spans="2:2" x14ac:dyDescent="0.25">
      <c r="B1618" s="27"/>
    </row>
    <row r="1619" spans="2:2" x14ac:dyDescent="0.25">
      <c r="B1619" s="27"/>
    </row>
    <row r="1620" spans="2:2" x14ac:dyDescent="0.25">
      <c r="B1620" s="27"/>
    </row>
    <row r="1621" spans="2:2" x14ac:dyDescent="0.25">
      <c r="B1621" s="27"/>
    </row>
  </sheetData>
  <sheetProtection algorithmName="SHA-512" hashValue="FSX9pjfQzIThlr3OFLSrPZCe+AXB/P+4krXRyvoAPDrSkcC1oeX8La5K2m/zj0V3Ukjjwt/gsc3uycqqRF+IrQ==" saltValue="DFeMktHPddcz9PK9n0cVuQ==" spinCount="100000" sheet="1" objects="1" scenarios="1"/>
  <customSheetViews>
    <customSheetView guid="{4665FEC6-985A-4058-98C4-6E3C4FA2FD00}" showGridLines="0" showRowCol="0">
      <selection activeCell="P40" sqref="P40"/>
      <pageMargins left="0.7" right="0.7" top="0.75" bottom="0.75" header="0.3" footer="0.3"/>
    </customSheetView>
    <customSheetView guid="{0B137F07-03B3-4E41-AE6C-8ED78830E82B}" showGridLines="0" showRowCol="0">
      <selection activeCell="P40" sqref="P40"/>
      <pageMargins left="0.7" right="0.7" top="0.75" bottom="0.75" header="0.3" footer="0.3"/>
    </customSheetView>
    <customSheetView guid="{20357F05-553F-42A2-AC78-E7E06E1ED012}" showGridLines="0" showRowCol="0">
      <selection activeCell="P40" sqref="P40"/>
      <pageMargins left="0.7" right="0.7" top="0.75" bottom="0.75" header="0.3" footer="0.3"/>
    </customSheetView>
  </customSheetViews>
  <mergeCells count="7">
    <mergeCell ref="E34:F34"/>
    <mergeCell ref="E31:F31"/>
    <mergeCell ref="I30:J30"/>
    <mergeCell ref="E30:G30"/>
    <mergeCell ref="B2:C2"/>
    <mergeCell ref="E32:F32"/>
    <mergeCell ref="E33:F3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8"/>
  <sheetViews>
    <sheetView showGridLines="0" showRowColHeaders="0" zoomScale="80" zoomScaleNormal="80" workbookViewId="0">
      <selection activeCell="L146" sqref="L146"/>
    </sheetView>
  </sheetViews>
  <sheetFormatPr defaultRowHeight="15" x14ac:dyDescent="0.25"/>
  <cols>
    <col min="1" max="1" width="9.140625" style="130"/>
  </cols>
  <sheetData>
    <row r="1" spans="2:2" s="130" customFormat="1" x14ac:dyDescent="0.25"/>
    <row r="2" spans="2:2" s="130" customFormat="1" ht="23.25" x14ac:dyDescent="0.35">
      <c r="B2" s="127" t="s">
        <v>306</v>
      </c>
    </row>
    <row r="3" spans="2:2" s="130" customFormat="1" x14ac:dyDescent="0.25"/>
    <row r="4" spans="2:2" s="130" customFormat="1" ht="18.75" x14ac:dyDescent="0.3">
      <c r="B4" s="214" t="s">
        <v>410</v>
      </c>
    </row>
    <row r="5" spans="2:2" s="130" customFormat="1" x14ac:dyDescent="0.25"/>
    <row r="6" spans="2:2" s="130" customFormat="1" x14ac:dyDescent="0.25"/>
    <row r="7" spans="2:2" s="130" customFormat="1" x14ac:dyDescent="0.25"/>
    <row r="8" spans="2:2" s="130" customFormat="1" x14ac:dyDescent="0.25"/>
    <row r="9" spans="2:2" s="130" customFormat="1" x14ac:dyDescent="0.25"/>
    <row r="10" spans="2:2" s="130" customFormat="1" ht="15.75" x14ac:dyDescent="0.25">
      <c r="B10" s="215" t="s">
        <v>411</v>
      </c>
    </row>
    <row r="11" spans="2:2" s="130" customFormat="1" ht="15.75" x14ac:dyDescent="0.25">
      <c r="B11" s="213"/>
    </row>
    <row r="12" spans="2:2" s="130" customFormat="1" ht="15.75" x14ac:dyDescent="0.25">
      <c r="B12" s="213"/>
    </row>
    <row r="13" spans="2:2" s="130" customFormat="1" ht="15.75" x14ac:dyDescent="0.25">
      <c r="B13" s="213"/>
    </row>
    <row r="14" spans="2:2" s="130" customFormat="1" ht="15.75" x14ac:dyDescent="0.25">
      <c r="B14" s="213"/>
    </row>
    <row r="15" spans="2:2" s="130" customFormat="1" ht="18.75" x14ac:dyDescent="0.3">
      <c r="B15" s="214" t="s">
        <v>412</v>
      </c>
    </row>
    <row r="16" spans="2:2" s="130" customFormat="1" ht="15.75" x14ac:dyDescent="0.25">
      <c r="B16" s="213"/>
    </row>
    <row r="17" spans="2:2" s="130" customFormat="1" ht="15.75" x14ac:dyDescent="0.25">
      <c r="B17" s="213"/>
    </row>
    <row r="18" spans="2:2" s="130" customFormat="1" ht="15.75" x14ac:dyDescent="0.25">
      <c r="B18" s="213"/>
    </row>
    <row r="19" spans="2:2" s="130" customFormat="1" ht="15.75" x14ac:dyDescent="0.25">
      <c r="B19" s="213"/>
    </row>
    <row r="20" spans="2:2" s="130" customFormat="1" x14ac:dyDescent="0.25"/>
    <row r="21" spans="2:2" s="130" customFormat="1" ht="15.75" x14ac:dyDescent="0.25">
      <c r="B21" s="215" t="s">
        <v>413</v>
      </c>
    </row>
    <row r="22" spans="2:2" s="130" customFormat="1" x14ac:dyDescent="0.25">
      <c r="B22" s="130" t="s">
        <v>414</v>
      </c>
    </row>
    <row r="23" spans="2:2" s="130" customFormat="1" x14ac:dyDescent="0.25"/>
    <row r="24" spans="2:2" s="130" customFormat="1" x14ac:dyDescent="0.25"/>
    <row r="25" spans="2:2" s="130" customFormat="1" ht="18.75" x14ac:dyDescent="0.3">
      <c r="B25" s="214" t="s">
        <v>6</v>
      </c>
    </row>
    <row r="26" spans="2:2" s="130" customFormat="1" ht="18.75" x14ac:dyDescent="0.3">
      <c r="B26" s="214"/>
    </row>
    <row r="27" spans="2:2" s="130" customFormat="1" ht="18.75" x14ac:dyDescent="0.3">
      <c r="B27" s="214"/>
    </row>
    <row r="28" spans="2:2" s="130" customFormat="1" x14ac:dyDescent="0.25"/>
    <row r="29" spans="2:2" s="130" customFormat="1" x14ac:dyDescent="0.25"/>
    <row r="30" spans="2:2" s="130" customFormat="1" x14ac:dyDescent="0.25"/>
    <row r="31" spans="2:2" s="130" customFormat="1" x14ac:dyDescent="0.25"/>
    <row r="32" spans="2:2" s="130" customFormat="1" x14ac:dyDescent="0.25"/>
    <row r="33" spans="2:17" s="130" customFormat="1" x14ac:dyDescent="0.25"/>
    <row r="34" spans="2:17" s="130" customFormat="1" x14ac:dyDescent="0.25"/>
    <row r="35" spans="2:17" s="130" customFormat="1" x14ac:dyDescent="0.25"/>
    <row r="36" spans="2:17" s="130" customFormat="1" x14ac:dyDescent="0.25"/>
    <row r="37" spans="2:17" s="130" customFormat="1" x14ac:dyDescent="0.25"/>
    <row r="38" spans="2:17" s="130" customFormat="1" x14ac:dyDescent="0.25"/>
    <row r="39" spans="2:17" s="130" customFormat="1" x14ac:dyDescent="0.25"/>
    <row r="40" spans="2:17" s="130" customFormat="1" x14ac:dyDescent="0.25"/>
    <row r="41" spans="2:17" s="130" customFormat="1" ht="18.75" x14ac:dyDescent="0.3">
      <c r="B41" s="214" t="s">
        <v>7</v>
      </c>
    </row>
    <row r="42" spans="2:17" s="130" customFormat="1" x14ac:dyDescent="0.25"/>
    <row r="43" spans="2:17" s="130" customFormat="1" x14ac:dyDescent="0.25">
      <c r="O43" s="131"/>
      <c r="P43" s="178"/>
      <c r="Q43" s="131"/>
    </row>
    <row r="44" spans="2:17" s="130" customFormat="1" x14ac:dyDescent="0.25">
      <c r="O44" s="131"/>
      <c r="P44" s="131"/>
      <c r="Q44" s="131"/>
    </row>
    <row r="45" spans="2:17" s="130" customFormat="1" x14ac:dyDescent="0.25">
      <c r="O45" s="131"/>
      <c r="P45" s="131"/>
      <c r="Q45" s="131"/>
    </row>
    <row r="46" spans="2:17" s="130" customFormat="1" x14ac:dyDescent="0.25">
      <c r="O46" s="131"/>
      <c r="P46" s="131"/>
      <c r="Q46" s="131"/>
    </row>
    <row r="47" spans="2:17" s="130" customFormat="1" x14ac:dyDescent="0.25">
      <c r="O47" s="131"/>
      <c r="P47" s="19"/>
      <c r="Q47" s="19"/>
    </row>
    <row r="48" spans="2:17" s="130" customFormat="1" x14ac:dyDescent="0.25">
      <c r="O48" s="19"/>
      <c r="P48" s="19"/>
      <c r="Q48" s="19"/>
    </row>
    <row r="49" spans="2:17" s="130" customFormat="1" x14ac:dyDescent="0.25">
      <c r="O49" s="131"/>
      <c r="P49" s="20"/>
      <c r="Q49" s="15"/>
    </row>
    <row r="50" spans="2:17" s="130" customFormat="1" x14ac:dyDescent="0.25">
      <c r="O50" s="15"/>
      <c r="P50" s="20"/>
      <c r="Q50" s="15"/>
    </row>
    <row r="51" spans="2:17" s="130" customFormat="1" x14ac:dyDescent="0.25"/>
    <row r="52" spans="2:17" s="130" customFormat="1" x14ac:dyDescent="0.25"/>
    <row r="53" spans="2:17" s="130" customFormat="1" ht="18.75" x14ac:dyDescent="0.3">
      <c r="B53" s="214" t="s">
        <v>415</v>
      </c>
    </row>
    <row r="55" spans="2:17" x14ac:dyDescent="0.25">
      <c r="P55" s="23" t="s">
        <v>282</v>
      </c>
      <c r="Q55" s="23"/>
    </row>
    <row r="56" spans="2:17" x14ac:dyDescent="0.25">
      <c r="P56" s="23" t="s">
        <v>283</v>
      </c>
    </row>
    <row r="65" spans="16:16" x14ac:dyDescent="0.25">
      <c r="P65" s="23" t="s">
        <v>284</v>
      </c>
    </row>
    <row r="66" spans="16:16" x14ac:dyDescent="0.25">
      <c r="P66" s="23" t="s">
        <v>285</v>
      </c>
    </row>
    <row r="84" spans="16:16" x14ac:dyDescent="0.25">
      <c r="P84" s="23" t="s">
        <v>286</v>
      </c>
    </row>
    <row r="85" spans="16:16" x14ac:dyDescent="0.25">
      <c r="P85" s="23" t="s">
        <v>35</v>
      </c>
    </row>
    <row r="106" spans="16:16" x14ac:dyDescent="0.25">
      <c r="P106" s="23" t="s">
        <v>287</v>
      </c>
    </row>
    <row r="107" spans="16:16" x14ac:dyDescent="0.25">
      <c r="P107" s="23" t="s">
        <v>288</v>
      </c>
    </row>
    <row r="113" spans="2:16" x14ac:dyDescent="0.25">
      <c r="P113" s="23" t="s">
        <v>289</v>
      </c>
    </row>
    <row r="114" spans="2:16" x14ac:dyDescent="0.25">
      <c r="P114" s="23" t="s">
        <v>288</v>
      </c>
    </row>
    <row r="122" spans="2:16" ht="18.75" x14ac:dyDescent="0.3">
      <c r="B122" s="214" t="s">
        <v>416</v>
      </c>
    </row>
    <row r="146" spans="2:2" ht="18.75" x14ac:dyDescent="0.3">
      <c r="B146" s="214" t="s">
        <v>444</v>
      </c>
    </row>
    <row r="147" spans="2:2" ht="10.5" customHeight="1" x14ac:dyDescent="0.25"/>
    <row r="148" spans="2:2" ht="15.75" x14ac:dyDescent="0.25">
      <c r="B148" s="215" t="s">
        <v>445</v>
      </c>
    </row>
    <row r="165" spans="2:2" ht="23.25" x14ac:dyDescent="0.35">
      <c r="B165" s="127" t="s">
        <v>446</v>
      </c>
    </row>
    <row r="167" spans="2:2" ht="18.75" x14ac:dyDescent="0.3">
      <c r="B167" s="214" t="s">
        <v>6</v>
      </c>
    </row>
    <row r="178" spans="2:2" ht="18.75" x14ac:dyDescent="0.3">
      <c r="B178" s="214" t="s">
        <v>7</v>
      </c>
    </row>
  </sheetData>
  <sheetProtection algorithmName="SHA-512" hashValue="bdYYuAMwanE4SW2eLioiRf3Fvc/uunpokUwXRsNokHPFtg5R0x1y75CAIftSTnpSORoZolb2lVSAitR/5fZNOA==" saltValue="J81I1/ygRwR2FZ7Hyzh4Bw==" spinCount="100000" sheet="1" objects="1" scenarios="1" selectLockedCells="1" selectUnlockedCells="1"/>
  <customSheetViews>
    <customSheetView guid="{4665FEC6-985A-4058-98C4-6E3C4FA2FD00}" scale="80" showGridLines="0" showRowCol="0">
      <selection activeCell="L146" sqref="L146"/>
      <pageMargins left="0.7" right="0.7" top="0.75" bottom="0.75" header="0.3" footer="0.3"/>
      <pageSetup paperSize="9" orientation="portrait" verticalDpi="0" r:id="rId1"/>
    </customSheetView>
    <customSheetView guid="{0B137F07-03B3-4E41-AE6C-8ED78830E82B}" scale="80" showGridLines="0" showRowCol="0" topLeftCell="A77">
      <selection activeCell="L146" sqref="L146"/>
      <pageMargins left="0.7" right="0.7" top="0.75" bottom="0.75" header="0.3" footer="0.3"/>
      <pageSetup paperSize="9" orientation="portrait" verticalDpi="0" r:id="rId2"/>
    </customSheetView>
    <customSheetView guid="{20357F05-553F-42A2-AC78-E7E06E1ED012}" scale="80" showGridLines="0" showRowCol="0" topLeftCell="A77">
      <selection activeCell="L146" sqref="L146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verticalDpi="0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50" zoomScaleNormal="50" workbookViewId="0"/>
  </sheetViews>
  <sheetFormatPr defaultRowHeight="15" x14ac:dyDescent="0.25"/>
  <sheetData/>
  <sheetProtection algorithmName="SHA-512" hashValue="uO0wDbw4wo5AULKwnoMlx8ROjyMKbqqYfpEA6mj5LC8YGlhv+hbtWkZ/h/UnDxKn/ayyJTkLFymaJ0mfaYNBaw==" saltValue="NEcRjzBZm3N2CWzI+EAeqg==" spinCount="100000" sheet="1" objects="1" selectLockedCells="1" selectUnlockedCells="1"/>
  <customSheetViews>
    <customSheetView guid="{4665FEC6-985A-4058-98C4-6E3C4FA2FD00}" scale="50" showGridLines="0" showRowCol="0">
      <pageMargins left="0.7" right="0.7" top="0.75" bottom="0.75" header="0.3" footer="0.3"/>
    </customSheetView>
    <customSheetView guid="{0B137F07-03B3-4E41-AE6C-8ED78830E82B}" scale="50" showGridLines="0" showRowCol="0">
      <pageMargins left="0.7" right="0.7" top="0.75" bottom="0.75" header="0.3" footer="0.3"/>
    </customSheetView>
    <customSheetView guid="{20357F05-553F-42A2-AC78-E7E06E1ED012}" scale="50" showGridLines="0" showRowCol="0"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20</vt:i4>
      </vt:variant>
    </vt:vector>
  </HeadingPairs>
  <TitlesOfParts>
    <vt:vector size="28" baseType="lpstr">
      <vt:lpstr>ISTRUZIONI</vt:lpstr>
      <vt:lpstr>FOGLIO DEPOSITO</vt:lpstr>
      <vt:lpstr>DATI</vt:lpstr>
      <vt:lpstr>VER. GEO CONDIZIONI NON DRENATE</vt:lpstr>
      <vt:lpstr>VER. GEO CONDIZIONI DRENATE</vt:lpstr>
      <vt:lpstr>SPETTRO DI PROGETTO ORIZZONTALE</vt:lpstr>
      <vt:lpstr>FORMULE</vt:lpstr>
      <vt:lpstr>tabelle NTC 18</vt:lpstr>
      <vt:lpstr>app</vt:lpstr>
      <vt:lpstr>bas</vt:lpstr>
      <vt:lpstr>class</vt:lpstr>
      <vt:lpstr>COMBO</vt:lpstr>
      <vt:lpstr>dr</vt:lpstr>
      <vt:lpstr>fer</vt:lpstr>
      <vt:lpstr>fond</vt:lpstr>
      <vt:lpstr>fonda</vt:lpstr>
      <vt:lpstr>lun</vt:lpstr>
      <vt:lpstr>mey</vt:lpstr>
      <vt:lpstr>PASDEN</vt:lpstr>
      <vt:lpstr>posdent</vt:lpstr>
      <vt:lpstr>SISM</vt:lpstr>
      <vt:lpstr>sn</vt:lpstr>
      <vt:lpstr>ss</vt:lpstr>
      <vt:lpstr>st</vt:lpstr>
      <vt:lpstr>str</vt:lpstr>
      <vt:lpstr>ter</vt:lpstr>
      <vt:lpstr>tip</vt:lpstr>
      <vt:lpstr>TOP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Cicchini</dc:creator>
  <cp:keywords/>
  <dc:description/>
  <cp:lastModifiedBy>Davide</cp:lastModifiedBy>
  <cp:revision/>
  <dcterms:created xsi:type="dcterms:W3CDTF">2015-06-12T08:48:10Z</dcterms:created>
  <dcterms:modified xsi:type="dcterms:W3CDTF">2020-06-21T16:53:24Z</dcterms:modified>
</cp:coreProperties>
</file>