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olaio\EXCEL\FILE UFFICIALI DA ALLEGARE\"/>
    </mc:Choice>
  </mc:AlternateContent>
  <workbookProtection workbookPassword="948B" lockStructure="1"/>
  <bookViews>
    <workbookView xWindow="0" yWindow="0" windowWidth="28800" windowHeight="12435" tabRatio="868"/>
  </bookViews>
  <sheets>
    <sheet name="ISTRUZIONI" sheetId="43" r:id="rId1"/>
    <sheet name="DATI" sheetId="39" r:id="rId2"/>
    <sheet name="LEGAME COSTITUTIVO CALCESTRUZZO" sheetId="20" r:id="rId3"/>
    <sheet name="LEGAME COSTITUTIVO ACCIAIO" sheetId="44" r:id="rId4"/>
    <sheet name="foglio deposito" sheetId="15" state="hidden" r:id="rId5"/>
  </sheets>
  <externalReferences>
    <externalReference r:id="rId6"/>
    <externalReference r:id="rId7"/>
  </externalReferences>
  <definedNames>
    <definedName name="ca">'[1]Foglio deposito'!$D$2:$D$4</definedName>
    <definedName name="cari">'[1]Foglio deposito'!$F$2:$F$4</definedName>
    <definedName name="cd">[1]Foglio1!$S$19:$S$20</definedName>
    <definedName name="clas" localSheetId="0">'[1]Foglio deposito'!$M$10:$M$18</definedName>
    <definedName name="clas">'foglio deposito'!$G$4:$G$14</definedName>
    <definedName name="CURV">#REF!</definedName>
    <definedName name="dut">'foglio deposito'!#REF!</definedName>
    <definedName name="fe">'[1]Foglio deposito'!$P$10:$P$11</definedName>
    <definedName name="fer">'foglio deposito'!$J$4:$J$5</definedName>
    <definedName name="FERR">[1]Foglio1!$K$4:$K$8</definedName>
    <definedName name="ff">[1]Foglio1!$N$4:$N$9</definedName>
    <definedName name="nn">[1]Foglio1!$M$6:$M$10</definedName>
    <definedName name="NU">[1]Foglio1!$M$4:$M$10</definedName>
    <definedName name="sigc">'[1]Foglio deposito'!$E$141:$E$142</definedName>
    <definedName name="sigs">'[1]Foglio deposito'!$F$141:$F$142</definedName>
    <definedName name="SN" localSheetId="0">'[1]Foglio deposito'!$B$2:$B$3</definedName>
    <definedName name="sn">'foglio deposito'!$I$29:$I$30</definedName>
    <definedName name="step">#REF!</definedName>
    <definedName name="w">'[2]DATI NASCOSTI'!$C$105:$C$107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20" l="1"/>
  <c r="Q15" i="44"/>
  <c r="Q14" i="44" s="1"/>
  <c r="B42" i="15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B128" i="15" s="1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O22" i="20" l="1"/>
  <c r="Q23" i="15"/>
  <c r="H2" i="20" l="1"/>
  <c r="L24" i="15"/>
  <c r="M23" i="15"/>
  <c r="L23" i="15"/>
  <c r="Q13" i="44"/>
  <c r="Q11" i="44"/>
  <c r="Q6" i="44"/>
  <c r="N30" i="20" l="1"/>
  <c r="N29" i="20"/>
  <c r="N28" i="20"/>
  <c r="N27" i="20"/>
  <c r="N26" i="20"/>
  <c r="N25" i="20"/>
  <c r="N24" i="20"/>
  <c r="N37" i="20" l="1"/>
  <c r="D13" i="15" l="1"/>
  <c r="N36" i="20" l="1"/>
  <c r="N32" i="20"/>
  <c r="F25" i="39" l="1"/>
  <c r="Q8" i="44" s="1"/>
  <c r="F26" i="39"/>
  <c r="Q9" i="44" s="1"/>
  <c r="I25" i="15"/>
  <c r="I22" i="15"/>
  <c r="L22" i="15" s="1"/>
  <c r="Q17" i="44" l="1"/>
  <c r="I21" i="15"/>
  <c r="L21" i="15" s="1"/>
  <c r="L25" i="15"/>
  <c r="K12" i="15" l="1"/>
  <c r="F27" i="39"/>
  <c r="Q21" i="15" s="1"/>
  <c r="F11" i="39"/>
  <c r="F13" i="39" s="1"/>
  <c r="Q10" i="44" l="1"/>
  <c r="J24" i="15" s="1"/>
  <c r="F14" i="39"/>
  <c r="D11" i="15"/>
  <c r="F19" i="39"/>
  <c r="J25" i="15" l="1"/>
  <c r="M25" i="15" s="1"/>
  <c r="M24" i="15"/>
  <c r="O36" i="20"/>
  <c r="C22" i="15"/>
  <c r="O37" i="20"/>
  <c r="C23" i="15"/>
  <c r="L34" i="15" s="1"/>
  <c r="F15" i="39"/>
  <c r="F12" i="39"/>
  <c r="D29" i="15" l="1"/>
  <c r="F29" i="15" s="1"/>
  <c r="L33" i="15"/>
  <c r="J22" i="15"/>
  <c r="M22" i="15" s="1"/>
  <c r="J21" i="15"/>
  <c r="M21" i="15" s="1"/>
  <c r="F16" i="39"/>
  <c r="F17" i="39" s="1"/>
  <c r="F18" i="39" l="1"/>
  <c r="H22" i="15"/>
  <c r="H23" i="15"/>
  <c r="F23" i="15" s="1"/>
  <c r="H21" i="15"/>
  <c r="H25" i="15"/>
  <c r="H4" i="15"/>
  <c r="H20" i="15" l="1"/>
  <c r="F22" i="15" s="1"/>
  <c r="O27" i="20" s="1"/>
  <c r="D30" i="15" l="1"/>
  <c r="H24" i="15"/>
  <c r="R25" i="15" s="1"/>
  <c r="P25" i="15" s="1"/>
  <c r="E4" i="15" l="1"/>
  <c r="E6" i="15"/>
  <c r="E7" i="15"/>
  <c r="B11" i="20" l="1"/>
  <c r="E11" i="20" s="1"/>
  <c r="D11" i="20" l="1"/>
  <c r="F11" i="20" s="1"/>
  <c r="B8" i="20"/>
  <c r="E8" i="20" s="1"/>
  <c r="B12" i="20"/>
  <c r="E12" i="20" s="1"/>
  <c r="B16" i="20"/>
  <c r="E16" i="20" s="1"/>
  <c r="B20" i="20"/>
  <c r="E20" i="20" s="1"/>
  <c r="B24" i="20"/>
  <c r="E24" i="20" s="1"/>
  <c r="B28" i="20"/>
  <c r="E28" i="20" s="1"/>
  <c r="B32" i="20"/>
  <c r="E32" i="20" s="1"/>
  <c r="B36" i="20"/>
  <c r="E36" i="20" s="1"/>
  <c r="B40" i="20"/>
  <c r="E40" i="20" s="1"/>
  <c r="B44" i="20"/>
  <c r="E44" i="20" s="1"/>
  <c r="B48" i="20"/>
  <c r="E48" i="20" s="1"/>
  <c r="B52" i="20"/>
  <c r="E52" i="20" s="1"/>
  <c r="B56" i="20"/>
  <c r="E56" i="20" s="1"/>
  <c r="B60" i="20"/>
  <c r="E60" i="20" s="1"/>
  <c r="B64" i="20"/>
  <c r="E64" i="20" s="1"/>
  <c r="B68" i="20"/>
  <c r="E68" i="20" s="1"/>
  <c r="B72" i="20"/>
  <c r="E72" i="20" s="1"/>
  <c r="B76" i="20"/>
  <c r="E76" i="20" s="1"/>
  <c r="B80" i="20"/>
  <c r="E80" i="20" s="1"/>
  <c r="B84" i="20"/>
  <c r="E84" i="20" s="1"/>
  <c r="B88" i="20"/>
  <c r="E88" i="20" s="1"/>
  <c r="B92" i="20"/>
  <c r="E92" i="20" s="1"/>
  <c r="B96" i="20"/>
  <c r="E96" i="20" s="1"/>
  <c r="B100" i="20"/>
  <c r="E100" i="20" s="1"/>
  <c r="B104" i="20"/>
  <c r="E104" i="20" s="1"/>
  <c r="B7" i="20"/>
  <c r="B15" i="20"/>
  <c r="E15" i="20" s="1"/>
  <c r="B19" i="20"/>
  <c r="E19" i="20" s="1"/>
  <c r="B23" i="20"/>
  <c r="E23" i="20" s="1"/>
  <c r="B27" i="20"/>
  <c r="E27" i="20" s="1"/>
  <c r="B31" i="20"/>
  <c r="E31" i="20" s="1"/>
  <c r="B35" i="20"/>
  <c r="E35" i="20" s="1"/>
  <c r="B39" i="20"/>
  <c r="E39" i="20" s="1"/>
  <c r="B43" i="20"/>
  <c r="E43" i="20" s="1"/>
  <c r="B47" i="20"/>
  <c r="E47" i="20" s="1"/>
  <c r="B51" i="20"/>
  <c r="E51" i="20" s="1"/>
  <c r="B55" i="20"/>
  <c r="E55" i="20" s="1"/>
  <c r="B59" i="20"/>
  <c r="E59" i="20" s="1"/>
  <c r="B63" i="20"/>
  <c r="E63" i="20" s="1"/>
  <c r="B67" i="20"/>
  <c r="E67" i="20" s="1"/>
  <c r="B71" i="20"/>
  <c r="E71" i="20" s="1"/>
  <c r="B75" i="20"/>
  <c r="E75" i="20" s="1"/>
  <c r="B79" i="20"/>
  <c r="E79" i="20" s="1"/>
  <c r="B83" i="20"/>
  <c r="E83" i="20" s="1"/>
  <c r="B87" i="20"/>
  <c r="E87" i="20" s="1"/>
  <c r="B95" i="20"/>
  <c r="E95" i="20" s="1"/>
  <c r="B103" i="20"/>
  <c r="E103" i="20" s="1"/>
  <c r="B9" i="20"/>
  <c r="E9" i="20" s="1"/>
  <c r="B13" i="20"/>
  <c r="E13" i="20" s="1"/>
  <c r="B17" i="20"/>
  <c r="E17" i="20" s="1"/>
  <c r="B21" i="20"/>
  <c r="E21" i="20" s="1"/>
  <c r="B25" i="20"/>
  <c r="E25" i="20" s="1"/>
  <c r="B29" i="20"/>
  <c r="E29" i="20" s="1"/>
  <c r="B33" i="20"/>
  <c r="E33" i="20" s="1"/>
  <c r="B37" i="20"/>
  <c r="E37" i="20" s="1"/>
  <c r="B41" i="20"/>
  <c r="E41" i="20" s="1"/>
  <c r="B45" i="20"/>
  <c r="E45" i="20" s="1"/>
  <c r="B49" i="20"/>
  <c r="E49" i="20" s="1"/>
  <c r="B53" i="20"/>
  <c r="E53" i="20" s="1"/>
  <c r="B57" i="20"/>
  <c r="E57" i="20" s="1"/>
  <c r="B61" i="20"/>
  <c r="E61" i="20" s="1"/>
  <c r="B65" i="20"/>
  <c r="E65" i="20" s="1"/>
  <c r="B69" i="20"/>
  <c r="E69" i="20" s="1"/>
  <c r="B73" i="20"/>
  <c r="E73" i="20" s="1"/>
  <c r="B77" i="20"/>
  <c r="E77" i="20" s="1"/>
  <c r="B81" i="20"/>
  <c r="E81" i="20" s="1"/>
  <c r="B85" i="20"/>
  <c r="E85" i="20" s="1"/>
  <c r="B89" i="20"/>
  <c r="E89" i="20" s="1"/>
  <c r="B93" i="20"/>
  <c r="E93" i="20" s="1"/>
  <c r="B97" i="20"/>
  <c r="E97" i="20" s="1"/>
  <c r="B101" i="20"/>
  <c r="E101" i="20" s="1"/>
  <c r="B105" i="20"/>
  <c r="E105" i="20" s="1"/>
  <c r="B99" i="20"/>
  <c r="E99" i="20" s="1"/>
  <c r="B6" i="20"/>
  <c r="E6" i="20" s="1"/>
  <c r="B10" i="20"/>
  <c r="E10" i="20" s="1"/>
  <c r="B14" i="20"/>
  <c r="E14" i="20" s="1"/>
  <c r="B18" i="20"/>
  <c r="E18" i="20" s="1"/>
  <c r="B22" i="20"/>
  <c r="E22" i="20" s="1"/>
  <c r="B26" i="20"/>
  <c r="E26" i="20" s="1"/>
  <c r="B30" i="20"/>
  <c r="E30" i="20" s="1"/>
  <c r="B34" i="20"/>
  <c r="E34" i="20" s="1"/>
  <c r="B38" i="20"/>
  <c r="E38" i="20" s="1"/>
  <c r="B42" i="20"/>
  <c r="E42" i="20" s="1"/>
  <c r="B46" i="20"/>
  <c r="E46" i="20" s="1"/>
  <c r="B50" i="20"/>
  <c r="E50" i="20" s="1"/>
  <c r="B54" i="20"/>
  <c r="E54" i="20" s="1"/>
  <c r="B58" i="20"/>
  <c r="E58" i="20" s="1"/>
  <c r="B62" i="20"/>
  <c r="E62" i="20" s="1"/>
  <c r="B66" i="20"/>
  <c r="E66" i="20" s="1"/>
  <c r="B70" i="20"/>
  <c r="E70" i="20" s="1"/>
  <c r="B74" i="20"/>
  <c r="E74" i="20" s="1"/>
  <c r="B78" i="20"/>
  <c r="E78" i="20" s="1"/>
  <c r="B82" i="20"/>
  <c r="E82" i="20" s="1"/>
  <c r="B86" i="20"/>
  <c r="E86" i="20" s="1"/>
  <c r="B90" i="20"/>
  <c r="E90" i="20" s="1"/>
  <c r="B94" i="20"/>
  <c r="E94" i="20" s="1"/>
  <c r="B98" i="20"/>
  <c r="E98" i="20" s="1"/>
  <c r="B102" i="20"/>
  <c r="E102" i="20" s="1"/>
  <c r="B106" i="20"/>
  <c r="E106" i="20" s="1"/>
  <c r="B91" i="20"/>
  <c r="E91" i="20" s="1"/>
  <c r="E5" i="15"/>
  <c r="E7" i="20" l="1"/>
  <c r="C7" i="20"/>
  <c r="G11" i="20"/>
  <c r="C6" i="20"/>
  <c r="I6" i="20" s="1"/>
  <c r="H11" i="20"/>
  <c r="D98" i="20"/>
  <c r="F98" i="20" s="1"/>
  <c r="D50" i="20"/>
  <c r="F50" i="20" s="1"/>
  <c r="D99" i="20"/>
  <c r="F99" i="20" s="1"/>
  <c r="D77" i="20"/>
  <c r="F77" i="20" s="1"/>
  <c r="D29" i="20"/>
  <c r="F29" i="20" s="1"/>
  <c r="D71" i="20"/>
  <c r="F71" i="20" s="1"/>
  <c r="D104" i="20"/>
  <c r="F104" i="20" s="1"/>
  <c r="D8" i="20"/>
  <c r="F8" i="20" s="1"/>
  <c r="D94" i="20"/>
  <c r="F94" i="20" s="1"/>
  <c r="D62" i="20"/>
  <c r="F62" i="20" s="1"/>
  <c r="D14" i="20"/>
  <c r="F14" i="20" s="1"/>
  <c r="D90" i="20"/>
  <c r="F90" i="20" s="1"/>
  <c r="D58" i="20"/>
  <c r="F58" i="20" s="1"/>
  <c r="D26" i="20"/>
  <c r="F26" i="20" s="1"/>
  <c r="D102" i="20"/>
  <c r="F102" i="20" s="1"/>
  <c r="D86" i="20"/>
  <c r="F86" i="20" s="1"/>
  <c r="D70" i="20"/>
  <c r="F70" i="20" s="1"/>
  <c r="D54" i="20"/>
  <c r="F54" i="20" s="1"/>
  <c r="D38" i="20"/>
  <c r="F38" i="20" s="1"/>
  <c r="D22" i="20"/>
  <c r="F22" i="20" s="1"/>
  <c r="D6" i="20"/>
  <c r="F6" i="20" s="1"/>
  <c r="D97" i="20"/>
  <c r="F97" i="20" s="1"/>
  <c r="D81" i="20"/>
  <c r="F81" i="20" s="1"/>
  <c r="D65" i="20"/>
  <c r="F65" i="20" s="1"/>
  <c r="D49" i="20"/>
  <c r="F49" i="20" s="1"/>
  <c r="D33" i="20"/>
  <c r="F33" i="20" s="1"/>
  <c r="D17" i="20"/>
  <c r="F17" i="20" s="1"/>
  <c r="D95" i="20"/>
  <c r="F95" i="20" s="1"/>
  <c r="D75" i="20"/>
  <c r="F75" i="20" s="1"/>
  <c r="D59" i="20"/>
  <c r="F59" i="20" s="1"/>
  <c r="D43" i="20"/>
  <c r="F43" i="20" s="1"/>
  <c r="D27" i="20"/>
  <c r="F27" i="20" s="1"/>
  <c r="D7" i="20"/>
  <c r="F7" i="20" s="1"/>
  <c r="D92" i="20"/>
  <c r="F92" i="20" s="1"/>
  <c r="D76" i="20"/>
  <c r="F76" i="20" s="1"/>
  <c r="D60" i="20"/>
  <c r="F60" i="20" s="1"/>
  <c r="D44" i="20"/>
  <c r="F44" i="20" s="1"/>
  <c r="D28" i="20"/>
  <c r="F28" i="20" s="1"/>
  <c r="D12" i="20"/>
  <c r="F12" i="20" s="1"/>
  <c r="D66" i="20"/>
  <c r="F66" i="20" s="1"/>
  <c r="D34" i="20"/>
  <c r="F34" i="20" s="1"/>
  <c r="D61" i="20"/>
  <c r="F61" i="20" s="1"/>
  <c r="D13" i="20"/>
  <c r="F13" i="20" s="1"/>
  <c r="C13" i="20"/>
  <c r="D55" i="20"/>
  <c r="F55" i="20" s="1"/>
  <c r="D23" i="20"/>
  <c r="F23" i="20" s="1"/>
  <c r="D72" i="20"/>
  <c r="F72" i="20" s="1"/>
  <c r="D56" i="20"/>
  <c r="F56" i="20" s="1"/>
  <c r="D40" i="20"/>
  <c r="F40" i="20" s="1"/>
  <c r="D78" i="20"/>
  <c r="F78" i="20" s="1"/>
  <c r="D30" i="20"/>
  <c r="F30" i="20" s="1"/>
  <c r="D105" i="20"/>
  <c r="F105" i="20" s="1"/>
  <c r="D89" i="20"/>
  <c r="F89" i="20" s="1"/>
  <c r="D73" i="20"/>
  <c r="F73" i="20" s="1"/>
  <c r="D57" i="20"/>
  <c r="F57" i="20" s="1"/>
  <c r="D41" i="20"/>
  <c r="F41" i="20" s="1"/>
  <c r="D25" i="20"/>
  <c r="F25" i="20" s="1"/>
  <c r="D9" i="20"/>
  <c r="F9" i="20" s="1"/>
  <c r="D83" i="20"/>
  <c r="F83" i="20" s="1"/>
  <c r="D67" i="20"/>
  <c r="F67" i="20" s="1"/>
  <c r="D51" i="20"/>
  <c r="F51" i="20" s="1"/>
  <c r="D35" i="20"/>
  <c r="F35" i="20" s="1"/>
  <c r="D19" i="20"/>
  <c r="F19" i="20" s="1"/>
  <c r="D100" i="20"/>
  <c r="F100" i="20" s="1"/>
  <c r="D84" i="20"/>
  <c r="F84" i="20" s="1"/>
  <c r="D68" i="20"/>
  <c r="F68" i="20" s="1"/>
  <c r="D52" i="20"/>
  <c r="F52" i="20" s="1"/>
  <c r="D36" i="20"/>
  <c r="F36" i="20" s="1"/>
  <c r="D20" i="20"/>
  <c r="F20" i="20" s="1"/>
  <c r="D82" i="20"/>
  <c r="F82" i="20" s="1"/>
  <c r="D18" i="20"/>
  <c r="F18" i="20" s="1"/>
  <c r="D93" i="20"/>
  <c r="F93" i="20" s="1"/>
  <c r="D45" i="20"/>
  <c r="F45" i="20" s="1"/>
  <c r="D87" i="20"/>
  <c r="F87" i="20" s="1"/>
  <c r="D39" i="20"/>
  <c r="F39" i="20" s="1"/>
  <c r="D88" i="20"/>
  <c r="F88" i="20" s="1"/>
  <c r="D24" i="20"/>
  <c r="F24" i="20" s="1"/>
  <c r="D91" i="20"/>
  <c r="F91" i="20" s="1"/>
  <c r="D46" i="20"/>
  <c r="F46" i="20" s="1"/>
  <c r="D106" i="20"/>
  <c r="F106" i="20" s="1"/>
  <c r="D74" i="20"/>
  <c r="F74" i="20" s="1"/>
  <c r="D42" i="20"/>
  <c r="F42" i="20" s="1"/>
  <c r="D10" i="20"/>
  <c r="F10" i="20" s="1"/>
  <c r="D101" i="20"/>
  <c r="F101" i="20" s="1"/>
  <c r="D85" i="20"/>
  <c r="F85" i="20" s="1"/>
  <c r="D69" i="20"/>
  <c r="F69" i="20" s="1"/>
  <c r="D53" i="20"/>
  <c r="F53" i="20" s="1"/>
  <c r="D37" i="20"/>
  <c r="F37" i="20" s="1"/>
  <c r="D21" i="20"/>
  <c r="F21" i="20" s="1"/>
  <c r="D103" i="20"/>
  <c r="F103" i="20" s="1"/>
  <c r="D79" i="20"/>
  <c r="F79" i="20" s="1"/>
  <c r="D63" i="20"/>
  <c r="F63" i="20" s="1"/>
  <c r="D47" i="20"/>
  <c r="F47" i="20" s="1"/>
  <c r="D31" i="20"/>
  <c r="F31" i="20" s="1"/>
  <c r="D15" i="20"/>
  <c r="F15" i="20" s="1"/>
  <c r="D96" i="20"/>
  <c r="F96" i="20" s="1"/>
  <c r="D80" i="20"/>
  <c r="F80" i="20" s="1"/>
  <c r="D64" i="20"/>
  <c r="F64" i="20" s="1"/>
  <c r="D48" i="20"/>
  <c r="F48" i="20" s="1"/>
  <c r="D32" i="20"/>
  <c r="F32" i="20" s="1"/>
  <c r="D16" i="20"/>
  <c r="F16" i="20" s="1"/>
  <c r="C9" i="20"/>
  <c r="C8" i="20"/>
  <c r="C10" i="20"/>
  <c r="C11" i="20"/>
  <c r="C12" i="20"/>
  <c r="C105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6" i="20"/>
  <c r="C14" i="20"/>
  <c r="I11" i="20" l="1"/>
  <c r="G25" i="20"/>
  <c r="I25" i="20" s="1"/>
  <c r="G58" i="20"/>
  <c r="I58" i="20" s="1"/>
  <c r="G21" i="20"/>
  <c r="I21" i="20" s="1"/>
  <c r="G59" i="20"/>
  <c r="I59" i="20" s="1"/>
  <c r="G84" i="20"/>
  <c r="I84" i="20" s="1"/>
  <c r="G97" i="20"/>
  <c r="I97" i="20" s="1"/>
  <c r="G80" i="20"/>
  <c r="I80" i="20" s="1"/>
  <c r="G28" i="20"/>
  <c r="I28" i="20" s="1"/>
  <c r="G90" i="20"/>
  <c r="I90" i="20" s="1"/>
  <c r="G64" i="20"/>
  <c r="I64" i="20" s="1"/>
  <c r="G103" i="20"/>
  <c r="I103" i="20" s="1"/>
  <c r="G42" i="20"/>
  <c r="I42" i="20" s="1"/>
  <c r="G45" i="20"/>
  <c r="I45" i="20" s="1"/>
  <c r="G68" i="20"/>
  <c r="I68" i="20" s="1"/>
  <c r="G9" i="20"/>
  <c r="I9" i="20" s="1"/>
  <c r="G94" i="20"/>
  <c r="I94" i="20" s="1"/>
  <c r="G66" i="20"/>
  <c r="I66" i="20" s="1"/>
  <c r="G7" i="20"/>
  <c r="I7" i="20" s="1"/>
  <c r="G49" i="20"/>
  <c r="I49" i="20" s="1"/>
  <c r="G86" i="20"/>
  <c r="I86" i="20" s="1"/>
  <c r="G77" i="20"/>
  <c r="I77" i="20" s="1"/>
  <c r="G56" i="20"/>
  <c r="I56" i="20" s="1"/>
  <c r="G31" i="20"/>
  <c r="I31" i="20" s="1"/>
  <c r="G69" i="20"/>
  <c r="I69" i="20" s="1"/>
  <c r="G23" i="20"/>
  <c r="I23" i="20" s="1"/>
  <c r="G82" i="20"/>
  <c r="I82" i="20" s="1"/>
  <c r="G35" i="20"/>
  <c r="I35" i="20" s="1"/>
  <c r="G73" i="20"/>
  <c r="I73" i="20" s="1"/>
  <c r="G29" i="20"/>
  <c r="I29" i="20" s="1"/>
  <c r="G44" i="20"/>
  <c r="I44" i="20" s="1"/>
  <c r="G75" i="20"/>
  <c r="I75" i="20" s="1"/>
  <c r="G22" i="20"/>
  <c r="I22" i="20" s="1"/>
  <c r="G74" i="20"/>
  <c r="I74" i="20" s="1"/>
  <c r="G16" i="20"/>
  <c r="I16" i="20" s="1"/>
  <c r="G47" i="20"/>
  <c r="I47" i="20" s="1"/>
  <c r="G85" i="20"/>
  <c r="I85" i="20" s="1"/>
  <c r="G55" i="20"/>
  <c r="I55" i="20" s="1"/>
  <c r="G20" i="20"/>
  <c r="I20" i="20" s="1"/>
  <c r="G51" i="20"/>
  <c r="I51" i="20" s="1"/>
  <c r="G89" i="20"/>
  <c r="I89" i="20" s="1"/>
  <c r="G34" i="20"/>
  <c r="I34" i="20" s="1"/>
  <c r="G92" i="20"/>
  <c r="I92" i="20" s="1"/>
  <c r="G33" i="20"/>
  <c r="I33" i="20" s="1"/>
  <c r="G70" i="20"/>
  <c r="I70" i="20" s="1"/>
  <c r="G30" i="20"/>
  <c r="I30" i="20" s="1"/>
  <c r="G91" i="20"/>
  <c r="I91" i="20" s="1"/>
  <c r="G61" i="20"/>
  <c r="I61" i="20" s="1"/>
  <c r="G32" i="20"/>
  <c r="I32" i="20" s="1"/>
  <c r="G96" i="20"/>
  <c r="I96" i="20" s="1"/>
  <c r="G63" i="20"/>
  <c r="I63" i="20" s="1"/>
  <c r="G37" i="20"/>
  <c r="I37" i="20" s="1"/>
  <c r="G101" i="20"/>
  <c r="I101" i="20" s="1"/>
  <c r="G40" i="20"/>
  <c r="I40" i="20" s="1"/>
  <c r="G87" i="20"/>
  <c r="I87" i="20" s="1"/>
  <c r="G99" i="20"/>
  <c r="I99" i="20" s="1"/>
  <c r="G36" i="20"/>
  <c r="I36" i="20" s="1"/>
  <c r="G100" i="20"/>
  <c r="I100" i="20" s="1"/>
  <c r="G67" i="20"/>
  <c r="I67" i="20" s="1"/>
  <c r="G41" i="20"/>
  <c r="I41" i="20" s="1"/>
  <c r="G105" i="20"/>
  <c r="I105" i="20" s="1"/>
  <c r="G62" i="20"/>
  <c r="I62" i="20" s="1"/>
  <c r="G8" i="20"/>
  <c r="I8" i="20" s="1"/>
  <c r="G39" i="20"/>
  <c r="I39" i="20" s="1"/>
  <c r="G93" i="20"/>
  <c r="I93" i="20" s="1"/>
  <c r="G98" i="20"/>
  <c r="I98" i="20" s="1"/>
  <c r="G60" i="20"/>
  <c r="I60" i="20" s="1"/>
  <c r="G27" i="20"/>
  <c r="I27" i="20" s="1"/>
  <c r="G95" i="20"/>
  <c r="I95" i="20" s="1"/>
  <c r="G65" i="20"/>
  <c r="I65" i="20" s="1"/>
  <c r="G38" i="20"/>
  <c r="I38" i="20" s="1"/>
  <c r="G102" i="20"/>
  <c r="I102" i="20" s="1"/>
  <c r="G106" i="20"/>
  <c r="I106" i="20" s="1"/>
  <c r="G46" i="20"/>
  <c r="I46" i="20" s="1"/>
  <c r="G104" i="20"/>
  <c r="I104" i="20" s="1"/>
  <c r="G48" i="20"/>
  <c r="I48" i="20" s="1"/>
  <c r="G15" i="20"/>
  <c r="I15" i="20" s="1"/>
  <c r="G79" i="20"/>
  <c r="I79" i="20" s="1"/>
  <c r="G53" i="20"/>
  <c r="I53" i="20" s="1"/>
  <c r="G26" i="20"/>
  <c r="I26" i="20" s="1"/>
  <c r="G88" i="20"/>
  <c r="I88" i="20" s="1"/>
  <c r="G13" i="20"/>
  <c r="I13" i="20" s="1"/>
  <c r="G50" i="20"/>
  <c r="I50" i="20" s="1"/>
  <c r="G52" i="20"/>
  <c r="I52" i="20" s="1"/>
  <c r="G19" i="20"/>
  <c r="I19" i="20" s="1"/>
  <c r="G83" i="20"/>
  <c r="I83" i="20" s="1"/>
  <c r="G57" i="20"/>
  <c r="I57" i="20" s="1"/>
  <c r="G14" i="20"/>
  <c r="I14" i="20" s="1"/>
  <c r="G78" i="20"/>
  <c r="I78" i="20" s="1"/>
  <c r="G24" i="20"/>
  <c r="I24" i="20" s="1"/>
  <c r="G71" i="20"/>
  <c r="I71" i="20" s="1"/>
  <c r="G18" i="20"/>
  <c r="I18" i="20" s="1"/>
  <c r="G12" i="20"/>
  <c r="I12" i="20" s="1"/>
  <c r="G76" i="20"/>
  <c r="I76" i="20" s="1"/>
  <c r="G43" i="20"/>
  <c r="I43" i="20" s="1"/>
  <c r="G17" i="20"/>
  <c r="I17" i="20" s="1"/>
  <c r="G81" i="20"/>
  <c r="I81" i="20" s="1"/>
  <c r="G54" i="20"/>
  <c r="I54" i="20" s="1"/>
  <c r="G10" i="20"/>
  <c r="I10" i="20" s="1"/>
  <c r="G72" i="20"/>
  <c r="I72" i="20" s="1"/>
  <c r="H32" i="20"/>
  <c r="H64" i="20"/>
  <c r="H96" i="20"/>
  <c r="H42" i="20"/>
  <c r="H106" i="20"/>
  <c r="H88" i="20"/>
  <c r="H82" i="20"/>
  <c r="H36" i="20"/>
  <c r="H68" i="20"/>
  <c r="H100" i="20"/>
  <c r="H78" i="20"/>
  <c r="H56" i="20"/>
  <c r="H13" i="20"/>
  <c r="H7" i="20"/>
  <c r="H43" i="20"/>
  <c r="H75" i="20"/>
  <c r="H17" i="20"/>
  <c r="H49" i="20"/>
  <c r="H81" i="20"/>
  <c r="H29" i="20"/>
  <c r="H99" i="20"/>
  <c r="H15" i="20"/>
  <c r="H47" i="20"/>
  <c r="H79" i="20"/>
  <c r="H21" i="20"/>
  <c r="H53" i="20"/>
  <c r="H85" i="20"/>
  <c r="H39" i="20"/>
  <c r="H45" i="20"/>
  <c r="H19" i="20"/>
  <c r="H51" i="20"/>
  <c r="H83" i="20"/>
  <c r="H25" i="20"/>
  <c r="H57" i="20"/>
  <c r="H89" i="20"/>
  <c r="H55" i="20"/>
  <c r="H34" i="20"/>
  <c r="H12" i="20"/>
  <c r="H44" i="20"/>
  <c r="H76" i="20"/>
  <c r="H38" i="20"/>
  <c r="H70" i="20"/>
  <c r="H102" i="20"/>
  <c r="H58" i="20"/>
  <c r="H14" i="20"/>
  <c r="H94" i="20"/>
  <c r="H104" i="20"/>
  <c r="H98" i="20"/>
  <c r="H16" i="20"/>
  <c r="H48" i="20"/>
  <c r="H80" i="20"/>
  <c r="H10" i="20"/>
  <c r="H74" i="20"/>
  <c r="H46" i="20"/>
  <c r="H24" i="20"/>
  <c r="H18" i="20"/>
  <c r="H20" i="20"/>
  <c r="H52" i="20"/>
  <c r="H84" i="20"/>
  <c r="H30" i="20"/>
  <c r="H40" i="20"/>
  <c r="H72" i="20"/>
  <c r="H61" i="20"/>
  <c r="H27" i="20"/>
  <c r="H59" i="20"/>
  <c r="H95" i="20"/>
  <c r="H33" i="20"/>
  <c r="H65" i="20"/>
  <c r="H97" i="20"/>
  <c r="H71" i="20"/>
  <c r="H77" i="20"/>
  <c r="H31" i="20"/>
  <c r="H63" i="20"/>
  <c r="H103" i="20"/>
  <c r="H37" i="20"/>
  <c r="H69" i="20"/>
  <c r="H101" i="20"/>
  <c r="H91" i="20"/>
  <c r="H87" i="20"/>
  <c r="H93" i="20"/>
  <c r="H35" i="20"/>
  <c r="H67" i="20"/>
  <c r="H9" i="20"/>
  <c r="H41" i="20"/>
  <c r="H73" i="20"/>
  <c r="H105" i="20"/>
  <c r="H23" i="20"/>
  <c r="H66" i="20"/>
  <c r="H28" i="20"/>
  <c r="H60" i="20"/>
  <c r="H92" i="20"/>
  <c r="H22" i="20"/>
  <c r="H54" i="20"/>
  <c r="H86" i="20"/>
  <c r="H26" i="20"/>
  <c r="H90" i="20"/>
  <c r="H62" i="20"/>
  <c r="H8" i="20"/>
  <c r="H50" i="20"/>
  <c r="O24" i="20" l="1"/>
  <c r="O32" i="20" l="1"/>
  <c r="F25" i="15" s="1"/>
  <c r="O26" i="20"/>
  <c r="O28" i="20" l="1"/>
  <c r="O29" i="20" s="1"/>
  <c r="O25" i="20"/>
  <c r="O30" i="20" l="1"/>
  <c r="F24" i="15" s="1"/>
  <c r="O31" i="20"/>
  <c r="L35" i="15" l="1"/>
  <c r="I34" i="15" s="1"/>
  <c r="J34" i="15"/>
</calcChain>
</file>

<file path=xl/comments1.xml><?xml version="1.0" encoding="utf-8"?>
<comments xmlns="http://schemas.openxmlformats.org/spreadsheetml/2006/main">
  <authors>
    <author>DELL1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Area sottesa dal grafico al variare della deformazione εc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Momento Statico della figura individuata tra la curva e l'asse delle ascisse, riferito all'origine degli assi.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Coordinata in ascissa del baricentro.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Coordina in ordinata del baricentro.</t>
        </r>
      </text>
    </comment>
  </commentList>
</comments>
</file>

<file path=xl/sharedStrings.xml><?xml version="1.0" encoding="utf-8"?>
<sst xmlns="http://schemas.openxmlformats.org/spreadsheetml/2006/main" count="143" uniqueCount="98">
  <si>
    <t>β2</t>
  </si>
  <si>
    <t>β1</t>
  </si>
  <si>
    <t>STEP</t>
  </si>
  <si>
    <t>α</t>
  </si>
  <si>
    <t>Es</t>
  </si>
  <si>
    <t>fyd</t>
  </si>
  <si>
    <t>fcd</t>
  </si>
  <si>
    <t>[‰]</t>
  </si>
  <si>
    <t>εyd</t>
  </si>
  <si>
    <t>εcu</t>
  </si>
  <si>
    <t>εc2</t>
  </si>
  <si>
    <t>RESISTENZE</t>
  </si>
  <si>
    <t>εud</t>
  </si>
  <si>
    <t>fctd</t>
  </si>
  <si>
    <t>Ec</t>
  </si>
  <si>
    <t>εctu</t>
  </si>
  <si>
    <t>si</t>
  </si>
  <si>
    <t>no</t>
  </si>
  <si>
    <t>C8/10</t>
  </si>
  <si>
    <t>Fe B450C</t>
  </si>
  <si>
    <t>C12/15</t>
  </si>
  <si>
    <t>Fe B44k</t>
  </si>
  <si>
    <t>C16/20</t>
  </si>
  <si>
    <t>C20/25</t>
  </si>
  <si>
    <t>C25/30</t>
  </si>
  <si>
    <t>C28/35</t>
  </si>
  <si>
    <t>C32/40</t>
  </si>
  <si>
    <t>C35/45</t>
  </si>
  <si>
    <t>C40/50</t>
  </si>
  <si>
    <t>C45/55</t>
  </si>
  <si>
    <t>C50/60</t>
  </si>
  <si>
    <t>Resistenza cubica caratteristica</t>
  </si>
  <si>
    <t>Resistenza cilindrica media</t>
  </si>
  <si>
    <t>Resistenza cilindrica caratteristica</t>
  </si>
  <si>
    <t>Resistenza cilindrica di calcolo</t>
  </si>
  <si>
    <t>Resistenza a trazione caratteristica</t>
  </si>
  <si>
    <t>Resistenza a trazione media</t>
  </si>
  <si>
    <t>Resistenza a trazione di calcolo</t>
  </si>
  <si>
    <t>Resistenza tangenziale di calcolo</t>
  </si>
  <si>
    <t xml:space="preserve">Modulo di Young </t>
  </si>
  <si>
    <r>
      <t>E</t>
    </r>
    <r>
      <rPr>
        <b/>
        <sz val="9"/>
        <color theme="1"/>
        <rFont val="Calibri"/>
        <family val="2"/>
        <scheme val="minor"/>
      </rPr>
      <t>c</t>
    </r>
  </si>
  <si>
    <t>Calcestruzzo:</t>
  </si>
  <si>
    <t>Classe di resistenza</t>
  </si>
  <si>
    <t>Acciaio:</t>
  </si>
  <si>
    <t>Tipo Acciaio</t>
  </si>
  <si>
    <t>Deformazione limite del tratta parabolico</t>
  </si>
  <si>
    <t>Deformazione ultima (tratto rettangolare)</t>
  </si>
  <si>
    <t>Deformazione allo snervamento</t>
  </si>
  <si>
    <t>Deformazione ultima</t>
  </si>
  <si>
    <r>
      <t>N/mm</t>
    </r>
    <r>
      <rPr>
        <vertAlign val="super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</si>
  <si>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yk =</t>
    </r>
  </si>
  <si>
    <t>Tensione di snervamento</t>
  </si>
  <si>
    <t>Tensione di Rottura</t>
  </si>
  <si>
    <r>
      <t>f</t>
    </r>
    <r>
      <rPr>
        <b/>
        <sz val="8"/>
        <color theme="1"/>
        <rFont val="Calibri"/>
        <family val="2"/>
        <scheme val="minor"/>
      </rPr>
      <t>k</t>
    </r>
  </si>
  <si>
    <t>[Mpa]</t>
  </si>
  <si>
    <t>DEFORMAZIONI</t>
  </si>
  <si>
    <t>Resistenza  di calcolo</t>
  </si>
  <si>
    <r>
      <t>f</t>
    </r>
    <r>
      <rPr>
        <sz val="8"/>
        <color theme="1"/>
        <rFont val="Calibri"/>
        <family val="2"/>
        <scheme val="minor"/>
      </rPr>
      <t>k</t>
    </r>
  </si>
  <si>
    <r>
      <t>f</t>
    </r>
    <r>
      <rPr>
        <sz val="8"/>
        <color theme="1"/>
        <rFont val="Calibri"/>
        <family val="2"/>
        <scheme val="minor"/>
      </rPr>
      <t>y,k</t>
    </r>
  </si>
  <si>
    <r>
      <t>f</t>
    </r>
    <r>
      <rPr>
        <sz val="8"/>
        <color theme="1"/>
        <rFont val="Calibri"/>
        <family val="2"/>
        <scheme val="minor"/>
      </rPr>
      <t>y,d</t>
    </r>
  </si>
  <si>
    <r>
      <t>E</t>
    </r>
    <r>
      <rPr>
        <sz val="9"/>
        <color theme="1"/>
        <rFont val="Calibri"/>
        <family val="2"/>
        <scheme val="minor"/>
      </rPr>
      <t>c</t>
    </r>
  </si>
  <si>
    <t>A(σ-ε)</t>
  </si>
  <si>
    <t>Sy(σ-ε)</t>
  </si>
  <si>
    <t>LEGAME COSTITUTIVO DEL CALCESTRUZZO: PARABOLA-RETTANGOLO</t>
  </si>
  <si>
    <t>Deformazione limite del tratto parabolico</t>
  </si>
  <si>
    <t>Ing. Davide Cicchini</t>
  </si>
  <si>
    <t>www.davidecicchini.it</t>
  </si>
  <si>
    <r>
      <t>f</t>
    </r>
    <r>
      <rPr>
        <sz val="9"/>
        <color theme="1"/>
        <rFont val="Calibri"/>
        <family val="2"/>
        <scheme val="minor"/>
      </rPr>
      <t>bd</t>
    </r>
  </si>
  <si>
    <r>
      <t>R</t>
    </r>
    <r>
      <rPr>
        <b/>
        <sz val="8"/>
        <color theme="1"/>
        <rFont val="Calibri"/>
        <family val="2"/>
        <scheme val="minor"/>
      </rPr>
      <t>ck</t>
    </r>
  </si>
  <si>
    <r>
      <t>f</t>
    </r>
    <r>
      <rPr>
        <b/>
        <sz val="8"/>
        <color theme="1"/>
        <rFont val="Calibri"/>
        <family val="2"/>
        <scheme val="minor"/>
      </rPr>
      <t>cm</t>
    </r>
  </si>
  <si>
    <r>
      <t>f</t>
    </r>
    <r>
      <rPr>
        <b/>
        <sz val="8"/>
        <color theme="1"/>
        <rFont val="Calibri"/>
        <family val="2"/>
        <scheme val="minor"/>
      </rPr>
      <t>ck</t>
    </r>
  </si>
  <si>
    <r>
      <t>f</t>
    </r>
    <r>
      <rPr>
        <b/>
        <sz val="8"/>
        <color theme="1"/>
        <rFont val="Calibri"/>
        <family val="2"/>
        <scheme val="minor"/>
      </rPr>
      <t>cd</t>
    </r>
  </si>
  <si>
    <r>
      <t>f</t>
    </r>
    <r>
      <rPr>
        <b/>
        <sz val="8"/>
        <color theme="1"/>
        <rFont val="Calibri"/>
        <family val="2"/>
        <scheme val="minor"/>
      </rPr>
      <t>ctm</t>
    </r>
  </si>
  <si>
    <r>
      <t>f</t>
    </r>
    <r>
      <rPr>
        <b/>
        <sz val="8"/>
        <color theme="1"/>
        <rFont val="Calibri"/>
        <family val="2"/>
        <scheme val="minor"/>
      </rPr>
      <t>ctk</t>
    </r>
  </si>
  <si>
    <r>
      <t>f</t>
    </r>
    <r>
      <rPr>
        <b/>
        <sz val="8"/>
        <color theme="1"/>
        <rFont val="Calibri"/>
        <family val="2"/>
        <scheme val="minor"/>
      </rPr>
      <t>ctd</t>
    </r>
  </si>
  <si>
    <r>
      <t>f</t>
    </r>
    <r>
      <rPr>
        <b/>
        <sz val="9"/>
        <color theme="1"/>
        <rFont val="Calibri"/>
        <family val="2"/>
        <scheme val="minor"/>
      </rPr>
      <t>bd</t>
    </r>
  </si>
  <si>
    <r>
      <t>f</t>
    </r>
    <r>
      <rPr>
        <b/>
        <sz val="8"/>
        <color theme="1"/>
        <rFont val="Calibri"/>
        <family val="2"/>
        <scheme val="minor"/>
      </rPr>
      <t>yk</t>
    </r>
  </si>
  <si>
    <r>
      <t>f</t>
    </r>
    <r>
      <rPr>
        <b/>
        <sz val="8"/>
        <color theme="1"/>
        <rFont val="Calibri"/>
        <family val="2"/>
        <scheme val="minor"/>
      </rPr>
      <t>yd</t>
    </r>
  </si>
  <si>
    <r>
      <t>E</t>
    </r>
    <r>
      <rPr>
        <b/>
        <sz val="9"/>
        <color theme="1"/>
        <rFont val="Calibri"/>
        <family val="2"/>
        <scheme val="minor"/>
      </rPr>
      <t>s</t>
    </r>
  </si>
  <si>
    <t>Rapporto di sovraresistenza</t>
  </si>
  <si>
    <t>k</t>
  </si>
  <si>
    <t>Deformazione ultima di calcolo</t>
  </si>
  <si>
    <t xml:space="preserve">Deformazione ultima </t>
  </si>
  <si>
    <t>εuk</t>
  </si>
  <si>
    <r>
      <t>σ</t>
    </r>
    <r>
      <rPr>
        <b/>
        <sz val="8"/>
        <color theme="1"/>
        <rFont val="Calibri"/>
        <family val="2"/>
      </rPr>
      <t>c</t>
    </r>
    <r>
      <rPr>
        <b/>
        <sz val="11"/>
        <color theme="1"/>
        <rFont val="Calibri"/>
        <family val="2"/>
      </rPr>
      <t>(εc)</t>
    </r>
  </si>
  <si>
    <r>
      <t>ε</t>
    </r>
    <r>
      <rPr>
        <b/>
        <sz val="8"/>
        <color theme="1"/>
        <rFont val="Calibri"/>
        <family val="2"/>
        <scheme val="minor"/>
      </rPr>
      <t>G</t>
    </r>
  </si>
  <si>
    <r>
      <t>σ</t>
    </r>
    <r>
      <rPr>
        <b/>
        <sz val="8"/>
        <color theme="1"/>
        <rFont val="Calibri"/>
        <family val="2"/>
        <scheme val="minor"/>
      </rPr>
      <t>G</t>
    </r>
  </si>
  <si>
    <t>Legame costitutivo per calcestruzzo confinato secondo EC2</t>
  </si>
  <si>
    <r>
      <t>α</t>
    </r>
    <r>
      <rPr>
        <sz val="8"/>
        <color theme="1"/>
        <rFont val="Calibri"/>
        <family val="2"/>
      </rPr>
      <t>cc</t>
    </r>
  </si>
  <si>
    <t>Coef. Riduttivo per resitenze di lunga durata</t>
  </si>
  <si>
    <t>Tieni conto del coefficiente riduttivo per resistenze di lunga durata</t>
  </si>
  <si>
    <t>LEGAME COSTITUTIVO DELL'ACCIAIO SECONDO NTC-08</t>
  </si>
  <si>
    <t>1 RESISTENZE DEI MATERIALI</t>
  </si>
  <si>
    <t>2 DEFORMAZIONI LIMITE DEI MATERIALI</t>
  </si>
  <si>
    <t>CARATTERISTICHE DEI MATERIALI</t>
  </si>
  <si>
    <t>εc</t>
  </si>
  <si>
    <t>Versione 1.1</t>
  </si>
  <si>
    <t xml:space="preserve">Il foglio di calcolo descrive i legami costitutivi di calcolo del calcestruzzo e dell’acciaio sulla base delle prescrizioni della Normativa Italiana.
– Nella scheda “DATI” si devono definire la classe di resistenza del calcestruzzo, il tipo di acciaio (B450c oppure FeB44k) e le deformazioni ultime dei materiali (di default sono inseriti i valori prescritti dalle NTC08).
– Nella scheda "LEGAME COSTITUTIVO CALCESTRUZZO" si ottiene il legame costitutivo parabola-rettangolo, e in forma tabellare sono riportati i valori dei coefficienti β1 e β2 al variare della deformazione. Oltre al legame costitutivo sono riportate le resistenze del materiale impiegato.
– Nella scheda "LEGAME COSTITUTIVO ACCIAIO" si ottengono i legami nor-mativi: elasto-plastico ed elastico-incrudente. Si riportano anche le resistenze del materiale e le deformazioni ultime.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</si>
</sst>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"/>
    <numFmt numFmtId="166" formatCode="0.000%"/>
    <numFmt numFmtId="167" formatCode="0.0E+00"/>
    <numFmt numFmtId="168" formatCode="0.00&quot; ‰&quot;"/>
    <numFmt numFmtId="169" formatCode="0.00&quot; N/mm²&quot;"/>
    <numFmt numFmtId="170" formatCode="0&quot; N/mm²&quot;"/>
    <numFmt numFmtId="171" formatCode="0.0&quot; N/mm²&quot;"/>
    <numFmt numFmtId="172" formatCode="&quot;±&quot;\ 0.00&quot; ‰&quot;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27">
    <xf numFmtId="0" fontId="0" fillId="0" borderId="0" xfId="0"/>
    <xf numFmtId="1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2" fontId="0" fillId="0" borderId="0" xfId="0" applyNumberForma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2" fontId="1" fillId="0" borderId="5" xfId="0" applyNumberFormat="1" applyFont="1" applyBorder="1" applyAlignment="1" applyProtection="1">
      <alignment horizontal="center" vertical="center"/>
      <protection hidden="1"/>
    </xf>
    <xf numFmtId="170" fontId="0" fillId="0" borderId="1" xfId="0" applyNumberFormat="1" applyFont="1" applyBorder="1" applyAlignment="1" applyProtection="1">
      <alignment horizontal="center" vertical="center"/>
      <protection hidden="1"/>
    </xf>
    <xf numFmtId="170" fontId="0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169" fontId="0" fillId="0" borderId="1" xfId="0" applyNumberForma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70" fontId="0" fillId="0" borderId="1" xfId="0" applyNumberFormat="1" applyBorder="1" applyAlignment="1" applyProtection="1">
      <alignment horizontal="center" vertical="center"/>
      <protection hidden="1"/>
    </xf>
    <xf numFmtId="171" fontId="0" fillId="0" borderId="1" xfId="0" applyNumberFormat="1" applyFont="1" applyBorder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169" fontId="0" fillId="0" borderId="1" xfId="0" applyNumberFormat="1" applyFont="1" applyBorder="1" applyAlignment="1" applyProtection="1">
      <alignment horizontal="center" vertical="center"/>
    </xf>
    <xf numFmtId="170" fontId="0" fillId="0" borderId="1" xfId="0" applyNumberFormat="1" applyFont="1" applyBorder="1" applyAlignment="1" applyProtection="1">
      <alignment horizontal="center" vertical="center"/>
    </xf>
    <xf numFmtId="168" fontId="4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hidden="1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/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Protection="1"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Border="1"/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22" fillId="0" borderId="0" xfId="0" applyFont="1" applyAlignme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8" fontId="4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Alignment="1"/>
    <xf numFmtId="168" fontId="0" fillId="0" borderId="1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/>
    <xf numFmtId="0" fontId="0" fillId="0" borderId="5" xfId="0" applyFont="1" applyBorder="1" applyAlignment="1" applyProtection="1">
      <alignment horizontal="center" vertical="center"/>
      <protection hidden="1"/>
    </xf>
    <xf numFmtId="2" fontId="0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0" applyNumberFormat="1" applyProtection="1">
      <protection hidden="1"/>
    </xf>
    <xf numFmtId="169" fontId="0" fillId="0" borderId="1" xfId="0" applyNumberFormat="1" applyFont="1" applyBorder="1" applyAlignment="1" applyProtection="1">
      <alignment horizontal="center" vertical="center"/>
      <protection hidden="1"/>
    </xf>
    <xf numFmtId="168" fontId="4" fillId="0" borderId="1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169" fontId="0" fillId="2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0" fillId="2" borderId="1" xfId="0" applyNumberFormat="1" applyFont="1" applyFill="1" applyBorder="1" applyAlignment="1" applyProtection="1">
      <alignment horizontal="center" vertical="center"/>
    </xf>
    <xf numFmtId="170" fontId="0" fillId="2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hidden="1"/>
    </xf>
    <xf numFmtId="168" fontId="0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24" fillId="0" borderId="0" xfId="0" applyFont="1" applyProtection="1">
      <protection hidden="1"/>
    </xf>
    <xf numFmtId="0" fontId="24" fillId="0" borderId="0" xfId="0" applyFont="1"/>
    <xf numFmtId="168" fontId="0" fillId="0" borderId="7" xfId="0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Alignment="1">
      <alignment horizontal="center" vertical="center"/>
    </xf>
    <xf numFmtId="0" fontId="23" fillId="0" borderId="0" xfId="0" applyFont="1" applyAlignment="1" applyProtection="1">
      <alignment horizontal="center"/>
      <protection hidden="1"/>
    </xf>
    <xf numFmtId="165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1" fontId="0" fillId="0" borderId="1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0" fontId="0" fillId="0" borderId="0" xfId="0" applyNumberForma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8" fontId="0" fillId="0" borderId="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0" xfId="0" applyFont="1" applyAlignment="1" applyProtection="1">
      <alignment horizontal="right" vertical="center"/>
      <protection hidden="1"/>
    </xf>
    <xf numFmtId="2" fontId="0" fillId="0" borderId="1" xfId="0" applyNumberFormat="1" applyBorder="1" applyAlignment="1">
      <alignment horizontal="center" vertical="center"/>
    </xf>
    <xf numFmtId="166" fontId="0" fillId="0" borderId="1" xfId="0" applyNumberFormat="1" applyFont="1" applyBorder="1" applyAlignment="1" applyProtection="1">
      <alignment horizontal="center" vertical="center"/>
      <protection hidden="1"/>
    </xf>
    <xf numFmtId="167" fontId="0" fillId="0" borderId="1" xfId="0" applyNumberFormat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2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166" fontId="0" fillId="0" borderId="1" xfId="0" applyNumberForma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protection hidden="1"/>
    </xf>
    <xf numFmtId="0" fontId="3" fillId="0" borderId="0" xfId="0" applyFont="1"/>
    <xf numFmtId="172" fontId="4" fillId="0" borderId="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25" fillId="0" borderId="0" xfId="1" applyAlignment="1" applyProtection="1">
      <alignment horizontal="center"/>
      <protection locked="0"/>
    </xf>
    <xf numFmtId="0" fontId="25" fillId="0" borderId="0" xfId="1" applyAlignment="1" applyProtection="1">
      <alignment horizontal="center"/>
      <protection hidden="1"/>
    </xf>
    <xf numFmtId="0" fontId="27" fillId="0" borderId="0" xfId="0" applyFont="1" applyAlignment="1">
      <alignment horizontal="center"/>
    </xf>
    <xf numFmtId="0" fontId="12" fillId="0" borderId="0" xfId="0" applyFont="1" applyAlignment="1" applyProtection="1">
      <alignment horizontal="left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6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1" fillId="2" borderId="0" xfId="0" applyFont="1" applyFill="1" applyAlignment="1">
      <alignment horizontal="center"/>
    </xf>
    <xf numFmtId="0" fontId="0" fillId="0" borderId="0" xfId="0" applyAlignment="1" applyProtection="1">
      <alignment horizontal="left" wrapText="1"/>
      <protection hidden="1"/>
    </xf>
    <xf numFmtId="0" fontId="22" fillId="3" borderId="0" xfId="0" applyFont="1" applyFill="1" applyAlignment="1" applyProtection="1">
      <alignment horizontal="center"/>
      <protection hidden="1"/>
    </xf>
  </cellXfs>
  <cellStyles count="2">
    <cellStyle name="Collegamento ipertestuale" xfId="1" builtinId="8"/>
    <cellStyle name="Normale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AFA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Legame costitutivo calcestruzzo: Parabola-Rettangolo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7315676449536"/>
          <c:y val="0.20970438541955116"/>
          <c:w val="0.81017609162491033"/>
          <c:h val="0.62479089738163063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'LEGAME COSTITUTIVO CALCESTRUZZO'!$B$6:$B$106</c:f>
              <c:numCache>
                <c:formatCode>0.000%</c:formatCode>
                <c:ptCount val="101"/>
                <c:pt idx="0">
                  <c:v>0</c:v>
                </c:pt>
                <c:pt idx="1">
                  <c:v>-3.5000000000000004E-5</c:v>
                </c:pt>
                <c:pt idx="2">
                  <c:v>-7.0000000000000007E-5</c:v>
                </c:pt>
                <c:pt idx="3">
                  <c:v>-1.05E-4</c:v>
                </c:pt>
                <c:pt idx="4">
                  <c:v>-1.4000000000000001E-4</c:v>
                </c:pt>
                <c:pt idx="5">
                  <c:v>-1.7500000000000003E-4</c:v>
                </c:pt>
                <c:pt idx="6">
                  <c:v>-2.1000000000000001E-4</c:v>
                </c:pt>
                <c:pt idx="7">
                  <c:v>-2.4500000000000005E-4</c:v>
                </c:pt>
                <c:pt idx="8">
                  <c:v>-2.8000000000000003E-4</c:v>
                </c:pt>
                <c:pt idx="9">
                  <c:v>-3.1500000000000001E-4</c:v>
                </c:pt>
                <c:pt idx="10">
                  <c:v>-3.5000000000000005E-4</c:v>
                </c:pt>
                <c:pt idx="11">
                  <c:v>-3.8500000000000003E-4</c:v>
                </c:pt>
                <c:pt idx="12">
                  <c:v>-4.2000000000000002E-4</c:v>
                </c:pt>
                <c:pt idx="13">
                  <c:v>-4.5500000000000006E-4</c:v>
                </c:pt>
                <c:pt idx="14">
                  <c:v>-4.9000000000000009E-4</c:v>
                </c:pt>
                <c:pt idx="15">
                  <c:v>-5.2500000000000008E-4</c:v>
                </c:pt>
                <c:pt idx="16">
                  <c:v>-5.6000000000000006E-4</c:v>
                </c:pt>
                <c:pt idx="17">
                  <c:v>-5.9500000000000004E-4</c:v>
                </c:pt>
                <c:pt idx="18">
                  <c:v>-6.3000000000000003E-4</c:v>
                </c:pt>
                <c:pt idx="19">
                  <c:v>-6.6500000000000012E-4</c:v>
                </c:pt>
                <c:pt idx="20">
                  <c:v>-7.000000000000001E-4</c:v>
                </c:pt>
                <c:pt idx="21">
                  <c:v>-7.3500000000000008E-4</c:v>
                </c:pt>
                <c:pt idx="22">
                  <c:v>-7.7000000000000007E-4</c:v>
                </c:pt>
                <c:pt idx="23">
                  <c:v>-8.0500000000000005E-4</c:v>
                </c:pt>
                <c:pt idx="24">
                  <c:v>-8.4000000000000003E-4</c:v>
                </c:pt>
                <c:pt idx="25">
                  <c:v>-8.7500000000000013E-4</c:v>
                </c:pt>
                <c:pt idx="26">
                  <c:v>-9.1000000000000011E-4</c:v>
                </c:pt>
                <c:pt idx="27">
                  <c:v>-9.4500000000000009E-4</c:v>
                </c:pt>
                <c:pt idx="28">
                  <c:v>-9.8000000000000019E-4</c:v>
                </c:pt>
                <c:pt idx="29">
                  <c:v>-1.0150000000000001E-3</c:v>
                </c:pt>
                <c:pt idx="30">
                  <c:v>-1.0500000000000002E-3</c:v>
                </c:pt>
                <c:pt idx="31">
                  <c:v>-1.085E-3</c:v>
                </c:pt>
                <c:pt idx="32">
                  <c:v>-1.1200000000000001E-3</c:v>
                </c:pt>
                <c:pt idx="33">
                  <c:v>-1.1550000000000002E-3</c:v>
                </c:pt>
                <c:pt idx="34">
                  <c:v>-1.1900000000000001E-3</c:v>
                </c:pt>
                <c:pt idx="35">
                  <c:v>-1.2250000000000002E-3</c:v>
                </c:pt>
                <c:pt idx="36">
                  <c:v>-1.2600000000000001E-3</c:v>
                </c:pt>
                <c:pt idx="37">
                  <c:v>-1.2950000000000001E-3</c:v>
                </c:pt>
                <c:pt idx="38">
                  <c:v>-1.3300000000000002E-3</c:v>
                </c:pt>
                <c:pt idx="39">
                  <c:v>-1.3650000000000001E-3</c:v>
                </c:pt>
                <c:pt idx="40">
                  <c:v>-1.4000000000000002E-3</c:v>
                </c:pt>
                <c:pt idx="41">
                  <c:v>-1.4350000000000001E-3</c:v>
                </c:pt>
                <c:pt idx="42">
                  <c:v>-1.4700000000000002E-3</c:v>
                </c:pt>
                <c:pt idx="43">
                  <c:v>-1.5050000000000003E-3</c:v>
                </c:pt>
                <c:pt idx="44">
                  <c:v>-1.5400000000000001E-3</c:v>
                </c:pt>
                <c:pt idx="45">
                  <c:v>-1.5750000000000002E-3</c:v>
                </c:pt>
                <c:pt idx="46">
                  <c:v>-1.6100000000000001E-3</c:v>
                </c:pt>
                <c:pt idx="47">
                  <c:v>-1.6450000000000002E-3</c:v>
                </c:pt>
                <c:pt idx="48">
                  <c:v>-1.6800000000000001E-3</c:v>
                </c:pt>
                <c:pt idx="49">
                  <c:v>-1.7150000000000002E-3</c:v>
                </c:pt>
                <c:pt idx="50">
                  <c:v>-1.7500000000000003E-3</c:v>
                </c:pt>
                <c:pt idx="51">
                  <c:v>-1.7850000000000001E-3</c:v>
                </c:pt>
                <c:pt idx="52">
                  <c:v>-1.8200000000000002E-3</c:v>
                </c:pt>
                <c:pt idx="53">
                  <c:v>-1.8550000000000001E-3</c:v>
                </c:pt>
                <c:pt idx="54">
                  <c:v>-1.8900000000000002E-3</c:v>
                </c:pt>
                <c:pt idx="55">
                  <c:v>-1.9250000000000003E-3</c:v>
                </c:pt>
                <c:pt idx="56">
                  <c:v>-1.9600000000000004E-3</c:v>
                </c:pt>
                <c:pt idx="57">
                  <c:v>-1.9950000000000002E-3</c:v>
                </c:pt>
                <c:pt idx="58">
                  <c:v>-2.0300000000000001E-3</c:v>
                </c:pt>
                <c:pt idx="59">
                  <c:v>-2.0650000000000004E-3</c:v>
                </c:pt>
                <c:pt idx="60">
                  <c:v>-2.1000000000000003E-3</c:v>
                </c:pt>
                <c:pt idx="61">
                  <c:v>-2.1350000000000002E-3</c:v>
                </c:pt>
                <c:pt idx="62">
                  <c:v>-2.1700000000000001E-3</c:v>
                </c:pt>
                <c:pt idx="63">
                  <c:v>-2.2050000000000004E-3</c:v>
                </c:pt>
                <c:pt idx="64">
                  <c:v>-2.2400000000000002E-3</c:v>
                </c:pt>
                <c:pt idx="65">
                  <c:v>-2.2750000000000001E-3</c:v>
                </c:pt>
                <c:pt idx="66">
                  <c:v>-2.3100000000000004E-3</c:v>
                </c:pt>
                <c:pt idx="67">
                  <c:v>-2.3450000000000003E-3</c:v>
                </c:pt>
                <c:pt idx="68">
                  <c:v>-2.3800000000000002E-3</c:v>
                </c:pt>
                <c:pt idx="69">
                  <c:v>-2.415E-3</c:v>
                </c:pt>
                <c:pt idx="70">
                  <c:v>-2.4500000000000004E-3</c:v>
                </c:pt>
                <c:pt idx="71">
                  <c:v>-2.4850000000000002E-3</c:v>
                </c:pt>
                <c:pt idx="72">
                  <c:v>-2.5200000000000001E-3</c:v>
                </c:pt>
                <c:pt idx="73">
                  <c:v>-2.5550000000000004E-3</c:v>
                </c:pt>
                <c:pt idx="74">
                  <c:v>-2.5900000000000003E-3</c:v>
                </c:pt>
                <c:pt idx="75">
                  <c:v>-2.6250000000000002E-3</c:v>
                </c:pt>
                <c:pt idx="76">
                  <c:v>-2.6600000000000005E-3</c:v>
                </c:pt>
                <c:pt idx="77">
                  <c:v>-2.6950000000000003E-3</c:v>
                </c:pt>
                <c:pt idx="78">
                  <c:v>-2.7300000000000002E-3</c:v>
                </c:pt>
                <c:pt idx="79">
                  <c:v>-2.7650000000000001E-3</c:v>
                </c:pt>
                <c:pt idx="80">
                  <c:v>-2.8000000000000004E-3</c:v>
                </c:pt>
                <c:pt idx="81">
                  <c:v>-2.8350000000000003E-3</c:v>
                </c:pt>
                <c:pt idx="82">
                  <c:v>-2.8700000000000002E-3</c:v>
                </c:pt>
                <c:pt idx="83">
                  <c:v>-2.9050000000000005E-3</c:v>
                </c:pt>
                <c:pt idx="84">
                  <c:v>-2.9400000000000003E-3</c:v>
                </c:pt>
                <c:pt idx="85">
                  <c:v>-2.9750000000000002E-3</c:v>
                </c:pt>
                <c:pt idx="86">
                  <c:v>-3.0100000000000005E-3</c:v>
                </c:pt>
                <c:pt idx="87">
                  <c:v>-3.0450000000000004E-3</c:v>
                </c:pt>
                <c:pt idx="88">
                  <c:v>-3.0800000000000003E-3</c:v>
                </c:pt>
                <c:pt idx="89">
                  <c:v>-3.1150000000000001E-3</c:v>
                </c:pt>
                <c:pt idx="90">
                  <c:v>-3.1500000000000005E-3</c:v>
                </c:pt>
                <c:pt idx="91">
                  <c:v>-3.1850000000000003E-3</c:v>
                </c:pt>
                <c:pt idx="92">
                  <c:v>-3.2200000000000002E-3</c:v>
                </c:pt>
                <c:pt idx="93">
                  <c:v>-3.2550000000000005E-3</c:v>
                </c:pt>
                <c:pt idx="94">
                  <c:v>-3.2900000000000004E-3</c:v>
                </c:pt>
                <c:pt idx="95">
                  <c:v>-3.3250000000000003E-3</c:v>
                </c:pt>
                <c:pt idx="96">
                  <c:v>-3.3600000000000001E-3</c:v>
                </c:pt>
                <c:pt idx="97">
                  <c:v>-3.3950000000000004E-3</c:v>
                </c:pt>
                <c:pt idx="98">
                  <c:v>-3.4300000000000003E-3</c:v>
                </c:pt>
                <c:pt idx="99">
                  <c:v>-3.4650000000000002E-3</c:v>
                </c:pt>
                <c:pt idx="100">
                  <c:v>-3.5000000000000005E-3</c:v>
                </c:pt>
              </c:numCache>
            </c:numRef>
          </c:xVal>
          <c:yVal>
            <c:numRef>
              <c:f>'LEGAME COSTITUTIVO CALCESTRUZZO'!$C$6:$C$106</c:f>
              <c:numCache>
                <c:formatCode>0.00</c:formatCode>
                <c:ptCount val="101"/>
                <c:pt idx="0">
                  <c:v>0</c:v>
                </c:pt>
                <c:pt idx="1">
                  <c:v>-0.48952881250000002</c:v>
                </c:pt>
                <c:pt idx="2">
                  <c:v>-0.97041524999999995</c:v>
                </c:pt>
                <c:pt idx="3">
                  <c:v>-1.4426593124999998</c:v>
                </c:pt>
                <c:pt idx="4">
                  <c:v>-1.9062609999999998</c:v>
                </c:pt>
                <c:pt idx="5">
                  <c:v>-2.3612203125</c:v>
                </c:pt>
                <c:pt idx="6">
                  <c:v>-2.8075372499999998</c:v>
                </c:pt>
                <c:pt idx="7">
                  <c:v>-3.2452118125</c:v>
                </c:pt>
                <c:pt idx="8">
                  <c:v>-3.6742440000000003</c:v>
                </c:pt>
                <c:pt idx="9">
                  <c:v>-4.0946338124999997</c:v>
                </c:pt>
                <c:pt idx="10">
                  <c:v>-4.5063812500000004</c:v>
                </c:pt>
                <c:pt idx="11">
                  <c:v>-4.9094863124999994</c:v>
                </c:pt>
                <c:pt idx="12">
                  <c:v>-5.3039489999999994</c:v>
                </c:pt>
                <c:pt idx="13">
                  <c:v>-5.6897693125000002</c:v>
                </c:pt>
                <c:pt idx="14">
                  <c:v>-6.0669472500000001</c:v>
                </c:pt>
                <c:pt idx="15">
                  <c:v>-6.4354828125000001</c:v>
                </c:pt>
                <c:pt idx="16">
                  <c:v>-6.7953760000000001</c:v>
                </c:pt>
                <c:pt idx="17">
                  <c:v>-7.1466268125000001</c:v>
                </c:pt>
                <c:pt idx="18">
                  <c:v>-7.4892352499999992</c:v>
                </c:pt>
                <c:pt idx="19">
                  <c:v>-7.8232013125000002</c:v>
                </c:pt>
                <c:pt idx="20">
                  <c:v>-8.1485250000000011</c:v>
                </c:pt>
                <c:pt idx="21">
                  <c:v>-8.4652063124999994</c:v>
                </c:pt>
                <c:pt idx="22">
                  <c:v>-8.7732452500000004</c:v>
                </c:pt>
                <c:pt idx="23">
                  <c:v>-9.0726418124999988</c:v>
                </c:pt>
                <c:pt idx="24">
                  <c:v>-9.3633959999999998</c:v>
                </c:pt>
                <c:pt idx="25">
                  <c:v>-9.6455078125</c:v>
                </c:pt>
                <c:pt idx="26">
                  <c:v>-9.9189772500000011</c:v>
                </c:pt>
                <c:pt idx="27">
                  <c:v>-10.183804312499998</c:v>
                </c:pt>
                <c:pt idx="28">
                  <c:v>-10.439989000000001</c:v>
                </c:pt>
                <c:pt idx="29">
                  <c:v>-10.687531312499999</c:v>
                </c:pt>
                <c:pt idx="30">
                  <c:v>-10.92643125</c:v>
                </c:pt>
                <c:pt idx="31">
                  <c:v>-11.156688812499999</c:v>
                </c:pt>
                <c:pt idx="32">
                  <c:v>-11.378304</c:v>
                </c:pt>
                <c:pt idx="33">
                  <c:v>-11.591276812499999</c:v>
                </c:pt>
                <c:pt idx="34">
                  <c:v>-11.79560725</c:v>
                </c:pt>
                <c:pt idx="35">
                  <c:v>-11.9912953125</c:v>
                </c:pt>
                <c:pt idx="36">
                  <c:v>-12.178341</c:v>
                </c:pt>
                <c:pt idx="37">
                  <c:v>-12.356744312499998</c:v>
                </c:pt>
                <c:pt idx="38">
                  <c:v>-12.526505250000001</c:v>
                </c:pt>
                <c:pt idx="39">
                  <c:v>-12.687623812499998</c:v>
                </c:pt>
                <c:pt idx="40">
                  <c:v>-12.840099999999998</c:v>
                </c:pt>
                <c:pt idx="41">
                  <c:v>-12.9839338125</c:v>
                </c:pt>
                <c:pt idx="42">
                  <c:v>-13.11912525</c:v>
                </c:pt>
                <c:pt idx="43">
                  <c:v>-13.245674312499998</c:v>
                </c:pt>
                <c:pt idx="44">
                  <c:v>-13.363581</c:v>
                </c:pt>
                <c:pt idx="45">
                  <c:v>-13.472845312499997</c:v>
                </c:pt>
                <c:pt idx="46">
                  <c:v>-13.57346725</c:v>
                </c:pt>
                <c:pt idx="47">
                  <c:v>-13.665446812499999</c:v>
                </c:pt>
                <c:pt idx="48">
                  <c:v>-13.748783999999999</c:v>
                </c:pt>
                <c:pt idx="49">
                  <c:v>-13.823478812499999</c:v>
                </c:pt>
                <c:pt idx="50">
                  <c:v>-13.889531249999997</c:v>
                </c:pt>
                <c:pt idx="51">
                  <c:v>-13.946941312499996</c:v>
                </c:pt>
                <c:pt idx="52">
                  <c:v>-13.995708999999998</c:v>
                </c:pt>
                <c:pt idx="53">
                  <c:v>-14.035834312499999</c:v>
                </c:pt>
                <c:pt idx="54">
                  <c:v>-14.067317249999999</c:v>
                </c:pt>
                <c:pt idx="55">
                  <c:v>-14.090157812499998</c:v>
                </c:pt>
                <c:pt idx="56">
                  <c:v>-14.104355999999997</c:v>
                </c:pt>
                <c:pt idx="57">
                  <c:v>-14.109911812499998</c:v>
                </c:pt>
                <c:pt idx="58">
                  <c:v>-14.109999999999998</c:v>
                </c:pt>
                <c:pt idx="59">
                  <c:v>-14.109999999999998</c:v>
                </c:pt>
                <c:pt idx="60">
                  <c:v>-14.109999999999998</c:v>
                </c:pt>
                <c:pt idx="61">
                  <c:v>-14.109999999999998</c:v>
                </c:pt>
                <c:pt idx="62">
                  <c:v>-14.109999999999998</c:v>
                </c:pt>
                <c:pt idx="63">
                  <c:v>-14.109999999999998</c:v>
                </c:pt>
                <c:pt idx="64">
                  <c:v>-14.109999999999998</c:v>
                </c:pt>
                <c:pt idx="65">
                  <c:v>-14.109999999999998</c:v>
                </c:pt>
                <c:pt idx="66">
                  <c:v>-14.109999999999998</c:v>
                </c:pt>
                <c:pt idx="67">
                  <c:v>-14.109999999999998</c:v>
                </c:pt>
                <c:pt idx="68">
                  <c:v>-14.109999999999998</c:v>
                </c:pt>
                <c:pt idx="69">
                  <c:v>-14.109999999999998</c:v>
                </c:pt>
                <c:pt idx="70">
                  <c:v>-14.109999999999998</c:v>
                </c:pt>
                <c:pt idx="71">
                  <c:v>-14.109999999999998</c:v>
                </c:pt>
                <c:pt idx="72">
                  <c:v>-14.109999999999998</c:v>
                </c:pt>
                <c:pt idx="73">
                  <c:v>-14.109999999999998</c:v>
                </c:pt>
                <c:pt idx="74">
                  <c:v>-14.109999999999998</c:v>
                </c:pt>
                <c:pt idx="75">
                  <c:v>-14.109999999999998</c:v>
                </c:pt>
                <c:pt idx="76">
                  <c:v>-14.109999999999998</c:v>
                </c:pt>
                <c:pt idx="77">
                  <c:v>-14.109999999999998</c:v>
                </c:pt>
                <c:pt idx="78">
                  <c:v>-14.109999999999998</c:v>
                </c:pt>
                <c:pt idx="79">
                  <c:v>-14.109999999999998</c:v>
                </c:pt>
                <c:pt idx="80">
                  <c:v>-14.109999999999998</c:v>
                </c:pt>
                <c:pt idx="81">
                  <c:v>-14.109999999999998</c:v>
                </c:pt>
                <c:pt idx="82">
                  <c:v>-14.109999999999998</c:v>
                </c:pt>
                <c:pt idx="83">
                  <c:v>-14.109999999999998</c:v>
                </c:pt>
                <c:pt idx="84">
                  <c:v>-14.109999999999998</c:v>
                </c:pt>
                <c:pt idx="85">
                  <c:v>-14.109999999999998</c:v>
                </c:pt>
                <c:pt idx="86">
                  <c:v>-14.109999999999998</c:v>
                </c:pt>
                <c:pt idx="87">
                  <c:v>-14.109999999999998</c:v>
                </c:pt>
                <c:pt idx="88">
                  <c:v>-14.109999999999998</c:v>
                </c:pt>
                <c:pt idx="89">
                  <c:v>-14.109999999999998</c:v>
                </c:pt>
                <c:pt idx="90">
                  <c:v>-14.109999999999998</c:v>
                </c:pt>
                <c:pt idx="91">
                  <c:v>-14.109999999999998</c:v>
                </c:pt>
                <c:pt idx="92">
                  <c:v>-14.109999999999998</c:v>
                </c:pt>
                <c:pt idx="93">
                  <c:v>-14.109999999999998</c:v>
                </c:pt>
                <c:pt idx="94">
                  <c:v>-14.109999999999998</c:v>
                </c:pt>
                <c:pt idx="95">
                  <c:v>-14.109999999999998</c:v>
                </c:pt>
                <c:pt idx="96">
                  <c:v>-14.109999999999998</c:v>
                </c:pt>
                <c:pt idx="97">
                  <c:v>-14.109999999999998</c:v>
                </c:pt>
                <c:pt idx="98">
                  <c:v>-14.109999999999998</c:v>
                </c:pt>
                <c:pt idx="99">
                  <c:v>-14.109999999999998</c:v>
                </c:pt>
                <c:pt idx="100">
                  <c:v>-14.109999999999998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solidFill>
                <a:srgbClr val="002060"/>
              </a:solidFill>
            </a:ln>
          </c:spPr>
          <c:marker>
            <c:spPr>
              <a:solidFill>
                <a:srgbClr val="00B0F0"/>
              </a:solidFill>
              <a:ln w="28575">
                <a:solidFill>
                  <a:srgbClr val="002060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828247F3-C9FC-4930-8F68-0116193769EB}" type="XVALUE">
                      <a:rPr lang="en-US"/>
                      <a:pPr/>
                      <a:t>[VALORE X]</a:t>
                    </a:fld>
                    <a:r>
                      <a:rPr lang="en-US" baseline="0"/>
                      <a:t>; </a:t>
                    </a:r>
                    <a:fld id="{B34E00B8-11BF-44C7-8DDB-498B0FB25FAE}" type="YVALUE">
                      <a:rPr lang="en-US" baseline="0"/>
                      <a:pPr/>
                      <a:t>[VALORE Y]</a:t>
                    </a:fld>
                    <a:r>
                      <a:rPr lang="en-US" baseline="0"/>
                      <a:t> Baricentro del grafico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'LEGAME COSTITUTIVO CALCESTRUZZO'!$H$106</c:f>
              <c:numCache>
                <c:formatCode>0.000%</c:formatCode>
                <c:ptCount val="1"/>
                <c:pt idx="0">
                  <c:v>-2.0441176470588243E-3</c:v>
                </c:pt>
              </c:numCache>
            </c:numRef>
          </c:xVal>
          <c:yVal>
            <c:numRef>
              <c:f>'LEGAME COSTITUTIVO CALCESTRUZZO'!$I$106</c:f>
              <c:numCache>
                <c:formatCode>0.00</c:formatCode>
                <c:ptCount val="1"/>
                <c:pt idx="0">
                  <c:v>-5.8692857142857111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573680"/>
        <c:axId val="670560624"/>
      </c:scatterChart>
      <c:valAx>
        <c:axId val="670573680"/>
        <c:scaling>
          <c:orientation val="maxMin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Deformazione</a:t>
                </a:r>
              </a:p>
            </c:rich>
          </c:tx>
          <c:layout>
            <c:manualLayout>
              <c:xMode val="edge"/>
              <c:yMode val="edge"/>
              <c:x val="0.45464818394706652"/>
              <c:y val="0.92667654543026146"/>
            </c:manualLayout>
          </c:layout>
          <c:overlay val="0"/>
        </c:title>
        <c:numFmt formatCode="0.000%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0560624"/>
        <c:crosses val="autoZero"/>
        <c:crossBetween val="midCat"/>
      </c:valAx>
      <c:valAx>
        <c:axId val="670560624"/>
        <c:scaling>
          <c:orientation val="maxMin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Tensione</a:t>
                </a:r>
              </a:p>
            </c:rich>
          </c:tx>
          <c:layout>
            <c:manualLayout>
              <c:xMode val="edge"/>
              <c:yMode val="edge"/>
              <c:x val="1.1566787684473579E-2"/>
              <c:y val="0.45934829840770453"/>
            </c:manualLayout>
          </c:layout>
          <c:overlay val="0"/>
        </c:title>
        <c:numFmt formatCode="0.0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0573680"/>
        <c:crosses val="autoZero"/>
        <c:crossBetween val="midCat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Legame Costitutivo</a:t>
            </a:r>
            <a:r>
              <a:rPr lang="it-IT" baseline="0"/>
              <a:t> dell'acciaio: Elasto-Plastico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'foglio deposito'!$I$21:$I$25</c:f>
              <c:numCache>
                <c:formatCode>0.00" ‰"</c:formatCode>
                <c:ptCount val="5"/>
                <c:pt idx="0">
                  <c:v>-67.5</c:v>
                </c:pt>
                <c:pt idx="1">
                  <c:v>-1.87</c:v>
                </c:pt>
                <c:pt idx="2">
                  <c:v>0</c:v>
                </c:pt>
                <c:pt idx="3">
                  <c:v>1.87</c:v>
                </c:pt>
                <c:pt idx="4">
                  <c:v>67.5</c:v>
                </c:pt>
              </c:numCache>
            </c:numRef>
          </c:xVal>
          <c:yVal>
            <c:numRef>
              <c:f>'foglio deposito'!$J$21:$J$25</c:f>
              <c:numCache>
                <c:formatCode>0.0</c:formatCode>
                <c:ptCount val="5"/>
                <c:pt idx="0">
                  <c:v>-391.304347826087</c:v>
                </c:pt>
                <c:pt idx="1">
                  <c:v>-391.304347826087</c:v>
                </c:pt>
                <c:pt idx="2">
                  <c:v>0</c:v>
                </c:pt>
                <c:pt idx="3">
                  <c:v>391.304347826087</c:v>
                </c:pt>
                <c:pt idx="4">
                  <c:v>391.304347826087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433232"/>
        <c:axId val="991429968"/>
      </c:scatterChart>
      <c:valAx>
        <c:axId val="99143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&quot; ‰&quot;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429968"/>
        <c:crosses val="autoZero"/>
        <c:crossBetween val="midCat"/>
      </c:valAx>
      <c:valAx>
        <c:axId val="99142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433232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Legame Costitutivo</a:t>
            </a:r>
            <a:r>
              <a:rPr lang="it-IT" baseline="0"/>
              <a:t> dell'acciaio: Elastico-Incrudente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'foglio deposito'!$L$21:$L$25</c:f>
              <c:numCache>
                <c:formatCode>0.00" ‰"</c:formatCode>
                <c:ptCount val="5"/>
                <c:pt idx="0">
                  <c:v>-67.5</c:v>
                </c:pt>
                <c:pt idx="1">
                  <c:v>-1.87</c:v>
                </c:pt>
                <c:pt idx="2">
                  <c:v>0</c:v>
                </c:pt>
                <c:pt idx="3">
                  <c:v>1.87</c:v>
                </c:pt>
                <c:pt idx="4">
                  <c:v>67.5</c:v>
                </c:pt>
              </c:numCache>
            </c:numRef>
          </c:xVal>
          <c:yVal>
            <c:numRef>
              <c:f>'foglio deposito'!$M$21:$M$25</c:f>
              <c:numCache>
                <c:formatCode>0.0</c:formatCode>
                <c:ptCount val="5"/>
                <c:pt idx="0">
                  <c:v>-469.56521739130437</c:v>
                </c:pt>
                <c:pt idx="1">
                  <c:v>-391.304347826087</c:v>
                </c:pt>
                <c:pt idx="2">
                  <c:v>0</c:v>
                </c:pt>
                <c:pt idx="3">
                  <c:v>391.304347826087</c:v>
                </c:pt>
                <c:pt idx="4">
                  <c:v>469.56521739130437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433776"/>
        <c:axId val="991432144"/>
      </c:scatterChart>
      <c:valAx>
        <c:axId val="99143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&quot; ‰&quot;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432144"/>
        <c:crosses val="autoZero"/>
        <c:crossBetween val="midCat"/>
      </c:valAx>
      <c:valAx>
        <c:axId val="99143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433776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133350</xdr:rowOff>
    </xdr:from>
    <xdr:to>
      <xdr:col>9</xdr:col>
      <xdr:colOff>523874</xdr:colOff>
      <xdr:row>3</xdr:row>
      <xdr:rowOff>146613</xdr:rowOff>
    </xdr:to>
    <xdr:pic>
      <xdr:nvPicPr>
        <xdr:cNvPr id="2" name="Immagine 1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4" y="133350"/>
          <a:ext cx="5381625" cy="537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4</xdr:row>
      <xdr:rowOff>4762</xdr:rowOff>
    </xdr:from>
    <xdr:to>
      <xdr:col>16</xdr:col>
      <xdr:colOff>361950</xdr:colOff>
      <xdr:row>20</xdr:row>
      <xdr:rowOff>123825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57150</xdr:rowOff>
    </xdr:from>
    <xdr:to>
      <xdr:col>11</xdr:col>
      <xdr:colOff>476250</xdr:colOff>
      <xdr:row>20</xdr:row>
      <xdr:rowOff>109538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21</xdr:row>
      <xdr:rowOff>38100</xdr:rowOff>
    </xdr:from>
    <xdr:to>
      <xdr:col>11</xdr:col>
      <xdr:colOff>466725</xdr:colOff>
      <xdr:row>38</xdr:row>
      <xdr:rowOff>109538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la\Documents\6.VARIE%20PER%20LA%20PROFESSIONE\PROGRAMMI%20UTILI\PROGETTO%20TRAVE\PROGETTO%20TRAVE%20PRINCIPALE%20CAP7%20+%20SLE-NTC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tecnico\f\Users\Nicla\Documents\6.VARIE%20PER%20LA%20PROFESSIONE\PROGRAMMI%20UTILI\PROGETTO%20SOLAIO%20BAUSTA\CALCOLO%20SOLAIO%20SLU+S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PROGETTO FLESSIONE E TAGLIO "/>
      <sheetName val="Verifica SLE mezzeria"/>
      <sheetName val="Foglio deposito"/>
      <sheetName val="Foglio1"/>
    </sheetNames>
    <sheetDataSet>
      <sheetData sheetId="0"/>
      <sheetData sheetId="1"/>
      <sheetData sheetId="2"/>
      <sheetData sheetId="3">
        <row r="2">
          <cell r="B2" t="str">
            <v>SI</v>
          </cell>
          <cell r="D2" t="str">
            <v>ordinaria</v>
          </cell>
          <cell r="F2" t="str">
            <v>P,sle carat.</v>
          </cell>
        </row>
        <row r="3">
          <cell r="B3" t="str">
            <v>NO</v>
          </cell>
          <cell r="D3" t="str">
            <v>aggressiva</v>
          </cell>
          <cell r="F3" t="str">
            <v>P,sle freq.</v>
          </cell>
        </row>
        <row r="4">
          <cell r="D4" t="str">
            <v>molto aggressiva</v>
          </cell>
          <cell r="F4" t="str">
            <v>P,sle quas. Perm</v>
          </cell>
        </row>
        <row r="10">
          <cell r="M10" t="str">
            <v>C8/10</v>
          </cell>
          <cell r="P10" t="str">
            <v>Fe B450C</v>
          </cell>
        </row>
        <row r="11">
          <cell r="M11" t="str">
            <v>C12/15</v>
          </cell>
          <cell r="P11" t="str">
            <v>Fe B44k</v>
          </cell>
        </row>
        <row r="12">
          <cell r="M12" t="str">
            <v>C16/20</v>
          </cell>
        </row>
        <row r="13">
          <cell r="M13" t="str">
            <v>C20/25</v>
          </cell>
        </row>
        <row r="14">
          <cell r="M14" t="str">
            <v>C25/30</v>
          </cell>
        </row>
        <row r="15">
          <cell r="M15" t="str">
            <v>C28/35</v>
          </cell>
        </row>
        <row r="16">
          <cell r="M16" t="str">
            <v>C32/40</v>
          </cell>
        </row>
        <row r="17">
          <cell r="M17" t="str">
            <v>C35/45</v>
          </cell>
        </row>
        <row r="18">
          <cell r="M18" t="str">
            <v>C40/50</v>
          </cell>
        </row>
        <row r="141">
          <cell r="E141" t="str">
            <v>σ c,vecchio</v>
          </cell>
          <cell r="F141" t="str">
            <v>σ s,vecchio</v>
          </cell>
        </row>
        <row r="142">
          <cell r="E142" t="str">
            <v>σ c,nuovo</v>
          </cell>
          <cell r="F142" t="str">
            <v>σ s, nuovo</v>
          </cell>
        </row>
      </sheetData>
      <sheetData sheetId="4">
        <row r="4">
          <cell r="K4">
            <v>0</v>
          </cell>
          <cell r="M4">
            <v>0</v>
          </cell>
          <cell r="N4">
            <v>8</v>
          </cell>
        </row>
        <row r="5">
          <cell r="K5">
            <v>14</v>
          </cell>
          <cell r="M5">
            <v>1</v>
          </cell>
          <cell r="N5">
            <v>10</v>
          </cell>
        </row>
        <row r="6">
          <cell r="K6">
            <v>16</v>
          </cell>
          <cell r="M6">
            <v>2</v>
          </cell>
          <cell r="N6">
            <v>12</v>
          </cell>
        </row>
        <row r="7">
          <cell r="K7">
            <v>18</v>
          </cell>
          <cell r="M7">
            <v>3</v>
          </cell>
          <cell r="N7">
            <v>14</v>
          </cell>
        </row>
        <row r="8">
          <cell r="K8">
            <v>20</v>
          </cell>
          <cell r="M8">
            <v>4</v>
          </cell>
          <cell r="N8">
            <v>16</v>
          </cell>
        </row>
        <row r="9">
          <cell r="M9">
            <v>5</v>
          </cell>
          <cell r="N9">
            <v>18</v>
          </cell>
        </row>
        <row r="10">
          <cell r="M10">
            <v>6</v>
          </cell>
        </row>
        <row r="19">
          <cell r="S19" t="str">
            <v>Classe di duttilità alta CD"A"</v>
          </cell>
        </row>
        <row r="20">
          <cell r="S20" t="str">
            <v>Classe di duttilità bassa CD"B"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ca e caratt (4)"/>
      <sheetName val="Comb. 1 (4)"/>
      <sheetName val="Comb. 2 (4)"/>
      <sheetName val="Comb. 3 (4)"/>
      <sheetName val="Comb. 4 (4)"/>
      <sheetName val="Comb. 5  (4)"/>
      <sheetName val="Comb. 6 (4)"/>
      <sheetName val="Comb. 7 (4)"/>
      <sheetName val="Comb. 8 (4)"/>
      <sheetName val="Comb. 9 (4)"/>
      <sheetName val="Comb. 10 (4)"/>
      <sheetName val="TABULATI (4)"/>
      <sheetName val="Manuale"/>
      <sheetName val="riepilogo carichi"/>
      <sheetName val="Inviluppo taglio (4)"/>
      <sheetName val="Inviluppo momento (4)"/>
      <sheetName val="DATI NASCOSTI"/>
      <sheetName val="1-Definizione Carichi"/>
      <sheetName val="Definizione Carichi (2)"/>
      <sheetName val="Definizione Carichi (3)"/>
      <sheetName val="logica e caratt (3)"/>
      <sheetName val="Definizione Carichi (4)"/>
      <sheetName val="OUTPUT SOLLECITAZIONE"/>
      <sheetName val="Comb. 1 (3)"/>
      <sheetName val="Comb. 2 (3)"/>
      <sheetName val="Comb. 3 (3)"/>
      <sheetName val="Comb. 4 (3)"/>
      <sheetName val="Comb. 5  (3)"/>
      <sheetName val="Comb. 6 (3)"/>
      <sheetName val="Comb. 7 (3)"/>
      <sheetName val="Comb. 8 (3)"/>
      <sheetName val="Comb. 9 (3)"/>
      <sheetName val="Comb. 10 (3)"/>
      <sheetName val="TABULATI (3)"/>
      <sheetName val="M TRASLATO"/>
      <sheetName val="2-Progetto Solaio"/>
      <sheetName val="INPUT SOLLEC. ARMATURE"/>
      <sheetName val="Diagramma Mrd"/>
      <sheetName val="DATI NASCOSTI ARMATURA"/>
      <sheetName val="OUTPUT PROGETTO SOLAIO"/>
      <sheetName val="Sollecitazioni SLE"/>
      <sheetName val="OUTPUT VERIFICHE SLE"/>
      <sheetName val="Verifiche COMB RARA"/>
      <sheetName val="Verifiche COMB FREQ"/>
      <sheetName val="Verifiche COMB QUAS PERM"/>
      <sheetName val="M TRASLATO (2)"/>
      <sheetName val="M TRASLATO (3)"/>
      <sheetName val="Inviluppo taglio (3)"/>
      <sheetName val="Inviluppo momento (3)"/>
      <sheetName val="logica e caratt (2)"/>
      <sheetName val="Comb. 1 (2)"/>
      <sheetName val="Comb. 2 (2)"/>
      <sheetName val="Comb. 3 (2)"/>
      <sheetName val="Comb. 4 (2)"/>
      <sheetName val="Comb. 5  (2)"/>
      <sheetName val="Comb. 6 (2)"/>
      <sheetName val="Comb. 7 (2)"/>
      <sheetName val="Comb. 8 (2)"/>
      <sheetName val="Comb. 9 (2)"/>
      <sheetName val="Comb. 10 (2)"/>
      <sheetName val="TABULATI (2)"/>
      <sheetName val="Inviluppo taglio (2)"/>
      <sheetName val="Inviluppo momento (2)"/>
      <sheetName val="M TRASLATO (4)"/>
      <sheetName val="logica e caratt"/>
      <sheetName val="Comb. 1"/>
      <sheetName val="Comb. 2"/>
      <sheetName val="Comb. 3"/>
      <sheetName val="Comb. 4"/>
      <sheetName val="Comb. 5 "/>
      <sheetName val="Comb. 6"/>
      <sheetName val="Comb. 7"/>
      <sheetName val="Comb. 8"/>
      <sheetName val="Comb. 9"/>
      <sheetName val="Comb. 10"/>
      <sheetName val="TABULATI"/>
      <sheetName val="Inviluppo taglio"/>
      <sheetName val="Inviluppo mo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05">
          <cell r="B105" t="str">
            <v>si</v>
          </cell>
          <cell r="C105">
            <v>0.2</v>
          </cell>
        </row>
        <row r="106">
          <cell r="C106">
            <v>0.3</v>
          </cell>
        </row>
        <row r="107">
          <cell r="C107">
            <v>0.4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videcicchini.it/" TargetMode="External"/><Relationship Id="rId1" Type="http://schemas.openxmlformats.org/officeDocument/2006/relationships/hyperlink" Target="http://www.davidecicchini.it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showRowColHeaders="0" tabSelected="1" workbookViewId="0">
      <selection activeCell="H20" sqref="H20:J20"/>
    </sheetView>
  </sheetViews>
  <sheetFormatPr defaultRowHeight="15" x14ac:dyDescent="0.25"/>
  <cols>
    <col min="1" max="1" width="2.140625" customWidth="1"/>
  </cols>
  <sheetData>
    <row r="1" spans="1:14" ht="11.2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 customHeight="1" x14ac:dyDescent="0.25">
      <c r="A5" s="19"/>
      <c r="B5" s="125" t="s">
        <v>97</v>
      </c>
      <c r="C5" s="125"/>
      <c r="D5" s="125"/>
      <c r="E5" s="125"/>
      <c r="F5" s="125"/>
      <c r="G5" s="125"/>
      <c r="H5" s="125"/>
      <c r="I5" s="125"/>
      <c r="J5" s="125"/>
      <c r="K5" s="19"/>
      <c r="L5" s="19"/>
      <c r="M5" s="19"/>
      <c r="N5" s="19"/>
    </row>
    <row r="6" spans="1:14" x14ac:dyDescent="0.25">
      <c r="A6" s="19"/>
      <c r="B6" s="125"/>
      <c r="C6" s="125"/>
      <c r="D6" s="125"/>
      <c r="E6" s="125"/>
      <c r="F6" s="125"/>
      <c r="G6" s="125"/>
      <c r="H6" s="125"/>
      <c r="I6" s="125"/>
      <c r="J6" s="125"/>
      <c r="K6" s="19"/>
      <c r="L6" s="19"/>
      <c r="M6" s="19"/>
      <c r="N6" s="19"/>
    </row>
    <row r="7" spans="1:14" x14ac:dyDescent="0.25">
      <c r="A7" s="19"/>
      <c r="B7" s="125"/>
      <c r="C7" s="125"/>
      <c r="D7" s="125"/>
      <c r="E7" s="125"/>
      <c r="F7" s="125"/>
      <c r="G7" s="125"/>
      <c r="H7" s="125"/>
      <c r="I7" s="125"/>
      <c r="J7" s="125"/>
      <c r="K7" s="19"/>
      <c r="L7" s="19"/>
      <c r="M7" s="19"/>
      <c r="N7" s="19"/>
    </row>
    <row r="8" spans="1:14" x14ac:dyDescent="0.25">
      <c r="A8" s="19"/>
      <c r="B8" s="125"/>
      <c r="C8" s="125"/>
      <c r="D8" s="125"/>
      <c r="E8" s="125"/>
      <c r="F8" s="125"/>
      <c r="G8" s="125"/>
      <c r="H8" s="125"/>
      <c r="I8" s="125"/>
      <c r="J8" s="125"/>
      <c r="K8" s="19"/>
      <c r="L8" s="19"/>
      <c r="M8" s="19"/>
      <c r="N8" s="19"/>
    </row>
    <row r="9" spans="1:14" x14ac:dyDescent="0.25">
      <c r="A9" s="19"/>
      <c r="B9" s="125"/>
      <c r="C9" s="125"/>
      <c r="D9" s="125"/>
      <c r="E9" s="125"/>
      <c r="F9" s="125"/>
      <c r="G9" s="125"/>
      <c r="H9" s="125"/>
      <c r="I9" s="125"/>
      <c r="J9" s="125"/>
      <c r="K9" s="19"/>
      <c r="L9" s="19"/>
      <c r="M9" s="19"/>
      <c r="N9" s="19"/>
    </row>
    <row r="10" spans="1:14" x14ac:dyDescent="0.25">
      <c r="A10" s="19"/>
      <c r="B10" s="125"/>
      <c r="C10" s="125"/>
      <c r="D10" s="125"/>
      <c r="E10" s="125"/>
      <c r="F10" s="125"/>
      <c r="G10" s="125"/>
      <c r="H10" s="125"/>
      <c r="I10" s="125"/>
      <c r="J10" s="125"/>
      <c r="K10" s="19"/>
      <c r="L10" s="19"/>
      <c r="M10" s="19"/>
      <c r="N10" s="19"/>
    </row>
    <row r="11" spans="1:14" x14ac:dyDescent="0.25">
      <c r="A11" s="19"/>
      <c r="B11" s="125"/>
      <c r="C11" s="125"/>
      <c r="D11" s="125"/>
      <c r="E11" s="125"/>
      <c r="F11" s="125"/>
      <c r="G11" s="125"/>
      <c r="H11" s="125"/>
      <c r="I11" s="125"/>
      <c r="J11" s="125"/>
      <c r="K11" s="19"/>
      <c r="L11" s="19"/>
      <c r="M11" s="19"/>
      <c r="N11" s="19"/>
    </row>
    <row r="12" spans="1:14" x14ac:dyDescent="0.25">
      <c r="A12" s="19"/>
      <c r="B12" s="125"/>
      <c r="C12" s="125"/>
      <c r="D12" s="125"/>
      <c r="E12" s="125"/>
      <c r="F12" s="125"/>
      <c r="G12" s="125"/>
      <c r="H12" s="125"/>
      <c r="I12" s="125"/>
      <c r="J12" s="125"/>
      <c r="K12" s="19"/>
      <c r="L12" s="19"/>
      <c r="M12" s="19"/>
      <c r="N12" s="19"/>
    </row>
    <row r="13" spans="1:14" x14ac:dyDescent="0.25">
      <c r="A13" s="19"/>
      <c r="B13" s="125"/>
      <c r="C13" s="125"/>
      <c r="D13" s="125"/>
      <c r="E13" s="125"/>
      <c r="F13" s="125"/>
      <c r="G13" s="125"/>
      <c r="H13" s="125"/>
      <c r="I13" s="125"/>
      <c r="J13" s="125"/>
      <c r="K13" s="19"/>
      <c r="L13" s="19"/>
      <c r="M13" s="19"/>
      <c r="N13" s="19"/>
    </row>
    <row r="14" spans="1:14" x14ac:dyDescent="0.25">
      <c r="A14" s="19"/>
      <c r="B14" s="125"/>
      <c r="C14" s="125"/>
      <c r="D14" s="125"/>
      <c r="E14" s="125"/>
      <c r="F14" s="125"/>
      <c r="G14" s="125"/>
      <c r="H14" s="125"/>
      <c r="I14" s="125"/>
      <c r="J14" s="125"/>
      <c r="K14" s="19"/>
      <c r="L14" s="19"/>
      <c r="M14" s="19"/>
      <c r="N14" s="19"/>
    </row>
    <row r="15" spans="1:14" x14ac:dyDescent="0.25">
      <c r="A15" s="19"/>
      <c r="B15" s="125"/>
      <c r="C15" s="125"/>
      <c r="D15" s="125"/>
      <c r="E15" s="125"/>
      <c r="F15" s="125"/>
      <c r="G15" s="125"/>
      <c r="H15" s="125"/>
      <c r="I15" s="125"/>
      <c r="J15" s="125"/>
      <c r="K15" s="19"/>
      <c r="L15" s="19"/>
      <c r="M15" s="19"/>
      <c r="N15" s="19"/>
    </row>
    <row r="16" spans="1:14" x14ac:dyDescent="0.25">
      <c r="A16" s="19"/>
      <c r="B16" s="125"/>
      <c r="C16" s="125"/>
      <c r="D16" s="125"/>
      <c r="E16" s="125"/>
      <c r="F16" s="125"/>
      <c r="G16" s="125"/>
      <c r="H16" s="125"/>
      <c r="I16" s="125"/>
      <c r="J16" s="125"/>
      <c r="K16" s="19"/>
      <c r="L16" s="19"/>
      <c r="M16" s="19"/>
      <c r="N16" s="19"/>
    </row>
    <row r="17" spans="1:14" x14ac:dyDescent="0.25">
      <c r="A17" s="19"/>
      <c r="B17" s="125"/>
      <c r="C17" s="125"/>
      <c r="D17" s="125"/>
      <c r="E17" s="125"/>
      <c r="F17" s="125"/>
      <c r="G17" s="125"/>
      <c r="H17" s="125"/>
      <c r="I17" s="125"/>
      <c r="J17" s="125"/>
      <c r="K17" s="19"/>
      <c r="L17" s="19"/>
      <c r="M17" s="19"/>
      <c r="N17" s="19"/>
    </row>
    <row r="18" spans="1:14" ht="15.75" x14ac:dyDescent="0.25">
      <c r="A18" s="19"/>
      <c r="B18" s="126" t="s">
        <v>96</v>
      </c>
      <c r="C18" s="126"/>
      <c r="D18" s="126"/>
      <c r="E18" s="19"/>
      <c r="F18" s="19"/>
      <c r="G18" s="19"/>
      <c r="K18" s="19"/>
      <c r="L18" s="19"/>
      <c r="M18" s="19"/>
      <c r="N18" s="19"/>
    </row>
    <row r="19" spans="1:14" x14ac:dyDescent="0.25">
      <c r="A19" s="19"/>
      <c r="B19" s="109" t="s">
        <v>66</v>
      </c>
      <c r="C19" s="109"/>
      <c r="D19" s="109"/>
      <c r="E19" s="19"/>
      <c r="F19" s="19"/>
      <c r="G19" s="19"/>
      <c r="H19" s="107" t="s">
        <v>65</v>
      </c>
      <c r="I19" s="107"/>
      <c r="J19" s="107"/>
      <c r="K19" s="19"/>
      <c r="L19" s="19"/>
      <c r="M19" s="19"/>
      <c r="N19" s="19"/>
    </row>
    <row r="20" spans="1:14" ht="15.75" x14ac:dyDescent="0.25">
      <c r="A20" s="19"/>
      <c r="B20" s="80"/>
      <c r="C20" s="19"/>
      <c r="D20" s="19"/>
      <c r="E20" s="19"/>
      <c r="F20" s="19"/>
      <c r="G20" s="19"/>
      <c r="H20" s="108" t="s">
        <v>66</v>
      </c>
      <c r="I20" s="108"/>
      <c r="J20" s="108"/>
      <c r="K20" s="19"/>
      <c r="L20" s="19"/>
      <c r="M20" s="19"/>
      <c r="N20" s="19"/>
    </row>
    <row r="21" spans="1:14" ht="15.75" x14ac:dyDescent="0.25">
      <c r="A21" s="19"/>
      <c r="B21" s="8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x14ac:dyDescent="0.25">
      <c r="A22" s="19"/>
      <c r="B22" s="80"/>
      <c r="C22" s="19"/>
      <c r="D22" s="19"/>
      <c r="E22" s="19"/>
      <c r="F22" s="19"/>
      <c r="G22" s="19"/>
      <c r="K22" s="19"/>
      <c r="L22" s="19"/>
      <c r="M22" s="19"/>
      <c r="N22" s="19"/>
    </row>
    <row r="23" spans="1:14" ht="15.75" x14ac:dyDescent="0.25">
      <c r="A23" s="19"/>
      <c r="B23" s="80"/>
      <c r="C23" s="19"/>
      <c r="D23" s="19"/>
      <c r="E23" s="19"/>
      <c r="F23" s="19"/>
      <c r="G23" s="19"/>
      <c r="K23" s="19"/>
      <c r="L23" s="19"/>
      <c r="M23" s="19"/>
      <c r="N23" s="19"/>
    </row>
    <row r="24" spans="1:14" ht="15.75" x14ac:dyDescent="0.25">
      <c r="A24" s="19"/>
      <c r="B24" s="8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.75" x14ac:dyDescent="0.25">
      <c r="A25" s="19"/>
      <c r="B25" s="8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5.75" x14ac:dyDescent="0.25">
      <c r="A26" s="19"/>
      <c r="B26" s="8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.75" x14ac:dyDescent="0.25">
      <c r="A27" s="19"/>
      <c r="B27" s="8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9"/>
      <c r="B28" s="8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.75" x14ac:dyDescent="0.25">
      <c r="A29" s="19"/>
      <c r="B29" s="8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.75" x14ac:dyDescent="0.25">
      <c r="A30" s="19"/>
      <c r="B30" s="8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.75" x14ac:dyDescent="0.25">
      <c r="B31" s="81"/>
    </row>
  </sheetData>
  <sheetProtection password="948B" sheet="1" objects="1" scenarios="1" selectLockedCells="1"/>
  <mergeCells count="5">
    <mergeCell ref="H19:J19"/>
    <mergeCell ref="H20:J20"/>
    <mergeCell ref="B19:D19"/>
    <mergeCell ref="B5:J17"/>
    <mergeCell ref="B18:D18"/>
  </mergeCells>
  <hyperlinks>
    <hyperlink ref="H20" r:id="rId1"/>
    <hyperlink ref="B19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1"/>
  <sheetViews>
    <sheetView showGridLines="0" showRowColHeaders="0" zoomScale="90" zoomScaleNormal="90" workbookViewId="0">
      <selection activeCell="F8" sqref="F8"/>
    </sheetView>
  </sheetViews>
  <sheetFormatPr defaultRowHeight="15" x14ac:dyDescent="0.25"/>
  <cols>
    <col min="1" max="1" width="3" customWidth="1"/>
    <col min="2" max="3" width="19.28515625" customWidth="1"/>
    <col min="4" max="6" width="17.42578125" customWidth="1"/>
    <col min="8" max="8" width="15.140625" customWidth="1"/>
    <col min="9" max="9" width="10" customWidth="1"/>
    <col min="10" max="10" width="4.85546875" customWidth="1"/>
    <col min="12" max="12" width="10.7109375" customWidth="1"/>
    <col min="13" max="13" width="9.140625" customWidth="1"/>
    <col min="14" max="14" width="4.85546875" customWidth="1"/>
    <col min="16" max="16" width="10.7109375" bestFit="1" customWidth="1"/>
  </cols>
  <sheetData>
    <row r="2" spans="2:23" ht="18.75" x14ac:dyDescent="0.3">
      <c r="B2" s="110" t="s">
        <v>94</v>
      </c>
      <c r="C2" s="110"/>
      <c r="D2" s="110"/>
      <c r="E2" s="110"/>
      <c r="F2" s="110"/>
    </row>
    <row r="3" spans="2:23" x14ac:dyDescent="0.25">
      <c r="B3" s="19"/>
      <c r="C3" s="19"/>
      <c r="D3" s="19"/>
      <c r="E3" s="19"/>
      <c r="F3" s="19"/>
      <c r="G3" s="19"/>
      <c r="H3" s="19"/>
      <c r="I3" s="19"/>
      <c r="Q3" s="45"/>
      <c r="R3" s="45"/>
      <c r="S3" s="45"/>
      <c r="T3" s="45"/>
      <c r="U3" s="45"/>
      <c r="V3" s="45"/>
      <c r="W3" s="45"/>
    </row>
    <row r="4" spans="2:23" x14ac:dyDescent="0.25">
      <c r="B4" s="111" t="s">
        <v>92</v>
      </c>
      <c r="C4" s="111"/>
      <c r="D4" s="19"/>
      <c r="E4" s="19"/>
      <c r="F4" s="19"/>
      <c r="G4" s="19"/>
      <c r="Q4" s="45"/>
      <c r="R4" s="45"/>
      <c r="S4" s="45"/>
      <c r="T4" s="45"/>
      <c r="U4" s="45"/>
      <c r="V4" s="45"/>
      <c r="W4" s="45"/>
    </row>
    <row r="5" spans="2:23" x14ac:dyDescent="0.25">
      <c r="B5" s="28"/>
      <c r="C5" s="28"/>
      <c r="D5" s="19"/>
      <c r="E5" s="19"/>
      <c r="F5" s="19"/>
      <c r="G5" s="19"/>
      <c r="Q5" s="45"/>
      <c r="R5" s="45"/>
      <c r="S5" s="45"/>
      <c r="T5" s="45"/>
      <c r="U5" s="45"/>
      <c r="V5" s="45"/>
      <c r="W5" s="45"/>
    </row>
    <row r="6" spans="2:23" ht="15.75" x14ac:dyDescent="0.25">
      <c r="B6" s="28" t="s">
        <v>41</v>
      </c>
      <c r="C6" s="28"/>
      <c r="D6" s="19"/>
      <c r="E6" s="19"/>
      <c r="F6" s="19"/>
      <c r="G6" s="19"/>
      <c r="Q6" s="51"/>
      <c r="R6" s="51"/>
      <c r="S6" s="45"/>
      <c r="T6" s="45"/>
      <c r="U6" s="45"/>
      <c r="V6" s="45"/>
      <c r="W6" s="45"/>
    </row>
    <row r="7" spans="2:23" ht="16.5" thickBot="1" x14ac:dyDescent="0.3">
      <c r="B7" s="28"/>
      <c r="C7" s="28"/>
      <c r="D7" s="19"/>
      <c r="E7" s="19"/>
      <c r="F7" s="19"/>
      <c r="G7" s="19"/>
      <c r="Q7" s="51"/>
      <c r="R7" s="51"/>
      <c r="S7" s="45"/>
      <c r="T7" s="45"/>
      <c r="U7" s="47"/>
      <c r="V7" s="47"/>
      <c r="W7" s="47"/>
    </row>
    <row r="8" spans="2:23" ht="17.25" thickTop="1" thickBot="1" x14ac:dyDescent="0.3">
      <c r="B8" s="19" t="s">
        <v>42</v>
      </c>
      <c r="C8" s="28"/>
      <c r="D8" s="19"/>
      <c r="E8" s="19"/>
      <c r="F8" s="39" t="s">
        <v>24</v>
      </c>
      <c r="G8" s="19"/>
      <c r="P8" s="51"/>
      <c r="Q8" s="51"/>
      <c r="R8" s="51"/>
      <c r="S8" s="45"/>
      <c r="T8" s="45"/>
      <c r="U8" s="48"/>
      <c r="V8" s="48"/>
      <c r="W8" s="48"/>
    </row>
    <row r="9" spans="2:23" ht="17.25" thickTop="1" thickBot="1" x14ac:dyDescent="0.3">
      <c r="B9" s="19" t="s">
        <v>89</v>
      </c>
      <c r="C9" s="19"/>
      <c r="D9" s="19"/>
      <c r="E9" s="9" t="s">
        <v>88</v>
      </c>
      <c r="F9" s="39">
        <v>0.85</v>
      </c>
      <c r="G9" s="19"/>
      <c r="K9" s="45"/>
      <c r="L9" s="44"/>
      <c r="M9" s="46"/>
      <c r="N9" s="57"/>
      <c r="O9" s="57"/>
      <c r="P9" s="57"/>
      <c r="Q9" s="57"/>
      <c r="R9" s="57"/>
      <c r="S9" s="45"/>
      <c r="T9" s="45"/>
      <c r="U9" s="48"/>
      <c r="V9" s="48"/>
      <c r="W9" s="48"/>
    </row>
    <row r="10" spans="2:23" ht="16.5" thickTop="1" x14ac:dyDescent="0.25">
      <c r="B10" s="19"/>
      <c r="C10" s="19"/>
      <c r="D10" s="19"/>
      <c r="E10" s="19"/>
      <c r="F10" s="19"/>
      <c r="G10" s="19"/>
      <c r="K10" s="45"/>
      <c r="L10" s="44"/>
      <c r="M10" s="46"/>
      <c r="N10" s="57"/>
      <c r="O10" s="57"/>
      <c r="P10" s="57"/>
      <c r="Q10" s="57"/>
      <c r="R10" s="57"/>
      <c r="S10" s="45"/>
      <c r="T10" s="45"/>
      <c r="U10" s="48"/>
      <c r="V10" s="48"/>
      <c r="W10" s="48"/>
    </row>
    <row r="11" spans="2:23" x14ac:dyDescent="0.25">
      <c r="B11" s="19" t="s">
        <v>31</v>
      </c>
      <c r="C11" s="19"/>
      <c r="D11" s="19"/>
      <c r="E11" s="24" t="s">
        <v>68</v>
      </c>
      <c r="F11" s="36">
        <f>VLOOKUP(F8,'foglio deposito'!G4:H14,2,FALSE)</f>
        <v>30</v>
      </c>
      <c r="G11" s="19"/>
      <c r="P11" s="44"/>
      <c r="Q11" s="44"/>
      <c r="R11" s="45"/>
      <c r="S11" s="45"/>
      <c r="T11" s="45"/>
      <c r="U11" s="45"/>
      <c r="V11" s="45"/>
      <c r="W11" s="45"/>
    </row>
    <row r="12" spans="2:23" x14ac:dyDescent="0.25">
      <c r="B12" s="19" t="s">
        <v>32</v>
      </c>
      <c r="C12" s="19"/>
      <c r="D12" s="19"/>
      <c r="E12" s="24" t="s">
        <v>69</v>
      </c>
      <c r="F12" s="36">
        <f>F13+8</f>
        <v>32.9</v>
      </c>
      <c r="G12" s="19"/>
      <c r="P12" s="44"/>
      <c r="Q12" s="44"/>
      <c r="R12" s="45"/>
      <c r="S12" s="45"/>
      <c r="T12" s="45"/>
      <c r="U12" s="45"/>
      <c r="V12" s="45"/>
      <c r="W12" s="45"/>
    </row>
    <row r="13" spans="2:23" x14ac:dyDescent="0.25">
      <c r="B13" s="19" t="s">
        <v>33</v>
      </c>
      <c r="C13" s="19"/>
      <c r="D13" s="19"/>
      <c r="E13" s="24" t="s">
        <v>70</v>
      </c>
      <c r="F13" s="36">
        <f>F11*0.83</f>
        <v>24.9</v>
      </c>
      <c r="G13" s="19"/>
      <c r="I13" s="19"/>
      <c r="P13" s="44"/>
      <c r="Q13" s="44"/>
      <c r="R13" s="45"/>
      <c r="S13" s="45"/>
      <c r="T13" s="45"/>
      <c r="U13" s="45"/>
      <c r="V13" s="45"/>
      <c r="W13" s="45"/>
    </row>
    <row r="14" spans="2:23" x14ac:dyDescent="0.25">
      <c r="B14" s="19" t="s">
        <v>34</v>
      </c>
      <c r="C14" s="19"/>
      <c r="D14" s="19"/>
      <c r="E14" s="24" t="s">
        <v>71</v>
      </c>
      <c r="F14" s="36">
        <f>(0.83*F11)/1.5</f>
        <v>16.599999999999998</v>
      </c>
      <c r="G14" s="19"/>
      <c r="I14" s="19"/>
      <c r="P14" s="44"/>
      <c r="Q14" s="44"/>
      <c r="R14" s="45"/>
      <c r="S14" s="45"/>
      <c r="T14" s="45"/>
      <c r="U14" s="45"/>
      <c r="V14" s="45"/>
      <c r="W14" s="45"/>
    </row>
    <row r="15" spans="2:23" x14ac:dyDescent="0.25">
      <c r="B15" s="19" t="s">
        <v>35</v>
      </c>
      <c r="C15" s="19"/>
      <c r="D15" s="19"/>
      <c r="E15" s="25" t="s">
        <v>72</v>
      </c>
      <c r="F15" s="36">
        <f>0.3*F13^(2/3)</f>
        <v>2.5581194481669618</v>
      </c>
      <c r="G15" s="19"/>
      <c r="H15" s="19"/>
      <c r="I15" s="19"/>
      <c r="P15" s="44"/>
      <c r="Q15" s="44"/>
      <c r="R15" s="45"/>
      <c r="S15" s="45"/>
      <c r="T15" s="45"/>
      <c r="U15" s="45"/>
      <c r="V15" s="45"/>
      <c r="W15" s="45"/>
    </row>
    <row r="16" spans="2:23" x14ac:dyDescent="0.25">
      <c r="B16" s="19" t="s">
        <v>36</v>
      </c>
      <c r="C16" s="19"/>
      <c r="D16" s="19"/>
      <c r="E16" s="24" t="s">
        <v>73</v>
      </c>
      <c r="F16" s="36">
        <f>0.7*F15</f>
        <v>1.7906836137168731</v>
      </c>
      <c r="G16" s="19"/>
      <c r="H16" s="19"/>
      <c r="I16" s="19"/>
      <c r="P16" s="44"/>
      <c r="Q16" s="44"/>
      <c r="R16" s="45"/>
      <c r="S16" s="45"/>
      <c r="T16" s="45"/>
      <c r="U16" s="45"/>
      <c r="V16" s="45"/>
      <c r="W16" s="45"/>
    </row>
    <row r="17" spans="2:23" x14ac:dyDescent="0.25">
      <c r="B17" s="19" t="s">
        <v>37</v>
      </c>
      <c r="C17" s="19"/>
      <c r="D17" s="19"/>
      <c r="E17" s="24" t="s">
        <v>74</v>
      </c>
      <c r="F17" s="36">
        <f>F16/1.5</f>
        <v>1.1937890758112488</v>
      </c>
      <c r="G17" s="19"/>
      <c r="H17" s="19"/>
      <c r="I17" s="19"/>
      <c r="P17" s="44"/>
      <c r="Q17" s="44"/>
      <c r="R17" s="45"/>
      <c r="S17" s="45"/>
      <c r="T17" s="45"/>
      <c r="U17" s="45"/>
      <c r="V17" s="45"/>
      <c r="W17" s="45"/>
    </row>
    <row r="18" spans="2:23" x14ac:dyDescent="0.25">
      <c r="B18" s="19" t="s">
        <v>38</v>
      </c>
      <c r="C18" s="19"/>
      <c r="D18" s="19"/>
      <c r="E18" s="24" t="s">
        <v>75</v>
      </c>
      <c r="F18" s="36">
        <f>(2.25*F16)/1.5</f>
        <v>2.68602542057531</v>
      </c>
      <c r="G18" s="19"/>
      <c r="H18" s="19"/>
      <c r="I18" s="19"/>
      <c r="P18" s="44"/>
      <c r="Q18" s="44"/>
      <c r="R18" s="45"/>
      <c r="S18" s="45"/>
      <c r="T18" s="45"/>
      <c r="U18" s="45"/>
      <c r="V18" s="45"/>
      <c r="W18" s="45"/>
    </row>
    <row r="19" spans="2:23" x14ac:dyDescent="0.25">
      <c r="B19" s="19" t="s">
        <v>39</v>
      </c>
      <c r="C19" s="19"/>
      <c r="D19" s="19"/>
      <c r="E19" s="24" t="s">
        <v>40</v>
      </c>
      <c r="F19" s="37">
        <f>22000*((0.83*F11+8)/10)^0.3</f>
        <v>31447.161439943484</v>
      </c>
      <c r="G19" s="19"/>
      <c r="H19" s="19"/>
      <c r="I19" s="19"/>
      <c r="P19" s="44"/>
      <c r="Q19" s="44"/>
      <c r="R19" s="45"/>
      <c r="S19" s="45"/>
      <c r="T19" s="45"/>
      <c r="U19" s="45"/>
      <c r="V19" s="45"/>
      <c r="W19" s="45"/>
    </row>
    <row r="20" spans="2:23" x14ac:dyDescent="0.25">
      <c r="B20" s="19"/>
      <c r="C20" s="19"/>
      <c r="D20" s="19"/>
      <c r="E20" s="19"/>
      <c r="F20" s="19"/>
      <c r="G20" s="19"/>
      <c r="H20" s="19"/>
      <c r="I20" s="19"/>
      <c r="P20" s="45"/>
      <c r="Q20" s="45"/>
      <c r="R20" s="45"/>
      <c r="S20" s="45"/>
      <c r="T20" s="45"/>
      <c r="U20" s="45"/>
      <c r="V20" s="45"/>
      <c r="W20" s="45"/>
    </row>
    <row r="21" spans="2:23" x14ac:dyDescent="0.25">
      <c r="B21" s="28" t="s">
        <v>43</v>
      </c>
      <c r="C21" s="19"/>
      <c r="D21" s="19"/>
      <c r="E21" s="19"/>
      <c r="F21" s="19"/>
      <c r="G21" s="19"/>
      <c r="P21" s="45"/>
      <c r="Q21" s="45"/>
      <c r="R21" s="45"/>
      <c r="S21" s="45"/>
      <c r="T21" s="45"/>
      <c r="U21" s="45"/>
      <c r="V21" s="45"/>
      <c r="W21" s="45"/>
    </row>
    <row r="22" spans="2:23" ht="15.75" thickBot="1" x14ac:dyDescent="0.3">
      <c r="B22" s="19"/>
      <c r="C22" s="19"/>
      <c r="D22" s="19"/>
      <c r="E22" s="19"/>
      <c r="F22" s="19"/>
      <c r="G22" s="19"/>
    </row>
    <row r="23" spans="2:23" ht="16.5" thickTop="1" thickBot="1" x14ac:dyDescent="0.3">
      <c r="B23" s="19" t="s">
        <v>44</v>
      </c>
      <c r="C23" s="19"/>
      <c r="D23" s="19"/>
      <c r="E23" s="19"/>
      <c r="F23" s="39" t="s">
        <v>19</v>
      </c>
      <c r="G23" s="19"/>
    </row>
    <row r="24" spans="2:23" ht="15.75" thickTop="1" x14ac:dyDescent="0.25">
      <c r="B24" s="19"/>
      <c r="C24" s="19"/>
      <c r="D24" s="19"/>
      <c r="E24" s="19"/>
      <c r="F24" s="59"/>
      <c r="G24" s="19"/>
    </row>
    <row r="25" spans="2:23" x14ac:dyDescent="0.25">
      <c r="B25" s="19" t="s">
        <v>52</v>
      </c>
      <c r="C25" s="19"/>
      <c r="D25" s="19"/>
      <c r="E25" s="24" t="s">
        <v>53</v>
      </c>
      <c r="F25" s="34">
        <f>(VLOOKUP(F23,'foglio deposito'!J4:L5,3,FALSE))</f>
        <v>540</v>
      </c>
      <c r="G25" s="19"/>
    </row>
    <row r="26" spans="2:23" x14ac:dyDescent="0.25">
      <c r="B26" s="19" t="s">
        <v>51</v>
      </c>
      <c r="C26" s="16"/>
      <c r="D26" s="27"/>
      <c r="E26" s="24" t="s">
        <v>76</v>
      </c>
      <c r="F26" s="34">
        <f>(VLOOKUP(F23,'foglio deposito'!J4:K5,2,FALSE))</f>
        <v>450</v>
      </c>
      <c r="G26" s="19"/>
    </row>
    <row r="27" spans="2:23" x14ac:dyDescent="0.25">
      <c r="B27" s="19" t="s">
        <v>56</v>
      </c>
      <c r="C27" s="19"/>
      <c r="D27" s="19"/>
      <c r="E27" s="24" t="s">
        <v>77</v>
      </c>
      <c r="F27" s="34">
        <f>(VLOOKUP(F23,'foglio deposito'!J4:K5,2,FALSE)/1.15)</f>
        <v>391.304347826087</v>
      </c>
      <c r="G27" s="19"/>
    </row>
    <row r="28" spans="2:23" x14ac:dyDescent="0.25">
      <c r="B28" s="19" t="s">
        <v>39</v>
      </c>
      <c r="C28" s="19"/>
      <c r="D28" s="19"/>
      <c r="E28" s="24" t="s">
        <v>78</v>
      </c>
      <c r="F28" s="26">
        <v>206000</v>
      </c>
      <c r="G28" s="19"/>
    </row>
    <row r="29" spans="2:23" x14ac:dyDescent="0.25">
      <c r="B29" s="19"/>
      <c r="C29" s="16"/>
      <c r="D29" s="27"/>
      <c r="E29" s="19"/>
      <c r="F29" s="19"/>
      <c r="G29" s="19"/>
      <c r="H29" s="19"/>
      <c r="I29" s="19"/>
      <c r="J29" s="19"/>
      <c r="K29" s="19"/>
    </row>
    <row r="30" spans="2:23" x14ac:dyDescent="0.25">
      <c r="B30" s="19"/>
      <c r="C30" s="16"/>
      <c r="D30" s="27"/>
      <c r="E30" s="19"/>
      <c r="F30" s="19"/>
      <c r="G30" s="19"/>
      <c r="H30" s="19"/>
      <c r="I30" s="19"/>
      <c r="J30" s="19"/>
      <c r="K30" s="19"/>
    </row>
    <row r="31" spans="2:23" x14ac:dyDescent="0.25">
      <c r="B31" s="104" t="s">
        <v>93</v>
      </c>
      <c r="C31" s="20"/>
      <c r="D31" s="19"/>
      <c r="E31" s="19"/>
      <c r="F31" s="19"/>
      <c r="G31" s="19"/>
      <c r="I31" s="19"/>
      <c r="J31" s="19"/>
      <c r="K31" s="19"/>
    </row>
    <row r="32" spans="2:23" x14ac:dyDescent="0.25">
      <c r="B32" s="20"/>
      <c r="C32" s="20"/>
      <c r="D32" s="19"/>
      <c r="E32" s="19"/>
      <c r="F32" s="19"/>
      <c r="G32" s="19"/>
      <c r="I32" s="19"/>
      <c r="J32" s="19"/>
      <c r="K32" s="19"/>
    </row>
    <row r="33" spans="2:13" x14ac:dyDescent="0.25">
      <c r="B33" s="28" t="s">
        <v>41</v>
      </c>
      <c r="C33" s="19"/>
      <c r="D33" s="19"/>
      <c r="E33" s="9"/>
      <c r="F33" s="35"/>
      <c r="G33" s="19"/>
      <c r="I33" s="19"/>
      <c r="J33" s="19"/>
      <c r="K33" s="19"/>
    </row>
    <row r="34" spans="2:13" ht="15.75" thickBot="1" x14ac:dyDescent="0.3">
      <c r="B34" s="19"/>
      <c r="C34" s="19"/>
      <c r="D34" s="19"/>
      <c r="E34" s="19"/>
      <c r="F34" s="19"/>
      <c r="G34" s="19"/>
      <c r="I34" s="19"/>
      <c r="J34" s="19"/>
      <c r="K34" s="19"/>
    </row>
    <row r="35" spans="2:13" ht="16.5" thickTop="1" thickBot="1" x14ac:dyDescent="0.3">
      <c r="B35" s="19" t="s">
        <v>45</v>
      </c>
      <c r="C35" s="19"/>
      <c r="D35" s="19"/>
      <c r="E35" s="9" t="s">
        <v>10</v>
      </c>
      <c r="F35" s="82">
        <v>-2</v>
      </c>
      <c r="I35" s="19"/>
      <c r="J35" s="19"/>
    </row>
    <row r="36" spans="2:13" ht="17.25" thickTop="1" thickBot="1" x14ac:dyDescent="0.3">
      <c r="B36" s="19" t="s">
        <v>46</v>
      </c>
      <c r="C36" s="19"/>
      <c r="D36" s="19"/>
      <c r="E36" s="8" t="s">
        <v>9</v>
      </c>
      <c r="F36" s="38">
        <v>-3.5</v>
      </c>
    </row>
    <row r="37" spans="2:13" ht="15.75" thickTop="1" x14ac:dyDescent="0.25"/>
    <row r="38" spans="2:13" x14ac:dyDescent="0.25">
      <c r="B38" s="28" t="s">
        <v>43</v>
      </c>
      <c r="C38" s="19"/>
      <c r="D38" s="19"/>
      <c r="E38" s="19"/>
      <c r="F38" s="19"/>
      <c r="G38" s="19"/>
    </row>
    <row r="39" spans="2:13" ht="15.75" thickBot="1" x14ac:dyDescent="0.3">
      <c r="B39" s="19"/>
      <c r="C39" s="19"/>
      <c r="D39" s="19"/>
      <c r="E39" s="19"/>
      <c r="F39" s="19"/>
      <c r="G39" s="19"/>
    </row>
    <row r="40" spans="2:13" ht="17.25" thickTop="1" thickBot="1" x14ac:dyDescent="0.3">
      <c r="B40" s="19" t="s">
        <v>47</v>
      </c>
      <c r="C40" s="19"/>
      <c r="D40" s="19"/>
      <c r="E40" s="8" t="s">
        <v>8</v>
      </c>
      <c r="F40" s="106">
        <v>1.87</v>
      </c>
      <c r="H40" s="105"/>
      <c r="I40" s="19"/>
      <c r="J40" s="19"/>
      <c r="K40" s="19"/>
    </row>
    <row r="41" spans="2:13" ht="17.25" thickTop="1" thickBot="1" x14ac:dyDescent="0.3">
      <c r="B41" s="19" t="s">
        <v>48</v>
      </c>
      <c r="C41" s="19"/>
      <c r="D41" s="19"/>
      <c r="E41" s="8" t="s">
        <v>12</v>
      </c>
      <c r="F41" s="106">
        <v>67.5</v>
      </c>
      <c r="I41" s="19"/>
      <c r="J41" s="19"/>
      <c r="K41" s="19"/>
    </row>
    <row r="42" spans="2:13" ht="15.75" thickTop="1" x14ac:dyDescent="0.25"/>
    <row r="44" spans="2:13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2:13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2:13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2:13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2:13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2:13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2:13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2:13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2:13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2:13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2:13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2:13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13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3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2:13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x14ac:dyDescent="0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2:13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2:13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2:13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2:13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2:13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</sheetData>
  <sheetProtection password="948B" sheet="1" objects="1" scenarios="1" selectLockedCells="1"/>
  <mergeCells count="2">
    <mergeCell ref="B2:F2"/>
    <mergeCell ref="B4:C4"/>
  </mergeCells>
  <conditionalFormatting sqref="O9:O10">
    <cfRule type="cellIs" dxfId="0" priority="1" operator="equal">
      <formula>"verificato"</formula>
    </cfRule>
  </conditionalFormatting>
  <dataValidations count="2">
    <dataValidation type="list" allowBlank="1" showInputMessage="1" showErrorMessage="1" sqref="F23">
      <formula1>fer</formula1>
    </dataValidation>
    <dataValidation type="list" allowBlank="1" showInputMessage="1" showErrorMessage="1" sqref="F8">
      <formula1>clas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107"/>
  <sheetViews>
    <sheetView showGridLines="0" showRowColHeaders="0" workbookViewId="0">
      <selection activeCell="Q28" sqref="Q28"/>
    </sheetView>
  </sheetViews>
  <sheetFormatPr defaultRowHeight="15" x14ac:dyDescent="0.25"/>
  <cols>
    <col min="1" max="1" width="4.42578125" customWidth="1"/>
    <col min="2" max="9" width="11.140625" customWidth="1"/>
    <col min="10" max="10" width="6.28515625" customWidth="1"/>
    <col min="11" max="11" width="12.7109375" bestFit="1" customWidth="1"/>
    <col min="12" max="12" width="13.5703125" customWidth="1"/>
    <col min="13" max="13" width="20.7109375" customWidth="1"/>
    <col min="14" max="14" width="13.5703125" customWidth="1"/>
    <col min="15" max="15" width="15.140625" customWidth="1"/>
    <col min="16" max="16" width="13.5703125" customWidth="1"/>
    <col min="18" max="19" width="9.7109375" customWidth="1"/>
    <col min="21" max="21" width="13.28515625" bestFit="1" customWidth="1"/>
  </cols>
  <sheetData>
    <row r="2" spans="1:20" ht="15.75" x14ac:dyDescent="0.25">
      <c r="B2" s="123" t="s">
        <v>63</v>
      </c>
      <c r="C2" s="123"/>
      <c r="D2" s="123"/>
      <c r="E2" s="123"/>
      <c r="F2" s="123"/>
      <c r="G2" s="123"/>
      <c r="H2" s="121" t="str">
        <f>IF('foglio deposito'!D33="no","NON CONFINATO (Secondo NTC-08)","CONFINATO (Secondo EC2)")</f>
        <v>NON CONFINATO (Secondo NTC-08)</v>
      </c>
      <c r="I2" s="121"/>
      <c r="J2" s="121"/>
      <c r="K2" s="121"/>
      <c r="O2" s="19"/>
      <c r="P2" s="19"/>
      <c r="Q2" s="19"/>
      <c r="R2" s="19"/>
      <c r="S2" s="19"/>
      <c r="T2" s="19"/>
    </row>
    <row r="3" spans="1:20" ht="9" customHeight="1" x14ac:dyDescent="0.25"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9.75" customHeight="1" x14ac:dyDescent="0.25">
      <c r="B4" s="19"/>
      <c r="C4" s="122"/>
      <c r="D4" s="122"/>
      <c r="E4" s="122"/>
      <c r="F4" s="122"/>
      <c r="G4" s="122"/>
      <c r="H4" s="122"/>
      <c r="I4" s="84"/>
      <c r="J4" s="95"/>
      <c r="K4" s="95"/>
      <c r="L4" s="19"/>
      <c r="M4" s="19"/>
      <c r="N4" s="19"/>
      <c r="O4" s="19"/>
      <c r="P4" s="19"/>
      <c r="Q4" s="19"/>
      <c r="R4" s="19"/>
      <c r="S4" s="19"/>
      <c r="T4" s="19"/>
    </row>
    <row r="5" spans="1:20" ht="21" customHeight="1" x14ac:dyDescent="0.25">
      <c r="A5" s="70"/>
      <c r="B5" s="101" t="s">
        <v>95</v>
      </c>
      <c r="C5" s="102" t="s">
        <v>84</v>
      </c>
      <c r="D5" s="43" t="s">
        <v>61</v>
      </c>
      <c r="E5" s="43" t="s">
        <v>62</v>
      </c>
      <c r="F5" s="43" t="s">
        <v>1</v>
      </c>
      <c r="G5" s="43" t="s">
        <v>0</v>
      </c>
      <c r="H5" s="43" t="s">
        <v>85</v>
      </c>
      <c r="I5" s="43" t="s">
        <v>86</v>
      </c>
      <c r="K5" s="4"/>
      <c r="L5" s="19"/>
      <c r="M5" s="19"/>
      <c r="N5" s="19"/>
      <c r="O5" s="19"/>
      <c r="P5" s="19"/>
      <c r="Q5" s="19"/>
      <c r="R5" s="19"/>
      <c r="S5" s="19"/>
      <c r="T5" s="19"/>
    </row>
    <row r="6" spans="1:20" x14ac:dyDescent="0.25">
      <c r="A6" s="83"/>
      <c r="B6" s="98">
        <f>'foglio deposito'!$L$34/'foglio deposito'!$B$141*'foglio deposito'!B41</f>
        <v>0</v>
      </c>
      <c r="C6" s="30">
        <f>IF(B6&gt;'foglio deposito'!$L$33,2*'foglio deposito'!$F$22/'foglio deposito'!$L$33*(B6-B6^2/(2*'foglio deposito'!$L$33)),'foglio deposito'!$F$22)</f>
        <v>0</v>
      </c>
      <c r="D6" s="99">
        <f>IF(B6&gt;'foglio deposito'!$F$29,2*'foglio deposito'!$D$30/(-'foglio deposito'!$F$29)*(B6^2/2-(-B6)^3/(-6*'foglio deposito'!$F$29)),2*'foglio deposito'!$D$30/(-'foglio deposito'!$F$29)*('foglio deposito'!$F$29^2/2-(-'foglio deposito'!$F$29)^3/(-6*'foglio deposito'!$F$29))+'foglio deposito'!$D$30*(ABS(B6)-ABS('foglio deposito'!$F$29)))</f>
        <v>0</v>
      </c>
      <c r="E6" s="99">
        <f>IF(ABS(B6)&lt;ABS('foglio deposito'!$F$29),-2*'foglio deposito'!$D$30/(-'foglio deposito'!$F$29)*(-B6^3/3-(B6)^4/(-8*'foglio deposito'!$F$29)),-(2*'foglio deposito'!$D$30/(-'foglio deposito'!$F$29)*(ABS('foglio deposito'!$F$29)^3/3-ABS('foglio deposito'!$F$29)^4/(-8*'foglio deposito'!$F$29))+'foglio deposito'!$D$30/2*(ABS(B6)^2-ABS('foglio deposito'!$F$29)^2)))</f>
        <v>0</v>
      </c>
      <c r="F6" s="100">
        <f>D6/('foglio deposito'!$F$22*'foglio deposito'!$L$34)</f>
        <v>0</v>
      </c>
      <c r="G6" s="100">
        <v>0</v>
      </c>
      <c r="H6" s="103">
        <v>0</v>
      </c>
      <c r="I6" s="30">
        <f>C6*G6</f>
        <v>0</v>
      </c>
      <c r="J6" s="92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x14ac:dyDescent="0.25">
      <c r="B7" s="98">
        <f>'foglio deposito'!$L$34/'foglio deposito'!$B$141*'foglio deposito'!B42</f>
        <v>-3.5000000000000004E-5</v>
      </c>
      <c r="C7" s="30">
        <f>IF(B7&gt;'foglio deposito'!$L$33,2*'foglio deposito'!$F$22/'foglio deposito'!$L$33*(B7-B7^2/(2*'foglio deposito'!$L$33)),'foglio deposito'!$F$22)</f>
        <v>-0.48952881250000002</v>
      </c>
      <c r="D7" s="99">
        <f>IF(B7&gt;'foglio deposito'!$F$29,2*'foglio deposito'!$D$30/(-'foglio deposito'!$F$29)*(B7^2/2-(-B7)^3/(-6*'foglio deposito'!$F$29)),2*'foglio deposito'!$D$30/(-'foglio deposito'!$F$29)*('foglio deposito'!$F$29^2/2-(-'foglio deposito'!$F$29)^3/(-6*'foglio deposito'!$F$29))+'foglio deposito'!$D$30*(ABS(B7)-ABS('foglio deposito'!$F$29)))</f>
        <v>8.5919611458333339E-6</v>
      </c>
      <c r="E7" s="99">
        <f>IF(ABS(B7)&lt;ABS('foglio deposito'!$F$29),-2*'foglio deposito'!$D$30/(-'foglio deposito'!$F$29)*(-B7^3/3-(B7)^4/(-8*'foglio deposito'!$F$29)),-(2*'foglio deposito'!$D$30/(-'foglio deposito'!$F$29)*(ABS('foglio deposito'!$F$29)^3/3-ABS('foglio deposito'!$F$29)^4/(-8*'foglio deposito'!$F$29))+'foglio deposito'!$D$30/2*(ABS(B7)^2-ABS('foglio deposito'!$F$29)^2)))</f>
        <v>-2.0033205299479169E-10</v>
      </c>
      <c r="F7" s="100">
        <f>D7/('foglio deposito'!$F$22*'foglio deposito'!$L$34)</f>
        <v>1.7397916666666671E-4</v>
      </c>
      <c r="G7" s="100">
        <f t="shared" ref="G7:G38" si="0">1-(E7/D7)/B7</f>
        <v>0.33382229673093045</v>
      </c>
      <c r="H7" s="103">
        <f t="shared" ref="H7:H38" si="1">E7/D7</f>
        <v>-2.3316219614417436E-5</v>
      </c>
      <c r="I7" s="30">
        <f t="shared" ref="I7:I70" si="2">C7*G7</f>
        <v>-0.16341563250471502</v>
      </c>
      <c r="J7" s="92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x14ac:dyDescent="0.25">
      <c r="B8" s="98">
        <f>'foglio deposito'!$L$34/'foglio deposito'!$B$141*'foglio deposito'!B43</f>
        <v>-7.0000000000000007E-5</v>
      </c>
      <c r="C8" s="30">
        <f>IF(B8&gt;'foglio deposito'!$L$33,2*'foglio deposito'!$F$22/'foglio deposito'!$L$33*(B8-B8^2/(2*'foglio deposito'!$L$33)),'foglio deposito'!$F$22)</f>
        <v>-0.97041524999999995</v>
      </c>
      <c r="D8" s="99">
        <f>IF(B8&gt;'foglio deposito'!$F$29,2*'foglio deposito'!$D$30/(-'foglio deposito'!$F$29)*(B8^2/2-(-B8)^3/(-6*'foglio deposito'!$F$29)),2*'foglio deposito'!$D$30/(-'foglio deposito'!$F$29)*('foglio deposito'!$F$29^2/2-(-'foglio deposito'!$F$29)^3/(-6*'foglio deposito'!$F$29))+'foglio deposito'!$D$30*(ABS(B8)-ABS('foglio deposito'!$F$29)))</f>
        <v>3.416618916666667E-5</v>
      </c>
      <c r="E8" s="99">
        <f>IF(ABS(B8)&lt;ABS('foglio deposito'!$F$29),-2*'foglio deposito'!$D$30/(-'foglio deposito'!$F$29)*(-B8^3/3-(B8)^4/(-8*'foglio deposito'!$F$29)),-(2*'foglio deposito'!$D$30/(-'foglio deposito'!$F$29)*(ABS('foglio deposito'!$F$29)^3/3-ABS('foglio deposito'!$F$29)^4/(-8*'foglio deposito'!$F$29))+'foglio deposito'!$D$30/2*(ABS(B8)^2-ABS('foglio deposito'!$F$29)^2)))</f>
        <v>-1.5920695145833337E-9</v>
      </c>
      <c r="F8" s="100">
        <f>D8/('foglio deposito'!$F$22*'foglio deposito'!$L$34)</f>
        <v>6.9183333333333347E-4</v>
      </c>
      <c r="G8" s="100">
        <f t="shared" si="0"/>
        <v>0.33431703204047214</v>
      </c>
      <c r="H8" s="103">
        <f t="shared" si="1"/>
        <v>-4.6597807757166955E-5</v>
      </c>
      <c r="I8" s="30">
        <f t="shared" si="2"/>
        <v>-0.32442634622681277</v>
      </c>
      <c r="J8" s="92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x14ac:dyDescent="0.25">
      <c r="B9" s="98">
        <f>'foglio deposito'!$L$34/'foglio deposito'!$B$141*'foglio deposito'!B44</f>
        <v>-1.05E-4</v>
      </c>
      <c r="C9" s="30">
        <f>IF(B9&gt;'foglio deposito'!$L$33,2*'foglio deposito'!$F$22/'foglio deposito'!$L$33*(B9-B9^2/(2*'foglio deposito'!$L$33)),'foglio deposito'!$F$22)</f>
        <v>-1.4426593124999998</v>
      </c>
      <c r="D9" s="99">
        <f>IF(B9&gt;'foglio deposito'!$F$29,2*'foglio deposito'!$D$30/(-'foglio deposito'!$F$29)*(B9^2/2-(-B9)^3/(-6*'foglio deposito'!$F$29)),2*'foglio deposito'!$D$30/(-'foglio deposito'!$F$29)*('foglio deposito'!$F$29^2/2-(-'foglio deposito'!$F$29)^3/(-6*'foglio deposito'!$F$29))+'foglio deposito'!$D$30*(ABS(B9)-ABS('foglio deposito'!$F$29)))</f>
        <v>7.64202009375E-5</v>
      </c>
      <c r="E9" s="99">
        <f>IF(ABS(B9)&lt;ABS('foglio deposito'!$F$29),-2*'foglio deposito'!$D$30/(-'foglio deposito'!$F$29)*(-B9^3/3-(B9)^4/(-8*'foglio deposito'!$F$29)),-(2*'foglio deposito'!$D$30/(-'foglio deposito'!$F$29)*(ABS('foglio deposito'!$F$29)^3/3-ABS('foglio deposito'!$F$29)^4/(-8*'foglio deposito'!$F$29))+'foglio deposito'!$D$30/2*(ABS(B9)^2-ABS('foglio deposito'!$F$29)^2)))</f>
        <v>-5.3375037925781246E-9</v>
      </c>
      <c r="F9" s="100">
        <f>D9/('foglio deposito'!$F$22*'foglio deposito'!$L$34)</f>
        <v>1.5474375000000002E-3</v>
      </c>
      <c r="G9" s="100">
        <f t="shared" si="0"/>
        <v>0.33481764206955056</v>
      </c>
      <c r="H9" s="103">
        <f t="shared" si="1"/>
        <v>-6.9844147582697193E-5</v>
      </c>
      <c r="I9" s="30">
        <f t="shared" si="2"/>
        <v>-0.48302778932092882</v>
      </c>
      <c r="J9" s="92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5.75" customHeight="1" x14ac:dyDescent="0.25">
      <c r="B10" s="98">
        <f>'foglio deposito'!$L$34/'foglio deposito'!$B$141*'foglio deposito'!B45</f>
        <v>-1.4000000000000001E-4</v>
      </c>
      <c r="C10" s="30">
        <f>IF(B10&gt;'foglio deposito'!$L$33,2*'foglio deposito'!$F$22/'foglio deposito'!$L$33*(B10-B10^2/(2*'foglio deposito'!$L$33)),'foglio deposito'!$F$22)</f>
        <v>-1.9062609999999998</v>
      </c>
      <c r="D10" s="99">
        <f>IF(B10&gt;'foglio deposito'!$F$29,2*'foglio deposito'!$D$30/(-'foglio deposito'!$F$29)*(B10^2/2-(-B10)^3/(-6*'foglio deposito'!$F$29)),2*'foglio deposito'!$D$30/(-'foglio deposito'!$F$29)*('foglio deposito'!$F$29^2/2-(-'foglio deposito'!$F$29)^3/(-6*'foglio deposito'!$F$29))+'foglio deposito'!$D$30*(ABS(B10)-ABS('foglio deposito'!$F$29)))</f>
        <v>1.3505151333333332E-4</v>
      </c>
      <c r="E10" s="99">
        <f>IF(ABS(B10)&lt;ABS('foglio deposito'!$F$29),-2*'foglio deposito'!$D$30/(-'foglio deposito'!$F$29)*(-B10^3/3-(B10)^4/(-8*'foglio deposito'!$F$29)),-(2*'foglio deposito'!$D$30/(-'foglio deposito'!$F$29)*(ABS('foglio deposito'!$F$29)^3/3-ABS('foglio deposito'!$F$29)^4/(-8*'foglio deposito'!$F$29))+'foglio deposito'!$D$30/2*(ABS(B10)^2-ABS('foglio deposito'!$F$29)^2)))</f>
        <v>-1.2567165566666669E-8</v>
      </c>
      <c r="F10" s="100">
        <f>D10/('foglio deposito'!$F$22*'foglio deposito'!$L$34)</f>
        <v>2.7346666666666669E-3</v>
      </c>
      <c r="G10" s="100">
        <f t="shared" si="0"/>
        <v>0.3353242320819112</v>
      </c>
      <c r="H10" s="103">
        <f t="shared" si="1"/>
        <v>-9.3054607508532446E-5</v>
      </c>
      <c r="I10" s="30">
        <f t="shared" si="2"/>
        <v>-0.63921550597269605</v>
      </c>
      <c r="J10" s="92"/>
      <c r="K10" s="19"/>
      <c r="L10" s="19"/>
      <c r="M10" s="19"/>
      <c r="N10" s="19"/>
      <c r="O10" s="19"/>
      <c r="P10" s="19"/>
      <c r="Q10" s="19"/>
    </row>
    <row r="11" spans="1:20" ht="15.75" customHeight="1" x14ac:dyDescent="0.25">
      <c r="B11" s="98">
        <f>'foglio deposito'!$L$34/'foglio deposito'!$B$141*'foglio deposito'!B46</f>
        <v>-1.7500000000000003E-4</v>
      </c>
      <c r="C11" s="30">
        <f>IF(B11&gt;'foglio deposito'!$L$33,2*'foglio deposito'!$F$22/'foglio deposito'!$L$33*(B11-B11^2/(2*'foglio deposito'!$L$33)),'foglio deposito'!$F$22)</f>
        <v>-2.3612203125</v>
      </c>
      <c r="D11" s="99">
        <f>IF(B11&gt;'foglio deposito'!$F$29,2*'foglio deposito'!$D$30/(-'foglio deposito'!$F$29)*(B11^2/2-(-B11)^3/(-6*'foglio deposito'!$F$29)),2*'foglio deposito'!$D$30/(-'foglio deposito'!$F$29)*('foglio deposito'!$F$29^2/2-(-'foglio deposito'!$F$29)^3/(-6*'foglio deposito'!$F$29))+'foglio deposito'!$D$30*(ABS(B11)-ABS('foglio deposito'!$F$29)))</f>
        <v>2.0975764322916671E-4</v>
      </c>
      <c r="E11" s="99">
        <f>IF(ABS(B11)&lt;ABS('foglio deposito'!$F$29),-2*'foglio deposito'!$D$30/(-'foglio deposito'!$F$29)*(-B11^3/3-(B11)^4/(-8*'foglio deposito'!$F$29)),-(2*'foglio deposito'!$D$30/(-'foglio deposito'!$F$29)*(ABS('foglio deposito'!$F$29)^3/3-ABS('foglio deposito'!$F$29)^4/(-8*'foglio deposito'!$F$29))+'foglio deposito'!$D$30/2*(ABS(B11)^2-ABS('foglio deposito'!$F$29)^2)))</f>
        <v>-2.4379824788411465E-8</v>
      </c>
      <c r="F11" s="100">
        <f>D11/('foglio deposito'!$F$22*'foglio deposito'!$L$34)</f>
        <v>4.2473958333333348E-3</v>
      </c>
      <c r="G11" s="100">
        <f t="shared" si="0"/>
        <v>0.3358369098712447</v>
      </c>
      <c r="H11" s="103">
        <f t="shared" si="1"/>
        <v>-1.1622854077253219E-4</v>
      </c>
      <c r="I11" s="30">
        <f t="shared" si="2"/>
        <v>-0.7929849332752148</v>
      </c>
      <c r="J11" s="92"/>
      <c r="K11" s="19"/>
      <c r="L11" s="19"/>
      <c r="M11" s="19"/>
      <c r="N11" s="19"/>
      <c r="O11" s="19"/>
      <c r="P11" s="19"/>
      <c r="Q11" s="19"/>
    </row>
    <row r="12" spans="1:20" x14ac:dyDescent="0.25">
      <c r="B12" s="98">
        <f>'foglio deposito'!$L$34/'foglio deposito'!$B$141*'foglio deposito'!B47</f>
        <v>-2.1000000000000001E-4</v>
      </c>
      <c r="C12" s="30">
        <f>IF(B12&gt;'foglio deposito'!$L$33,2*'foglio deposito'!$F$22/'foglio deposito'!$L$33*(B12-B12^2/(2*'foglio deposito'!$L$33)),'foglio deposito'!$F$22)</f>
        <v>-2.8075372499999998</v>
      </c>
      <c r="D12" s="99">
        <f>IF(B12&gt;'foglio deposito'!$F$29,2*'foglio deposito'!$D$30/(-'foglio deposito'!$F$29)*(B12^2/2-(-B12)^3/(-6*'foglio deposito'!$F$29)),2*'foglio deposito'!$D$30/(-'foglio deposito'!$F$29)*('foglio deposito'!$F$29^2/2-(-'foglio deposito'!$F$29)^3/(-6*'foglio deposito'!$F$29))+'foglio deposito'!$D$30*(ABS(B12)-ABS('foglio deposito'!$F$29)))</f>
        <v>3.0023610749999995E-4</v>
      </c>
      <c r="E12" s="99">
        <f>IF(ABS(B12)&lt;ABS('foglio deposito'!$F$29),-2*'foglio deposito'!$D$30/(-'foglio deposito'!$F$29)*(-B12^3/3-(B12)^4/(-8*'foglio deposito'!$F$29)),-(2*'foglio deposito'!$D$30/(-'foglio deposito'!$F$29)*(ABS('foglio deposito'!$F$29)^3/3-ABS('foglio deposito'!$F$29)^4/(-8*'foglio deposito'!$F$29))+'foglio deposito'!$D$30/2*(ABS(B12)^2-ABS('foglio deposito'!$F$29)^2)))</f>
        <v>-4.184249068125E-8</v>
      </c>
      <c r="F12" s="100">
        <f>D12/('foglio deposito'!$F$22*'foglio deposito'!$L$34)</f>
        <v>6.0794999999999998E-3</v>
      </c>
      <c r="G12" s="100">
        <f t="shared" si="0"/>
        <v>0.33635578583765113</v>
      </c>
      <c r="H12" s="103">
        <f t="shared" si="1"/>
        <v>-1.3936528497409328E-4</v>
      </c>
      <c r="I12" s="30">
        <f t="shared" si="2"/>
        <v>-0.94433139799222798</v>
      </c>
      <c r="J12" s="92"/>
      <c r="K12" s="19"/>
      <c r="L12" s="19"/>
      <c r="M12" s="19"/>
      <c r="N12" s="19"/>
      <c r="O12" s="19"/>
      <c r="P12" s="19"/>
      <c r="Q12" s="19"/>
    </row>
    <row r="13" spans="1:20" ht="15.75" thickBot="1" x14ac:dyDescent="0.3">
      <c r="B13" s="98">
        <f>'foglio deposito'!$L$34/'foglio deposito'!$B$141*'foglio deposito'!B48</f>
        <v>-2.4500000000000005E-4</v>
      </c>
      <c r="C13" s="30">
        <f>IF(B13&gt;'foglio deposito'!$L$33,2*'foglio deposito'!$F$22/'foglio deposito'!$L$33*(B13-B13^2/(2*'foglio deposito'!$L$33)),'foglio deposito'!$F$22)</f>
        <v>-3.2452118125</v>
      </c>
      <c r="D13" s="99">
        <f>IF(B13&gt;'foglio deposito'!$F$29,2*'foglio deposito'!$D$30/(-'foglio deposito'!$F$29)*(B13^2/2-(-B13)^3/(-6*'foglio deposito'!$F$29)),2*'foglio deposito'!$D$30/(-'foglio deposito'!$F$29)*('foglio deposito'!$F$29^2/2-(-'foglio deposito'!$F$29)^3/(-6*'foglio deposito'!$F$29))+'foglio deposito'!$D$30*(ABS(B13)-ABS('foglio deposito'!$F$29)))</f>
        <v>4.0618442302083345E-4</v>
      </c>
      <c r="E13" s="99">
        <f>IF(ABS(B13)&lt;ABS('foglio deposito'!$F$29),-2*'foglio deposito'!$D$30/(-'foglio deposito'!$F$29)*(-B13^3/3-(B13)^4/(-8*'foglio deposito'!$F$29)),-(2*'foglio deposito'!$D$30/(-'foglio deposito'!$F$29)*(ABS('foglio deposito'!$F$29)^3/3-ABS('foglio deposito'!$F$29)^4/(-8*'foglio deposito'!$F$29))+'foglio deposito'!$D$30/2*(ABS(B13)^2-ABS('foglio deposito'!$F$29)^2)))</f>
        <v>-6.5990411740494817E-8</v>
      </c>
      <c r="F13" s="100">
        <f>D13/('foglio deposito'!$F$22*'foglio deposito'!$L$34)</f>
        <v>8.2248541666666702E-3</v>
      </c>
      <c r="G13" s="100">
        <f t="shared" si="0"/>
        <v>0.33688097306689835</v>
      </c>
      <c r="H13" s="103">
        <f t="shared" si="1"/>
        <v>-1.6246416159860992E-4</v>
      </c>
      <c r="I13" s="30">
        <f t="shared" si="2"/>
        <v>-1.0932501132031929</v>
      </c>
      <c r="J13" s="92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5.75" thickTop="1" x14ac:dyDescent="0.25">
      <c r="B14" s="98">
        <f>'foglio deposito'!$L$34/'foglio deposito'!$B$141*'foglio deposito'!B49</f>
        <v>-2.8000000000000003E-4</v>
      </c>
      <c r="C14" s="30">
        <f>IF(B14&gt;'foglio deposito'!$L$33,2*'foglio deposito'!$F$22/'foglio deposito'!$L$33*(B14-B14^2/(2*'foglio deposito'!$L$33)),'foglio deposito'!$F$22)</f>
        <v>-3.6742440000000003</v>
      </c>
      <c r="D14" s="99">
        <f>IF(B14&gt;'foglio deposito'!$F$29,2*'foglio deposito'!$D$30/(-'foglio deposito'!$F$29)*(B14^2/2-(-B14)^3/(-6*'foglio deposito'!$F$29)),2*'foglio deposito'!$D$30/(-'foglio deposito'!$F$29)*('foglio deposito'!$F$29^2/2-(-'foglio deposito'!$F$29)^3/(-6*'foglio deposito'!$F$29))+'foglio deposito'!$D$30*(ABS(B14)-ABS('foglio deposito'!$F$29)))</f>
        <v>5.2730010666666668E-4</v>
      </c>
      <c r="E14" s="99">
        <f>IF(ABS(B14)&lt;ABS('foglio deposito'!$F$29),-2*'foglio deposito'!$D$30/(-'foglio deposito'!$F$29)*(-B14^3/3-(B14)^4/(-8*'foglio deposito'!$F$29)),-(2*'foglio deposito'!$D$30/(-'foglio deposito'!$F$29)*(ABS('foglio deposito'!$F$29)^3/3-ABS('foglio deposito'!$F$29)^4/(-8*'foglio deposito'!$F$29))+'foglio deposito'!$D$30/2*(ABS(B14)^2-ABS('foglio deposito'!$F$29)^2)))</f>
        <v>-9.7827075733333346E-8</v>
      </c>
      <c r="F14" s="100">
        <f>D14/('foglio deposito'!$F$22*'foglio deposito'!$L$34)</f>
        <v>1.0677333333333336E-2</v>
      </c>
      <c r="G14" s="100">
        <f t="shared" si="0"/>
        <v>0.33741258741258739</v>
      </c>
      <c r="H14" s="103">
        <f t="shared" si="1"/>
        <v>-1.8552447552447554E-4</v>
      </c>
      <c r="I14" s="30">
        <f t="shared" si="2"/>
        <v>-1.239736174825175</v>
      </c>
      <c r="J14" s="92"/>
      <c r="K14" s="19"/>
      <c r="L14" s="19"/>
      <c r="M14" s="19"/>
      <c r="N14" s="19"/>
      <c r="O14" s="19"/>
      <c r="P14" s="19"/>
      <c r="Q14" s="19"/>
      <c r="R14" s="112" t="s">
        <v>90</v>
      </c>
      <c r="S14" s="113"/>
      <c r="T14" s="118" t="s">
        <v>16</v>
      </c>
    </row>
    <row r="15" spans="1:20" x14ac:dyDescent="0.25">
      <c r="B15" s="98">
        <f>'foglio deposito'!$L$34/'foglio deposito'!$B$141*'foglio deposito'!B50</f>
        <v>-3.1500000000000001E-4</v>
      </c>
      <c r="C15" s="30">
        <f>IF(B15&gt;'foglio deposito'!$L$33,2*'foglio deposito'!$F$22/'foglio deposito'!$L$33*(B15-B15^2/(2*'foglio deposito'!$L$33)),'foglio deposito'!$F$22)</f>
        <v>-4.0946338124999997</v>
      </c>
      <c r="D15" s="99">
        <f>IF(B15&gt;'foglio deposito'!$F$29,2*'foglio deposito'!$D$30/(-'foglio deposito'!$F$29)*(B15^2/2-(-B15)^3/(-6*'foglio deposito'!$F$29)),2*'foglio deposito'!$D$30/(-'foglio deposito'!$F$29)*('foglio deposito'!$F$29^2/2-(-'foglio deposito'!$F$29)^3/(-6*'foglio deposito'!$F$29))+'foglio deposito'!$D$30*(ABS(B15)-ABS('foglio deposito'!$F$29)))</f>
        <v>6.6328067531249996E-4</v>
      </c>
      <c r="E15" s="99">
        <f>IF(ABS(B15)&lt;ABS('foglio deposito'!$F$29),-2*'foglio deposito'!$D$30/(-'foglio deposito'!$F$29)*(-B15^3/3-(B15)^4/(-8*'foglio deposito'!$F$29)),-(2*'foglio deposito'!$D$30/(-'foglio deposito'!$F$29)*(ABS('foglio deposito'!$F$29)^3/3-ABS('foglio deposito'!$F$29)^4/(-8*'foglio deposito'!$F$29))+'foglio deposito'!$D$30/2*(ABS(B15)^2-ABS('foglio deposito'!$F$29)^2)))</f>
        <v>-1.383242096988281E-7</v>
      </c>
      <c r="F15" s="100">
        <f>D15/('foglio deposito'!$F$22*'foglio deposito'!$L$34)</f>
        <v>1.3430812500000002E-2</v>
      </c>
      <c r="G15" s="100">
        <f t="shared" si="0"/>
        <v>0.33795074758135457</v>
      </c>
      <c r="H15" s="103">
        <f t="shared" si="1"/>
        <v>-2.0854551451187332E-4</v>
      </c>
      <c r="I15" s="30">
        <f t="shared" si="2"/>
        <v>-1.3837845580062669</v>
      </c>
      <c r="J15" s="92"/>
      <c r="K15" s="19"/>
      <c r="L15" s="19"/>
      <c r="M15" s="19"/>
      <c r="N15" s="19"/>
      <c r="O15" s="19"/>
      <c r="P15" s="19"/>
      <c r="Q15" s="19"/>
      <c r="R15" s="114"/>
      <c r="S15" s="115"/>
      <c r="T15" s="119"/>
    </row>
    <row r="16" spans="1:20" ht="15.75" thickBot="1" x14ac:dyDescent="0.3">
      <c r="B16" s="98">
        <f>'foglio deposito'!$L$34/'foglio deposito'!$B$141*'foglio deposito'!B51</f>
        <v>-3.5000000000000005E-4</v>
      </c>
      <c r="C16" s="30">
        <f>IF(B16&gt;'foglio deposito'!$L$33,2*'foglio deposito'!$F$22/'foglio deposito'!$L$33*(B16-B16^2/(2*'foglio deposito'!$L$33)),'foglio deposito'!$F$22)</f>
        <v>-4.5063812500000004</v>
      </c>
      <c r="D16" s="99">
        <f>IF(B16&gt;'foglio deposito'!$F$29,2*'foglio deposito'!$D$30/(-'foglio deposito'!$F$29)*(B16^2/2-(-B16)^3/(-6*'foglio deposito'!$F$29)),2*'foglio deposito'!$D$30/(-'foglio deposito'!$F$29)*('foglio deposito'!$F$29^2/2-(-'foglio deposito'!$F$29)^3/(-6*'foglio deposito'!$F$29))+'foglio deposito'!$D$30*(ABS(B16)-ABS('foglio deposito'!$F$29)))</f>
        <v>8.1382364583333351E-4</v>
      </c>
      <c r="E16" s="99">
        <f>IF(ABS(B16)&lt;ABS('foglio deposito'!$F$29),-2*'foglio deposito'!$D$30/(-'foglio deposito'!$F$29)*(-B16^3/3-(B16)^4/(-8*'foglio deposito'!$F$29)),-(2*'foglio deposito'!$D$30/(-'foglio deposito'!$F$29)*(ABS('foglio deposito'!$F$29)^3/3-ABS('foglio deposito'!$F$29)^4/(-8*'foglio deposito'!$F$29))+'foglio deposito'!$D$30/2*(ABS(B16)^2-ABS('foglio deposito'!$F$29)^2)))</f>
        <v>-1.8842177994791675E-7</v>
      </c>
      <c r="F16" s="100">
        <f>D16/('foglio deposito'!$F$22*'foglio deposito'!$L$34)</f>
        <v>1.6479166666666673E-2</v>
      </c>
      <c r="G16" s="100">
        <f t="shared" si="0"/>
        <v>0.33849557522123885</v>
      </c>
      <c r="H16" s="103">
        <f t="shared" si="1"/>
        <v>-2.3152654867256644E-4</v>
      </c>
      <c r="I16" s="30">
        <f t="shared" si="2"/>
        <v>-1.5253901133849554</v>
      </c>
      <c r="J16" s="92"/>
      <c r="K16" s="19"/>
      <c r="L16" s="19"/>
      <c r="M16" s="19"/>
      <c r="N16" s="19"/>
      <c r="O16" s="19"/>
      <c r="P16" s="19"/>
      <c r="Q16" s="19"/>
      <c r="R16" s="116"/>
      <c r="S16" s="117"/>
      <c r="T16" s="120"/>
    </row>
    <row r="17" spans="2:23" ht="15.75" thickTop="1" x14ac:dyDescent="0.25">
      <c r="B17" s="98">
        <f>'foglio deposito'!$L$34/'foglio deposito'!$B$141*'foglio deposito'!B52</f>
        <v>-3.8500000000000003E-4</v>
      </c>
      <c r="C17" s="30">
        <f>IF(B17&gt;'foglio deposito'!$L$33,2*'foglio deposito'!$F$22/'foglio deposito'!$L$33*(B17-B17^2/(2*'foglio deposito'!$L$33)),'foglio deposito'!$F$22)</f>
        <v>-4.9094863124999994</v>
      </c>
      <c r="D17" s="99">
        <f>IF(B17&gt;'foglio deposito'!$F$29,2*'foglio deposito'!$D$30/(-'foglio deposito'!$F$29)*(B17^2/2-(-B17)^3/(-6*'foglio deposito'!$F$29)),2*'foglio deposito'!$D$30/(-'foglio deposito'!$F$29)*('foglio deposito'!$F$29^2/2-(-'foglio deposito'!$F$29)^3/(-6*'foglio deposito'!$F$29))+'foglio deposito'!$D$30*(ABS(B17)-ABS('foglio deposito'!$F$29)))</f>
        <v>9.7862653510416672E-4</v>
      </c>
      <c r="E17" s="99">
        <f>IF(ABS(B17)&lt;ABS('foglio deposito'!$F$29),-2*'foglio deposito'!$D$30/(-'foglio deposito'!$F$29)*(-B17^3/3-(B17)^4/(-8*'foglio deposito'!$F$29)),-(2*'foglio deposito'!$D$30/(-'foglio deposito'!$F$29)*(ABS('foglio deposito'!$F$29)^3/3-ABS('foglio deposito'!$F$29)^4/(-8*'foglio deposito'!$F$29))+'foglio deposito'!$D$30/2*(ABS(B17)^2-ABS('foglio deposito'!$F$29)^2)))</f>
        <v>-2.4902799206341145E-7</v>
      </c>
      <c r="F17" s="100">
        <f>D17/('foglio deposito'!$F$22*'foglio deposito'!$L$34)</f>
        <v>1.9816270833333337E-2</v>
      </c>
      <c r="G17" s="100">
        <f t="shared" si="0"/>
        <v>0.33904719501335712</v>
      </c>
      <c r="H17" s="103">
        <f t="shared" si="1"/>
        <v>-2.5446682991985751E-4</v>
      </c>
      <c r="I17" s="30">
        <f t="shared" si="2"/>
        <v>-1.6645475632095947</v>
      </c>
      <c r="J17" s="92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3" x14ac:dyDescent="0.25">
      <c r="B18" s="98">
        <f>'foglio deposito'!$L$34/'foglio deposito'!$B$141*'foglio deposito'!B53</f>
        <v>-4.2000000000000002E-4</v>
      </c>
      <c r="C18" s="30">
        <f>IF(B18&gt;'foglio deposito'!$L$33,2*'foglio deposito'!$F$22/'foglio deposito'!$L$33*(B18-B18^2/(2*'foglio deposito'!$L$33)),'foglio deposito'!$F$22)</f>
        <v>-5.3039489999999994</v>
      </c>
      <c r="D18" s="99">
        <f>IF(B18&gt;'foglio deposito'!$F$29,2*'foglio deposito'!$D$30/(-'foglio deposito'!$F$29)*(B18^2/2-(-B18)^3/(-6*'foglio deposito'!$F$29)),2*'foglio deposito'!$D$30/(-'foglio deposito'!$F$29)*('foglio deposito'!$F$29^2/2-(-'foglio deposito'!$F$29)^3/(-6*'foglio deposito'!$F$29))+'foglio deposito'!$D$30*(ABS(B18)-ABS('foglio deposito'!$F$29)))</f>
        <v>1.1573868600000001E-3</v>
      </c>
      <c r="E18" s="99">
        <f>IF(ABS(B18)&lt;ABS('foglio deposito'!$F$29),-2*'foglio deposito'!$D$30/(-'foglio deposito'!$F$29)*(-B18^3/3-(B18)^4/(-8*'foglio deposito'!$F$29)),-(2*'foglio deposito'!$D$30/(-'foglio deposito'!$F$29)*(ABS('foglio deposito'!$F$29)^3/3-ABS('foglio deposito'!$F$29)^4/(-8*'foglio deposito'!$F$29))+'foglio deposito'!$D$30/2*(ABS(B18)^2-ABS('foglio deposito'!$F$29)^2)))</f>
        <v>-3.210192909E-7</v>
      </c>
      <c r="F18" s="100">
        <f>D18/('foglio deposito'!$F$22*'foglio deposito'!$L$34)</f>
        <v>2.3436000000000005E-2</v>
      </c>
      <c r="G18" s="100">
        <f t="shared" si="0"/>
        <v>0.33960573476702516</v>
      </c>
      <c r="H18" s="103">
        <f t="shared" si="1"/>
        <v>-2.7736559139784943E-4</v>
      </c>
      <c r="I18" s="30">
        <f t="shared" si="2"/>
        <v>-1.8012514973118281</v>
      </c>
      <c r="J18" s="92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2:23" x14ac:dyDescent="0.25">
      <c r="B19" s="98">
        <f>'foglio deposito'!$L$34/'foglio deposito'!$B$141*'foglio deposito'!B54</f>
        <v>-4.5500000000000006E-4</v>
      </c>
      <c r="C19" s="30">
        <f>IF(B19&gt;'foglio deposito'!$L$33,2*'foglio deposito'!$F$22/'foglio deposito'!$L$33*(B19-B19^2/(2*'foglio deposito'!$L$33)),'foglio deposito'!$F$22)</f>
        <v>-5.6897693125000002</v>
      </c>
      <c r="D19" s="99">
        <f>IF(B19&gt;'foglio deposito'!$F$29,2*'foglio deposito'!$D$30/(-'foglio deposito'!$F$29)*(B19^2/2-(-B19)^3/(-6*'foglio deposito'!$F$29)),2*'foglio deposito'!$D$30/(-'foglio deposito'!$F$29)*('foglio deposito'!$F$29^2/2-(-'foglio deposito'!$F$29)^3/(-6*'foglio deposito'!$F$29))+'foglio deposito'!$D$30*(ABS(B19)-ABS('foglio deposito'!$F$29)))</f>
        <v>1.3498021373958334E-3</v>
      </c>
      <c r="E19" s="99">
        <f>IF(ABS(B19)&lt;ABS('foglio deposito'!$F$29),-2*'foglio deposito'!$D$30/(-'foglio deposito'!$F$29)*(-B19^3/3-(B19)^4/(-8*'foglio deposito'!$F$29)),-(2*'foglio deposito'!$D$30/(-'foglio deposito'!$F$29)*(ABS('foglio deposito'!$F$29)^3/3-ABS('foglio deposito'!$F$29)^4/(-8*'foglio deposito'!$F$29))+'foglio deposito'!$D$30/2*(ABS(B19)^2-ABS('foglio deposito'!$F$29)^2)))</f>
        <v>-4.0524036058424482E-7</v>
      </c>
      <c r="F19" s="100">
        <f>D19/('foglio deposito'!$F$22*'foglio deposito'!$L$34)</f>
        <v>2.7332229166666673E-2</v>
      </c>
      <c r="G19" s="100">
        <f t="shared" si="0"/>
        <v>0.34017132551848517</v>
      </c>
      <c r="H19" s="103">
        <f t="shared" si="1"/>
        <v>-3.0022204688908929E-4</v>
      </c>
      <c r="I19" s="30">
        <f t="shared" si="2"/>
        <v>-1.9354963689275251</v>
      </c>
      <c r="J19" s="92"/>
      <c r="K19" s="19"/>
      <c r="L19" s="19"/>
      <c r="M19" s="19"/>
      <c r="N19" s="19"/>
      <c r="O19" s="67"/>
      <c r="P19" s="19"/>
      <c r="Q19" s="19"/>
      <c r="R19" s="19"/>
      <c r="S19" s="19"/>
      <c r="T19" s="19"/>
    </row>
    <row r="20" spans="2:23" x14ac:dyDescent="0.25">
      <c r="B20" s="98">
        <f>'foglio deposito'!$L$34/'foglio deposito'!$B$141*'foglio deposito'!B55</f>
        <v>-4.9000000000000009E-4</v>
      </c>
      <c r="C20" s="30">
        <f>IF(B20&gt;'foglio deposito'!$L$33,2*'foglio deposito'!$F$22/'foglio deposito'!$L$33*(B20-B20^2/(2*'foglio deposito'!$L$33)),'foglio deposito'!$F$22)</f>
        <v>-6.0669472500000001</v>
      </c>
      <c r="D20" s="99">
        <f>IF(B20&gt;'foglio deposito'!$F$29,2*'foglio deposito'!$D$30/(-'foglio deposito'!$F$29)*(B20^2/2-(-B20)^3/(-6*'foglio deposito'!$F$29)),2*'foglio deposito'!$D$30/(-'foglio deposito'!$F$29)*('foglio deposito'!$F$29^2/2-(-'foglio deposito'!$F$29)^3/(-6*'foglio deposito'!$F$29))+'foglio deposito'!$D$30*(ABS(B20)-ABS('foglio deposito'!$F$29)))</f>
        <v>1.5555698841666671E-3</v>
      </c>
      <c r="E20" s="99">
        <f>IF(ABS(B20)&lt;ABS('foglio deposito'!$F$29),-2*'foglio deposito'!$D$30/(-'foglio deposito'!$F$29)*(-B20^3/3-(B20)^4/(-8*'foglio deposito'!$F$29)),-(2*'foglio deposito'!$D$30/(-'foglio deposito'!$F$29)*(ABS('foglio deposito'!$F$29)^3/3-ABS('foglio deposito'!$F$29)^4/(-8*'foglio deposito'!$F$29))+'foglio deposito'!$D$30/2*(ABS(B20)^2-ABS('foglio deposito'!$F$29)^2)))</f>
        <v>-5.0250412451458362E-7</v>
      </c>
      <c r="F20" s="100">
        <f>D20/('foglio deposito'!$F$22*'foglio deposito'!$L$34)</f>
        <v>3.1498833333333351E-2</v>
      </c>
      <c r="G20" s="100">
        <f t="shared" si="0"/>
        <v>0.34074410163339375</v>
      </c>
      <c r="H20" s="103">
        <f t="shared" si="1"/>
        <v>-3.2303539019963714E-4</v>
      </c>
      <c r="I20" s="30">
        <f t="shared" si="2"/>
        <v>-2.0672764903584389</v>
      </c>
      <c r="J20" s="92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2:23" x14ac:dyDescent="0.25">
      <c r="B21" s="98">
        <f>'foglio deposito'!$L$34/'foglio deposito'!$B$141*'foglio deposito'!B56</f>
        <v>-5.2500000000000008E-4</v>
      </c>
      <c r="C21" s="30">
        <f>IF(B21&gt;'foglio deposito'!$L$33,2*'foglio deposito'!$F$22/'foglio deposito'!$L$33*(B21-B21^2/(2*'foglio deposito'!$L$33)),'foglio deposito'!$F$22)</f>
        <v>-6.4354828125000001</v>
      </c>
      <c r="D21" s="99">
        <f>IF(B21&gt;'foglio deposito'!$F$29,2*'foglio deposito'!$D$30/(-'foglio deposito'!$F$29)*(B21^2/2-(-B21)^3/(-6*'foglio deposito'!$F$29)),2*'foglio deposito'!$D$30/(-'foglio deposito'!$F$29)*('foglio deposito'!$F$29^2/2-(-'foglio deposito'!$F$29)^3/(-6*'foglio deposito'!$F$29))+'foglio deposito'!$D$30*(ABS(B21)-ABS('foglio deposito'!$F$29)))</f>
        <v>1.7743876171875002E-3</v>
      </c>
      <c r="E21" s="99">
        <f>IF(ABS(B21)&lt;ABS('foglio deposito'!$F$29),-2*'foglio deposito'!$D$30/(-'foglio deposito'!$F$29)*(-B21^3/3-(B21)^4/(-8*'foglio deposito'!$F$29)),-(2*'foglio deposito'!$D$30/(-'foglio deposito'!$F$29)*(ABS('foglio deposito'!$F$29)^3/3-ABS('foglio deposito'!$F$29)^4/(-8*'foglio deposito'!$F$29))+'foglio deposito'!$D$30/2*(ABS(B21)^2-ABS('foglio deposito'!$F$29)^2)))</f>
        <v>-6.1359174536132833E-7</v>
      </c>
      <c r="F21" s="100">
        <f>D21/('foglio deposito'!$F$22*'foglio deposito'!$L$34)</f>
        <v>3.5929687500000008E-2</v>
      </c>
      <c r="G21" s="100">
        <f t="shared" si="0"/>
        <v>0.341324200913242</v>
      </c>
      <c r="H21" s="103">
        <f t="shared" si="1"/>
        <v>-3.45804794520548E-4</v>
      </c>
      <c r="I21" s="30">
        <f t="shared" si="2"/>
        <v>-2.1965860284674656</v>
      </c>
      <c r="J21" s="92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2:23" x14ac:dyDescent="0.25">
      <c r="B22" s="98">
        <f>'foglio deposito'!$L$34/'foglio deposito'!$B$141*'foglio deposito'!B57</f>
        <v>-5.6000000000000006E-4</v>
      </c>
      <c r="C22" s="30">
        <f>IF(B22&gt;'foglio deposito'!$L$33,2*'foglio deposito'!$F$22/'foglio deposito'!$L$33*(B22-B22^2/(2*'foglio deposito'!$L$33)),'foglio deposito'!$F$22)</f>
        <v>-6.7953760000000001</v>
      </c>
      <c r="D22" s="99">
        <f>IF(B22&gt;'foglio deposito'!$F$29,2*'foglio deposito'!$D$30/(-'foglio deposito'!$F$29)*(B22^2/2-(-B22)^3/(-6*'foglio deposito'!$F$29)),2*'foglio deposito'!$D$30/(-'foglio deposito'!$F$29)*('foglio deposito'!$F$29^2/2-(-'foglio deposito'!$F$29)^3/(-6*'foglio deposito'!$F$29))+'foglio deposito'!$D$30*(ABS(B22)-ABS('foglio deposito'!$F$29)))</f>
        <v>2.0059528533333333E-3</v>
      </c>
      <c r="E22" s="99">
        <f>IF(ABS(B22)&lt;ABS('foglio deposito'!$F$29),-2*'foglio deposito'!$D$30/(-'foglio deposito'!$F$29)*(-B22^3/3-(B22)^4/(-8*'foglio deposito'!$F$29)),-(2*'foglio deposito'!$D$30/(-'foglio deposito'!$F$29)*(ABS('foglio deposito'!$F$29)^3/3-ABS('foglio deposito'!$F$29)^4/(-8*'foglio deposito'!$F$29))+'foglio deposito'!$D$30/2*(ABS(B22)^2-ABS('foglio deposito'!$F$29)^2)))</f>
        <v>-7.3925262506666673E-7</v>
      </c>
      <c r="F22" s="100">
        <f>D22/('foglio deposito'!$F$22*'foglio deposito'!$L$34)</f>
        <v>4.0618666666666671E-2</v>
      </c>
      <c r="G22" s="100">
        <f t="shared" si="0"/>
        <v>0.34191176470588236</v>
      </c>
      <c r="H22" s="103">
        <f t="shared" si="1"/>
        <v>-3.6852941176470592E-4</v>
      </c>
      <c r="I22" s="30">
        <f t="shared" si="2"/>
        <v>-2.3234189999999999</v>
      </c>
      <c r="J22" s="92"/>
      <c r="K22" s="19" t="s">
        <v>42</v>
      </c>
      <c r="L22" s="40"/>
      <c r="M22" s="19"/>
      <c r="N22" s="19"/>
      <c r="O22" s="32" t="str">
        <f>DATI!F8</f>
        <v>C25/30</v>
      </c>
      <c r="P22" s="19"/>
      <c r="Q22" s="19"/>
      <c r="R22" s="19"/>
      <c r="S22" s="19"/>
      <c r="T22" s="19"/>
    </row>
    <row r="23" spans="2:23" x14ac:dyDescent="0.25">
      <c r="B23" s="98">
        <f>'foglio deposito'!$L$34/'foglio deposito'!$B$141*'foglio deposito'!B58</f>
        <v>-5.9500000000000004E-4</v>
      </c>
      <c r="C23" s="30">
        <f>IF(B23&gt;'foglio deposito'!$L$33,2*'foglio deposito'!$F$22/'foglio deposito'!$L$33*(B23-B23^2/(2*'foglio deposito'!$L$33)),'foglio deposito'!$F$22)</f>
        <v>-7.1466268125000001</v>
      </c>
      <c r="D23" s="99">
        <f>IF(B23&gt;'foglio deposito'!$F$29,2*'foglio deposito'!$D$30/(-'foglio deposito'!$F$29)*(B23^2/2-(-B23)^3/(-6*'foglio deposito'!$F$29)),2*'foglio deposito'!$D$30/(-'foglio deposito'!$F$29)*('foglio deposito'!$F$29^2/2-(-'foglio deposito'!$F$29)^3/(-6*'foglio deposito'!$F$29))+'foglio deposito'!$D$30*(ABS(B23)-ABS('foglio deposito'!$F$29)))</f>
        <v>2.2499631094791668E-3</v>
      </c>
      <c r="E23" s="99">
        <f>IF(ABS(B23)&lt;ABS('foglio deposito'!$F$29),-2*'foglio deposito'!$D$30/(-'foglio deposito'!$F$29)*(-B23^3/3-(B23)^4/(-8*'foglio deposito'!$F$29)),-(2*'foglio deposito'!$D$30/(-'foglio deposito'!$F$29)*(ABS('foglio deposito'!$F$29)^3/3-ABS('foglio deposito'!$F$29)^4/(-8*'foglio deposito'!$F$29))+'foglio deposito'!$D$30/2*(ABS(B23)^2-ABS('foglio deposito'!$F$29)^2)))</f>
        <v>-8.8020440484466162E-7</v>
      </c>
      <c r="F23" s="100">
        <f>D23/('foglio deposito'!$F$22*'foglio deposito'!$L$34)</f>
        <v>4.5559645833333343E-2</v>
      </c>
      <c r="G23" s="100">
        <f t="shared" si="0"/>
        <v>0.34250693802035148</v>
      </c>
      <c r="H23" s="103">
        <f t="shared" si="1"/>
        <v>-3.9120837187789088E-4</v>
      </c>
      <c r="I23" s="30">
        <f t="shared" si="2"/>
        <v>-2.4477692667235198</v>
      </c>
      <c r="J23" s="92"/>
      <c r="K23" s="19"/>
      <c r="L23" s="19"/>
      <c r="M23" s="19"/>
      <c r="N23" s="19"/>
      <c r="O23" s="19"/>
      <c r="P23" s="19"/>
      <c r="Q23" s="19"/>
      <c r="R23" s="50"/>
      <c r="S23" s="19"/>
      <c r="T23" s="19"/>
    </row>
    <row r="24" spans="2:23" x14ac:dyDescent="0.25">
      <c r="B24" s="98">
        <f>'foglio deposito'!$L$34/'foglio deposito'!$B$141*'foglio deposito'!B59</f>
        <v>-6.3000000000000003E-4</v>
      </c>
      <c r="C24" s="30">
        <f>IF(B24&gt;'foglio deposito'!$L$33,2*'foglio deposito'!$F$22/'foglio deposito'!$L$33*(B24-B24^2/(2*'foglio deposito'!$L$33)),'foglio deposito'!$F$22)</f>
        <v>-7.4892352499999992</v>
      </c>
      <c r="D24" s="99">
        <f>IF(B24&gt;'foglio deposito'!$F$29,2*'foglio deposito'!$D$30/(-'foglio deposito'!$F$29)*(B24^2/2-(-B24)^3/(-6*'foglio deposito'!$F$29)),2*'foglio deposito'!$D$30/(-'foglio deposito'!$F$29)*('foglio deposito'!$F$29^2/2-(-'foglio deposito'!$F$29)^3/(-6*'foglio deposito'!$F$29))+'foglio deposito'!$D$30*(ABS(B24)-ABS('foglio deposito'!$F$29)))</f>
        <v>2.5061159024999998E-3</v>
      </c>
      <c r="E24" s="99">
        <f>IF(ABS(B24)&lt;ABS('foglio deposito'!$F$29),-2*'foglio deposito'!$D$30/(-'foglio deposito'!$F$29)*(-B24^3/3-(B24)^4/(-8*'foglio deposito'!$F$29)),-(2*'foglio deposito'!$D$30/(-'foglio deposito'!$F$29)*(ABS('foglio deposito'!$F$29)^3/3-ABS('foglio deposito'!$F$29)^4/(-8*'foglio deposito'!$F$29))+'foglio deposito'!$D$30/2*(ABS(B24)^2-ABS('foglio deposito'!$F$29)^2)))</f>
        <v>-1.0371329651812498E-6</v>
      </c>
      <c r="F24" s="100">
        <f>D24/('foglio deposito'!$F$22*'foglio deposito'!$L$34)</f>
        <v>5.0746500000000007E-2</v>
      </c>
      <c r="G24" s="100">
        <f t="shared" si="0"/>
        <v>0.34310986964618262</v>
      </c>
      <c r="H24" s="103">
        <f t="shared" si="1"/>
        <v>-4.1384078212290497E-4</v>
      </c>
      <c r="I24" s="30">
        <f t="shared" si="2"/>
        <v>-2.5696305303770957</v>
      </c>
      <c r="J24" s="92"/>
      <c r="K24" s="19" t="s">
        <v>31</v>
      </c>
      <c r="L24" s="19"/>
      <c r="M24" s="19"/>
      <c r="N24" s="65" t="str">
        <f>IF('foglio deposito'!D33="no","Rck","Rcck")</f>
        <v>Rck</v>
      </c>
      <c r="O24" s="68">
        <f>IF('foglio deposito'!D33="no",DATI!F11,O26/0.83)</f>
        <v>30</v>
      </c>
      <c r="P24" s="19"/>
      <c r="Q24" s="19"/>
      <c r="R24" s="19"/>
      <c r="S24" s="19"/>
      <c r="T24" s="19"/>
    </row>
    <row r="25" spans="2:23" x14ac:dyDescent="0.25">
      <c r="B25" s="98">
        <f>'foglio deposito'!$L$34/'foglio deposito'!$B$141*'foglio deposito'!B60</f>
        <v>-6.6500000000000012E-4</v>
      </c>
      <c r="C25" s="30">
        <f>IF(B25&gt;'foglio deposito'!$L$33,2*'foglio deposito'!$F$22/'foglio deposito'!$L$33*(B25-B25^2/(2*'foglio deposito'!$L$33)),'foglio deposito'!$F$22)</f>
        <v>-7.8232013125000002</v>
      </c>
      <c r="D25" s="99">
        <f>IF(B25&gt;'foglio deposito'!$F$29,2*'foglio deposito'!$D$30/(-'foglio deposito'!$F$29)*(B25^2/2-(-B25)^3/(-6*'foglio deposito'!$F$29)),2*'foglio deposito'!$D$30/(-'foglio deposito'!$F$29)*('foglio deposito'!$F$29^2/2-(-'foglio deposito'!$F$29)^3/(-6*'foglio deposito'!$F$29))+'foglio deposito'!$D$30*(ABS(B25)-ABS('foglio deposito'!$F$29)))</f>
        <v>2.7741087492708337E-3</v>
      </c>
      <c r="E25" s="99">
        <f>IF(ABS(B25)&lt;ABS('foglio deposito'!$F$29),-2*'foglio deposito'!$D$30/(-'foglio deposito'!$F$29)*(-B25^3/3-(B25)^4/(-8*'foglio deposito'!$F$29)),-(2*'foglio deposito'!$D$30/(-'foglio deposito'!$F$29)*(ABS('foglio deposito'!$F$29)^3/3-ABS('foglio deposito'!$F$29)^4/(-8*'foglio deposito'!$F$29))+'foglio deposito'!$D$30/2*(ABS(B25)^2-ABS('foglio deposito'!$F$29)^2)))</f>
        <v>-1.2106924258342451E-6</v>
      </c>
      <c r="F25" s="100">
        <f>D25/('foglio deposito'!$F$22*'foglio deposito'!$L$34)</f>
        <v>5.6173104166666682E-2</v>
      </c>
      <c r="G25" s="100">
        <f t="shared" si="0"/>
        <v>0.3437207122774133</v>
      </c>
      <c r="H25" s="103">
        <f t="shared" si="1"/>
        <v>-4.3642572633552021E-4</v>
      </c>
      <c r="I25" s="30">
        <f t="shared" si="2"/>
        <v>-2.6889963274220947</v>
      </c>
      <c r="J25" s="92"/>
      <c r="K25" s="19" t="s">
        <v>32</v>
      </c>
      <c r="L25" s="19"/>
      <c r="M25" s="19"/>
      <c r="N25" s="65" t="str">
        <f>IF('foglio deposito'!D33="no","fcm","fccm")</f>
        <v>fcm</v>
      </c>
      <c r="O25" s="68">
        <f>O26+8</f>
        <v>32.9</v>
      </c>
      <c r="P25" s="19"/>
      <c r="Q25" s="19"/>
      <c r="R25" s="19"/>
      <c r="S25" s="19"/>
      <c r="T25" s="19"/>
    </row>
    <row r="26" spans="2:23" x14ac:dyDescent="0.25">
      <c r="B26" s="98">
        <f>'foglio deposito'!$L$34/'foglio deposito'!$B$141*'foglio deposito'!B61</f>
        <v>-7.000000000000001E-4</v>
      </c>
      <c r="C26" s="30">
        <f>IF(B26&gt;'foglio deposito'!$L$33,2*'foglio deposito'!$F$22/'foglio deposito'!$L$33*(B26-B26^2/(2*'foglio deposito'!$L$33)),'foglio deposito'!$F$22)</f>
        <v>-8.1485250000000011</v>
      </c>
      <c r="D26" s="99">
        <f>IF(B26&gt;'foglio deposito'!$F$29,2*'foglio deposito'!$D$30/(-'foglio deposito'!$F$29)*(B26^2/2-(-B26)^3/(-6*'foglio deposito'!$F$29)),2*'foglio deposito'!$D$30/(-'foglio deposito'!$F$29)*('foglio deposito'!$F$29^2/2-(-'foglio deposito'!$F$29)^3/(-6*'foglio deposito'!$F$29))+'foglio deposito'!$D$30*(ABS(B26)-ABS('foglio deposito'!$F$29)))</f>
        <v>3.0536391666666674E-3</v>
      </c>
      <c r="E26" s="99">
        <f>IF(ABS(B26)&lt;ABS('foglio deposito'!$F$29),-2*'foglio deposito'!$D$30/(-'foglio deposito'!$F$29)*(-B26^3/3-(B26)^4/(-8*'foglio deposito'!$F$29)),-(2*'foglio deposito'!$D$30/(-'foglio deposito'!$F$29)*(ABS('foglio deposito'!$F$29)^3/3-ABS('foglio deposito'!$F$29)^4/(-8*'foglio deposito'!$F$29))+'foglio deposito'!$D$30/2*(ABS(B26)^2-ABS('foglio deposito'!$F$29)^2)))</f>
        <v>-1.4015051458333339E-6</v>
      </c>
      <c r="F26" s="100">
        <f>D26/('foglio deposito'!$F$22*'foglio deposito'!$L$34)</f>
        <v>6.1833333333333358E-2</v>
      </c>
      <c r="G26" s="100">
        <f t="shared" si="0"/>
        <v>0.34433962264150941</v>
      </c>
      <c r="H26" s="103">
        <f t="shared" si="1"/>
        <v>-4.5896226415094346E-4</v>
      </c>
      <c r="I26" s="30">
        <f t="shared" si="2"/>
        <v>-2.805860023584906</v>
      </c>
      <c r="J26" s="92"/>
      <c r="K26" s="19" t="s">
        <v>33</v>
      </c>
      <c r="L26" s="19"/>
      <c r="M26" s="19"/>
      <c r="N26" s="65" t="str">
        <f>IF('foglio deposito'!D33="no","fck","fcck")</f>
        <v>fck</v>
      </c>
      <c r="O26" s="68">
        <f>IF('foglio deposito'!D33="no",O24*0.83,-'foglio deposito'!F22*1.5)</f>
        <v>24.9</v>
      </c>
      <c r="P26" s="19"/>
      <c r="Q26" s="19"/>
      <c r="R26" s="19"/>
      <c r="S26" s="19"/>
      <c r="T26" s="19"/>
    </row>
    <row r="27" spans="2:23" x14ac:dyDescent="0.25">
      <c r="B27" s="98">
        <f>'foglio deposito'!$L$34/'foglio deposito'!$B$141*'foglio deposito'!B62</f>
        <v>-7.3500000000000008E-4</v>
      </c>
      <c r="C27" s="30">
        <f>IF(B27&gt;'foglio deposito'!$L$33,2*'foglio deposito'!$F$22/'foglio deposito'!$L$33*(B27-B27^2/(2*'foglio deposito'!$L$33)),'foglio deposito'!$F$22)</f>
        <v>-8.4652063124999994</v>
      </c>
      <c r="D27" s="99">
        <f>IF(B27&gt;'foglio deposito'!$F$29,2*'foglio deposito'!$D$30/(-'foglio deposito'!$F$29)*(B27^2/2-(-B27)^3/(-6*'foglio deposito'!$F$29)),2*'foglio deposito'!$D$30/(-'foglio deposito'!$F$29)*('foglio deposito'!$F$29^2/2-(-'foglio deposito'!$F$29)^3/(-6*'foglio deposito'!$F$29))+'foglio deposito'!$D$30*(ABS(B27)-ABS('foglio deposito'!$F$29)))</f>
        <v>3.3444046715625001E-3</v>
      </c>
      <c r="E27" s="99">
        <f>IF(ABS(B27)&lt;ABS('foglio deposito'!$F$29),-2*'foglio deposito'!$D$30/(-'foglio deposito'!$F$29)*(-B27^3/3-(B27)^4/(-8*'foglio deposito'!$F$29)),-(2*'foglio deposito'!$D$30/(-'foglio deposito'!$F$29)*(ABS('foglio deposito'!$F$29)^3/3-ABS('foglio deposito'!$F$29)^4/(-8*'foglio deposito'!$F$29))+'foglio deposito'!$D$30/2*(ABS(B27)^2-ABS('foglio deposito'!$F$29)^2)))</f>
        <v>-1.6101617234800784E-6</v>
      </c>
      <c r="F27" s="100">
        <f>D27/('foglio deposito'!$F$22*'foglio deposito'!$L$34)</f>
        <v>6.7721062500000012E-2</v>
      </c>
      <c r="G27" s="100">
        <f t="shared" si="0"/>
        <v>0.34496676163342821</v>
      </c>
      <c r="H27" s="103">
        <f t="shared" si="1"/>
        <v>-4.8144943019943028E-4</v>
      </c>
      <c r="I27" s="30">
        <f t="shared" si="2"/>
        <v>-2.9202148081819792</v>
      </c>
      <c r="J27" s="92"/>
      <c r="K27" s="19" t="s">
        <v>34</v>
      </c>
      <c r="L27" s="19"/>
      <c r="M27" s="19"/>
      <c r="N27" s="65" t="str">
        <f>IF('foglio deposito'!D33="no","fcd","fccd")</f>
        <v>fcd</v>
      </c>
      <c r="O27" s="68">
        <f>-'foglio deposito'!F22</f>
        <v>14.109999999999998</v>
      </c>
      <c r="P27" s="19"/>
      <c r="Q27" s="19"/>
      <c r="R27" s="19"/>
      <c r="S27" s="19"/>
      <c r="T27" s="19"/>
    </row>
    <row r="28" spans="2:23" x14ac:dyDescent="0.25">
      <c r="B28" s="98">
        <f>'foglio deposito'!$L$34/'foglio deposito'!$B$141*'foglio deposito'!B63</f>
        <v>-7.7000000000000007E-4</v>
      </c>
      <c r="C28" s="30">
        <f>IF(B28&gt;'foglio deposito'!$L$33,2*'foglio deposito'!$F$22/'foglio deposito'!$L$33*(B28-B28^2/(2*'foglio deposito'!$L$33)),'foglio deposito'!$F$22)</f>
        <v>-8.7732452500000004</v>
      </c>
      <c r="D28" s="99">
        <f>IF(B28&gt;'foglio deposito'!$F$29,2*'foglio deposito'!$D$30/(-'foglio deposito'!$F$29)*(B28^2/2-(-B28)^3/(-6*'foglio deposito'!$F$29)),2*'foglio deposito'!$D$30/(-'foglio deposito'!$F$29)*('foglio deposito'!$F$29^2/2-(-'foglio deposito'!$F$29)^3/(-6*'foglio deposito'!$F$29))+'foglio deposito'!$D$30*(ABS(B28)-ABS('foglio deposito'!$F$29)))</f>
        <v>3.6461027808333333E-3</v>
      </c>
      <c r="E28" s="99">
        <f>IF(ABS(B28)&lt;ABS('foglio deposito'!$F$29),-2*'foglio deposito'!$D$30/(-'foglio deposito'!$F$29)*(-B28^3/3-(B28)^4/(-8*'foglio deposito'!$F$29)),-(2*'foglio deposito'!$D$30/(-'foglio deposito'!$F$29)*(ABS('foglio deposito'!$F$29)^3/3-ABS('foglio deposito'!$F$29)^4/(-8*'foglio deposito'!$F$29))+'foglio deposito'!$D$30/2*(ABS(B28)^2-ABS('foglio deposito'!$F$29)^2)))</f>
        <v>-1.8372209963479166E-6</v>
      </c>
      <c r="F28" s="100">
        <f>D28/('foglio deposito'!$F$22*'foglio deposito'!$L$34)</f>
        <v>7.3830166666666683E-2</v>
      </c>
      <c r="G28" s="100">
        <f t="shared" si="0"/>
        <v>0.34560229445506696</v>
      </c>
      <c r="H28" s="103">
        <f t="shared" si="1"/>
        <v>-5.0388623326959845E-4</v>
      </c>
      <c r="I28" s="30">
        <f t="shared" si="2"/>
        <v>-3.0320536882170175</v>
      </c>
      <c r="J28" s="92"/>
      <c r="K28" s="19" t="s">
        <v>35</v>
      </c>
      <c r="L28" s="19"/>
      <c r="M28" s="19"/>
      <c r="N28" s="66" t="str">
        <f>IF('foglio deposito'!D33="no","fctm","fcctm")</f>
        <v>fctm</v>
      </c>
      <c r="O28" s="68">
        <f>0.3*O26^(2/3)</f>
        <v>2.5581194481669618</v>
      </c>
      <c r="P28" s="19"/>
      <c r="Q28" s="19"/>
      <c r="R28" s="19"/>
      <c r="S28" s="19"/>
      <c r="U28" s="4"/>
      <c r="V28" s="4"/>
    </row>
    <row r="29" spans="2:23" x14ac:dyDescent="0.25">
      <c r="B29" s="98">
        <f>'foglio deposito'!$L$34/'foglio deposito'!$B$141*'foglio deposito'!B64</f>
        <v>-8.0500000000000005E-4</v>
      </c>
      <c r="C29" s="30">
        <f>IF(B29&gt;'foglio deposito'!$L$33,2*'foglio deposito'!$F$22/'foglio deposito'!$L$33*(B29-B29^2/(2*'foglio deposito'!$L$33)),'foglio deposito'!$F$22)</f>
        <v>-9.0726418124999988</v>
      </c>
      <c r="D29" s="99">
        <f>IF(B29&gt;'foglio deposito'!$F$29,2*'foglio deposito'!$D$30/(-'foglio deposito'!$F$29)*(B29^2/2-(-B29)^3/(-6*'foglio deposito'!$F$29)),2*'foglio deposito'!$D$30/(-'foglio deposito'!$F$29)*('foglio deposito'!$F$29^2/2-(-'foglio deposito'!$F$29)^3/(-6*'foglio deposito'!$F$29))+'foglio deposito'!$D$30*(ABS(B29)-ABS('foglio deposito'!$F$29)))</f>
        <v>3.9584310113541668E-3</v>
      </c>
      <c r="E29" s="99">
        <f>IF(ABS(B29)&lt;ABS('foglio deposito'!$F$29),-2*'foglio deposito'!$D$30/(-'foglio deposito'!$F$29)*(-B29^3/3-(B29)^4/(-8*'foglio deposito'!$F$29)),-(2*'foglio deposito'!$D$30/(-'foglio deposito'!$F$29)*(ABS('foglio deposito'!$F$29)^3/3-ABS('foglio deposito'!$F$29)^4/(-8*'foglio deposito'!$F$29))+'foglio deposito'!$D$30/2*(ABS(B29)^2-ABS('foglio deposito'!$F$29)^2)))</f>
        <v>-2.0832100412821616E-6</v>
      </c>
      <c r="F29" s="100">
        <f>D29/('foglio deposito'!$F$22*'foglio deposito'!$L$34)</f>
        <v>8.0154520833333354E-2</v>
      </c>
      <c r="G29" s="100">
        <f t="shared" si="0"/>
        <v>0.34624639076034647</v>
      </c>
      <c r="H29" s="103">
        <f t="shared" si="1"/>
        <v>-5.2627165543792109E-4</v>
      </c>
      <c r="I29" s="30">
        <f t="shared" si="2"/>
        <v>-3.1413694822395328</v>
      </c>
      <c r="J29" s="92"/>
      <c r="K29" s="19" t="s">
        <v>36</v>
      </c>
      <c r="L29" s="19"/>
      <c r="M29" s="19"/>
      <c r="N29" s="65" t="str">
        <f>IF('foglio deposito'!D33="no","fctk","fcctk")</f>
        <v>fctk</v>
      </c>
      <c r="O29" s="68">
        <f>0.7*O28</f>
        <v>1.7906836137168731</v>
      </c>
      <c r="P29" s="19"/>
      <c r="Q29" s="19"/>
      <c r="R29" s="19"/>
      <c r="S29" s="19"/>
      <c r="U29" s="2"/>
      <c r="V29" s="1"/>
      <c r="W29" s="10"/>
    </row>
    <row r="30" spans="2:23" x14ac:dyDescent="0.25">
      <c r="B30" s="98">
        <f>'foglio deposito'!$L$34/'foglio deposito'!$B$141*'foglio deposito'!B65</f>
        <v>-8.4000000000000003E-4</v>
      </c>
      <c r="C30" s="30">
        <f>IF(B30&gt;'foglio deposito'!$L$33,2*'foglio deposito'!$F$22/'foglio deposito'!$L$33*(B30-B30^2/(2*'foglio deposito'!$L$33)),'foglio deposito'!$F$22)</f>
        <v>-9.3633959999999998</v>
      </c>
      <c r="D30" s="99">
        <f>IF(B30&gt;'foglio deposito'!$F$29,2*'foglio deposito'!$D$30/(-'foglio deposito'!$F$29)*(B30^2/2-(-B30)^3/(-6*'foglio deposito'!$F$29)),2*'foglio deposito'!$D$30/(-'foglio deposito'!$F$29)*('foglio deposito'!$F$29^2/2-(-'foglio deposito'!$F$29)^3/(-6*'foglio deposito'!$F$29))+'foglio deposito'!$D$30*(ABS(B30)-ABS('foglio deposito'!$F$29)))</f>
        <v>4.2810868799999999E-3</v>
      </c>
      <c r="E30" s="99">
        <f>IF(ABS(B30)&lt;ABS('foglio deposito'!$F$29),-2*'foglio deposito'!$D$30/(-'foglio deposito'!$F$29)*(-B30^3/3-(B30)^4/(-8*'foglio deposito'!$F$29)),-(2*'foglio deposito'!$D$30/(-'foglio deposito'!$F$29)*(ABS('foglio deposito'!$F$29)^3/3-ABS('foglio deposito'!$F$29)^4/(-8*'foglio deposito'!$F$29))+'foglio deposito'!$D$30/2*(ABS(B30)^2-ABS('foglio deposito'!$F$29)^2)))</f>
        <v>-2.3486241744E-6</v>
      </c>
      <c r="F30" s="100">
        <f>D30/('foglio deposito'!$F$22*'foglio deposito'!$L$34)</f>
        <v>8.6688000000000015E-2</v>
      </c>
      <c r="G30" s="100">
        <f t="shared" si="0"/>
        <v>0.3468992248062015</v>
      </c>
      <c r="H30" s="103">
        <f t="shared" si="1"/>
        <v>-5.4860465116279074E-4</v>
      </c>
      <c r="I30" s="30">
        <f t="shared" si="2"/>
        <v>-3.2481548139534877</v>
      </c>
      <c r="J30" s="92"/>
      <c r="K30" s="19" t="s">
        <v>37</v>
      </c>
      <c r="L30" s="19"/>
      <c r="M30" s="19"/>
      <c r="N30" s="65" t="str">
        <f>IF('foglio deposito'!D33="no","fct,d","fcctd")</f>
        <v>fct,d</v>
      </c>
      <c r="O30" s="68">
        <f>O29/1.5</f>
        <v>1.1937890758112488</v>
      </c>
      <c r="P30" s="19"/>
      <c r="Q30" s="19"/>
    </row>
    <row r="31" spans="2:23" x14ac:dyDescent="0.25">
      <c r="B31" s="98">
        <f>'foglio deposito'!$L$34/'foglio deposito'!$B$141*'foglio deposito'!B66</f>
        <v>-8.7500000000000013E-4</v>
      </c>
      <c r="C31" s="30">
        <f>IF(B31&gt;'foglio deposito'!$L$33,2*'foglio deposito'!$F$22/'foglio deposito'!$L$33*(B31-B31^2/(2*'foglio deposito'!$L$33)),'foglio deposito'!$F$22)</f>
        <v>-9.6455078125</v>
      </c>
      <c r="D31" s="99">
        <f>IF(B31&gt;'foglio deposito'!$F$29,2*'foglio deposito'!$D$30/(-'foglio deposito'!$F$29)*(B31^2/2-(-B31)^3/(-6*'foglio deposito'!$F$29)),2*'foglio deposito'!$D$30/(-'foglio deposito'!$F$29)*('foglio deposito'!$F$29^2/2-(-'foglio deposito'!$F$29)^3/(-6*'foglio deposito'!$F$29))+'foglio deposito'!$D$30*(ABS(B31)-ABS('foglio deposito'!$F$29)))</f>
        <v>4.6137679036458339E-3</v>
      </c>
      <c r="E31" s="99">
        <f>IF(ABS(B31)&lt;ABS('foglio deposito'!$F$29),-2*'foglio deposito'!$D$30/(-'foglio deposito'!$F$29)*(-B31^3/3-(B31)^4/(-8*'foglio deposito'!$F$29)),-(2*'foglio deposito'!$D$30/(-'foglio deposito'!$F$29)*(ABS('foglio deposito'!$F$29)^3/3-ABS('foglio deposito'!$F$29)^4/(-8*'foglio deposito'!$F$29))+'foglio deposito'!$D$30/2*(ABS(B31)^2-ABS('foglio deposito'!$F$29)^2)))</f>
        <v>-2.6339269510904952E-6</v>
      </c>
      <c r="F31" s="100">
        <f>D31/('foglio deposito'!$F$22*'foglio deposito'!$L$34)</f>
        <v>9.3424479166666699E-2</v>
      </c>
      <c r="G31" s="100">
        <f t="shared" si="0"/>
        <v>0.34756097560975607</v>
      </c>
      <c r="H31" s="103">
        <f t="shared" si="1"/>
        <v>-5.7088414634146349E-4</v>
      </c>
      <c r="I31" s="30">
        <f t="shared" si="2"/>
        <v>-3.3524021055640243</v>
      </c>
      <c r="J31" s="92"/>
      <c r="K31" s="19" t="s">
        <v>38</v>
      </c>
      <c r="L31" s="19"/>
      <c r="M31" s="19"/>
      <c r="N31" s="65" t="s">
        <v>67</v>
      </c>
      <c r="O31" s="68">
        <f>(2.25*O29)/1.5</f>
        <v>2.68602542057531</v>
      </c>
      <c r="P31" s="19"/>
      <c r="Q31" s="19"/>
    </row>
    <row r="32" spans="2:23" x14ac:dyDescent="0.25">
      <c r="B32" s="98">
        <f>'foglio deposito'!$L$34/'foglio deposito'!$B$141*'foglio deposito'!B67</f>
        <v>-9.1000000000000011E-4</v>
      </c>
      <c r="C32" s="30">
        <f>IF(B32&gt;'foglio deposito'!$L$33,2*'foglio deposito'!$F$22/'foglio deposito'!$L$33*(B32-B32^2/(2*'foglio deposito'!$L$33)),'foglio deposito'!$F$22)</f>
        <v>-9.9189772500000011</v>
      </c>
      <c r="D32" s="99">
        <f>IF(B32&gt;'foglio deposito'!$F$29,2*'foglio deposito'!$D$30/(-'foglio deposito'!$F$29)*(B32^2/2-(-B32)^3/(-6*'foglio deposito'!$F$29)),2*'foglio deposito'!$D$30/(-'foglio deposito'!$F$29)*('foglio deposito'!$F$29^2/2-(-'foglio deposito'!$F$29)^3/(-6*'foglio deposito'!$F$29))+'foglio deposito'!$D$30*(ABS(B32)-ABS('foglio deposito'!$F$29)))</f>
        <v>4.9561715991666665E-3</v>
      </c>
      <c r="E32" s="99">
        <f>IF(ABS(B32)&lt;ABS('foglio deposito'!$F$29),-2*'foglio deposito'!$D$30/(-'foglio deposito'!$F$29)*(-B32^3/3-(B32)^4/(-8*'foglio deposito'!$F$29)),-(2*'foglio deposito'!$D$30/(-'foglio deposito'!$F$29)*(ABS('foglio deposito'!$F$29)^3/3-ABS('foglio deposito'!$F$29)^4/(-8*'foglio deposito'!$F$29))+'foglio deposito'!$D$30/2*(ABS(B32)^2-ABS('foglio deposito'!$F$29)^2)))</f>
        <v>-2.9395501660145838E-6</v>
      </c>
      <c r="F32" s="100">
        <f>D32/('foglio deposito'!$F$22*'foglio deposito'!$L$34)</f>
        <v>0.10035783333333334</v>
      </c>
      <c r="G32" s="100">
        <f t="shared" si="0"/>
        <v>0.34823182711198419</v>
      </c>
      <c r="H32" s="103">
        <f t="shared" si="1"/>
        <v>-5.9310903732809448E-4</v>
      </c>
      <c r="I32" s="30">
        <f t="shared" si="2"/>
        <v>-3.4541035708497048</v>
      </c>
      <c r="J32" s="92"/>
      <c r="K32" s="19" t="s">
        <v>39</v>
      </c>
      <c r="L32" s="19"/>
      <c r="M32" s="19"/>
      <c r="N32" s="65" t="str">
        <f>IF('foglio deposito'!D33="no","Ec","Ecc")</f>
        <v>Ec</v>
      </c>
      <c r="O32" s="26">
        <f>22000*((0.83*O24+8)/10)^0.3</f>
        <v>31447.161439943484</v>
      </c>
      <c r="P32" s="19"/>
      <c r="Q32" s="19"/>
      <c r="R32" s="19"/>
      <c r="S32" s="19"/>
      <c r="T32" s="19"/>
    </row>
    <row r="33" spans="2:20" x14ac:dyDescent="0.25">
      <c r="B33" s="98">
        <f>'foglio deposito'!$L$34/'foglio deposito'!$B$141*'foglio deposito'!B68</f>
        <v>-9.4500000000000009E-4</v>
      </c>
      <c r="C33" s="30">
        <f>IF(B33&gt;'foglio deposito'!$L$33,2*'foglio deposito'!$F$22/'foglio deposito'!$L$33*(B33-B33^2/(2*'foglio deposito'!$L$33)),'foglio deposito'!$F$22)</f>
        <v>-10.183804312499998</v>
      </c>
      <c r="D33" s="99">
        <f>IF(B33&gt;'foglio deposito'!$F$29,2*'foglio deposito'!$D$30/(-'foglio deposito'!$F$29)*(B33^2/2-(-B33)^3/(-6*'foglio deposito'!$F$29)),2*'foglio deposito'!$D$30/(-'foglio deposito'!$F$29)*('foglio deposito'!$F$29^2/2-(-'foglio deposito'!$F$29)^3/(-6*'foglio deposito'!$F$29))+'foglio deposito'!$D$30*(ABS(B33)-ABS('foglio deposito'!$F$29)))</f>
        <v>5.3079954834375003E-3</v>
      </c>
      <c r="E33" s="99">
        <f>IF(ABS(B33)&lt;ABS('foglio deposito'!$F$29),-2*'foglio deposito'!$D$30/(-'foglio deposito'!$F$29)*(-B33^3/3-(B33)^4/(-8*'foglio deposito'!$F$29)),-(2*'foglio deposito'!$D$30/(-'foglio deposito'!$F$29)*(ABS('foglio deposito'!$F$29)^3/3-ABS('foglio deposito'!$F$29)^4/(-8*'foglio deposito'!$F$29))+'foglio deposito'!$D$30/2*(ABS(B33)^2-ABS('foglio deposito'!$F$29)^2)))</f>
        <v>-3.2658938531050787E-6</v>
      </c>
      <c r="F33" s="100">
        <f>D33/('foglio deposito'!$F$22*'foglio deposito'!$L$34)</f>
        <v>0.10748193750000003</v>
      </c>
      <c r="G33" s="100">
        <f t="shared" si="0"/>
        <v>0.34891196834817007</v>
      </c>
      <c r="H33" s="103">
        <f t="shared" si="1"/>
        <v>-6.1527818991097933E-4</v>
      </c>
      <c r="I33" s="30">
        <f t="shared" si="2"/>
        <v>-3.5532512079469569</v>
      </c>
      <c r="J33" s="92"/>
      <c r="L33" s="19"/>
      <c r="M33" s="19"/>
      <c r="N33" s="49"/>
      <c r="O33" s="27"/>
      <c r="P33" s="19"/>
      <c r="Q33" s="19"/>
      <c r="R33" s="19"/>
      <c r="S33" s="19"/>
      <c r="T33" s="19"/>
    </row>
    <row r="34" spans="2:20" x14ac:dyDescent="0.25">
      <c r="B34" s="98">
        <f>'foglio deposito'!$L$34/'foglio deposito'!$B$141*'foglio deposito'!B69</f>
        <v>-9.8000000000000019E-4</v>
      </c>
      <c r="C34" s="30">
        <f>IF(B34&gt;'foglio deposito'!$L$33,2*'foglio deposito'!$F$22/'foglio deposito'!$L$33*(B34-B34^2/(2*'foglio deposito'!$L$33)),'foglio deposito'!$F$22)</f>
        <v>-10.439989000000001</v>
      </c>
      <c r="D34" s="99">
        <f>IF(B34&gt;'foglio deposito'!$F$29,2*'foglio deposito'!$D$30/(-'foglio deposito'!$F$29)*(B34^2/2-(-B34)^3/(-6*'foglio deposito'!$F$29)),2*'foglio deposito'!$D$30/(-'foglio deposito'!$F$29)*('foglio deposito'!$F$29^2/2-(-'foglio deposito'!$F$29)^3/(-6*'foglio deposito'!$F$29))+'foglio deposito'!$D$30*(ABS(B34)-ABS('foglio deposito'!$F$29)))</f>
        <v>5.6689370733333348E-3</v>
      </c>
      <c r="E34" s="99">
        <f>IF(ABS(B34)&lt;ABS('foglio deposito'!$F$29),-2*'foglio deposito'!$D$30/(-'foglio deposito'!$F$29)*(-B34^3/3-(B34)^4/(-8*'foglio deposito'!$F$29)),-(2*'foglio deposito'!$D$30/(-'foglio deposito'!$F$29)*(ABS('foglio deposito'!$F$29)^3/3-ABS('foglio deposito'!$F$29)^4/(-8*'foglio deposito'!$F$29))+'foglio deposito'!$D$30/2*(ABS(B34)^2-ABS('foglio deposito'!$F$29)^2)))</f>
        <v>-3.6133262855666686E-6</v>
      </c>
      <c r="F34" s="100">
        <f>D34/('foglio deposito'!$F$22*'foglio deposito'!$L$34)</f>
        <v>0.11479066666666672</v>
      </c>
      <c r="G34" s="100">
        <f t="shared" si="0"/>
        <v>0.34960159362549803</v>
      </c>
      <c r="H34" s="103">
        <f t="shared" si="1"/>
        <v>-6.3739043824701208E-4</v>
      </c>
      <c r="I34" s="30">
        <f t="shared" si="2"/>
        <v>-3.6498367918326697</v>
      </c>
      <c r="J34" s="92"/>
      <c r="K34" s="19" t="s">
        <v>89</v>
      </c>
      <c r="L34" s="19"/>
      <c r="M34" s="19"/>
      <c r="N34" s="9" t="s">
        <v>88</v>
      </c>
      <c r="O34" s="32">
        <f>IF('foglio deposito'!D33="si",1,DATI!F9)</f>
        <v>0.85</v>
      </c>
      <c r="P34" s="19"/>
      <c r="Q34" s="19"/>
      <c r="R34" s="19"/>
      <c r="S34" s="19"/>
      <c r="T34" s="19"/>
    </row>
    <row r="35" spans="2:20" x14ac:dyDescent="0.25">
      <c r="B35" s="98">
        <f>'foglio deposito'!$L$34/'foglio deposito'!$B$141*'foglio deposito'!B70</f>
        <v>-1.0150000000000001E-3</v>
      </c>
      <c r="C35" s="30">
        <f>IF(B35&gt;'foglio deposito'!$L$33,2*'foglio deposito'!$F$22/'foglio deposito'!$L$33*(B35-B35^2/(2*'foglio deposito'!$L$33)),'foglio deposito'!$F$22)</f>
        <v>-10.687531312499999</v>
      </c>
      <c r="D35" s="99">
        <f>IF(B35&gt;'foglio deposito'!$F$29,2*'foglio deposito'!$D$30/(-'foglio deposito'!$F$29)*(B35^2/2-(-B35)^3/(-6*'foglio deposito'!$F$29)),2*'foglio deposito'!$D$30/(-'foglio deposito'!$F$29)*('foglio deposito'!$F$29^2/2-(-'foglio deposito'!$F$29)^3/(-6*'foglio deposito'!$F$29))+'foglio deposito'!$D$30*(ABS(B35)-ABS('foglio deposito'!$F$29)))</f>
        <v>6.0386938857291666E-3</v>
      </c>
      <c r="E35" s="99">
        <f>IF(ABS(B35)&lt;ABS('foglio deposito'!$F$29),-2*'foglio deposito'!$D$30/(-'foglio deposito'!$F$29)*(-B35^3/3-(B35)^4/(-8*'foglio deposito'!$F$29)),-(2*'foglio deposito'!$D$30/(-'foglio deposito'!$F$29)*(ABS('foglio deposito'!$F$29)^3/3-ABS('foglio deposito'!$F$29)^4/(-8*'foglio deposito'!$F$29))+'foglio deposito'!$D$30/2*(ABS(B35)^2-ABS('foglio deposito'!$F$29)^2)))</f>
        <v>-3.9821839758759114E-6</v>
      </c>
      <c r="F35" s="100">
        <f>D35/('foglio deposito'!$F$22*'foglio deposito'!$L$34)</f>
        <v>0.12227789583333336</v>
      </c>
      <c r="G35" s="100">
        <f t="shared" si="0"/>
        <v>0.35030090270812442</v>
      </c>
      <c r="H35" s="103">
        <f t="shared" si="1"/>
        <v>-6.5944458375125374E-4</v>
      </c>
      <c r="I35" s="30">
        <f t="shared" si="2"/>
        <v>-3.7438518664900955</v>
      </c>
      <c r="J35" s="92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2:20" x14ac:dyDescent="0.25">
      <c r="B36" s="98">
        <f>'foglio deposito'!$L$34/'foglio deposito'!$B$141*'foglio deposito'!B71</f>
        <v>-1.0500000000000002E-3</v>
      </c>
      <c r="C36" s="30">
        <f>IF(B36&gt;'foglio deposito'!$L$33,2*'foglio deposito'!$F$22/'foglio deposito'!$L$33*(B36-B36^2/(2*'foglio deposito'!$L$33)),'foglio deposito'!$F$22)</f>
        <v>-10.92643125</v>
      </c>
      <c r="D36" s="99">
        <f>IF(B36&gt;'foglio deposito'!$F$29,2*'foglio deposito'!$D$30/(-'foglio deposito'!$F$29)*(B36^2/2-(-B36)^3/(-6*'foglio deposito'!$F$29)),2*'foglio deposito'!$D$30/(-'foglio deposito'!$F$29)*('foglio deposito'!$F$29^2/2-(-'foglio deposito'!$F$29)^3/(-6*'foglio deposito'!$F$29))+'foglio deposito'!$D$30*(ABS(B36)-ABS('foglio deposito'!$F$29)))</f>
        <v>6.4169634375000001E-3</v>
      </c>
      <c r="E36" s="99">
        <f>IF(ABS(B36)&lt;ABS('foglio deposito'!$F$29),-2*'foglio deposito'!$D$30/(-'foglio deposito'!$F$29)*(-B36^3/3-(B36)^4/(-8*'foglio deposito'!$F$29)),-(2*'foglio deposito'!$D$30/(-'foglio deposito'!$F$29)*(ABS('foglio deposito'!$F$29)^3/3-ABS('foglio deposito'!$F$29)^4/(-8*'foglio deposito'!$F$29))+'foglio deposito'!$D$30/2*(ABS(B36)^2-ABS('foglio deposito'!$F$29)^2)))</f>
        <v>-4.3727716757812504E-6</v>
      </c>
      <c r="F36" s="100">
        <f>D36/('foglio deposito'!$F$22*'foglio deposito'!$L$34)</f>
        <v>0.12993750000000001</v>
      </c>
      <c r="G36" s="100">
        <f t="shared" si="0"/>
        <v>0.35101010101010111</v>
      </c>
      <c r="H36" s="103">
        <f t="shared" si="1"/>
        <v>-6.8143939393939396E-4</v>
      </c>
      <c r="I36" s="30">
        <f t="shared" si="2"/>
        <v>-3.8352877367424254</v>
      </c>
      <c r="J36" s="92"/>
      <c r="K36" s="19" t="s">
        <v>64</v>
      </c>
      <c r="L36" s="19"/>
      <c r="M36" s="19"/>
      <c r="N36" s="9" t="str">
        <f>IF('foglio deposito'!D33="no","εc2","εcc2")</f>
        <v>εc2</v>
      </c>
      <c r="O36" s="63">
        <f>IF('foglio deposito'!D33="no",DATI!F35,#REF!)</f>
        <v>-2</v>
      </c>
      <c r="P36" s="19"/>
      <c r="Q36" s="19"/>
      <c r="R36" s="19"/>
      <c r="S36" s="19"/>
      <c r="T36" s="19"/>
    </row>
    <row r="37" spans="2:20" ht="15.75" x14ac:dyDescent="0.25">
      <c r="B37" s="98">
        <f>'foglio deposito'!$L$34/'foglio deposito'!$B$141*'foglio deposito'!B72</f>
        <v>-1.085E-3</v>
      </c>
      <c r="C37" s="30">
        <f>IF(B37&gt;'foglio deposito'!$L$33,2*'foglio deposito'!$F$22/'foglio deposito'!$L$33*(B37-B37^2/(2*'foglio deposito'!$L$33)),'foglio deposito'!$F$22)</f>
        <v>-11.156688812499999</v>
      </c>
      <c r="D37" s="99">
        <f>IF(B37&gt;'foglio deposito'!$F$29,2*'foglio deposito'!$D$30/(-'foglio deposito'!$F$29)*(B37^2/2-(-B37)^3/(-6*'foglio deposito'!$F$29)),2*'foglio deposito'!$D$30/(-'foglio deposito'!$F$29)*('foglio deposito'!$F$29^2/2-(-'foglio deposito'!$F$29)^3/(-6*'foglio deposito'!$F$29))+'foglio deposito'!$D$30*(ABS(B37)-ABS('foglio deposito'!$F$29)))</f>
        <v>6.803443245520833E-3</v>
      </c>
      <c r="E37" s="99">
        <f>IF(ABS(B37)&lt;ABS('foglio deposito'!$F$29),-2*'foglio deposito'!$D$30/(-'foglio deposito'!$F$29)*(-B37^3/3-(B37)^4/(-8*'foglio deposito'!$F$29)),-(2*'foglio deposito'!$D$30/(-'foglio deposito'!$F$29)*(ABS('foglio deposito'!$F$29)^3/3-ABS('foglio deposito'!$F$29)^4/(-8*'foglio deposito'!$F$29))+'foglio deposito'!$D$30/2*(ABS(B37)^2-ABS('foglio deposito'!$F$29)^2)))</f>
        <v>-4.7853623763029945E-6</v>
      </c>
      <c r="F37" s="100">
        <f>D37/('foglio deposito'!$F$22*'foglio deposito'!$L$34)</f>
        <v>0.13776335416666668</v>
      </c>
      <c r="G37" s="100">
        <f t="shared" si="0"/>
        <v>0.35172939979654116</v>
      </c>
      <c r="H37" s="103">
        <f t="shared" si="1"/>
        <v>-7.0337360122075285E-4</v>
      </c>
      <c r="I37" s="30">
        <f t="shared" si="2"/>
        <v>-3.9241354597374101</v>
      </c>
      <c r="J37" s="92"/>
      <c r="K37" s="19" t="s">
        <v>46</v>
      </c>
      <c r="L37" s="19"/>
      <c r="M37" s="19"/>
      <c r="N37" s="8" t="str">
        <f>IF('foglio deposito'!D33="no","εcu","εccu")</f>
        <v>εcu</v>
      </c>
      <c r="O37" s="63">
        <f>IF('foglio deposito'!D33="no",DATI!F36,#REF!)</f>
        <v>-3.5</v>
      </c>
      <c r="P37" s="19"/>
      <c r="Q37" s="19"/>
      <c r="R37" s="19"/>
      <c r="S37" s="19"/>
      <c r="T37" s="19"/>
    </row>
    <row r="38" spans="2:20" ht="15.75" x14ac:dyDescent="0.25">
      <c r="B38" s="98">
        <f>'foglio deposito'!$L$34/'foglio deposito'!$B$141*'foglio deposito'!B73</f>
        <v>-1.1200000000000001E-3</v>
      </c>
      <c r="C38" s="30">
        <f>IF(B38&gt;'foglio deposito'!$L$33,2*'foglio deposito'!$F$22/'foglio deposito'!$L$33*(B38-B38^2/(2*'foglio deposito'!$L$33)),'foglio deposito'!$F$22)</f>
        <v>-11.378304</v>
      </c>
      <c r="D38" s="99">
        <f>IF(B38&gt;'foglio deposito'!$F$29,2*'foglio deposito'!$D$30/(-'foglio deposito'!$F$29)*(B38^2/2-(-B38)^3/(-6*'foglio deposito'!$F$29)),2*'foglio deposito'!$D$30/(-'foglio deposito'!$F$29)*('foglio deposito'!$F$29^2/2-(-'foglio deposito'!$F$29)^3/(-6*'foglio deposito'!$F$29))+'foglio deposito'!$D$30*(ABS(B38)-ABS('foglio deposito'!$F$29)))</f>
        <v>7.1978308266666671E-3</v>
      </c>
      <c r="E38" s="99">
        <f>IF(ABS(B38)&lt;ABS('foglio deposito'!$F$29),-2*'foglio deposito'!$D$30/(-'foglio deposito'!$F$29)*(-B38^3/3-(B38)^4/(-8*'foglio deposito'!$F$29)),-(2*'foglio deposito'!$D$30/(-'foglio deposito'!$F$29)*(ABS('foglio deposito'!$F$29)^3/3-ABS('foglio deposito'!$F$29)^4/(-8*'foglio deposito'!$F$29))+'foglio deposito'!$D$30/2*(ABS(B38)^2-ABS('foglio deposito'!$F$29)^2)))</f>
        <v>-5.2201973077333341E-6</v>
      </c>
      <c r="F38" s="100">
        <f>D38/('foglio deposito'!$F$22*'foglio deposito'!$L$34)</f>
        <v>0.14574933333333337</v>
      </c>
      <c r="G38" s="100">
        <f t="shared" si="0"/>
        <v>0.35245901639344257</v>
      </c>
      <c r="H38" s="103">
        <f t="shared" si="1"/>
        <v>-7.2524590163934436E-4</v>
      </c>
      <c r="I38" s="30">
        <f t="shared" si="2"/>
        <v>-4.0103858360655735</v>
      </c>
      <c r="J38" s="92"/>
      <c r="K38" s="23"/>
      <c r="L38" s="23"/>
      <c r="M38" s="23"/>
      <c r="N38" s="93"/>
      <c r="O38" s="94"/>
      <c r="P38" s="19"/>
      <c r="Q38" s="19"/>
      <c r="R38" s="19"/>
      <c r="S38" s="19"/>
      <c r="T38" s="19"/>
    </row>
    <row r="39" spans="2:20" x14ac:dyDescent="0.25">
      <c r="B39" s="98">
        <f>'foglio deposito'!$L$34/'foglio deposito'!$B$141*'foglio deposito'!B74</f>
        <v>-1.1550000000000002E-3</v>
      </c>
      <c r="C39" s="30">
        <f>IF(B39&gt;'foglio deposito'!$L$33,2*'foglio deposito'!$F$22/'foglio deposito'!$L$33*(B39-B39^2/(2*'foglio deposito'!$L$33)),'foglio deposito'!$F$22)</f>
        <v>-11.591276812499999</v>
      </c>
      <c r="D39" s="99">
        <f>IF(B39&gt;'foglio deposito'!$F$29,2*'foglio deposito'!$D$30/(-'foglio deposito'!$F$29)*(B39^2/2-(-B39)^3/(-6*'foglio deposito'!$F$29)),2*'foglio deposito'!$D$30/(-'foglio deposito'!$F$29)*('foglio deposito'!$F$29^2/2-(-'foglio deposito'!$F$29)^3/(-6*'foglio deposito'!$F$29))+'foglio deposito'!$D$30*(ABS(B39)-ABS('foglio deposito'!$F$29)))</f>
        <v>7.5998236978125017E-3</v>
      </c>
      <c r="E39" s="99">
        <f>IF(ABS(B39)&lt;ABS('foglio deposito'!$F$29),-2*'foglio deposito'!$D$30/(-'foglio deposito'!$F$29)*(-B39^3/3-(B39)^4/(-8*'foglio deposito'!$F$29)),-(2*'foglio deposito'!$D$30/(-'foglio deposito'!$F$29)*(ABS('foglio deposito'!$F$29)^3/3-ABS('foglio deposito'!$F$29)^4/(-8*'foglio deposito'!$F$29))+'foglio deposito'!$D$30/2*(ABS(B39)^2-ABS('foglio deposito'!$F$29)^2)))</f>
        <v>-5.6774859396363312E-6</v>
      </c>
      <c r="F39" s="100">
        <f>D39/('foglio deposito'!$F$22*'foglio deposito'!$L$34)</f>
        <v>0.15388931250000007</v>
      </c>
      <c r="G39" s="100">
        <f t="shared" ref="G39:G70" si="3">1-(E39/D39)/B39</f>
        <v>0.35319917440660464</v>
      </c>
      <c r="H39" s="103">
        <f t="shared" ref="H39:H70" si="4">E39/D39</f>
        <v>-7.4705495356037176E-4</v>
      </c>
      <c r="I39" s="30">
        <f t="shared" si="2"/>
        <v>-4.0940294004934197</v>
      </c>
      <c r="J39" s="92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2:20" x14ac:dyDescent="0.25">
      <c r="B40" s="98">
        <f>'foglio deposito'!$L$34/'foglio deposito'!$B$141*'foglio deposito'!B75</f>
        <v>-1.1900000000000001E-3</v>
      </c>
      <c r="C40" s="30">
        <f>IF(B40&gt;'foglio deposito'!$L$33,2*'foglio deposito'!$F$22/'foglio deposito'!$L$33*(B40-B40^2/(2*'foglio deposito'!$L$33)),'foglio deposito'!$F$22)</f>
        <v>-11.79560725</v>
      </c>
      <c r="D40" s="99">
        <f>IF(B40&gt;'foglio deposito'!$F$29,2*'foglio deposito'!$D$30/(-'foglio deposito'!$F$29)*(B40^2/2-(-B40)^3/(-6*'foglio deposito'!$F$29)),2*'foglio deposito'!$D$30/(-'foglio deposito'!$F$29)*('foglio deposito'!$F$29^2/2-(-'foglio deposito'!$F$29)^3/(-6*'foglio deposito'!$F$29))+'foglio deposito'!$D$30*(ABS(B40)-ABS('foglio deposito'!$F$29)))</f>
        <v>8.0091193758333352E-3</v>
      </c>
      <c r="E40" s="99">
        <f>IF(ABS(B40)&lt;ABS('foglio deposito'!$F$29),-2*'foglio deposito'!$D$30/(-'foglio deposito'!$F$29)*(-B40^3/3-(B40)^4/(-8*'foglio deposito'!$F$29)),-(2*'foglio deposito'!$D$30/(-'foglio deposito'!$F$29)*(ABS('foglio deposito'!$F$29)^3/3-ABS('foglio deposito'!$F$29)^4/(-8*'foglio deposito'!$F$29))+'foglio deposito'!$D$30/2*(ABS(B40)^2-ABS('foglio deposito'!$F$29)^2)))</f>
        <v>-6.1574059808479179E-6</v>
      </c>
      <c r="F40" s="100">
        <f>D40/('foglio deposito'!$F$22*'foglio deposito'!$L$34)</f>
        <v>0.16217716666666673</v>
      </c>
      <c r="G40" s="100">
        <f t="shared" si="3"/>
        <v>0.35395010395010407</v>
      </c>
      <c r="H40" s="103">
        <f t="shared" si="4"/>
        <v>-7.6879937629937623E-4</v>
      </c>
      <c r="I40" s="30">
        <f t="shared" si="2"/>
        <v>-4.1750564122921014</v>
      </c>
      <c r="J40" s="92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2:20" x14ac:dyDescent="0.25">
      <c r="B41" s="98">
        <f>'foglio deposito'!$L$34/'foglio deposito'!$B$141*'foglio deposito'!B76</f>
        <v>-1.2250000000000002E-3</v>
      </c>
      <c r="C41" s="30">
        <f>IF(B41&gt;'foglio deposito'!$L$33,2*'foglio deposito'!$F$22/'foglio deposito'!$L$33*(B41-B41^2/(2*'foglio deposito'!$L$33)),'foglio deposito'!$F$22)</f>
        <v>-11.9912953125</v>
      </c>
      <c r="D41" s="99">
        <f>IF(B41&gt;'foglio deposito'!$F$29,2*'foglio deposito'!$D$30/(-'foglio deposito'!$F$29)*(B41^2/2-(-B41)^3/(-6*'foglio deposito'!$F$29)),2*'foglio deposito'!$D$30/(-'foglio deposito'!$F$29)*('foglio deposito'!$F$29^2/2-(-'foglio deposito'!$F$29)^3/(-6*'foglio deposito'!$F$29))+'foglio deposito'!$D$30*(ABS(B41)-ABS('foglio deposito'!$F$29)))</f>
        <v>8.425415377604167E-3</v>
      </c>
      <c r="E41" s="99">
        <f>IF(ABS(B41)&lt;ABS('foglio deposito'!$F$29),-2*'foglio deposito'!$D$30/(-'foglio deposito'!$F$29)*(-B41^3/3-(B41)^4/(-8*'foglio deposito'!$F$29)),-(2*'foglio deposito'!$D$30/(-'foglio deposito'!$F$29)*(ABS('foglio deposito'!$F$29)^3/3-ABS('foglio deposito'!$F$29)^4/(-8*'foglio deposito'!$F$29))+'foglio deposito'!$D$30/2*(ABS(B41)^2-ABS('foglio deposito'!$F$29)^2)))</f>
        <v>-6.6601033794759136E-6</v>
      </c>
      <c r="F41" s="100">
        <f>D41/('foglio deposito'!$F$22*'foglio deposito'!$L$34)</f>
        <v>0.17060677083333337</v>
      </c>
      <c r="G41" s="100">
        <f t="shared" si="3"/>
        <v>0.35471204188481664</v>
      </c>
      <c r="H41" s="103">
        <f t="shared" si="4"/>
        <v>-7.9047774869109972E-4</v>
      </c>
      <c r="I41" s="30">
        <f t="shared" si="2"/>
        <v>-4.2534568451407058</v>
      </c>
      <c r="J41" s="92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2:20" x14ac:dyDescent="0.25">
      <c r="B42" s="98">
        <f>'foglio deposito'!$L$34/'foglio deposito'!$B$141*'foglio deposito'!B77</f>
        <v>-1.2600000000000001E-3</v>
      </c>
      <c r="C42" s="30">
        <f>IF(B42&gt;'foglio deposito'!$L$33,2*'foglio deposito'!$F$22/'foglio deposito'!$L$33*(B42-B42^2/(2*'foglio deposito'!$L$33)),'foglio deposito'!$F$22)</f>
        <v>-12.178341</v>
      </c>
      <c r="D42" s="99">
        <f>IF(B42&gt;'foglio deposito'!$F$29,2*'foglio deposito'!$D$30/(-'foglio deposito'!$F$29)*(B42^2/2-(-B42)^3/(-6*'foglio deposito'!$F$29)),2*'foglio deposito'!$D$30/(-'foglio deposito'!$F$29)*('foglio deposito'!$F$29^2/2-(-'foglio deposito'!$F$29)^3/(-6*'foglio deposito'!$F$29))+'foglio deposito'!$D$30*(ABS(B42)-ABS('foglio deposito'!$F$29)))</f>
        <v>8.8484092199999989E-3</v>
      </c>
      <c r="E42" s="99">
        <f>IF(ABS(B42)&lt;ABS('foglio deposito'!$F$29),-2*'foglio deposito'!$D$30/(-'foglio deposito'!$F$29)*(-B42^3/3-(B42)^4/(-8*'foglio deposito'!$F$29)),-(2*'foglio deposito'!$D$30/(-'foglio deposito'!$F$29)*(ABS('foglio deposito'!$F$29)^3/3-ABS('foglio deposito'!$F$29)^4/(-8*'foglio deposito'!$F$29))+'foglio deposito'!$D$30/2*(ABS(B42)^2-ABS('foglio deposito'!$F$29)^2)))</f>
        <v>-7.1856923229E-6</v>
      </c>
      <c r="F42" s="100">
        <f>D42/('foglio deposito'!$F$22*'foglio deposito'!$L$34)</f>
        <v>0.179172</v>
      </c>
      <c r="G42" s="100">
        <f t="shared" si="3"/>
        <v>0.35548523206751048</v>
      </c>
      <c r="H42" s="103">
        <f t="shared" si="4"/>
        <v>-8.120886075949368E-4</v>
      </c>
      <c r="I42" s="30">
        <f t="shared" si="2"/>
        <v>-4.3292203765822777</v>
      </c>
      <c r="J42" s="92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2:20" x14ac:dyDescent="0.25">
      <c r="B43" s="98">
        <f>'foglio deposito'!$L$34/'foglio deposito'!$B$141*'foglio deposito'!B78</f>
        <v>-1.2950000000000001E-3</v>
      </c>
      <c r="C43" s="30">
        <f>IF(B43&gt;'foglio deposito'!$L$33,2*'foglio deposito'!$F$22/'foglio deposito'!$L$33*(B43-B43^2/(2*'foglio deposito'!$L$33)),'foglio deposito'!$F$22)</f>
        <v>-12.356744312499998</v>
      </c>
      <c r="D43" s="99">
        <f>IF(B43&gt;'foglio deposito'!$F$29,2*'foglio deposito'!$D$30/(-'foglio deposito'!$F$29)*(B43^2/2-(-B43)^3/(-6*'foglio deposito'!$F$29)),2*'foglio deposito'!$D$30/(-'foglio deposito'!$F$29)*('foglio deposito'!$F$29^2/2-(-'foglio deposito'!$F$29)^3/(-6*'foglio deposito'!$F$29))+'foglio deposito'!$D$30*(ABS(B43)-ABS('foglio deposito'!$F$29)))</f>
        <v>9.2777984198958337E-3</v>
      </c>
      <c r="E43" s="99">
        <f>IF(ABS(B43)&lt;ABS('foglio deposito'!$F$29),-2*'foglio deposito'!$D$30/(-'foglio deposito'!$F$29)*(-B43^3/3-(B43)^4/(-8*'foglio deposito'!$F$29)),-(2*'foglio deposito'!$D$30/(-'foglio deposito'!$F$29)*(ABS('foglio deposito'!$F$29)^3/3-ABS('foglio deposito'!$F$29)^4/(-8*'foglio deposito'!$F$29))+'foglio deposito'!$D$30/2*(ABS(B43)^2-ABS('foglio deposito'!$F$29)^2)))</f>
        <v>-7.7342552377717469E-6</v>
      </c>
      <c r="F43" s="100">
        <f>D43/('foglio deposito'!$F$22*'foglio deposito'!$L$34)</f>
        <v>0.18786672916666672</v>
      </c>
      <c r="G43" s="100">
        <f t="shared" si="3"/>
        <v>0.35626992561105197</v>
      </c>
      <c r="H43" s="103">
        <f t="shared" si="4"/>
        <v>-8.3363044633368781E-4</v>
      </c>
      <c r="I43" s="30">
        <f t="shared" si="2"/>
        <v>-4.4023363770091644</v>
      </c>
      <c r="J43" s="92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2:20" x14ac:dyDescent="0.25">
      <c r="B44" s="98">
        <f>'foglio deposito'!$L$34/'foglio deposito'!$B$141*'foglio deposito'!B79</f>
        <v>-1.3300000000000002E-3</v>
      </c>
      <c r="C44" s="30">
        <f>IF(B44&gt;'foglio deposito'!$L$33,2*'foglio deposito'!$F$22/'foglio deposito'!$L$33*(B44-B44^2/(2*'foglio deposito'!$L$33)),'foglio deposito'!$F$22)</f>
        <v>-12.526505250000001</v>
      </c>
      <c r="D44" s="99">
        <f>IF(B44&gt;'foglio deposito'!$F$29,2*'foglio deposito'!$D$30/(-'foglio deposito'!$F$29)*(B44^2/2-(-B44)^3/(-6*'foglio deposito'!$F$29)),2*'foglio deposito'!$D$30/(-'foglio deposito'!$F$29)*('foglio deposito'!$F$29^2/2-(-'foglio deposito'!$F$29)^3/(-6*'foglio deposito'!$F$29))+'foglio deposito'!$D$30*(ABS(B44)-ABS('foglio deposito'!$F$29)))</f>
        <v>9.7132804941666689E-3</v>
      </c>
      <c r="E44" s="99">
        <f>IF(ABS(B44)&lt;ABS('foglio deposito'!$F$29),-2*'foglio deposito'!$D$30/(-'foglio deposito'!$F$29)*(-B44^3/3-(B44)^4/(-8*'foglio deposito'!$F$29)),-(2*'foglio deposito'!$D$30/(-'foglio deposito'!$F$29)*(ABS('foglio deposito'!$F$29)^3/3-ABS('foglio deposito'!$F$29)^4/(-8*'foglio deposito'!$F$29))+'foglio deposito'!$D$30/2*(ABS(B44)^2-ABS('foglio deposito'!$F$29)^2)))</f>
        <v>-8.3058427900145848E-6</v>
      </c>
      <c r="F44" s="100">
        <f>D44/('foglio deposito'!$F$22*'foglio deposito'!$L$34)</f>
        <v>0.19668483333333342</v>
      </c>
      <c r="G44" s="100">
        <f t="shared" si="3"/>
        <v>0.35706638115631706</v>
      </c>
      <c r="H44" s="103">
        <f t="shared" si="4"/>
        <v>-8.5510171306209845E-4</v>
      </c>
      <c r="I44" s="30">
        <f t="shared" si="2"/>
        <v>-4.4727938981531068</v>
      </c>
      <c r="J44" s="92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2:20" x14ac:dyDescent="0.25">
      <c r="B45" s="98">
        <f>'foglio deposito'!$L$34/'foglio deposito'!$B$141*'foglio deposito'!B80</f>
        <v>-1.3650000000000001E-3</v>
      </c>
      <c r="C45" s="30">
        <f>IF(B45&gt;'foglio deposito'!$L$33,2*'foglio deposito'!$F$22/'foglio deposito'!$L$33*(B45-B45^2/(2*'foglio deposito'!$L$33)),'foglio deposito'!$F$22)</f>
        <v>-12.687623812499998</v>
      </c>
      <c r="D45" s="99">
        <f>IF(B45&gt;'foglio deposito'!$F$29,2*'foglio deposito'!$D$30/(-'foglio deposito'!$F$29)*(B45^2/2-(-B45)^3/(-6*'foglio deposito'!$F$29)),2*'foglio deposito'!$D$30/(-'foglio deposito'!$F$29)*('foglio deposito'!$F$29^2/2-(-'foglio deposito'!$F$29)^3/(-6*'foglio deposito'!$F$29))+'foglio deposito'!$D$30*(ABS(B45)-ABS('foglio deposito'!$F$29)))</f>
        <v>1.01545529596875E-2</v>
      </c>
      <c r="E45" s="99">
        <f>IF(ABS(B45)&lt;ABS('foglio deposito'!$F$29),-2*'foglio deposito'!$D$30/(-'foglio deposito'!$F$29)*(-B45^3/3-(B45)^4/(-8*'foglio deposito'!$F$29)),-(2*'foglio deposito'!$D$30/(-'foglio deposito'!$F$29)*(ABS('foglio deposito'!$F$29)^3/3-ABS('foglio deposito'!$F$29)^4/(-8*'foglio deposito'!$F$29))+'foglio deposito'!$D$30/2*(ABS(B45)^2-ABS('foglio deposito'!$F$29)^2)))</f>
        <v>-8.9004738848238288E-6</v>
      </c>
      <c r="F45" s="100">
        <f>D45/('foglio deposito'!$F$22*'foglio deposito'!$L$34)</f>
        <v>0.20562018750000005</v>
      </c>
      <c r="G45" s="100">
        <f t="shared" si="3"/>
        <v>0.35787486515641853</v>
      </c>
      <c r="H45" s="103">
        <f t="shared" si="4"/>
        <v>-8.765008090614887E-4</v>
      </c>
      <c r="I45" s="30">
        <f t="shared" si="2"/>
        <v>-4.5405816610538015</v>
      </c>
      <c r="J45" s="92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2:20" x14ac:dyDescent="0.25">
      <c r="B46" s="98">
        <f>'foglio deposito'!$L$34/'foglio deposito'!$B$141*'foglio deposito'!B81</f>
        <v>-1.4000000000000002E-3</v>
      </c>
      <c r="C46" s="30">
        <f>IF(B46&gt;'foglio deposito'!$L$33,2*'foglio deposito'!$F$22/'foglio deposito'!$L$33*(B46-B46^2/(2*'foglio deposito'!$L$33)),'foglio deposito'!$F$22)</f>
        <v>-12.840099999999998</v>
      </c>
      <c r="D46" s="99">
        <f>IF(B46&gt;'foglio deposito'!$F$29,2*'foglio deposito'!$D$30/(-'foglio deposito'!$F$29)*(B46^2/2-(-B46)^3/(-6*'foglio deposito'!$F$29)),2*'foglio deposito'!$D$30/(-'foglio deposito'!$F$29)*('foglio deposito'!$F$29^2/2-(-'foglio deposito'!$F$29)^3/(-6*'foglio deposito'!$F$29))+'foglio deposito'!$D$30*(ABS(B46)-ABS('foglio deposito'!$F$29)))</f>
        <v>1.0601313333333336E-2</v>
      </c>
      <c r="E46" s="99">
        <f>IF(ABS(B46)&lt;ABS('foglio deposito'!$F$29),-2*'foglio deposito'!$D$30/(-'foglio deposito'!$F$29)*(-B46^3/3-(B46)^4/(-8*'foglio deposito'!$F$29)),-(2*'foglio deposito'!$D$30/(-'foglio deposito'!$F$29)*(ABS('foglio deposito'!$F$29)^3/3-ABS('foglio deposito'!$F$29)^4/(-8*'foglio deposito'!$F$29))+'foglio deposito'!$D$30/2*(ABS(B46)^2-ABS('foglio deposito'!$F$29)^2)))</f>
        <v>-9.51813566666667E-6</v>
      </c>
      <c r="F46" s="100">
        <f>D46/('foglio deposito'!$F$22*'foglio deposito'!$L$34)</f>
        <v>0.21466666666666676</v>
      </c>
      <c r="G46" s="100">
        <f t="shared" si="3"/>
        <v>0.35869565217391308</v>
      </c>
      <c r="H46" s="103">
        <f t="shared" si="4"/>
        <v>-8.9782608695652185E-4</v>
      </c>
      <c r="I46" s="30">
        <f t="shared" si="2"/>
        <v>-4.6056880434782608</v>
      </c>
      <c r="J46" s="92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2:20" x14ac:dyDescent="0.25">
      <c r="B47" s="98">
        <f>'foglio deposito'!$L$34/'foglio deposito'!$B$141*'foglio deposito'!B82</f>
        <v>-1.4350000000000001E-3</v>
      </c>
      <c r="C47" s="30">
        <f>IF(B47&gt;'foglio deposito'!$L$33,2*'foglio deposito'!$F$22/'foglio deposito'!$L$33*(B47-B47^2/(2*'foglio deposito'!$L$33)),'foglio deposito'!$F$22)</f>
        <v>-12.9839338125</v>
      </c>
      <c r="D47" s="99">
        <f>IF(B47&gt;'foglio deposito'!$F$29,2*'foglio deposito'!$D$30/(-'foglio deposito'!$F$29)*(B47^2/2-(-B47)^3/(-6*'foglio deposito'!$F$29)),2*'foglio deposito'!$D$30/(-'foglio deposito'!$F$29)*('foglio deposito'!$F$29^2/2-(-'foglio deposito'!$F$29)^3/(-6*'foglio deposito'!$F$29))+'foglio deposito'!$D$30*(ABS(B47)-ABS('foglio deposito'!$F$29)))</f>
        <v>1.1053259131979166E-2</v>
      </c>
      <c r="E47" s="99">
        <f>IF(ABS(B47)&lt;ABS('foglio deposito'!$F$29),-2*'foglio deposito'!$D$30/(-'foglio deposito'!$F$29)*(-B47^3/3-(B47)^4/(-8*'foglio deposito'!$F$29)),-(2*'foglio deposito'!$D$30/(-'foglio deposito'!$F$29)*(ABS('foglio deposito'!$F$29)^3/3-ABS('foglio deposito'!$F$29)^4/(-8*'foglio deposito'!$F$29))+'foglio deposito'!$D$30/2*(ABS(B47)^2-ABS('foglio deposito'!$F$29)^2)))</f>
        <v>-1.0158783519282159E-5</v>
      </c>
      <c r="F47" s="100">
        <f>D47/('foglio deposito'!$F$22*'foglio deposito'!$L$34)</f>
        <v>0.22381814583333337</v>
      </c>
      <c r="G47" s="100">
        <f t="shared" si="3"/>
        <v>0.35952902519167595</v>
      </c>
      <c r="H47" s="103">
        <f t="shared" si="4"/>
        <v>-9.1907584884994508E-4</v>
      </c>
      <c r="I47" s="30">
        <f t="shared" si="2"/>
        <v>-4.6681010667613654</v>
      </c>
      <c r="J47" s="92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2:20" x14ac:dyDescent="0.25">
      <c r="B48" s="98">
        <f>'foglio deposito'!$L$34/'foglio deposito'!$B$141*'foglio deposito'!B83</f>
        <v>-1.4700000000000002E-3</v>
      </c>
      <c r="C48" s="30">
        <f>IF(B48&gt;'foglio deposito'!$L$33,2*'foglio deposito'!$F$22/'foglio deposito'!$L$33*(B48-B48^2/(2*'foglio deposito'!$L$33)),'foglio deposito'!$F$22)</f>
        <v>-13.11912525</v>
      </c>
      <c r="D48" s="99">
        <f>IF(B48&gt;'foglio deposito'!$F$29,2*'foglio deposito'!$D$30/(-'foglio deposito'!$F$29)*(B48^2/2-(-B48)^3/(-6*'foglio deposito'!$F$29)),2*'foglio deposito'!$D$30/(-'foglio deposito'!$F$29)*('foglio deposito'!$F$29^2/2-(-'foglio deposito'!$F$29)^3/(-6*'foglio deposito'!$F$29))+'foglio deposito'!$D$30*(ABS(B48)-ABS('foglio deposito'!$F$29)))</f>
        <v>1.15100878725E-2</v>
      </c>
      <c r="E48" s="99">
        <f>IF(ABS(B48)&lt;ABS('foglio deposito'!$F$29),-2*'foglio deposito'!$D$30/(-'foglio deposito'!$F$29)*(-B48^3/3-(B48)^4/(-8*'foglio deposito'!$F$29)),-(2*'foglio deposito'!$D$30/(-'foglio deposito'!$F$29)*(ABS('foglio deposito'!$F$29)^3/3-ABS('foglio deposito'!$F$29)^4/(-8*'foglio deposito'!$F$29))+'foglio deposito'!$D$30/2*(ABS(B48)^2-ABS('foglio deposito'!$F$29)^2)))</f>
        <v>-1.0822341065681252E-5</v>
      </c>
      <c r="F48" s="100">
        <f>D48/('foglio deposito'!$F$22*'foglio deposito'!$L$34)</f>
        <v>0.23306850000000004</v>
      </c>
      <c r="G48" s="100">
        <f t="shared" si="3"/>
        <v>0.36037527593818974</v>
      </c>
      <c r="H48" s="103">
        <f t="shared" si="4"/>
        <v>-9.4024834437086112E-4</v>
      </c>
      <c r="I48" s="30">
        <f t="shared" si="2"/>
        <v>-4.7278083820364225</v>
      </c>
      <c r="J48" s="92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2:20" x14ac:dyDescent="0.25">
      <c r="B49" s="98">
        <f>'foglio deposito'!$L$34/'foglio deposito'!$B$141*'foglio deposito'!B84</f>
        <v>-1.5050000000000003E-3</v>
      </c>
      <c r="C49" s="30">
        <f>IF(B49&gt;'foglio deposito'!$L$33,2*'foglio deposito'!$F$22/'foglio deposito'!$L$33*(B49-B49^2/(2*'foglio deposito'!$L$33)),'foglio deposito'!$F$22)</f>
        <v>-13.245674312499998</v>
      </c>
      <c r="D49" s="99">
        <f>IF(B49&gt;'foglio deposito'!$F$29,2*'foglio deposito'!$D$30/(-'foglio deposito'!$F$29)*(B49^2/2-(-B49)^3/(-6*'foglio deposito'!$F$29)),2*'foglio deposito'!$D$30/(-'foglio deposito'!$F$29)*('foglio deposito'!$F$29^2/2-(-'foglio deposito'!$F$29)^3/(-6*'foglio deposito'!$F$29))+'foglio deposito'!$D$30*(ABS(B49)-ABS('foglio deposito'!$F$29)))</f>
        <v>1.1971497071770835E-2</v>
      </c>
      <c r="E49" s="99">
        <f>IF(ABS(B49)&lt;ABS('foglio deposito'!$F$29),-2*'foglio deposito'!$D$30/(-'foglio deposito'!$F$29)*(-B49^3/3-(B49)^4/(-8*'foglio deposito'!$F$29)),-(2*'foglio deposito'!$D$30/(-'foglio deposito'!$F$29)*(ABS('foglio deposito'!$F$29)^3/3-ABS('foglio deposito'!$F$29)^4/(-8*'foglio deposito'!$F$29))+'foglio deposito'!$D$30/2*(ABS(B49)^2-ABS('foglio deposito'!$F$29)^2)))</f>
        <v>-1.1508700168146747E-5</v>
      </c>
      <c r="F49" s="100">
        <f>D49/('foglio deposito'!$F$22*'foglio deposito'!$L$34)</f>
        <v>0.24241160416666674</v>
      </c>
      <c r="G49" s="100">
        <f t="shared" si="3"/>
        <v>0.36123470522803125</v>
      </c>
      <c r="H49" s="103">
        <f t="shared" si="4"/>
        <v>-9.6134176863181314E-4</v>
      </c>
      <c r="I49" s="30">
        <f t="shared" si="2"/>
        <v>-4.7847972558224425</v>
      </c>
      <c r="J49" s="92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2:20" x14ac:dyDescent="0.25">
      <c r="B50" s="98">
        <f>'foglio deposito'!$L$34/'foglio deposito'!$B$141*'foglio deposito'!B85</f>
        <v>-1.5400000000000001E-3</v>
      </c>
      <c r="C50" s="30">
        <f>IF(B50&gt;'foglio deposito'!$L$33,2*'foglio deposito'!$F$22/'foglio deposito'!$L$33*(B50-B50^2/(2*'foglio deposito'!$L$33)),'foglio deposito'!$F$22)</f>
        <v>-13.363581</v>
      </c>
      <c r="D50" s="99">
        <f>IF(B50&gt;'foglio deposito'!$F$29,2*'foglio deposito'!$D$30/(-'foglio deposito'!$F$29)*(B50^2/2-(-B50)^3/(-6*'foglio deposito'!$F$29)),2*'foglio deposito'!$D$30/(-'foglio deposito'!$F$29)*('foglio deposito'!$F$29^2/2-(-'foglio deposito'!$F$29)^3/(-6*'foglio deposito'!$F$29))+'foglio deposito'!$D$30*(ABS(B50)-ABS('foglio deposito'!$F$29)))</f>
        <v>1.2437184246666667E-2</v>
      </c>
      <c r="E50" s="99">
        <f>IF(ABS(B50)&lt;ABS('foglio deposito'!$F$29),-2*'foglio deposito'!$D$30/(-'foglio deposito'!$F$29)*(-B50^3/3-(B50)^4/(-8*'foglio deposito'!$F$29)),-(2*'foglio deposito'!$D$30/(-'foglio deposito'!$F$29)*(ABS('foglio deposito'!$F$29)^3/3-ABS('foglio deposito'!$F$29)^4/(-8*'foglio deposito'!$F$29))+'foglio deposito'!$D$30/2*(ABS(B50)^2-ABS('foglio deposito'!$F$29)^2)))</f>
        <v>-1.2217720928233333E-5</v>
      </c>
      <c r="F50" s="100">
        <f>D50/('foglio deposito'!$F$22*'foglio deposito'!$L$34)</f>
        <v>0.25184133333333336</v>
      </c>
      <c r="G50" s="100">
        <f t="shared" si="3"/>
        <v>0.36210762331838575</v>
      </c>
      <c r="H50" s="103">
        <f t="shared" si="4"/>
        <v>-9.8235426008968607E-4</v>
      </c>
      <c r="I50" s="30">
        <f t="shared" si="2"/>
        <v>-4.8390545549327371</v>
      </c>
      <c r="J50" s="92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2:20" x14ac:dyDescent="0.25">
      <c r="B51" s="98">
        <f>'foglio deposito'!$L$34/'foglio deposito'!$B$141*'foglio deposito'!B86</f>
        <v>-1.5750000000000002E-3</v>
      </c>
      <c r="C51" s="30">
        <f>IF(B51&gt;'foglio deposito'!$L$33,2*'foglio deposito'!$F$22/'foglio deposito'!$L$33*(B51-B51^2/(2*'foglio deposito'!$L$33)),'foglio deposito'!$F$22)</f>
        <v>-13.472845312499997</v>
      </c>
      <c r="D51" s="99">
        <f>IF(B51&gt;'foglio deposito'!$F$29,2*'foglio deposito'!$D$30/(-'foglio deposito'!$F$29)*(B51^2/2-(-B51)^3/(-6*'foglio deposito'!$F$29)),2*'foglio deposito'!$D$30/(-'foglio deposito'!$F$29)*('foglio deposito'!$F$29^2/2-(-'foglio deposito'!$F$29)^3/(-6*'foglio deposito'!$F$29))+'foglio deposito'!$D$30*(ABS(B51)-ABS('foglio deposito'!$F$29)))</f>
        <v>1.2906846914062502E-2</v>
      </c>
      <c r="E51" s="99">
        <f>IF(ABS(B51)&lt;ABS('foglio deposito'!$F$29),-2*'foglio deposito'!$D$30/(-'foglio deposito'!$F$29)*(-B51^3/3-(B51)^4/(-8*'foglio deposito'!$F$29)),-(2*'foglio deposito'!$D$30/(-'foglio deposito'!$F$29)*(ABS('foglio deposito'!$F$29)^3/3-ABS('foglio deposito'!$F$29)^4/(-8*'foglio deposito'!$F$29))+'foglio deposito'!$D$30/2*(ABS(B51)^2-ABS('foglio deposito'!$F$29)^2)))</f>
        <v>-1.2949231686767581E-5</v>
      </c>
      <c r="F51" s="100">
        <f>D51/('foglio deposito'!$F$22*'foglio deposito'!$L$34)</f>
        <v>0.26135156250000008</v>
      </c>
      <c r="G51" s="100">
        <f t="shared" si="3"/>
        <v>0.36299435028248594</v>
      </c>
      <c r="H51" s="103">
        <f t="shared" si="4"/>
        <v>-1.0032838983050848E-3</v>
      </c>
      <c r="I51" s="30">
        <f t="shared" si="2"/>
        <v>-4.8905667306673726</v>
      </c>
      <c r="J51" s="92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2:20" x14ac:dyDescent="0.25">
      <c r="B52" s="98">
        <f>'foglio deposito'!$L$34/'foglio deposito'!$B$141*'foglio deposito'!B87</f>
        <v>-1.6100000000000001E-3</v>
      </c>
      <c r="C52" s="30">
        <f>IF(B52&gt;'foglio deposito'!$L$33,2*'foglio deposito'!$F$22/'foglio deposito'!$L$33*(B52-B52^2/(2*'foglio deposito'!$L$33)),'foglio deposito'!$F$22)</f>
        <v>-13.57346725</v>
      </c>
      <c r="D52" s="99">
        <f>IF(B52&gt;'foglio deposito'!$F$29,2*'foglio deposito'!$D$30/(-'foglio deposito'!$F$29)*(B52^2/2-(-B52)^3/(-6*'foglio deposito'!$F$29)),2*'foglio deposito'!$D$30/(-'foglio deposito'!$F$29)*('foglio deposito'!$F$29^2/2-(-'foglio deposito'!$F$29)^3/(-6*'foglio deposito'!$F$29))+'foglio deposito'!$D$30*(ABS(B52)-ABS('foglio deposito'!$F$29)))</f>
        <v>1.3380182590833333E-2</v>
      </c>
      <c r="E52" s="99">
        <f>IF(ABS(B52)&lt;ABS('foglio deposito'!$F$29),-2*'foglio deposito'!$D$30/(-'foglio deposito'!$F$29)*(-B52^3/3-(B52)^4/(-8*'foglio deposito'!$F$29)),-(2*'foglio deposito'!$D$30/(-'foglio deposito'!$F$29)*(ABS('foglio deposito'!$F$29)^3/3-ABS('foglio deposito'!$F$29)^4/(-8*'foglio deposito'!$F$29))+'foglio deposito'!$D$30/2*(ABS(B52)^2-ABS('foglio deposito'!$F$29)^2)))</f>
        <v>-1.3703029023847916E-5</v>
      </c>
      <c r="F52" s="100">
        <f>D52/('foglio deposito'!$F$22*'foglio deposito'!$L$34)</f>
        <v>0.2709361666666667</v>
      </c>
      <c r="G52" s="100">
        <f t="shared" si="3"/>
        <v>0.36389521640091116</v>
      </c>
      <c r="H52" s="103">
        <f t="shared" si="4"/>
        <v>-1.0241287015945331E-3</v>
      </c>
      <c r="I52" s="30">
        <f t="shared" si="2"/>
        <v>-4.9393198022494307</v>
      </c>
      <c r="J52" s="92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2:20" x14ac:dyDescent="0.25">
      <c r="B53" s="98">
        <f>'foglio deposito'!$L$34/'foglio deposito'!$B$141*'foglio deposito'!B88</f>
        <v>-1.6450000000000002E-3</v>
      </c>
      <c r="C53" s="30">
        <f>IF(B53&gt;'foglio deposito'!$L$33,2*'foglio deposito'!$F$22/'foglio deposito'!$L$33*(B53-B53^2/(2*'foglio deposito'!$L$33)),'foglio deposito'!$F$22)</f>
        <v>-13.665446812499999</v>
      </c>
      <c r="D53" s="99">
        <f>IF(B53&gt;'foglio deposito'!$F$29,2*'foglio deposito'!$D$30/(-'foglio deposito'!$F$29)*(B53^2/2-(-B53)^3/(-6*'foglio deposito'!$F$29)),2*'foglio deposito'!$D$30/(-'foglio deposito'!$F$29)*('foglio deposito'!$F$29^2/2-(-'foglio deposito'!$F$29)^3/(-6*'foglio deposito'!$F$29))+'foglio deposito'!$D$30*(ABS(B53)-ABS('foglio deposito'!$F$29)))</f>
        <v>1.3856888793854168E-2</v>
      </c>
      <c r="E53" s="99">
        <f>IF(ABS(B53)&lt;ABS('foglio deposito'!$F$29),-2*'foglio deposito'!$D$30/(-'foglio deposito'!$F$29)*(-B53^3/3-(B53)^4/(-8*'foglio deposito'!$F$29)),-(2*'foglio deposito'!$D$30/(-'foglio deposito'!$F$29)*(ABS('foglio deposito'!$F$29)^3/3-ABS('foglio deposito'!$F$29)^4/(-8*'foglio deposito'!$F$29))+'foglio deposito'!$D$30/2*(ABS(B53)^2-ABS('foglio deposito'!$F$29)^2)))</f>
        <v>-1.4478877758844663E-5</v>
      </c>
      <c r="F53" s="100">
        <f>D53/('foglio deposito'!$F$22*'foglio deposito'!$L$34)</f>
        <v>0.28058902083333342</v>
      </c>
      <c r="G53" s="100">
        <f t="shared" si="3"/>
        <v>0.36481056257175659</v>
      </c>
      <c r="H53" s="103">
        <f t="shared" si="4"/>
        <v>-1.0448866245694605E-3</v>
      </c>
      <c r="I53" s="30">
        <f t="shared" si="2"/>
        <v>-4.9852993394625429</v>
      </c>
      <c r="J53" s="92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2:20" x14ac:dyDescent="0.25">
      <c r="B54" s="98">
        <f>'foglio deposito'!$L$34/'foglio deposito'!$B$141*'foglio deposito'!B89</f>
        <v>-1.6800000000000001E-3</v>
      </c>
      <c r="C54" s="30">
        <f>IF(B54&gt;'foglio deposito'!$L$33,2*'foglio deposito'!$F$22/'foglio deposito'!$L$33*(B54-B54^2/(2*'foglio deposito'!$L$33)),'foglio deposito'!$F$22)</f>
        <v>-13.748783999999999</v>
      </c>
      <c r="D54" s="99">
        <f>IF(B54&gt;'foglio deposito'!$F$29,2*'foglio deposito'!$D$30/(-'foglio deposito'!$F$29)*(B54^2/2-(-B54)^3/(-6*'foglio deposito'!$F$29)),2*'foglio deposito'!$D$30/(-'foglio deposito'!$F$29)*('foglio deposito'!$F$29^2/2-(-'foglio deposito'!$F$29)^3/(-6*'foglio deposito'!$F$29))+'foglio deposito'!$D$30*(ABS(B54)-ABS('foglio deposito'!$F$29)))</f>
        <v>1.4336663040000001E-2</v>
      </c>
      <c r="E54" s="99">
        <f>IF(ABS(B54)&lt;ABS('foglio deposito'!$F$29),-2*'foglio deposito'!$D$30/(-'foglio deposito'!$F$29)*(-B54^3/3-(B54)^4/(-8*'foglio deposito'!$F$29)),-(2*'foglio deposito'!$D$30/(-'foglio deposito'!$F$29)*(ABS('foglio deposito'!$F$29)^3/3-ABS('foglio deposito'!$F$29)^4/(-8*'foglio deposito'!$F$29))+'foglio deposito'!$D$30/2*(ABS(B54)^2-ABS('foglio deposito'!$F$29)^2)))</f>
        <v>-1.5276510950399999E-5</v>
      </c>
      <c r="F54" s="100">
        <f>D54/('foglio deposito'!$F$22*'foglio deposito'!$L$34)</f>
        <v>0.29030400000000006</v>
      </c>
      <c r="G54" s="100">
        <f t="shared" si="3"/>
        <v>0.36574074074074081</v>
      </c>
      <c r="H54" s="103">
        <f t="shared" si="4"/>
        <v>-1.0655555555555555E-3</v>
      </c>
      <c r="I54" s="30">
        <f t="shared" si="2"/>
        <v>-5.0284904444444454</v>
      </c>
      <c r="J54" s="92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2:20" x14ac:dyDescent="0.25">
      <c r="B55" s="98">
        <f>'foglio deposito'!$L$34/'foglio deposito'!$B$141*'foglio deposito'!B90</f>
        <v>-1.7150000000000002E-3</v>
      </c>
      <c r="C55" s="30">
        <f>IF(B55&gt;'foglio deposito'!$L$33,2*'foglio deposito'!$F$22/'foglio deposito'!$L$33*(B55-B55^2/(2*'foglio deposito'!$L$33)),'foglio deposito'!$F$22)</f>
        <v>-13.823478812499999</v>
      </c>
      <c r="D55" s="99">
        <f>IF(B55&gt;'foglio deposito'!$F$29,2*'foglio deposito'!$D$30/(-'foglio deposito'!$F$29)*(B55^2/2-(-B55)^3/(-6*'foglio deposito'!$F$29)),2*'foglio deposito'!$D$30/(-'foglio deposito'!$F$29)*('foglio deposito'!$F$29^2/2-(-'foglio deposito'!$F$29)^3/(-6*'foglio deposito'!$F$29))+'foglio deposito'!$D$30*(ABS(B55)-ABS('foglio deposito'!$F$29)))</f>
        <v>1.4819202846145831E-2</v>
      </c>
      <c r="E55" s="99">
        <f>IF(ABS(B55)&lt;ABS('foglio deposito'!$F$29),-2*'foglio deposito'!$D$30/(-'foglio deposito'!$F$29)*(-B55^3/3-(B55)^4/(-8*'foglio deposito'!$F$29)),-(2*'foglio deposito'!$D$30/(-'foglio deposito'!$F$29)*(ABS('foglio deposito'!$F$29)^3/3-ABS('foglio deposito'!$F$29)^4/(-8*'foglio deposito'!$F$29))+'foglio deposito'!$D$30/2*(ABS(B55)^2-ABS('foglio deposito'!$F$29)^2)))</f>
        <v>-1.6095629896427997E-5</v>
      </c>
      <c r="F55" s="100">
        <f>D55/('foglio deposito'!$F$22*'foglio deposito'!$L$34)</f>
        <v>0.30007497916666664</v>
      </c>
      <c r="G55" s="100">
        <f t="shared" si="3"/>
        <v>0.36668611435239196</v>
      </c>
      <c r="H55" s="103">
        <f t="shared" si="4"/>
        <v>-1.0861333138856479E-3</v>
      </c>
      <c r="I55" s="30">
        <f t="shared" si="2"/>
        <v>-5.0688777325882421</v>
      </c>
      <c r="J55" s="92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2:20" x14ac:dyDescent="0.25">
      <c r="B56" s="98">
        <f>'foglio deposito'!$L$34/'foglio deposito'!$B$141*'foglio deposito'!B91</f>
        <v>-1.7500000000000003E-3</v>
      </c>
      <c r="C56" s="30">
        <f>IF(B56&gt;'foglio deposito'!$L$33,2*'foglio deposito'!$F$22/'foglio deposito'!$L$33*(B56-B56^2/(2*'foglio deposito'!$L$33)),'foglio deposito'!$F$22)</f>
        <v>-13.889531249999997</v>
      </c>
      <c r="D56" s="99">
        <f>IF(B56&gt;'foglio deposito'!$F$29,2*'foglio deposito'!$D$30/(-'foglio deposito'!$F$29)*(B56^2/2-(-B56)^3/(-6*'foglio deposito'!$F$29)),2*'foglio deposito'!$D$30/(-'foglio deposito'!$F$29)*('foglio deposito'!$F$29^2/2-(-'foglio deposito'!$F$29)^3/(-6*'foglio deposito'!$F$29))+'foglio deposito'!$D$30*(ABS(B56)-ABS('foglio deposito'!$F$29)))</f>
        <v>1.5304205729166668E-2</v>
      </c>
      <c r="E56" s="99">
        <f>IF(ABS(B56)&lt;ABS('foglio deposito'!$F$29),-2*'foglio deposito'!$D$30/(-'foglio deposito'!$F$29)*(-B56^3/3-(B56)^4/(-8*'foglio deposito'!$F$29)),-(2*'foglio deposito'!$D$30/(-'foglio deposito'!$F$29)*(ABS('foglio deposito'!$F$29)^3/3-ABS('foglio deposito'!$F$29)^4/(-8*'foglio deposito'!$F$29))+'foglio deposito'!$D$30/2*(ABS(B56)^2-ABS('foglio deposito'!$F$29)^2)))</f>
        <v>-1.6935904134114588E-5</v>
      </c>
      <c r="F56" s="100">
        <f>D56/('foglio deposito'!$F$22*'foglio deposito'!$L$34)</f>
        <v>0.30989583333333343</v>
      </c>
      <c r="G56" s="100">
        <f t="shared" si="3"/>
        <v>0.36764705882352944</v>
      </c>
      <c r="H56" s="103">
        <f t="shared" si="4"/>
        <v>-1.1066176470588237E-3</v>
      </c>
      <c r="I56" s="30">
        <f t="shared" si="2"/>
        <v>-5.1064453124999991</v>
      </c>
      <c r="J56" s="92"/>
      <c r="K56" s="19"/>
      <c r="L56" s="19"/>
      <c r="M56" s="96"/>
      <c r="N56" s="67"/>
      <c r="O56" s="19"/>
      <c r="P56" s="19"/>
      <c r="Q56" s="19"/>
      <c r="R56" s="19"/>
      <c r="S56" s="19"/>
      <c r="T56" s="19"/>
    </row>
    <row r="57" spans="2:20" x14ac:dyDescent="0.25">
      <c r="B57" s="98">
        <f>'foglio deposito'!$L$34/'foglio deposito'!$B$141*'foglio deposito'!B92</f>
        <v>-1.7850000000000001E-3</v>
      </c>
      <c r="C57" s="30">
        <f>IF(B57&gt;'foglio deposito'!$L$33,2*'foglio deposito'!$F$22/'foglio deposito'!$L$33*(B57-B57^2/(2*'foglio deposito'!$L$33)),'foglio deposito'!$F$22)</f>
        <v>-13.946941312499996</v>
      </c>
      <c r="D57" s="99">
        <f>IF(B57&gt;'foglio deposito'!$F$29,2*'foglio deposito'!$D$30/(-'foglio deposito'!$F$29)*(B57^2/2-(-B57)^3/(-6*'foglio deposito'!$F$29)),2*'foglio deposito'!$D$30/(-'foglio deposito'!$F$29)*('foglio deposito'!$F$29^2/2-(-'foglio deposito'!$F$29)^3/(-6*'foglio deposito'!$F$29))+'foglio deposito'!$D$30*(ABS(B57)-ABS('foglio deposito'!$F$29)))</f>
        <v>1.5791369205937499E-2</v>
      </c>
      <c r="E57" s="99">
        <f>IF(ABS(B57)&lt;ABS('foglio deposito'!$F$29),-2*'foglio deposito'!$D$30/(-'foglio deposito'!$F$29)*(-B57^3/3-(B57)^4/(-8*'foglio deposito'!$F$29)),-(2*'foglio deposito'!$D$30/(-'foglio deposito'!$F$29)*(ABS('foglio deposito'!$F$29)^3/3-ABS('foglio deposito'!$F$29)^4/(-8*'foglio deposito'!$F$29))+'foglio deposito'!$D$30/2*(ABS(B57)^2-ABS('foglio deposito'!$F$29)^2)))</f>
        <v>-1.7796971439917579E-5</v>
      </c>
      <c r="F57" s="100">
        <f>D57/('foglio deposito'!$F$22*'foglio deposito'!$L$34)</f>
        <v>0.31976043750000005</v>
      </c>
      <c r="G57" s="100">
        <f t="shared" si="3"/>
        <v>0.36862396204033221</v>
      </c>
      <c r="H57" s="103">
        <f t="shared" si="4"/>
        <v>-1.1270062277580072E-3</v>
      </c>
      <c r="I57" s="30">
        <f t="shared" si="2"/>
        <v>-5.1411767649577396</v>
      </c>
      <c r="J57" s="92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x14ac:dyDescent="0.25">
      <c r="B58" s="98">
        <f>'foglio deposito'!$L$34/'foglio deposito'!$B$141*'foglio deposito'!B93</f>
        <v>-1.8200000000000002E-3</v>
      </c>
      <c r="C58" s="30">
        <f>IF(B58&gt;'foglio deposito'!$L$33,2*'foglio deposito'!$F$22/'foglio deposito'!$L$33*(B58-B58^2/(2*'foglio deposito'!$L$33)),'foglio deposito'!$F$22)</f>
        <v>-13.995708999999998</v>
      </c>
      <c r="D58" s="99">
        <f>IF(B58&gt;'foglio deposito'!$F$29,2*'foglio deposito'!$D$30/(-'foglio deposito'!$F$29)*(B58^2/2-(-B58)^3/(-6*'foglio deposito'!$F$29)),2*'foglio deposito'!$D$30/(-'foglio deposito'!$F$29)*('foglio deposito'!$F$29^2/2-(-'foglio deposito'!$F$29)^3/(-6*'foglio deposito'!$F$29))+'foglio deposito'!$D$30*(ABS(B58)-ABS('foglio deposito'!$F$29)))</f>
        <v>1.6280390793333335E-2</v>
      </c>
      <c r="E58" s="99">
        <f>IF(ABS(B58)&lt;ABS('foglio deposito'!$F$29),-2*'foglio deposito'!$D$30/(-'foglio deposito'!$F$29)*(-B58^3/3-(B58)^4/(-8*'foglio deposito'!$F$29)),-(2*'foglio deposito'!$D$30/(-'foglio deposito'!$F$29)*(ABS('foglio deposito'!$F$29)^3/3-ABS('foglio deposito'!$F$29)^4/(-8*'foglio deposito'!$F$29))+'foglio deposito'!$D$30/2*(ABS(B58)^2-ABS('foglio deposito'!$F$29)^2)))</f>
        <v>-1.8678437829566672E-5</v>
      </c>
      <c r="F58" s="100">
        <f>D58/('foglio deposito'!$F$22*'foglio deposito'!$L$34)</f>
        <v>0.32966266666666677</v>
      </c>
      <c r="G58" s="100">
        <f t="shared" si="3"/>
        <v>0.36961722488038273</v>
      </c>
      <c r="H58" s="103">
        <f t="shared" si="4"/>
        <v>-1.1472966507177036E-3</v>
      </c>
      <c r="I58" s="30">
        <f t="shared" si="2"/>
        <v>-5.1730551208133955</v>
      </c>
      <c r="J58" s="92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x14ac:dyDescent="0.25">
      <c r="B59" s="98">
        <f>'foglio deposito'!$L$34/'foglio deposito'!$B$141*'foglio deposito'!B94</f>
        <v>-1.8550000000000001E-3</v>
      </c>
      <c r="C59" s="30">
        <f>IF(B59&gt;'foglio deposito'!$L$33,2*'foglio deposito'!$F$22/'foglio deposito'!$L$33*(B59-B59^2/(2*'foglio deposito'!$L$33)),'foglio deposito'!$F$22)</f>
        <v>-14.035834312499999</v>
      </c>
      <c r="D59" s="99">
        <f>IF(B59&gt;'foglio deposito'!$F$29,2*'foglio deposito'!$D$30/(-'foglio deposito'!$F$29)*(B59^2/2-(-B59)^3/(-6*'foglio deposito'!$F$29)),2*'foglio deposito'!$D$30/(-'foglio deposito'!$F$29)*('foglio deposito'!$F$29^2/2-(-'foglio deposito'!$F$29)^3/(-6*'foglio deposito'!$F$29))+'foglio deposito'!$D$30*(ABS(B59)-ABS('foglio deposito'!$F$29)))</f>
        <v>1.6770968008229165E-2</v>
      </c>
      <c r="E59" s="99">
        <f>IF(ABS(B59)&lt;ABS('foglio deposito'!$F$29),-2*'foglio deposito'!$D$30/(-'foglio deposito'!$F$29)*(-B59^3/3-(B59)^4/(-8*'foglio deposito'!$F$29)),-(2*'foglio deposito'!$D$30/(-'foglio deposito'!$F$29)*(ABS('foglio deposito'!$F$29)^3/3-ABS('foglio deposito'!$F$29)^4/(-8*'foglio deposito'!$F$29))+'foglio deposito'!$D$30/2*(ABS(B59)^2-ABS('foglio deposito'!$F$29)^2)))</f>
        <v>-1.9579877558063411E-5</v>
      </c>
      <c r="F59" s="100">
        <f>D59/('foglio deposito'!$F$22*'foglio deposito'!$L$34)</f>
        <v>0.33959639583333334</v>
      </c>
      <c r="G59" s="100">
        <f t="shared" si="3"/>
        <v>0.37062726176115801</v>
      </c>
      <c r="H59" s="103">
        <f t="shared" si="4"/>
        <v>-1.167486429433052E-3</v>
      </c>
      <c r="I59" s="30">
        <f t="shared" si="2"/>
        <v>-5.2020628377751805</v>
      </c>
      <c r="J59" s="92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x14ac:dyDescent="0.25">
      <c r="B60" s="98">
        <f>'foglio deposito'!$L$34/'foglio deposito'!$B$141*'foglio deposito'!B95</f>
        <v>-1.8900000000000002E-3</v>
      </c>
      <c r="C60" s="30">
        <f>IF(B60&gt;'foglio deposito'!$L$33,2*'foglio deposito'!$F$22/'foglio deposito'!$L$33*(B60-B60^2/(2*'foglio deposito'!$L$33)),'foglio deposito'!$F$22)</f>
        <v>-14.067317249999999</v>
      </c>
      <c r="D60" s="99">
        <f>IF(B60&gt;'foglio deposito'!$F$29,2*'foglio deposito'!$D$30/(-'foglio deposito'!$F$29)*(B60^2/2-(-B60)^3/(-6*'foglio deposito'!$F$29)),2*'foglio deposito'!$D$30/(-'foglio deposito'!$F$29)*('foglio deposito'!$F$29^2/2-(-'foglio deposito'!$F$29)^3/(-6*'foglio deposito'!$F$29))+'foglio deposito'!$D$30*(ABS(B60)-ABS('foglio deposito'!$F$29)))</f>
        <v>1.7262798367500002E-2</v>
      </c>
      <c r="E60" s="99">
        <f>IF(ABS(B60)&lt;ABS('foglio deposito'!$F$29),-2*'foglio deposito'!$D$30/(-'foglio deposito'!$F$29)*(-B60^3/3-(B60)^4/(-8*'foglio deposito'!$F$29)),-(2*'foglio deposito'!$D$30/(-'foglio deposito'!$F$29)*(ABS('foglio deposito'!$F$29)^3/3-ABS('foglio deposito'!$F$29)^4/(-8*'foglio deposito'!$F$29))+'foglio deposito'!$D$30/2*(ABS(B60)^2-ABS('foglio deposito'!$F$29)^2)))</f>
        <v>-2.0500833119681251E-5</v>
      </c>
      <c r="F60" s="100">
        <f>D60/('foglio deposito'!$F$22*'foglio deposito'!$L$34)</f>
        <v>0.34955550000000007</v>
      </c>
      <c r="G60" s="100">
        <f t="shared" si="3"/>
        <v>0.3716545012165452</v>
      </c>
      <c r="H60" s="103">
        <f t="shared" si="4"/>
        <v>-1.1875729927007298E-3</v>
      </c>
      <c r="I60" s="30">
        <f t="shared" si="2"/>
        <v>-5.2281817760036517</v>
      </c>
      <c r="J60" s="92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x14ac:dyDescent="0.25">
      <c r="B61" s="98">
        <f>'foglio deposito'!$L$34/'foglio deposito'!$B$141*'foglio deposito'!B96</f>
        <v>-1.9250000000000003E-3</v>
      </c>
      <c r="C61" s="30">
        <f>IF(B61&gt;'foglio deposito'!$L$33,2*'foglio deposito'!$F$22/'foglio deposito'!$L$33*(B61-B61^2/(2*'foglio deposito'!$L$33)),'foglio deposito'!$F$22)</f>
        <v>-14.090157812499998</v>
      </c>
      <c r="D61" s="99">
        <f>IF(B61&gt;'foglio deposito'!$F$29,2*'foglio deposito'!$D$30/(-'foglio deposito'!$F$29)*(B61^2/2-(-B61)^3/(-6*'foglio deposito'!$F$29)),2*'foglio deposito'!$D$30/(-'foglio deposito'!$F$29)*('foglio deposito'!$F$29^2/2-(-'foglio deposito'!$F$29)^3/(-6*'foglio deposito'!$F$29))+'foglio deposito'!$D$30*(ABS(B61)-ABS('foglio deposito'!$F$29)))</f>
        <v>1.7755579388020835E-2</v>
      </c>
      <c r="E61" s="99">
        <f>IF(ABS(B61)&lt;ABS('foglio deposito'!$F$29),-2*'foglio deposito'!$D$30/(-'foglio deposito'!$F$29)*(-B61^3/3-(B61)^4/(-8*'foglio deposito'!$F$29)),-(2*'foglio deposito'!$D$30/(-'foglio deposito'!$F$29)*(ABS('foglio deposito'!$F$29)^3/3-ABS('foglio deposito'!$F$29)^4/(-8*'foglio deposito'!$F$29))+'foglio deposito'!$D$30/2*(ABS(B61)^2-ABS('foglio deposito'!$F$29)^2)))</f>
        <v>-2.1440815247965498E-5</v>
      </c>
      <c r="F61" s="100">
        <f>D61/('foglio deposito'!$F$22*'foglio deposito'!$L$34)</f>
        <v>0.35953385416666678</v>
      </c>
      <c r="G61" s="100">
        <f t="shared" si="3"/>
        <v>0.37269938650306755</v>
      </c>
      <c r="H61" s="103">
        <f t="shared" si="4"/>
        <v>-1.2075536809815952E-3</v>
      </c>
      <c r="I61" s="30">
        <f t="shared" si="2"/>
        <v>-5.251393172450153</v>
      </c>
      <c r="J61" s="92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x14ac:dyDescent="0.25">
      <c r="B62" s="98">
        <f>'foglio deposito'!$L$34/'foglio deposito'!$B$141*'foglio deposito'!B97</f>
        <v>-1.9600000000000004E-3</v>
      </c>
      <c r="C62" s="30">
        <f>IF(B62&gt;'foglio deposito'!$L$33,2*'foglio deposito'!$F$22/'foglio deposito'!$L$33*(B62-B62^2/(2*'foglio deposito'!$L$33)),'foglio deposito'!$F$22)</f>
        <v>-14.104355999999997</v>
      </c>
      <c r="D62" s="99">
        <f>IF(B62&gt;'foglio deposito'!$F$29,2*'foglio deposito'!$D$30/(-'foglio deposito'!$F$29)*(B62^2/2-(-B62)^3/(-6*'foglio deposito'!$F$29)),2*'foglio deposito'!$D$30/(-'foglio deposito'!$F$29)*('foglio deposito'!$F$29^2/2-(-'foglio deposito'!$F$29)^3/(-6*'foglio deposito'!$F$29))+'foglio deposito'!$D$30*(ABS(B62)-ABS('foglio deposito'!$F$29)))</f>
        <v>1.8249008586666671E-2</v>
      </c>
      <c r="E62" s="99">
        <f>IF(ABS(B62)&lt;ABS('foglio deposito'!$F$29),-2*'foglio deposito'!$D$30/(-'foglio deposito'!$F$29)*(-B62^3/3-(B62)^4/(-8*'foglio deposito'!$F$29)),-(2*'foglio deposito'!$D$30/(-'foglio deposito'!$F$29)*(ABS('foglio deposito'!$F$29)^3/3-ABS('foglio deposito'!$F$29)^4/(-8*'foglio deposito'!$F$29))+'foglio deposito'!$D$30/2*(ABS(B62)^2-ABS('foglio deposito'!$F$29)^2)))</f>
        <v>-2.2399302915733343E-5</v>
      </c>
      <c r="F62" s="100">
        <f>D62/('foglio deposito'!$F$22*'foglio deposito'!$L$34)</f>
        <v>0.36952533333333348</v>
      </c>
      <c r="G62" s="100">
        <f t="shared" si="3"/>
        <v>0.37376237623762376</v>
      </c>
      <c r="H62" s="103">
        <f t="shared" si="4"/>
        <v>-1.2274257425742576E-3</v>
      </c>
      <c r="I62" s="30">
        <f t="shared" si="2"/>
        <v>-5.2716776138613852</v>
      </c>
      <c r="J62" s="92"/>
      <c r="P62" s="19"/>
      <c r="Q62" s="19"/>
      <c r="R62" s="19"/>
      <c r="S62" s="19"/>
      <c r="T62" s="19"/>
    </row>
    <row r="63" spans="2:20" x14ac:dyDescent="0.25">
      <c r="B63" s="98">
        <f>'foglio deposito'!$L$34/'foglio deposito'!$B$141*'foglio deposito'!B98</f>
        <v>-1.9950000000000002E-3</v>
      </c>
      <c r="C63" s="30">
        <f>IF(B63&gt;'foglio deposito'!$L$33,2*'foglio deposito'!$F$22/'foglio deposito'!$L$33*(B63-B63^2/(2*'foglio deposito'!$L$33)),'foglio deposito'!$F$22)</f>
        <v>-14.109911812499998</v>
      </c>
      <c r="D63" s="99">
        <f>IF(B63&gt;'foglio deposito'!$F$29,2*'foglio deposito'!$D$30/(-'foglio deposito'!$F$29)*(B63^2/2-(-B63)^3/(-6*'foglio deposito'!$F$29)),2*'foglio deposito'!$D$30/(-'foglio deposito'!$F$29)*('foglio deposito'!$F$29^2/2-(-'foglio deposito'!$F$29)^3/(-6*'foglio deposito'!$F$29))+'foglio deposito'!$D$30*(ABS(B63)-ABS('foglio deposito'!$F$29)))</f>
        <v>1.8742783480312501E-2</v>
      </c>
      <c r="E63" s="99">
        <f>IF(ABS(B63)&lt;ABS('foglio deposito'!$F$29),-2*'foglio deposito'!$D$30/(-'foglio deposito'!$F$29)*(-B63^3/3-(B63)^4/(-8*'foglio deposito'!$F$29)),-(2*'foglio deposito'!$D$30/(-'foglio deposito'!$F$29)*(ABS('foglio deposito'!$F$29)^3/3-ABS('foglio deposito'!$F$29)^4/(-8*'foglio deposito'!$F$29))+'foglio deposito'!$D$30/2*(ABS(B63)^2-ABS('foglio deposito'!$F$29)^2)))</f>
        <v>-2.3375743335073838E-5</v>
      </c>
      <c r="F63" s="100">
        <f>D63/('foglio deposito'!$F$22*'foglio deposito'!$L$34)</f>
        <v>0.37952381250000006</v>
      </c>
      <c r="G63" s="100">
        <f t="shared" si="3"/>
        <v>0.37484394506866403</v>
      </c>
      <c r="H63" s="103">
        <f t="shared" si="4"/>
        <v>-1.2471863295880155E-3</v>
      </c>
      <c r="I63" s="30">
        <f t="shared" si="2"/>
        <v>-5.2890150083684428</v>
      </c>
      <c r="J63" s="92"/>
      <c r="P63" s="19"/>
      <c r="Q63" s="19"/>
      <c r="R63" s="19"/>
      <c r="S63" s="19"/>
      <c r="T63" s="19"/>
    </row>
    <row r="64" spans="2:20" x14ac:dyDescent="0.25">
      <c r="B64" s="98">
        <f>'foglio deposito'!$L$34/'foglio deposito'!$B$141*'foglio deposito'!B99</f>
        <v>-2.0300000000000001E-3</v>
      </c>
      <c r="C64" s="30">
        <f>IF(B64&gt;'foglio deposito'!$L$33,2*'foglio deposito'!$F$22/'foglio deposito'!$L$33*(B64-B64^2/(2*'foglio deposito'!$L$33)),'foglio deposito'!$F$22)</f>
        <v>-14.109999999999998</v>
      </c>
      <c r="D64" s="99">
        <f>IF(B64&gt;'foglio deposito'!$F$29,2*'foglio deposito'!$D$30/(-'foglio deposito'!$F$29)*(B64^2/2-(-B64)^3/(-6*'foglio deposito'!$F$29)),2*'foglio deposito'!$D$30/(-'foglio deposito'!$F$29)*('foglio deposito'!$F$29^2/2-(-'foglio deposito'!$F$29)^3/(-6*'foglio deposito'!$F$29))+'foglio deposito'!$D$30*(ABS(B64)-ABS('foglio deposito'!$F$29)))</f>
        <v>1.9236633333333329E-2</v>
      </c>
      <c r="E64" s="99">
        <f>IF(ABS(B64)&lt;ABS('foglio deposito'!$F$29),-2*'foglio deposito'!$D$30/(-'foglio deposito'!$F$29)*(-B64^3/3-(B64)^4/(-8*'foglio deposito'!$F$29)),-(2*'foglio deposito'!$D$30/(-'foglio deposito'!$F$29)*(ABS('foglio deposito'!$F$29)^3/3-ABS('foglio deposito'!$F$29)^4/(-8*'foglio deposito'!$F$29))+'foglio deposito'!$D$30/2*(ABS(B64)^2-ABS('foglio deposito'!$F$29)^2)))</f>
        <v>-2.4369616166666673E-5</v>
      </c>
      <c r="F64" s="100">
        <f>D64/('foglio deposito'!$F$22*'foglio deposito'!$L$34)</f>
        <v>0.38952380952380949</v>
      </c>
      <c r="G64" s="100">
        <f t="shared" si="3"/>
        <v>0.37594397003384417</v>
      </c>
      <c r="H64" s="103">
        <f t="shared" si="4"/>
        <v>-1.2668337408312965E-3</v>
      </c>
      <c r="I64" s="30">
        <f t="shared" si="2"/>
        <v>-5.3045694171775404</v>
      </c>
      <c r="J64" s="92"/>
      <c r="P64" s="19"/>
      <c r="Q64" s="19"/>
      <c r="R64" s="19"/>
      <c r="S64" s="19"/>
      <c r="T64" s="19"/>
    </row>
    <row r="65" spans="2:20" x14ac:dyDescent="0.25">
      <c r="B65" s="98">
        <f>'foglio deposito'!$L$34/'foglio deposito'!$B$141*'foglio deposito'!B100</f>
        <v>-2.0650000000000004E-3</v>
      </c>
      <c r="C65" s="30">
        <f>IF(B65&gt;'foglio deposito'!$L$33,2*'foglio deposito'!$F$22/'foglio deposito'!$L$33*(B65-B65^2/(2*'foglio deposito'!$L$33)),'foglio deposito'!$F$22)</f>
        <v>-14.109999999999998</v>
      </c>
      <c r="D65" s="99">
        <f>IF(B65&gt;'foglio deposito'!$F$29,2*'foglio deposito'!$D$30/(-'foglio deposito'!$F$29)*(B65^2/2-(-B65)^3/(-6*'foglio deposito'!$F$29)),2*'foglio deposito'!$D$30/(-'foglio deposito'!$F$29)*('foglio deposito'!$F$29^2/2-(-'foglio deposito'!$F$29)^3/(-6*'foglio deposito'!$F$29))+'foglio deposito'!$D$30*(ABS(B65)-ABS('foglio deposito'!$F$29)))</f>
        <v>1.9730483333333333E-2</v>
      </c>
      <c r="E65" s="99">
        <f>IF(ABS(B65)&lt;ABS('foglio deposito'!$F$29),-2*'foglio deposito'!$D$30/(-'foglio deposito'!$F$29)*(-B65^3/3-(B65)^4/(-8*'foglio deposito'!$F$29)),-(2*'foglio deposito'!$D$30/(-'foglio deposito'!$F$29)*(ABS('foglio deposito'!$F$29)^3/3-ABS('foglio deposito'!$F$29)^4/(-8*'foglio deposito'!$F$29))+'foglio deposito'!$D$30/2*(ABS(B65)^2-ABS('foglio deposito'!$F$29)^2)))</f>
        <v>-2.538077404166668E-5</v>
      </c>
      <c r="F65" s="100">
        <f>D65/('foglio deposito'!$F$22*'foglio deposito'!$L$34)</f>
        <v>0.39952380952380961</v>
      </c>
      <c r="G65" s="100">
        <f t="shared" si="3"/>
        <v>0.37705876071767641</v>
      </c>
      <c r="H65" s="103">
        <f t="shared" si="4"/>
        <v>-1.2863736591179984E-3</v>
      </c>
      <c r="I65" s="30">
        <f t="shared" si="2"/>
        <v>-5.3202991137264135</v>
      </c>
      <c r="J65" s="92"/>
      <c r="P65" s="19"/>
      <c r="Q65" s="19"/>
      <c r="R65" s="19"/>
      <c r="S65" s="19"/>
      <c r="T65" s="19"/>
    </row>
    <row r="66" spans="2:20" x14ac:dyDescent="0.25">
      <c r="B66" s="98">
        <f>'foglio deposito'!$L$34/'foglio deposito'!$B$141*'foglio deposito'!B101</f>
        <v>-2.1000000000000003E-3</v>
      </c>
      <c r="C66" s="30">
        <f>IF(B66&gt;'foglio deposito'!$L$33,2*'foglio deposito'!$F$22/'foglio deposito'!$L$33*(B66-B66^2/(2*'foglio deposito'!$L$33)),'foglio deposito'!$F$22)</f>
        <v>-14.109999999999998</v>
      </c>
      <c r="D66" s="99">
        <f>IF(B66&gt;'foglio deposito'!$F$29,2*'foglio deposito'!$D$30/(-'foglio deposito'!$F$29)*(B66^2/2-(-B66)^3/(-6*'foglio deposito'!$F$29)),2*'foglio deposito'!$D$30/(-'foglio deposito'!$F$29)*('foglio deposito'!$F$29^2/2-(-'foglio deposito'!$F$29)^3/(-6*'foglio deposito'!$F$29))+'foglio deposito'!$D$30*(ABS(B66)-ABS('foglio deposito'!$F$29)))</f>
        <v>2.022433333333333E-2</v>
      </c>
      <c r="E66" s="99">
        <f>IF(ABS(B66)&lt;ABS('foglio deposito'!$F$29),-2*'foglio deposito'!$D$30/(-'foglio deposito'!$F$29)*(-B66^3/3-(B66)^4/(-8*'foglio deposito'!$F$29)),-(2*'foglio deposito'!$D$30/(-'foglio deposito'!$F$29)*(ABS('foglio deposito'!$F$29)^3/3-ABS('foglio deposito'!$F$29)^4/(-8*'foglio deposito'!$F$29))+'foglio deposito'!$D$30/2*(ABS(B66)^2-ABS('foglio deposito'!$F$29)^2)))</f>
        <v>-2.6409216666666675E-5</v>
      </c>
      <c r="F66" s="100">
        <f>D66/('foglio deposito'!$F$22*'foglio deposito'!$L$34)</f>
        <v>0.40952380952380951</v>
      </c>
      <c r="G66" s="100">
        <f t="shared" si="3"/>
        <v>0.3781838316722036</v>
      </c>
      <c r="H66" s="103">
        <f t="shared" si="4"/>
        <v>-1.3058139534883727E-3</v>
      </c>
      <c r="I66" s="30">
        <f t="shared" si="2"/>
        <v>-5.3361738648947918</v>
      </c>
      <c r="J66" s="92"/>
      <c r="P66" s="19"/>
      <c r="Q66" s="19"/>
      <c r="R66" s="19"/>
      <c r="S66" s="19"/>
      <c r="T66" s="19"/>
    </row>
    <row r="67" spans="2:20" x14ac:dyDescent="0.25">
      <c r="B67" s="98">
        <f>'foglio deposito'!$L$34/'foglio deposito'!$B$141*'foglio deposito'!B102</f>
        <v>-2.1350000000000002E-3</v>
      </c>
      <c r="C67" s="30">
        <f>IF(B67&gt;'foglio deposito'!$L$33,2*'foglio deposito'!$F$22/'foglio deposito'!$L$33*(B67-B67^2/(2*'foglio deposito'!$L$33)),'foglio deposito'!$F$22)</f>
        <v>-14.109999999999998</v>
      </c>
      <c r="D67" s="99">
        <f>IF(B67&gt;'foglio deposito'!$F$29,2*'foglio deposito'!$D$30/(-'foglio deposito'!$F$29)*(B67^2/2-(-B67)^3/(-6*'foglio deposito'!$F$29)),2*'foglio deposito'!$D$30/(-'foglio deposito'!$F$29)*('foglio deposito'!$F$29^2/2-(-'foglio deposito'!$F$29)^3/(-6*'foglio deposito'!$F$29))+'foglio deposito'!$D$30*(ABS(B67)-ABS('foglio deposito'!$F$29)))</f>
        <v>2.0718183333333331E-2</v>
      </c>
      <c r="E67" s="99">
        <f>IF(ABS(B67)&lt;ABS('foglio deposito'!$F$29),-2*'foglio deposito'!$D$30/(-'foglio deposito'!$F$29)*(-B67^3/3-(B67)^4/(-8*'foglio deposito'!$F$29)),-(2*'foglio deposito'!$D$30/(-'foglio deposito'!$F$29)*(ABS('foglio deposito'!$F$29)^3/3-ABS('foglio deposito'!$F$29)^4/(-8*'foglio deposito'!$F$29))+'foglio deposito'!$D$30/2*(ABS(B67)^2-ABS('foglio deposito'!$F$29)^2)))</f>
        <v>-2.7454944041666673E-5</v>
      </c>
      <c r="F67" s="100">
        <f>D67/('foglio deposito'!$F$22*'foglio deposito'!$L$34)</f>
        <v>0.41952380952380952</v>
      </c>
      <c r="G67" s="100">
        <f t="shared" si="3"/>
        <v>0.37931534050884252</v>
      </c>
      <c r="H67" s="103">
        <f t="shared" si="4"/>
        <v>-1.3251617480136214E-3</v>
      </c>
      <c r="I67" s="30">
        <f t="shared" si="2"/>
        <v>-5.3521394545797669</v>
      </c>
      <c r="J67" s="92"/>
      <c r="P67" s="19"/>
      <c r="Q67" s="19"/>
      <c r="R67" s="19"/>
      <c r="S67" s="19"/>
      <c r="T67" s="19"/>
    </row>
    <row r="68" spans="2:20" x14ac:dyDescent="0.25">
      <c r="B68" s="98">
        <f>'foglio deposito'!$L$34/'foglio deposito'!$B$141*'foglio deposito'!B103</f>
        <v>-2.1700000000000001E-3</v>
      </c>
      <c r="C68" s="30">
        <f>IF(B68&gt;'foglio deposito'!$L$33,2*'foglio deposito'!$F$22/'foglio deposito'!$L$33*(B68-B68^2/(2*'foglio deposito'!$L$33)),'foglio deposito'!$F$22)</f>
        <v>-14.109999999999998</v>
      </c>
      <c r="D68" s="99">
        <f>IF(B68&gt;'foglio deposito'!$F$29,2*'foglio deposito'!$D$30/(-'foglio deposito'!$F$29)*(B68^2/2-(-B68)^3/(-6*'foglio deposito'!$F$29)),2*'foglio deposito'!$D$30/(-'foglio deposito'!$F$29)*('foglio deposito'!$F$29^2/2-(-'foglio deposito'!$F$29)^3/(-6*'foglio deposito'!$F$29))+'foglio deposito'!$D$30*(ABS(B68)-ABS('foglio deposito'!$F$29)))</f>
        <v>2.1212033333333328E-2</v>
      </c>
      <c r="E68" s="99">
        <f>IF(ABS(B68)&lt;ABS('foglio deposito'!$F$29),-2*'foglio deposito'!$D$30/(-'foglio deposito'!$F$29)*(-B68^3/3-(B68)^4/(-8*'foglio deposito'!$F$29)),-(2*'foglio deposito'!$D$30/(-'foglio deposito'!$F$29)*(ABS('foglio deposito'!$F$29)^3/3-ABS('foglio deposito'!$F$29)^4/(-8*'foglio deposito'!$F$29))+'foglio deposito'!$D$30/2*(ABS(B68)^2-ABS('foglio deposito'!$F$29)^2)))</f>
        <v>-2.8517956166666668E-5</v>
      </c>
      <c r="F68" s="100">
        <f>D68/('foglio deposito'!$F$22*'foglio deposito'!$L$34)</f>
        <v>0.42952380952380947</v>
      </c>
      <c r="G68" s="100">
        <f t="shared" si="3"/>
        <v>0.38044999846730754</v>
      </c>
      <c r="H68" s="103">
        <f t="shared" si="4"/>
        <v>-1.3444235033259427E-3</v>
      </c>
      <c r="I68" s="30">
        <f t="shared" si="2"/>
        <v>-5.3681494783737085</v>
      </c>
      <c r="J68" s="92"/>
      <c r="P68" s="19"/>
      <c r="Q68" s="19"/>
      <c r="R68" s="19"/>
      <c r="S68" s="19"/>
      <c r="T68" s="19"/>
    </row>
    <row r="69" spans="2:20" x14ac:dyDescent="0.25">
      <c r="B69" s="98">
        <f>'foglio deposito'!$L$34/'foglio deposito'!$B$141*'foglio deposito'!B104</f>
        <v>-2.2050000000000004E-3</v>
      </c>
      <c r="C69" s="30">
        <f>IF(B69&gt;'foglio deposito'!$L$33,2*'foglio deposito'!$F$22/'foglio deposito'!$L$33*(B69-B69^2/(2*'foglio deposito'!$L$33)),'foglio deposito'!$F$22)</f>
        <v>-14.109999999999998</v>
      </c>
      <c r="D69" s="99">
        <f>IF(B69&gt;'foglio deposito'!$F$29,2*'foglio deposito'!$D$30/(-'foglio deposito'!$F$29)*(B69^2/2-(-B69)^3/(-6*'foglio deposito'!$F$29)),2*'foglio deposito'!$D$30/(-'foglio deposito'!$F$29)*('foglio deposito'!$F$29^2/2-(-'foglio deposito'!$F$29)^3/(-6*'foglio deposito'!$F$29))+'foglio deposito'!$D$30*(ABS(B69)-ABS('foglio deposito'!$F$29)))</f>
        <v>2.1705883333333332E-2</v>
      </c>
      <c r="E69" s="99">
        <f>IF(ABS(B69)&lt;ABS('foglio deposito'!$F$29),-2*'foglio deposito'!$D$30/(-'foglio deposito'!$F$29)*(-B69^3/3-(B69)^4/(-8*'foglio deposito'!$F$29)),-(2*'foglio deposito'!$D$30/(-'foglio deposito'!$F$29)*(ABS('foglio deposito'!$F$29)^3/3-ABS('foglio deposito'!$F$29)^4/(-8*'foglio deposito'!$F$29))+'foglio deposito'!$D$30/2*(ABS(B69)^2-ABS('foglio deposito'!$F$29)^2)))</f>
        <v>-2.9598253041666681E-5</v>
      </c>
      <c r="F69" s="100">
        <f>D69/('foglio deposito'!$F$22*'foglio deposito'!$L$34)</f>
        <v>0.43952380952380959</v>
      </c>
      <c r="G69" s="100">
        <f t="shared" si="3"/>
        <v>0.38158499224897591</v>
      </c>
      <c r="H69" s="103">
        <f t="shared" si="4"/>
        <v>-1.3636050920910084E-3</v>
      </c>
      <c r="I69" s="30">
        <f t="shared" si="2"/>
        <v>-5.3841642406330488</v>
      </c>
      <c r="J69" s="92"/>
      <c r="P69" s="19"/>
      <c r="Q69" s="19"/>
      <c r="R69" s="19"/>
      <c r="S69" s="19"/>
      <c r="T69" s="19"/>
    </row>
    <row r="70" spans="2:20" x14ac:dyDescent="0.25">
      <c r="B70" s="98">
        <f>'foglio deposito'!$L$34/'foglio deposito'!$B$141*'foglio deposito'!B105</f>
        <v>-2.2400000000000002E-3</v>
      </c>
      <c r="C70" s="30">
        <f>IF(B70&gt;'foglio deposito'!$L$33,2*'foglio deposito'!$F$22/'foglio deposito'!$L$33*(B70-B70^2/(2*'foglio deposito'!$L$33)),'foglio deposito'!$F$22)</f>
        <v>-14.109999999999998</v>
      </c>
      <c r="D70" s="99">
        <f>IF(B70&gt;'foglio deposito'!$F$29,2*'foglio deposito'!$D$30/(-'foglio deposito'!$F$29)*(B70^2/2-(-B70)^3/(-6*'foglio deposito'!$F$29)),2*'foglio deposito'!$D$30/(-'foglio deposito'!$F$29)*('foglio deposito'!$F$29^2/2-(-'foglio deposito'!$F$29)^3/(-6*'foglio deposito'!$F$29))+'foglio deposito'!$D$30*(ABS(B70)-ABS('foglio deposito'!$F$29)))</f>
        <v>2.2199733333333329E-2</v>
      </c>
      <c r="E70" s="99">
        <f>IF(ABS(B70)&lt;ABS('foglio deposito'!$F$29),-2*'foglio deposito'!$D$30/(-'foglio deposito'!$F$29)*(-B70^3/3-(B70)^4/(-8*'foglio deposito'!$F$29)),-(2*'foglio deposito'!$D$30/(-'foglio deposito'!$F$29)*(ABS('foglio deposito'!$F$29)^3/3-ABS('foglio deposito'!$F$29)^4/(-8*'foglio deposito'!$F$29))+'foglio deposito'!$D$30/2*(ABS(B70)^2-ABS('foglio deposito'!$F$29)^2)))</f>
        <v>-3.0695834666666678E-5</v>
      </c>
      <c r="F70" s="100">
        <f>D70/('foglio deposito'!$F$22*'foglio deposito'!$L$34)</f>
        <v>0.44952380952380949</v>
      </c>
      <c r="G70" s="100">
        <f t="shared" si="3"/>
        <v>0.38271791767554442</v>
      </c>
      <c r="H70" s="103">
        <f t="shared" si="4"/>
        <v>-1.3827118644067805E-3</v>
      </c>
      <c r="I70" s="30">
        <f t="shared" si="2"/>
        <v>-5.400149818401931</v>
      </c>
      <c r="J70" s="92"/>
      <c r="P70" s="19"/>
      <c r="Q70" s="19"/>
      <c r="R70" s="19"/>
      <c r="S70" s="19"/>
      <c r="T70" s="19"/>
    </row>
    <row r="71" spans="2:20" x14ac:dyDescent="0.25">
      <c r="B71" s="98">
        <f>'foglio deposito'!$L$34/'foglio deposito'!$B$141*'foglio deposito'!B106</f>
        <v>-2.2750000000000001E-3</v>
      </c>
      <c r="C71" s="30">
        <f>IF(B71&gt;'foglio deposito'!$L$33,2*'foglio deposito'!$F$22/'foglio deposito'!$L$33*(B71-B71^2/(2*'foglio deposito'!$L$33)),'foglio deposito'!$F$22)</f>
        <v>-14.109999999999998</v>
      </c>
      <c r="D71" s="99">
        <f>IF(B71&gt;'foglio deposito'!$F$29,2*'foglio deposito'!$D$30/(-'foglio deposito'!$F$29)*(B71^2/2-(-B71)^3/(-6*'foglio deposito'!$F$29)),2*'foglio deposito'!$D$30/(-'foglio deposito'!$F$29)*('foglio deposito'!$F$29^2/2-(-'foglio deposito'!$F$29)^3/(-6*'foglio deposito'!$F$29))+'foglio deposito'!$D$30*(ABS(B71)-ABS('foglio deposito'!$F$29)))</f>
        <v>2.2693583333333329E-2</v>
      </c>
      <c r="E71" s="99">
        <f>IF(ABS(B71)&lt;ABS('foglio deposito'!$F$29),-2*'foglio deposito'!$D$30/(-'foglio deposito'!$F$29)*(-B71^3/3-(B71)^4/(-8*'foglio deposito'!$F$29)),-(2*'foglio deposito'!$D$30/(-'foglio deposito'!$F$29)*(ABS('foglio deposito'!$F$29)^3/3-ABS('foglio deposito'!$F$29)^4/(-8*'foglio deposito'!$F$29))+'foglio deposito'!$D$30/2*(ABS(B71)^2-ABS('foglio deposito'!$F$29)^2)))</f>
        <v>-3.1810701041666668E-5</v>
      </c>
      <c r="F71" s="100">
        <f>D71/('foglio deposito'!$F$22*'foglio deposito'!$L$34)</f>
        <v>0.4595238095238095</v>
      </c>
      <c r="G71" s="100">
        <f t="shared" ref="G71:G106" si="5">1-(E71/D71)/B71</f>
        <v>0.38384672322496149</v>
      </c>
      <c r="H71" s="103">
        <f t="shared" ref="H71:H106" si="6">E71/D71</f>
        <v>-1.4017487046632127E-3</v>
      </c>
      <c r="I71" s="30">
        <f t="shared" ref="I71:I106" si="7">C71*G71</f>
        <v>-5.4160772647042057</v>
      </c>
      <c r="J71" s="92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2:20" x14ac:dyDescent="0.25">
      <c r="B72" s="98">
        <f>'foglio deposito'!$L$34/'foglio deposito'!$B$141*'foglio deposito'!B107</f>
        <v>-2.3100000000000004E-3</v>
      </c>
      <c r="C72" s="30">
        <f>IF(B72&gt;'foglio deposito'!$L$33,2*'foglio deposito'!$F$22/'foglio deposito'!$L$33*(B72-B72^2/(2*'foglio deposito'!$L$33)),'foglio deposito'!$F$22)</f>
        <v>-14.109999999999998</v>
      </c>
      <c r="D72" s="99">
        <f>IF(B72&gt;'foglio deposito'!$F$29,2*'foglio deposito'!$D$30/(-'foglio deposito'!$F$29)*(B72^2/2-(-B72)^3/(-6*'foglio deposito'!$F$29)),2*'foglio deposito'!$D$30/(-'foglio deposito'!$F$29)*('foglio deposito'!$F$29^2/2-(-'foglio deposito'!$F$29)^3/(-6*'foglio deposito'!$F$29))+'foglio deposito'!$D$30*(ABS(B72)-ABS('foglio deposito'!$F$29)))</f>
        <v>2.3187433333333334E-2</v>
      </c>
      <c r="E72" s="99">
        <f>IF(ABS(B72)&lt;ABS('foglio deposito'!$F$29),-2*'foglio deposito'!$D$30/(-'foglio deposito'!$F$29)*(-B72^3/3-(B72)^4/(-8*'foglio deposito'!$F$29)),-(2*'foglio deposito'!$D$30/(-'foglio deposito'!$F$29)*(ABS('foglio deposito'!$F$29)^3/3-ABS('foglio deposito'!$F$29)^4/(-8*'foglio deposito'!$F$29))+'foglio deposito'!$D$30/2*(ABS(B72)^2-ABS('foglio deposito'!$F$29)^2)))</f>
        <v>-3.2942852166666683E-5</v>
      </c>
      <c r="F72" s="100">
        <f>D72/('foglio deposito'!$F$22*'foglio deposito'!$L$34)</f>
        <v>0.46952380952380962</v>
      </c>
      <c r="G72" s="100">
        <f t="shared" si="5"/>
        <v>0.3849696618459294</v>
      </c>
      <c r="H72" s="103">
        <f t="shared" si="6"/>
        <v>-1.4207200811359034E-3</v>
      </c>
      <c r="I72" s="30">
        <f t="shared" si="7"/>
        <v>-5.4319219286460632</v>
      </c>
      <c r="J72" s="92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2:20" x14ac:dyDescent="0.25">
      <c r="B73" s="98">
        <f>'foglio deposito'!$L$34/'foglio deposito'!$B$141*'foglio deposito'!B108</f>
        <v>-2.3450000000000003E-3</v>
      </c>
      <c r="C73" s="30">
        <f>IF(B73&gt;'foglio deposito'!$L$33,2*'foglio deposito'!$F$22/'foglio deposito'!$L$33*(B73-B73^2/(2*'foglio deposito'!$L$33)),'foglio deposito'!$F$22)</f>
        <v>-14.109999999999998</v>
      </c>
      <c r="D73" s="99">
        <f>IF(B73&gt;'foglio deposito'!$F$29,2*'foglio deposito'!$D$30/(-'foglio deposito'!$F$29)*(B73^2/2-(-B73)^3/(-6*'foglio deposito'!$F$29)),2*'foglio deposito'!$D$30/(-'foglio deposito'!$F$29)*('foglio deposito'!$F$29^2/2-(-'foglio deposito'!$F$29)^3/(-6*'foglio deposito'!$F$29))+'foglio deposito'!$D$30*(ABS(B73)-ABS('foglio deposito'!$F$29)))</f>
        <v>2.3681283333333331E-2</v>
      </c>
      <c r="E73" s="99">
        <f>IF(ABS(B73)&lt;ABS('foglio deposito'!$F$29),-2*'foglio deposito'!$D$30/(-'foglio deposito'!$F$29)*(-B73^3/3-(B73)^4/(-8*'foglio deposito'!$F$29)),-(2*'foglio deposito'!$D$30/(-'foglio deposito'!$F$29)*(ABS('foglio deposito'!$F$29)^3/3-ABS('foglio deposito'!$F$29)^4/(-8*'foglio deposito'!$F$29))+'foglio deposito'!$D$30/2*(ABS(B73)^2-ABS('foglio deposito'!$F$29)^2)))</f>
        <v>-3.4092288041666675E-5</v>
      </c>
      <c r="F73" s="100">
        <f>D73/('foglio deposito'!$F$22*'foglio deposito'!$L$34)</f>
        <v>0.47952380952380957</v>
      </c>
      <c r="G73" s="100">
        <f t="shared" si="5"/>
        <v>0.38608524973374003</v>
      </c>
      <c r="H73" s="103">
        <f t="shared" si="6"/>
        <v>-1.4396300893743798E-3</v>
      </c>
      <c r="I73" s="30">
        <f t="shared" si="7"/>
        <v>-5.447662873743071</v>
      </c>
      <c r="J73" s="92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2:20" x14ac:dyDescent="0.25">
      <c r="B74" s="98">
        <f>'foglio deposito'!$L$34/'foglio deposito'!$B$141*'foglio deposito'!B109</f>
        <v>-2.3800000000000002E-3</v>
      </c>
      <c r="C74" s="30">
        <f>IF(B74&gt;'foglio deposito'!$L$33,2*'foglio deposito'!$F$22/'foglio deposito'!$L$33*(B74-B74^2/(2*'foglio deposito'!$L$33)),'foglio deposito'!$F$22)</f>
        <v>-14.109999999999998</v>
      </c>
      <c r="D74" s="99">
        <f>IF(B74&gt;'foglio deposito'!$F$29,2*'foglio deposito'!$D$30/(-'foglio deposito'!$F$29)*(B74^2/2-(-B74)^3/(-6*'foglio deposito'!$F$29)),2*'foglio deposito'!$D$30/(-'foglio deposito'!$F$29)*('foglio deposito'!$F$29^2/2-(-'foglio deposito'!$F$29)^3/(-6*'foglio deposito'!$F$29))+'foglio deposito'!$D$30*(ABS(B74)-ABS('foglio deposito'!$F$29)))</f>
        <v>2.4175133333333328E-2</v>
      </c>
      <c r="E74" s="99">
        <f>IF(ABS(B74)&lt;ABS('foglio deposito'!$F$29),-2*'foglio deposito'!$D$30/(-'foglio deposito'!$F$29)*(-B74^3/3-(B74)^4/(-8*'foglio deposito'!$F$29)),-(2*'foglio deposito'!$D$30/(-'foglio deposito'!$F$29)*(ABS('foglio deposito'!$F$29)^3/3-ABS('foglio deposito'!$F$29)^4/(-8*'foglio deposito'!$F$29))+'foglio deposito'!$D$30/2*(ABS(B74)^2-ABS('foglio deposito'!$F$29)^2)))</f>
        <v>-3.5259008666666677E-5</v>
      </c>
      <c r="F74" s="100">
        <f>D74/('foglio deposito'!$F$22*'foglio deposito'!$L$34)</f>
        <v>0.48952380952380947</v>
      </c>
      <c r="G74" s="100">
        <f t="shared" si="5"/>
        <v>0.38719223097799405</v>
      </c>
      <c r="H74" s="103">
        <f t="shared" si="6"/>
        <v>-1.4584824902723742E-3</v>
      </c>
      <c r="I74" s="30">
        <f t="shared" si="7"/>
        <v>-5.4632823790994953</v>
      </c>
      <c r="J74" s="92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2:20" x14ac:dyDescent="0.25">
      <c r="B75" s="98">
        <f>'foglio deposito'!$L$34/'foglio deposito'!$B$141*'foglio deposito'!B110</f>
        <v>-2.415E-3</v>
      </c>
      <c r="C75" s="30">
        <f>IF(B75&gt;'foglio deposito'!$L$33,2*'foglio deposito'!$F$22/'foglio deposito'!$L$33*(B75-B75^2/(2*'foglio deposito'!$L$33)),'foglio deposito'!$F$22)</f>
        <v>-14.109999999999998</v>
      </c>
      <c r="D75" s="99">
        <f>IF(B75&gt;'foglio deposito'!$F$29,2*'foglio deposito'!$D$30/(-'foglio deposito'!$F$29)*(B75^2/2-(-B75)^3/(-6*'foglio deposito'!$F$29)),2*'foglio deposito'!$D$30/(-'foglio deposito'!$F$29)*('foglio deposito'!$F$29^2/2-(-'foglio deposito'!$F$29)^3/(-6*'foglio deposito'!$F$29))+'foglio deposito'!$D$30*(ABS(B75)-ABS('foglio deposito'!$F$29)))</f>
        <v>2.4668983333333325E-2</v>
      </c>
      <c r="E75" s="99">
        <f>IF(ABS(B75)&lt;ABS('foglio deposito'!$F$29),-2*'foglio deposito'!$D$30/(-'foglio deposito'!$F$29)*(-B75^3/3-(B75)^4/(-8*'foglio deposito'!$F$29)),-(2*'foglio deposito'!$D$30/(-'foglio deposito'!$F$29)*(ABS('foglio deposito'!$F$29)^3/3-ABS('foglio deposito'!$F$29)^4/(-8*'foglio deposito'!$F$29))+'foglio deposito'!$D$30/2*(ABS(B75)^2-ABS('foglio deposito'!$F$29)^2)))</f>
        <v>-3.6443014041666664E-5</v>
      </c>
      <c r="F75" s="100">
        <f>D75/('foglio deposito'!$F$22*'foglio deposito'!$L$34)</f>
        <v>0.49952380952380943</v>
      </c>
      <c r="G75" s="100">
        <f t="shared" si="5"/>
        <v>0.3882895471779293</v>
      </c>
      <c r="H75" s="103">
        <f t="shared" si="6"/>
        <v>-1.4772807435653008E-3</v>
      </c>
      <c r="I75" s="30">
        <f t="shared" si="7"/>
        <v>-5.4787655106805815</v>
      </c>
      <c r="J75" s="92"/>
      <c r="K75" s="19"/>
      <c r="P75" s="19"/>
      <c r="Q75" s="19"/>
      <c r="R75" s="19"/>
      <c r="S75" s="19"/>
      <c r="T75" s="19"/>
    </row>
    <row r="76" spans="2:20" x14ac:dyDescent="0.25">
      <c r="B76" s="98">
        <f>'foglio deposito'!$L$34/'foglio deposito'!$B$141*'foglio deposito'!B111</f>
        <v>-2.4500000000000004E-3</v>
      </c>
      <c r="C76" s="30">
        <f>IF(B76&gt;'foglio deposito'!$L$33,2*'foglio deposito'!$F$22/'foglio deposito'!$L$33*(B76-B76^2/(2*'foglio deposito'!$L$33)),'foglio deposito'!$F$22)</f>
        <v>-14.109999999999998</v>
      </c>
      <c r="D76" s="99">
        <f>IF(B76&gt;'foglio deposito'!$F$29,2*'foglio deposito'!$D$30/(-'foglio deposito'!$F$29)*(B76^2/2-(-B76)^3/(-6*'foglio deposito'!$F$29)),2*'foglio deposito'!$D$30/(-'foglio deposito'!$F$29)*('foglio deposito'!$F$29^2/2-(-'foglio deposito'!$F$29)^3/(-6*'foglio deposito'!$F$29))+'foglio deposito'!$D$30*(ABS(B76)-ABS('foglio deposito'!$F$29)))</f>
        <v>2.5162833333333332E-2</v>
      </c>
      <c r="E76" s="99">
        <f>IF(ABS(B76)&lt;ABS('foglio deposito'!$F$29),-2*'foglio deposito'!$D$30/(-'foglio deposito'!$F$29)*(-B76^3/3-(B76)^4/(-8*'foglio deposito'!$F$29)),-(2*'foglio deposito'!$D$30/(-'foglio deposito'!$F$29)*(ABS('foglio deposito'!$F$29)^3/3-ABS('foglio deposito'!$F$29)^4/(-8*'foglio deposito'!$F$29))+'foglio deposito'!$D$30/2*(ABS(B76)^2-ABS('foglio deposito'!$F$29)^2)))</f>
        <v>-3.7644304166666674E-5</v>
      </c>
      <c r="F76" s="100">
        <f>D76/('foglio deposito'!$F$22*'foglio deposito'!$L$34)</f>
        <v>0.5095238095238096</v>
      </c>
      <c r="G76" s="100">
        <f t="shared" si="5"/>
        <v>0.38937631127217243</v>
      </c>
      <c r="H76" s="103">
        <f t="shared" si="6"/>
        <v>-1.4960280373831779E-3</v>
      </c>
      <c r="I76" s="30">
        <f t="shared" si="7"/>
        <v>-5.4940997520503521</v>
      </c>
      <c r="J76" s="92"/>
      <c r="K76" s="19"/>
      <c r="P76" s="19"/>
      <c r="Q76" s="19"/>
      <c r="R76" s="19"/>
      <c r="S76" s="19"/>
      <c r="T76" s="19"/>
    </row>
    <row r="77" spans="2:20" x14ac:dyDescent="0.25">
      <c r="B77" s="98">
        <f>'foglio deposito'!$L$34/'foglio deposito'!$B$141*'foglio deposito'!B112</f>
        <v>-2.4850000000000002E-3</v>
      </c>
      <c r="C77" s="30">
        <f>IF(B77&gt;'foglio deposito'!$L$33,2*'foglio deposito'!$F$22/'foglio deposito'!$L$33*(B77-B77^2/(2*'foglio deposito'!$L$33)),'foglio deposito'!$F$22)</f>
        <v>-14.109999999999998</v>
      </c>
      <c r="D77" s="99">
        <f>IF(B77&gt;'foglio deposito'!$F$29,2*'foglio deposito'!$D$30/(-'foglio deposito'!$F$29)*(B77^2/2-(-B77)^3/(-6*'foglio deposito'!$F$29)),2*'foglio deposito'!$D$30/(-'foglio deposito'!$F$29)*('foglio deposito'!$F$29^2/2-(-'foglio deposito'!$F$29)^3/(-6*'foglio deposito'!$F$29))+'foglio deposito'!$D$30*(ABS(B77)-ABS('foglio deposito'!$F$29)))</f>
        <v>2.5656683333333329E-2</v>
      </c>
      <c r="E77" s="99">
        <f>IF(ABS(B77)&lt;ABS('foglio deposito'!$F$29),-2*'foglio deposito'!$D$30/(-'foglio deposito'!$F$29)*(-B77^3/3-(B77)^4/(-8*'foglio deposito'!$F$29)),-(2*'foglio deposito'!$D$30/(-'foglio deposito'!$F$29)*(ABS('foglio deposito'!$F$29)^3/3-ABS('foglio deposito'!$F$29)^4/(-8*'foglio deposito'!$F$29))+'foglio deposito'!$D$30/2*(ABS(B77)^2-ABS('foglio deposito'!$F$29)^2)))</f>
        <v>-3.8862879041666682E-5</v>
      </c>
      <c r="F77" s="100">
        <f>D77/('foglio deposito'!$F$22*'foglio deposito'!$L$34)</f>
        <v>0.5195238095238095</v>
      </c>
      <c r="G77" s="100">
        <f t="shared" si="5"/>
        <v>0.39045178495353394</v>
      </c>
      <c r="H77" s="103">
        <f t="shared" si="6"/>
        <v>-1.5147273143904683E-3</v>
      </c>
      <c r="I77" s="30">
        <f t="shared" si="7"/>
        <v>-5.5092746856943631</v>
      </c>
      <c r="J77" s="92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2:20" x14ac:dyDescent="0.25">
      <c r="B78" s="98">
        <f>'foglio deposito'!$L$34/'foglio deposito'!$B$141*'foglio deposito'!B113</f>
        <v>-2.5200000000000001E-3</v>
      </c>
      <c r="C78" s="30">
        <f>IF(B78&gt;'foglio deposito'!$L$33,2*'foglio deposito'!$F$22/'foglio deposito'!$L$33*(B78-B78^2/(2*'foglio deposito'!$L$33)),'foglio deposito'!$F$22)</f>
        <v>-14.109999999999998</v>
      </c>
      <c r="D78" s="99">
        <f>IF(B78&gt;'foglio deposito'!$F$29,2*'foglio deposito'!$D$30/(-'foglio deposito'!$F$29)*(B78^2/2-(-B78)^3/(-6*'foglio deposito'!$F$29)),2*'foglio deposito'!$D$30/(-'foglio deposito'!$F$29)*('foglio deposito'!$F$29^2/2-(-'foglio deposito'!$F$29)^3/(-6*'foglio deposito'!$F$29))+'foglio deposito'!$D$30*(ABS(B78)-ABS('foglio deposito'!$F$29)))</f>
        <v>2.6150533333333326E-2</v>
      </c>
      <c r="E78" s="99">
        <f>IF(ABS(B78)&lt;ABS('foglio deposito'!$F$29),-2*'foglio deposito'!$D$30/(-'foglio deposito'!$F$29)*(-B78^3/3-(B78)^4/(-8*'foglio deposito'!$F$29)),-(2*'foglio deposito'!$D$30/(-'foglio deposito'!$F$29)*(ABS('foglio deposito'!$F$29)^3/3-ABS('foglio deposito'!$F$29)^4/(-8*'foglio deposito'!$F$29))+'foglio deposito'!$D$30/2*(ABS(B78)^2-ABS('foglio deposito'!$F$29)^2)))</f>
        <v>-4.0098738666666666E-5</v>
      </c>
      <c r="F78" s="100">
        <f>D78/('foglio deposito'!$F$22*'foglio deposito'!$L$34)</f>
        <v>0.52952380952380951</v>
      </c>
      <c r="G78" s="100">
        <f t="shared" si="5"/>
        <v>0.39151535914125823</v>
      </c>
      <c r="H78" s="103">
        <f t="shared" si="6"/>
        <v>-1.5333812949640292E-3</v>
      </c>
      <c r="I78" s="30">
        <f t="shared" si="7"/>
        <v>-5.5242817174831531</v>
      </c>
      <c r="J78" s="92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2:20" x14ac:dyDescent="0.25">
      <c r="B79" s="98">
        <f>'foglio deposito'!$L$34/'foglio deposito'!$B$141*'foglio deposito'!B114</f>
        <v>-2.5550000000000004E-3</v>
      </c>
      <c r="C79" s="30">
        <f>IF(B79&gt;'foglio deposito'!$L$33,2*'foglio deposito'!$F$22/'foglio deposito'!$L$33*(B79-B79^2/(2*'foglio deposito'!$L$33)),'foglio deposito'!$F$22)</f>
        <v>-14.109999999999998</v>
      </c>
      <c r="D79" s="99">
        <f>IF(B79&gt;'foglio deposito'!$F$29,2*'foglio deposito'!$D$30/(-'foglio deposito'!$F$29)*(B79^2/2-(-B79)^3/(-6*'foglio deposito'!$F$29)),2*'foglio deposito'!$D$30/(-'foglio deposito'!$F$29)*('foglio deposito'!$F$29^2/2-(-'foglio deposito'!$F$29)^3/(-6*'foglio deposito'!$F$29))+'foglio deposito'!$D$30*(ABS(B79)-ABS('foglio deposito'!$F$29)))</f>
        <v>2.6644383333333334E-2</v>
      </c>
      <c r="E79" s="99">
        <f>IF(ABS(B79)&lt;ABS('foglio deposito'!$F$29),-2*'foglio deposito'!$D$30/(-'foglio deposito'!$F$29)*(-B79^3/3-(B79)^4/(-8*'foglio deposito'!$F$29)),-(2*'foglio deposito'!$D$30/(-'foglio deposito'!$F$29)*(ABS('foglio deposito'!$F$29)^3/3-ABS('foglio deposito'!$F$29)^4/(-8*'foglio deposito'!$F$29))+'foglio deposito'!$D$30/2*(ABS(B79)^2-ABS('foglio deposito'!$F$29)^2)))</f>
        <v>-4.1351883041666675E-5</v>
      </c>
      <c r="F79" s="100">
        <f>D79/('foglio deposito'!$F$22*'foglio deposito'!$L$34)</f>
        <v>0.53952380952380963</v>
      </c>
      <c r="G79" s="100">
        <f t="shared" si="5"/>
        <v>0.39256653706713562</v>
      </c>
      <c r="H79" s="103">
        <f t="shared" si="6"/>
        <v>-1.5519924977934689E-3</v>
      </c>
      <c r="I79" s="30">
        <f t="shared" si="7"/>
        <v>-5.5391138380172826</v>
      </c>
      <c r="J79" s="92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2:20" x14ac:dyDescent="0.25">
      <c r="B80" s="98">
        <f>'foglio deposito'!$L$34/'foglio deposito'!$B$141*'foglio deposito'!B115</f>
        <v>-2.5900000000000003E-3</v>
      </c>
      <c r="C80" s="30">
        <f>IF(B80&gt;'foglio deposito'!$L$33,2*'foglio deposito'!$F$22/'foglio deposito'!$L$33*(B80-B80^2/(2*'foglio deposito'!$L$33)),'foglio deposito'!$F$22)</f>
        <v>-14.109999999999998</v>
      </c>
      <c r="D80" s="99">
        <f>IF(B80&gt;'foglio deposito'!$F$29,2*'foglio deposito'!$D$30/(-'foglio deposito'!$F$29)*(B80^2/2-(-B80)^3/(-6*'foglio deposito'!$F$29)),2*'foglio deposito'!$D$30/(-'foglio deposito'!$F$29)*('foglio deposito'!$F$29^2/2-(-'foglio deposito'!$F$29)^3/(-6*'foglio deposito'!$F$29))+'foglio deposito'!$D$30*(ABS(B80)-ABS('foglio deposito'!$F$29)))</f>
        <v>2.7138233333333331E-2</v>
      </c>
      <c r="E80" s="99">
        <f>IF(ABS(B80)&lt;ABS('foglio deposito'!$F$29),-2*'foglio deposito'!$D$30/(-'foglio deposito'!$F$29)*(-B80^3/3-(B80)^4/(-8*'foglio deposito'!$F$29)),-(2*'foglio deposito'!$D$30/(-'foglio deposito'!$F$29)*(ABS('foglio deposito'!$F$29)^3/3-ABS('foglio deposito'!$F$29)^4/(-8*'foglio deposito'!$F$29))+'foglio deposito'!$D$30/2*(ABS(B80)^2-ABS('foglio deposito'!$F$29)^2)))</f>
        <v>-4.2622312166666675E-5</v>
      </c>
      <c r="F80" s="100">
        <f>D80/('foglio deposito'!$F$22*'foglio deposito'!$L$34)</f>
        <v>0.54952380952380953</v>
      </c>
      <c r="G80" s="100">
        <f t="shared" si="5"/>
        <v>0.39360491960145327</v>
      </c>
      <c r="H80" s="103">
        <f t="shared" si="6"/>
        <v>-1.5705632582322362E-3</v>
      </c>
      <c r="I80" s="30">
        <f t="shared" si="7"/>
        <v>-5.553765415576505</v>
      </c>
      <c r="J80" s="92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2:20" x14ac:dyDescent="0.25">
      <c r="B81" s="98">
        <f>'foglio deposito'!$L$34/'foglio deposito'!$B$141*'foglio deposito'!B116</f>
        <v>-2.6250000000000002E-3</v>
      </c>
      <c r="C81" s="30">
        <f>IF(B81&gt;'foglio deposito'!$L$33,2*'foglio deposito'!$F$22/'foglio deposito'!$L$33*(B81-B81^2/(2*'foglio deposito'!$L$33)),'foglio deposito'!$F$22)</f>
        <v>-14.109999999999998</v>
      </c>
      <c r="D81" s="99">
        <f>IF(B81&gt;'foglio deposito'!$F$29,2*'foglio deposito'!$D$30/(-'foglio deposito'!$F$29)*(B81^2/2-(-B81)^3/(-6*'foglio deposito'!$F$29)),2*'foglio deposito'!$D$30/(-'foglio deposito'!$F$29)*('foglio deposito'!$F$29^2/2-(-'foglio deposito'!$F$29)^3/(-6*'foglio deposito'!$F$29))+'foglio deposito'!$D$30*(ABS(B81)-ABS('foglio deposito'!$F$29)))</f>
        <v>2.7632083333333328E-2</v>
      </c>
      <c r="E81" s="99">
        <f>IF(ABS(B81)&lt;ABS('foglio deposito'!$F$29),-2*'foglio deposito'!$D$30/(-'foglio deposito'!$F$29)*(-B81^3/3-(B81)^4/(-8*'foglio deposito'!$F$29)),-(2*'foglio deposito'!$D$30/(-'foglio deposito'!$F$29)*(ABS('foglio deposito'!$F$29)^3/3-ABS('foglio deposito'!$F$29)^4/(-8*'foglio deposito'!$F$29))+'foglio deposito'!$D$30/2*(ABS(B81)^2-ABS('foglio deposito'!$F$29)^2)))</f>
        <v>-4.3910026041666671E-5</v>
      </c>
      <c r="F81" s="100">
        <f>D81/('foglio deposito'!$F$22*'foglio deposito'!$L$34)</f>
        <v>0.55952380952380953</v>
      </c>
      <c r="G81" s="100">
        <f t="shared" si="5"/>
        <v>0.39463019250253284</v>
      </c>
      <c r="H81" s="103">
        <f t="shared" si="6"/>
        <v>-1.5890957446808515E-3</v>
      </c>
      <c r="I81" s="30">
        <f t="shared" si="7"/>
        <v>-5.5682320162107377</v>
      </c>
      <c r="J81" s="92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2:20" x14ac:dyDescent="0.25">
      <c r="B82" s="98">
        <f>'foglio deposito'!$L$34/'foglio deposito'!$B$141*'foglio deposito'!B117</f>
        <v>-2.6600000000000005E-3</v>
      </c>
      <c r="C82" s="30">
        <f>IF(B82&gt;'foglio deposito'!$L$33,2*'foglio deposito'!$F$22/'foglio deposito'!$L$33*(B82-B82^2/(2*'foglio deposito'!$L$33)),'foglio deposito'!$F$22)</f>
        <v>-14.109999999999998</v>
      </c>
      <c r="D82" s="99">
        <f>IF(B82&gt;'foglio deposito'!$F$29,2*'foglio deposito'!$D$30/(-'foglio deposito'!$F$29)*(B82^2/2-(-B82)^3/(-6*'foglio deposito'!$F$29)),2*'foglio deposito'!$D$30/(-'foglio deposito'!$F$29)*('foglio deposito'!$F$29^2/2-(-'foglio deposito'!$F$29)^3/(-6*'foglio deposito'!$F$29))+'foglio deposito'!$D$30*(ABS(B82)-ABS('foglio deposito'!$F$29)))</f>
        <v>2.8125933333333332E-2</v>
      </c>
      <c r="E82" s="99">
        <f>IF(ABS(B82)&lt;ABS('foglio deposito'!$F$29),-2*'foglio deposito'!$D$30/(-'foglio deposito'!$F$29)*(-B82^3/3-(B82)^4/(-8*'foglio deposito'!$F$29)),-(2*'foglio deposito'!$D$30/(-'foglio deposito'!$F$29)*(ABS('foglio deposito'!$F$29)^3/3-ABS('foglio deposito'!$F$29)^4/(-8*'foglio deposito'!$F$29))+'foglio deposito'!$D$30/2*(ABS(B82)^2-ABS('foglio deposito'!$F$29)^2)))</f>
        <v>-4.5215024666666679E-5</v>
      </c>
      <c r="F82" s="100">
        <f>D82/('foglio deposito'!$F$22*'foglio deposito'!$L$34)</f>
        <v>0.56952380952380954</v>
      </c>
      <c r="G82" s="100">
        <f t="shared" si="5"/>
        <v>0.39564211532174909</v>
      </c>
      <c r="H82" s="103">
        <f t="shared" si="6"/>
        <v>-1.6075919732441476E-3</v>
      </c>
      <c r="I82" s="30">
        <f t="shared" si="7"/>
        <v>-5.5825102471898784</v>
      </c>
      <c r="J82" s="92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2:20" x14ac:dyDescent="0.25">
      <c r="B83" s="98">
        <f>'foglio deposito'!$L$34/'foglio deposito'!$B$141*'foglio deposito'!B118</f>
        <v>-2.6950000000000003E-3</v>
      </c>
      <c r="C83" s="30">
        <f>IF(B83&gt;'foglio deposito'!$L$33,2*'foglio deposito'!$F$22/'foglio deposito'!$L$33*(B83-B83^2/(2*'foglio deposito'!$L$33)),'foglio deposito'!$F$22)</f>
        <v>-14.109999999999998</v>
      </c>
      <c r="D83" s="99">
        <f>IF(B83&gt;'foglio deposito'!$F$29,2*'foglio deposito'!$D$30/(-'foglio deposito'!$F$29)*(B83^2/2-(-B83)^3/(-6*'foglio deposito'!$F$29)),2*'foglio deposito'!$D$30/(-'foglio deposito'!$F$29)*('foglio deposito'!$F$29^2/2-(-'foglio deposito'!$F$29)^3/(-6*'foglio deposito'!$F$29))+'foglio deposito'!$D$30*(ABS(B83)-ABS('foglio deposito'!$F$29)))</f>
        <v>2.8619783333333329E-2</v>
      </c>
      <c r="E83" s="99">
        <f>IF(ABS(B83)&lt;ABS('foglio deposito'!$F$29),-2*'foglio deposito'!$D$30/(-'foglio deposito'!$F$29)*(-B83^3/3-(B83)^4/(-8*'foglio deposito'!$F$29)),-(2*'foglio deposito'!$D$30/(-'foglio deposito'!$F$29)*(ABS('foglio deposito'!$F$29)^3/3-ABS('foglio deposito'!$F$29)^4/(-8*'foglio deposito'!$F$29))+'foglio deposito'!$D$30/2*(ABS(B83)^2-ABS('foglio deposito'!$F$29)^2)))</f>
        <v>-4.6537308041666677E-5</v>
      </c>
      <c r="F83" s="100">
        <f>D83/('foglio deposito'!$F$22*'foglio deposito'!$L$34)</f>
        <v>0.57952380952380955</v>
      </c>
      <c r="G83" s="100">
        <f t="shared" si="5"/>
        <v>0.39664051173618009</v>
      </c>
      <c r="H83" s="103">
        <f t="shared" si="6"/>
        <v>-1.6260538208709948E-3</v>
      </c>
      <c r="I83" s="30">
        <f t="shared" si="7"/>
        <v>-5.5965976205975005</v>
      </c>
      <c r="J83" s="92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2:20" x14ac:dyDescent="0.25">
      <c r="B84" s="98">
        <f>'foglio deposito'!$L$34/'foglio deposito'!$B$141*'foglio deposito'!B119</f>
        <v>-2.7300000000000002E-3</v>
      </c>
      <c r="C84" s="30">
        <f>IF(B84&gt;'foglio deposito'!$L$33,2*'foglio deposito'!$F$22/'foglio deposito'!$L$33*(B84-B84^2/(2*'foglio deposito'!$L$33)),'foglio deposito'!$F$22)</f>
        <v>-14.109999999999998</v>
      </c>
      <c r="D84" s="99">
        <f>IF(B84&gt;'foglio deposito'!$F$29,2*'foglio deposito'!$D$30/(-'foglio deposito'!$F$29)*(B84^2/2-(-B84)^3/(-6*'foglio deposito'!$F$29)),2*'foglio deposito'!$D$30/(-'foglio deposito'!$F$29)*('foglio deposito'!$F$29^2/2-(-'foglio deposito'!$F$29)^3/(-6*'foglio deposito'!$F$29))+'foglio deposito'!$D$30*(ABS(B84)-ABS('foglio deposito'!$F$29)))</f>
        <v>2.9113633333333326E-2</v>
      </c>
      <c r="E84" s="99">
        <f>IF(ABS(B84)&lt;ABS('foglio deposito'!$F$29),-2*'foglio deposito'!$D$30/(-'foglio deposito'!$F$29)*(-B84^3/3-(B84)^4/(-8*'foglio deposito'!$F$29)),-(2*'foglio deposito'!$D$30/(-'foglio deposito'!$F$29)*(ABS('foglio deposito'!$F$29)^3/3-ABS('foglio deposito'!$F$29)^4/(-8*'foglio deposito'!$F$29))+'foglio deposito'!$D$30/2*(ABS(B84)^2-ABS('foglio deposito'!$F$29)^2)))</f>
        <v>-4.7876876166666672E-5</v>
      </c>
      <c r="F84" s="100">
        <f>D84/('foglio deposito'!$F$22*'foglio deposito'!$L$34)</f>
        <v>0.58952380952380945</v>
      </c>
      <c r="G84" s="100">
        <f t="shared" si="5"/>
        <v>0.39762526111476015</v>
      </c>
      <c r="H84" s="103">
        <f t="shared" si="6"/>
        <v>-1.644483037156705E-3</v>
      </c>
      <c r="I84" s="30">
        <f t="shared" si="7"/>
        <v>-5.6104924343292648</v>
      </c>
      <c r="J84" s="92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2:20" x14ac:dyDescent="0.25">
      <c r="B85" s="98">
        <f>'foglio deposito'!$L$34/'foglio deposito'!$B$141*'foglio deposito'!B120</f>
        <v>-2.7650000000000001E-3</v>
      </c>
      <c r="C85" s="30">
        <f>IF(B85&gt;'foglio deposito'!$L$33,2*'foglio deposito'!$F$22/'foglio deposito'!$L$33*(B85-B85^2/(2*'foglio deposito'!$L$33)),'foglio deposito'!$F$22)</f>
        <v>-14.109999999999998</v>
      </c>
      <c r="D85" s="99">
        <f>IF(B85&gt;'foglio deposito'!$F$29,2*'foglio deposito'!$D$30/(-'foglio deposito'!$F$29)*(B85^2/2-(-B85)^3/(-6*'foglio deposito'!$F$29)),2*'foglio deposito'!$D$30/(-'foglio deposito'!$F$29)*('foglio deposito'!$F$29^2/2-(-'foglio deposito'!$F$29)^3/(-6*'foglio deposito'!$F$29))+'foglio deposito'!$D$30*(ABS(B85)-ABS('foglio deposito'!$F$29)))</f>
        <v>2.9607483333333327E-2</v>
      </c>
      <c r="E85" s="99">
        <f>IF(ABS(B85)&lt;ABS('foglio deposito'!$F$29),-2*'foglio deposito'!$D$30/(-'foglio deposito'!$F$29)*(-B85^3/3-(B85)^4/(-8*'foglio deposito'!$F$29)),-(2*'foglio deposito'!$D$30/(-'foglio deposito'!$F$29)*(ABS('foglio deposito'!$F$29)^3/3-ABS('foglio deposito'!$F$29)^4/(-8*'foglio deposito'!$F$29))+'foglio deposito'!$D$30/2*(ABS(B85)^2-ABS('foglio deposito'!$F$29)^2)))</f>
        <v>-4.9233729041666671E-5</v>
      </c>
      <c r="F85" s="100">
        <f>D85/('foglio deposito'!$F$22*'foglio deposito'!$L$34)</f>
        <v>0.59952380952380946</v>
      </c>
      <c r="G85" s="100">
        <f t="shared" si="5"/>
        <v>0.39859629115216721</v>
      </c>
      <c r="H85" s="103">
        <f t="shared" si="6"/>
        <v>-1.6628812549642578E-3</v>
      </c>
      <c r="I85" s="30">
        <f t="shared" si="7"/>
        <v>-5.6241936681570781</v>
      </c>
      <c r="J85" s="92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2:20" x14ac:dyDescent="0.25">
      <c r="B86" s="98">
        <f>'foglio deposito'!$L$34/'foglio deposito'!$B$141*'foglio deposito'!B121</f>
        <v>-2.8000000000000004E-3</v>
      </c>
      <c r="C86" s="30">
        <f>IF(B86&gt;'foglio deposito'!$L$33,2*'foglio deposito'!$F$22/'foglio deposito'!$L$33*(B86-B86^2/(2*'foglio deposito'!$L$33)),'foglio deposito'!$F$22)</f>
        <v>-14.109999999999998</v>
      </c>
      <c r="D86" s="99">
        <f>IF(B86&gt;'foglio deposito'!$F$29,2*'foglio deposito'!$D$30/(-'foglio deposito'!$F$29)*(B86^2/2-(-B86)^3/(-6*'foglio deposito'!$F$29)),2*'foglio deposito'!$D$30/(-'foglio deposito'!$F$29)*('foglio deposito'!$F$29^2/2-(-'foglio deposito'!$F$29)^3/(-6*'foglio deposito'!$F$29))+'foglio deposito'!$D$30*(ABS(B86)-ABS('foglio deposito'!$F$29)))</f>
        <v>3.0101333333333331E-2</v>
      </c>
      <c r="E86" s="99">
        <f>IF(ABS(B86)&lt;ABS('foglio deposito'!$F$29),-2*'foglio deposito'!$D$30/(-'foglio deposito'!$F$29)*(-B86^3/3-(B86)^4/(-8*'foglio deposito'!$F$29)),-(2*'foglio deposito'!$D$30/(-'foglio deposito'!$F$29)*(ABS('foglio deposito'!$F$29)^3/3-ABS('foglio deposito'!$F$29)^4/(-8*'foglio deposito'!$F$29))+'foglio deposito'!$D$30/2*(ABS(B86)^2-ABS('foglio deposito'!$F$29)^2)))</f>
        <v>-5.0607866666666681E-5</v>
      </c>
      <c r="F86" s="100">
        <f>D86/('foglio deposito'!$F$22*'foglio deposito'!$L$34)</f>
        <v>0.60952380952380958</v>
      </c>
      <c r="G86" s="100">
        <f t="shared" si="5"/>
        <v>0.39955357142857129</v>
      </c>
      <c r="H86" s="103">
        <f t="shared" si="6"/>
        <v>-1.6812500000000007E-3</v>
      </c>
      <c r="I86" s="30">
        <f t="shared" si="7"/>
        <v>-5.6377008928571399</v>
      </c>
      <c r="J86" s="92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2:20" x14ac:dyDescent="0.25">
      <c r="B87" s="98">
        <f>'foglio deposito'!$L$34/'foglio deposito'!$B$141*'foglio deposito'!B122</f>
        <v>-2.8350000000000003E-3</v>
      </c>
      <c r="C87" s="30">
        <f>IF(B87&gt;'foglio deposito'!$L$33,2*'foglio deposito'!$F$22/'foglio deposito'!$L$33*(B87-B87^2/(2*'foglio deposito'!$L$33)),'foglio deposito'!$F$22)</f>
        <v>-14.109999999999998</v>
      </c>
      <c r="D87" s="99">
        <f>IF(B87&gt;'foglio deposito'!$F$29,2*'foglio deposito'!$D$30/(-'foglio deposito'!$F$29)*(B87^2/2-(-B87)^3/(-6*'foglio deposito'!$F$29)),2*'foglio deposito'!$D$30/(-'foglio deposito'!$F$29)*('foglio deposito'!$F$29^2/2-(-'foglio deposito'!$F$29)^3/(-6*'foglio deposito'!$F$29))+'foglio deposito'!$D$30*(ABS(B87)-ABS('foglio deposito'!$F$29)))</f>
        <v>3.0595183333333331E-2</v>
      </c>
      <c r="E87" s="99">
        <f>IF(ABS(B87)&lt;ABS('foglio deposito'!$F$29),-2*'foglio deposito'!$D$30/(-'foglio deposito'!$F$29)*(-B87^3/3-(B87)^4/(-8*'foglio deposito'!$F$29)),-(2*'foglio deposito'!$D$30/(-'foglio deposito'!$F$29)*(ABS('foglio deposito'!$F$29)^3/3-ABS('foglio deposito'!$F$29)^4/(-8*'foglio deposito'!$F$29))+'foglio deposito'!$D$30/2*(ABS(B87)^2-ABS('foglio deposito'!$F$29)^2)))</f>
        <v>-5.1999289041666674E-5</v>
      </c>
      <c r="F87" s="100">
        <f>D87/('foglio deposito'!$F$22*'foglio deposito'!$L$34)</f>
        <v>0.61952380952380959</v>
      </c>
      <c r="G87" s="100">
        <f t="shared" si="5"/>
        <v>0.40049710777356173</v>
      </c>
      <c r="H87" s="103">
        <f t="shared" si="6"/>
        <v>-1.6995906994619527E-3</v>
      </c>
      <c r="I87" s="30">
        <f t="shared" si="7"/>
        <v>-5.6510141906849549</v>
      </c>
      <c r="J87" s="92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2:20" x14ac:dyDescent="0.25">
      <c r="B88" s="98">
        <f>'foglio deposito'!$L$34/'foglio deposito'!$B$141*'foglio deposito'!B123</f>
        <v>-2.8700000000000002E-3</v>
      </c>
      <c r="C88" s="30">
        <f>IF(B88&gt;'foglio deposito'!$L$33,2*'foglio deposito'!$F$22/'foglio deposito'!$L$33*(B88-B88^2/(2*'foglio deposito'!$L$33)),'foglio deposito'!$F$22)</f>
        <v>-14.109999999999998</v>
      </c>
      <c r="D88" s="99">
        <f>IF(B88&gt;'foglio deposito'!$F$29,2*'foglio deposito'!$D$30/(-'foglio deposito'!$F$29)*(B88^2/2-(-B88)^3/(-6*'foglio deposito'!$F$29)),2*'foglio deposito'!$D$30/(-'foglio deposito'!$F$29)*('foglio deposito'!$F$29^2/2-(-'foglio deposito'!$F$29)^3/(-6*'foglio deposito'!$F$29))+'foglio deposito'!$D$30*(ABS(B88)-ABS('foglio deposito'!$F$29)))</f>
        <v>3.1089033333333328E-2</v>
      </c>
      <c r="E88" s="99">
        <f>IF(ABS(B88)&lt;ABS('foglio deposito'!$F$29),-2*'foglio deposito'!$D$30/(-'foglio deposito'!$F$29)*(-B88^3/3-(B88)^4/(-8*'foglio deposito'!$F$29)),-(2*'foglio deposito'!$D$30/(-'foglio deposito'!$F$29)*(ABS('foglio deposito'!$F$29)^3/3-ABS('foglio deposito'!$F$29)^4/(-8*'foglio deposito'!$F$29))+'foglio deposito'!$D$30/2*(ABS(B88)^2-ABS('foglio deposito'!$F$29)^2)))</f>
        <v>-5.3407996166666665E-5</v>
      </c>
      <c r="F88" s="100">
        <f>D88/('foglio deposito'!$F$22*'foglio deposito'!$L$34)</f>
        <v>0.62952380952380949</v>
      </c>
      <c r="G88" s="100">
        <f t="shared" si="5"/>
        <v>0.4014269373296715</v>
      </c>
      <c r="H88" s="103">
        <f t="shared" si="6"/>
        <v>-1.7179046898638428E-3</v>
      </c>
      <c r="I88" s="30">
        <f t="shared" si="7"/>
        <v>-5.6641340857216642</v>
      </c>
      <c r="J88" s="92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2:20" x14ac:dyDescent="0.25">
      <c r="B89" s="98">
        <f>'foglio deposito'!$L$34/'foglio deposito'!$B$141*'foglio deposito'!B124</f>
        <v>-2.9050000000000005E-3</v>
      </c>
      <c r="C89" s="30">
        <f>IF(B89&gt;'foglio deposito'!$L$33,2*'foglio deposito'!$F$22/'foglio deposito'!$L$33*(B89-B89^2/(2*'foglio deposito'!$L$33)),'foglio deposito'!$F$22)</f>
        <v>-14.109999999999998</v>
      </c>
      <c r="D89" s="99">
        <f>IF(B89&gt;'foglio deposito'!$F$29,2*'foglio deposito'!$D$30/(-'foglio deposito'!$F$29)*(B89^2/2-(-B89)^3/(-6*'foglio deposito'!$F$29)),2*'foglio deposito'!$D$30/(-'foglio deposito'!$F$29)*('foglio deposito'!$F$29^2/2-(-'foglio deposito'!$F$29)^3/(-6*'foglio deposito'!$F$29))+'foglio deposito'!$D$30*(ABS(B89)-ABS('foglio deposito'!$F$29)))</f>
        <v>3.1582883333333332E-2</v>
      </c>
      <c r="E89" s="99">
        <f>IF(ABS(B89)&lt;ABS('foglio deposito'!$F$29),-2*'foglio deposito'!$D$30/(-'foglio deposito'!$F$29)*(-B89^3/3-(B89)^4/(-8*'foglio deposito'!$F$29)),-(2*'foglio deposito'!$D$30/(-'foglio deposito'!$F$29)*(ABS('foglio deposito'!$F$29)^3/3-ABS('foglio deposito'!$F$29)^4/(-8*'foglio deposito'!$F$29))+'foglio deposito'!$D$30/2*(ABS(B89)^2-ABS('foglio deposito'!$F$29)^2)))</f>
        <v>-5.4833988041666693E-5</v>
      </c>
      <c r="F89" s="100">
        <f>D89/('foglio deposito'!$F$22*'foglio deposito'!$L$34)</f>
        <v>0.63952380952380961</v>
      </c>
      <c r="G89" s="100">
        <f t="shared" si="5"/>
        <v>0.40234312422544105</v>
      </c>
      <c r="H89" s="103">
        <f t="shared" si="6"/>
        <v>-1.7361932241250939E-3</v>
      </c>
      <c r="I89" s="30">
        <f t="shared" si="7"/>
        <v>-5.6770614828209727</v>
      </c>
      <c r="J89" s="92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2:20" x14ac:dyDescent="0.25">
      <c r="B90" s="98">
        <f>'foglio deposito'!$L$34/'foglio deposito'!$B$141*'foglio deposito'!B125</f>
        <v>-2.9400000000000003E-3</v>
      </c>
      <c r="C90" s="30">
        <f>IF(B90&gt;'foglio deposito'!$L$33,2*'foglio deposito'!$F$22/'foglio deposito'!$L$33*(B90-B90^2/(2*'foglio deposito'!$L$33)),'foglio deposito'!$F$22)</f>
        <v>-14.109999999999998</v>
      </c>
      <c r="D90" s="99">
        <f>IF(B90&gt;'foglio deposito'!$F$29,2*'foglio deposito'!$D$30/(-'foglio deposito'!$F$29)*(B90^2/2-(-B90)^3/(-6*'foglio deposito'!$F$29)),2*'foglio deposito'!$D$30/(-'foglio deposito'!$F$29)*('foglio deposito'!$F$29^2/2-(-'foglio deposito'!$F$29)^3/(-6*'foglio deposito'!$F$29))+'foglio deposito'!$D$30*(ABS(B90)-ABS('foglio deposito'!$F$29)))</f>
        <v>3.2076733333333329E-2</v>
      </c>
      <c r="E90" s="99">
        <f>IF(ABS(B90)&lt;ABS('foglio deposito'!$F$29),-2*'foglio deposito'!$D$30/(-'foglio deposito'!$F$29)*(-B90^3/3-(B90)^4/(-8*'foglio deposito'!$F$29)),-(2*'foglio deposito'!$D$30/(-'foglio deposito'!$F$29)*(ABS('foglio deposito'!$F$29)^3/3-ABS('foglio deposito'!$F$29)^4/(-8*'foglio deposito'!$F$29))+'foglio deposito'!$D$30/2*(ABS(B90)^2-ABS('foglio deposito'!$F$29)^2)))</f>
        <v>-5.6277264666666679E-5</v>
      </c>
      <c r="F90" s="100">
        <f>D90/('foglio deposito'!$F$22*'foglio deposito'!$L$34)</f>
        <v>0.6495238095238095</v>
      </c>
      <c r="G90" s="100">
        <f t="shared" si="5"/>
        <v>0.40324575578031785</v>
      </c>
      <c r="H90" s="103">
        <f t="shared" si="6"/>
        <v>-1.7544574780058656E-3</v>
      </c>
      <c r="I90" s="30">
        <f t="shared" si="7"/>
        <v>-5.6897976140602839</v>
      </c>
      <c r="J90" s="92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2:20" x14ac:dyDescent="0.25">
      <c r="B91" s="98">
        <f>'foglio deposito'!$L$34/'foglio deposito'!$B$141*'foglio deposito'!B126</f>
        <v>-2.9750000000000002E-3</v>
      </c>
      <c r="C91" s="30">
        <f>IF(B91&gt;'foglio deposito'!$L$33,2*'foglio deposito'!$F$22/'foglio deposito'!$L$33*(B91-B91^2/(2*'foglio deposito'!$L$33)),'foglio deposito'!$F$22)</f>
        <v>-14.109999999999998</v>
      </c>
      <c r="D91" s="99">
        <f>IF(B91&gt;'foglio deposito'!$F$29,2*'foglio deposito'!$D$30/(-'foglio deposito'!$F$29)*(B91^2/2-(-B91)^3/(-6*'foglio deposito'!$F$29)),2*'foglio deposito'!$D$30/(-'foglio deposito'!$F$29)*('foglio deposito'!$F$29^2/2-(-'foglio deposito'!$F$29)^3/(-6*'foglio deposito'!$F$29))+'foglio deposito'!$D$30*(ABS(B91)-ABS('foglio deposito'!$F$29)))</f>
        <v>3.2570583333333326E-2</v>
      </c>
      <c r="E91" s="99">
        <f>IF(ABS(B91)&lt;ABS('foglio deposito'!$F$29),-2*'foglio deposito'!$D$30/(-'foglio deposito'!$F$29)*(-B91^3/3-(B91)^4/(-8*'foglio deposito'!$F$29)),-(2*'foglio deposito'!$D$30/(-'foglio deposito'!$F$29)*(ABS('foglio deposito'!$F$29)^3/3-ABS('foglio deposito'!$F$29)^4/(-8*'foglio deposito'!$F$29))+'foglio deposito'!$D$30/2*(ABS(B91)^2-ABS('foglio deposito'!$F$29)^2)))</f>
        <v>-5.7737826041666675E-5</v>
      </c>
      <c r="F91" s="100">
        <f>D91/('foglio deposito'!$F$22*'foglio deposito'!$L$34)</f>
        <v>0.65952380952380951</v>
      </c>
      <c r="G91" s="100">
        <f t="shared" si="5"/>
        <v>0.40413493917422549</v>
      </c>
      <c r="H91" s="103">
        <f t="shared" si="6"/>
        <v>-1.7726985559566794E-3</v>
      </c>
      <c r="I91" s="30">
        <f t="shared" si="7"/>
        <v>-5.7023439917483207</v>
      </c>
      <c r="J91" s="92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2:20" x14ac:dyDescent="0.25">
      <c r="B92" s="98">
        <f>'foglio deposito'!$L$34/'foglio deposito'!$B$141*'foglio deposito'!B127</f>
        <v>-3.0100000000000005E-3</v>
      </c>
      <c r="C92" s="30">
        <f>IF(B92&gt;'foglio deposito'!$L$33,2*'foglio deposito'!$F$22/'foglio deposito'!$L$33*(B92-B92^2/(2*'foglio deposito'!$L$33)),'foglio deposito'!$F$22)</f>
        <v>-14.109999999999998</v>
      </c>
      <c r="D92" s="99">
        <f>IF(B92&gt;'foglio deposito'!$F$29,2*'foglio deposito'!$D$30/(-'foglio deposito'!$F$29)*(B92^2/2-(-B92)^3/(-6*'foglio deposito'!$F$29)),2*'foglio deposito'!$D$30/(-'foglio deposito'!$F$29)*('foglio deposito'!$F$29^2/2-(-'foglio deposito'!$F$29)^3/(-6*'foglio deposito'!$F$29))+'foglio deposito'!$D$30*(ABS(B92)-ABS('foglio deposito'!$F$29)))</f>
        <v>3.306443333333333E-2</v>
      </c>
      <c r="E92" s="99">
        <f>IF(ABS(B92)&lt;ABS('foglio deposito'!$F$29),-2*'foglio deposito'!$D$30/(-'foglio deposito'!$F$29)*(-B92^3/3-(B92)^4/(-8*'foglio deposito'!$F$29)),-(2*'foglio deposito'!$D$30/(-'foglio deposito'!$F$29)*(ABS('foglio deposito'!$F$29)^3/3-ABS('foglio deposito'!$F$29)^4/(-8*'foglio deposito'!$F$29))+'foglio deposito'!$D$30/2*(ABS(B92)^2-ABS('foglio deposito'!$F$29)^2)))</f>
        <v>-5.9215672166666681E-5</v>
      </c>
      <c r="F92" s="100">
        <f>D92/('foglio deposito'!$F$22*'foglio deposito'!$L$34)</f>
        <v>0.66952380952380963</v>
      </c>
      <c r="G92" s="100">
        <f t="shared" si="5"/>
        <v>0.40501079852365029</v>
      </c>
      <c r="H92" s="103">
        <f t="shared" si="6"/>
        <v>-1.7909174964438129E-3</v>
      </c>
      <c r="I92" s="30">
        <f t="shared" si="7"/>
        <v>-5.7147023671687043</v>
      </c>
      <c r="J92" s="92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2:20" x14ac:dyDescent="0.25">
      <c r="B93" s="98">
        <f>'foglio deposito'!$L$34/'foglio deposito'!$B$141*'foglio deposito'!B128</f>
        <v>-3.0450000000000004E-3</v>
      </c>
      <c r="C93" s="30">
        <f>IF(B93&gt;'foglio deposito'!$L$33,2*'foglio deposito'!$F$22/'foglio deposito'!$L$33*(B93-B93^2/(2*'foglio deposito'!$L$33)),'foglio deposito'!$F$22)</f>
        <v>-14.109999999999998</v>
      </c>
      <c r="D93" s="99">
        <f>IF(B93&gt;'foglio deposito'!$F$29,2*'foglio deposito'!$D$30/(-'foglio deposito'!$F$29)*(B93^2/2-(-B93)^3/(-6*'foglio deposito'!$F$29)),2*'foglio deposito'!$D$30/(-'foglio deposito'!$F$29)*('foglio deposito'!$F$29^2/2-(-'foglio deposito'!$F$29)^3/(-6*'foglio deposito'!$F$29))+'foglio deposito'!$D$30*(ABS(B93)-ABS('foglio deposito'!$F$29)))</f>
        <v>3.3558283333333327E-2</v>
      </c>
      <c r="E93" s="99">
        <f>IF(ABS(B93)&lt;ABS('foglio deposito'!$F$29),-2*'foglio deposito'!$D$30/(-'foglio deposito'!$F$29)*(-B93^3/3-(B93)^4/(-8*'foglio deposito'!$F$29)),-(2*'foglio deposito'!$D$30/(-'foglio deposito'!$F$29)*(ABS('foglio deposito'!$F$29)^3/3-ABS('foglio deposito'!$F$29)^4/(-8*'foglio deposito'!$F$29))+'foglio deposito'!$D$30/2*(ABS(B93)^2-ABS('foglio deposito'!$F$29)^2)))</f>
        <v>-6.0710803041666672E-5</v>
      </c>
      <c r="F93" s="100">
        <f>D93/('foglio deposito'!$F$22*'foglio deposito'!$L$34)</f>
        <v>0.67952380952380953</v>
      </c>
      <c r="G93" s="100">
        <f t="shared" si="5"/>
        <v>0.405873472313798</v>
      </c>
      <c r="H93" s="103">
        <f t="shared" si="6"/>
        <v>-1.8091152768044854E-3</v>
      </c>
      <c r="I93" s="30">
        <f t="shared" si="7"/>
        <v>-5.7268746943476891</v>
      </c>
      <c r="J93" s="92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2:20" x14ac:dyDescent="0.25">
      <c r="B94" s="98">
        <f>'foglio deposito'!$L$34/'foglio deposito'!$B$141*'foglio deposito'!B129</f>
        <v>-3.0800000000000003E-3</v>
      </c>
      <c r="C94" s="30">
        <f>IF(B94&gt;'foglio deposito'!$L$33,2*'foglio deposito'!$F$22/'foglio deposito'!$L$33*(B94-B94^2/(2*'foglio deposito'!$L$33)),'foglio deposito'!$F$22)</f>
        <v>-14.109999999999998</v>
      </c>
      <c r="D94" s="99">
        <f>IF(B94&gt;'foglio deposito'!$F$29,2*'foglio deposito'!$D$30/(-'foglio deposito'!$F$29)*(B94^2/2-(-B94)^3/(-6*'foglio deposito'!$F$29)),2*'foglio deposito'!$D$30/(-'foglio deposito'!$F$29)*('foglio deposito'!$F$29^2/2-(-'foglio deposito'!$F$29)^3/(-6*'foglio deposito'!$F$29))+'foglio deposito'!$D$30*(ABS(B94)-ABS('foglio deposito'!$F$29)))</f>
        <v>3.4052133333333331E-2</v>
      </c>
      <c r="E94" s="99">
        <f>IF(ABS(B94)&lt;ABS('foglio deposito'!$F$29),-2*'foglio deposito'!$D$30/(-'foglio deposito'!$F$29)*(-B94^3/3-(B94)^4/(-8*'foglio deposito'!$F$29)),-(2*'foglio deposito'!$D$30/(-'foglio deposito'!$F$29)*(ABS('foglio deposito'!$F$29)^3/3-ABS('foglio deposito'!$F$29)^4/(-8*'foglio deposito'!$F$29))+'foglio deposito'!$D$30/2*(ABS(B94)^2-ABS('foglio deposito'!$F$29)^2)))</f>
        <v>-6.2223218666666673E-5</v>
      </c>
      <c r="F94" s="100">
        <f>D94/('foglio deposito'!$F$22*'foglio deposito'!$L$34)</f>
        <v>0.68952380952380965</v>
      </c>
      <c r="G94" s="100">
        <f t="shared" si="5"/>
        <v>0.40672311114300064</v>
      </c>
      <c r="H94" s="103">
        <f t="shared" si="6"/>
        <v>-1.8272928176795583E-3</v>
      </c>
      <c r="I94" s="30">
        <f t="shared" si="7"/>
        <v>-5.7388630982277382</v>
      </c>
      <c r="J94" s="92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2:20" x14ac:dyDescent="0.25">
      <c r="B95" s="98">
        <f>'foglio deposito'!$L$34/'foglio deposito'!$B$141*'foglio deposito'!B130</f>
        <v>-3.1150000000000001E-3</v>
      </c>
      <c r="C95" s="30">
        <f>IF(B95&gt;'foglio deposito'!$L$33,2*'foglio deposito'!$F$22/'foglio deposito'!$L$33*(B95-B95^2/(2*'foglio deposito'!$L$33)),'foglio deposito'!$F$22)</f>
        <v>-14.109999999999998</v>
      </c>
      <c r="D95" s="99">
        <f>IF(B95&gt;'foglio deposito'!$F$29,2*'foglio deposito'!$D$30/(-'foglio deposito'!$F$29)*(B95^2/2-(-B95)^3/(-6*'foglio deposito'!$F$29)),2*'foglio deposito'!$D$30/(-'foglio deposito'!$F$29)*('foglio deposito'!$F$29^2/2-(-'foglio deposito'!$F$29)^3/(-6*'foglio deposito'!$F$29))+'foglio deposito'!$D$30*(ABS(B95)-ABS('foglio deposito'!$F$29)))</f>
        <v>3.4545983333333322E-2</v>
      </c>
      <c r="E95" s="99">
        <f>IF(ABS(B95)&lt;ABS('foglio deposito'!$F$29),-2*'foglio deposito'!$D$30/(-'foglio deposito'!$F$29)*(-B95^3/3-(B95)^4/(-8*'foglio deposito'!$F$29)),-(2*'foglio deposito'!$D$30/(-'foglio deposito'!$F$29)*(ABS('foglio deposito'!$F$29)^3/3-ABS('foglio deposito'!$F$29)^4/(-8*'foglio deposito'!$F$29))+'foglio deposito'!$D$30/2*(ABS(B95)^2-ABS('foglio deposito'!$F$29)^2)))</f>
        <v>-6.3752919041666672E-5</v>
      </c>
      <c r="F95" s="100">
        <f>D95/('foglio deposito'!$F$22*'foglio deposito'!$L$34)</f>
        <v>0.69952380952380944</v>
      </c>
      <c r="G95" s="100">
        <f t="shared" si="5"/>
        <v>0.40755987574124175</v>
      </c>
      <c r="H95" s="103">
        <f t="shared" si="6"/>
        <v>-1.845450987066032E-3</v>
      </c>
      <c r="I95" s="30">
        <f t="shared" si="7"/>
        <v>-5.7506698467089201</v>
      </c>
      <c r="J95" s="92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2:20" x14ac:dyDescent="0.25">
      <c r="B96" s="98">
        <f>'foglio deposito'!$L$34/'foglio deposito'!$B$141*'foglio deposito'!B131</f>
        <v>-3.1500000000000005E-3</v>
      </c>
      <c r="C96" s="30">
        <f>IF(B96&gt;'foglio deposito'!$L$33,2*'foglio deposito'!$F$22/'foglio deposito'!$L$33*(B96-B96^2/(2*'foglio deposito'!$L$33)),'foglio deposito'!$F$22)</f>
        <v>-14.109999999999998</v>
      </c>
      <c r="D96" s="99">
        <f>IF(B96&gt;'foglio deposito'!$F$29,2*'foglio deposito'!$D$30/(-'foglio deposito'!$F$29)*(B96^2/2-(-B96)^3/(-6*'foglio deposito'!$F$29)),2*'foglio deposito'!$D$30/(-'foglio deposito'!$F$29)*('foglio deposito'!$F$29^2/2-(-'foglio deposito'!$F$29)^3/(-6*'foglio deposito'!$F$29))+'foglio deposito'!$D$30*(ABS(B96)-ABS('foglio deposito'!$F$29)))</f>
        <v>3.5039833333333333E-2</v>
      </c>
      <c r="E96" s="99">
        <f>IF(ABS(B96)&lt;ABS('foglio deposito'!$F$29),-2*'foglio deposito'!$D$30/(-'foglio deposito'!$F$29)*(-B96^3/3-(B96)^4/(-8*'foglio deposito'!$F$29)),-(2*'foglio deposito'!$D$30/(-'foglio deposito'!$F$29)*(ABS('foglio deposito'!$F$29)^3/3-ABS('foglio deposito'!$F$29)^4/(-8*'foglio deposito'!$F$29))+'foglio deposito'!$D$30/2*(ABS(B96)^2-ABS('foglio deposito'!$F$29)^2)))</f>
        <v>-6.5299904166666694E-5</v>
      </c>
      <c r="F96" s="100">
        <f>D96/('foglio deposito'!$F$22*'foglio deposito'!$L$34)</f>
        <v>0.70952380952380967</v>
      </c>
      <c r="G96" s="100">
        <f t="shared" si="5"/>
        <v>0.40838393522957261</v>
      </c>
      <c r="H96" s="103">
        <f t="shared" si="6"/>
        <v>-1.8635906040268464E-3</v>
      </c>
      <c r="I96" s="30">
        <f t="shared" si="7"/>
        <v>-5.7622973260892687</v>
      </c>
      <c r="J96" s="92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2:20" x14ac:dyDescent="0.25">
      <c r="B97" s="98">
        <f>'foglio deposito'!$L$34/'foglio deposito'!$B$141*'foglio deposito'!B132</f>
        <v>-3.1850000000000003E-3</v>
      </c>
      <c r="C97" s="30">
        <f>IF(B97&gt;'foglio deposito'!$L$33,2*'foglio deposito'!$F$22/'foglio deposito'!$L$33*(B97-B97^2/(2*'foglio deposito'!$L$33)),'foglio deposito'!$F$22)</f>
        <v>-14.109999999999998</v>
      </c>
      <c r="D97" s="99">
        <f>IF(B97&gt;'foglio deposito'!$F$29,2*'foglio deposito'!$D$30/(-'foglio deposito'!$F$29)*(B97^2/2-(-B97)^3/(-6*'foglio deposito'!$F$29)),2*'foglio deposito'!$D$30/(-'foglio deposito'!$F$29)*('foglio deposito'!$F$29^2/2-(-'foglio deposito'!$F$29)^3/(-6*'foglio deposito'!$F$29))+'foglio deposito'!$D$30*(ABS(B97)-ABS('foglio deposito'!$F$29)))</f>
        <v>3.553368333333333E-2</v>
      </c>
      <c r="E97" s="99">
        <f>IF(ABS(B97)&lt;ABS('foglio deposito'!$F$29),-2*'foglio deposito'!$D$30/(-'foglio deposito'!$F$29)*(-B97^3/3-(B97)^4/(-8*'foglio deposito'!$F$29)),-(2*'foglio deposito'!$D$30/(-'foglio deposito'!$F$29)*(ABS('foglio deposito'!$F$29)^3/3-ABS('foglio deposito'!$F$29)^4/(-8*'foglio deposito'!$F$29))+'foglio deposito'!$D$30/2*(ABS(B97)^2-ABS('foglio deposito'!$F$29)^2)))</f>
        <v>-6.6864174041666674E-5</v>
      </c>
      <c r="F97" s="100">
        <f>D97/('foglio deposito'!$F$22*'foglio deposito'!$L$34)</f>
        <v>0.71952380952380957</v>
      </c>
      <c r="G97" s="100">
        <f t="shared" si="5"/>
        <v>0.40919546559141906</v>
      </c>
      <c r="H97" s="103">
        <f t="shared" si="6"/>
        <v>-1.8817124420913306E-3</v>
      </c>
      <c r="I97" s="30">
        <f t="shared" si="7"/>
        <v>-5.7737480194949216</v>
      </c>
      <c r="J97" s="92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2:20" x14ac:dyDescent="0.25">
      <c r="B98" s="98">
        <f>'foglio deposito'!$L$34/'foglio deposito'!$B$141*'foglio deposito'!B133</f>
        <v>-3.2200000000000002E-3</v>
      </c>
      <c r="C98" s="30">
        <f>IF(B98&gt;'foglio deposito'!$L$33,2*'foglio deposito'!$F$22/'foglio deposito'!$L$33*(B98-B98^2/(2*'foglio deposito'!$L$33)),'foglio deposito'!$F$22)</f>
        <v>-14.109999999999998</v>
      </c>
      <c r="D98" s="99">
        <f>IF(B98&gt;'foglio deposito'!$F$29,2*'foglio deposito'!$D$30/(-'foglio deposito'!$F$29)*(B98^2/2-(-B98)^3/(-6*'foglio deposito'!$F$29)),2*'foglio deposito'!$D$30/(-'foglio deposito'!$F$29)*('foglio deposito'!$F$29^2/2-(-'foglio deposito'!$F$29)^3/(-6*'foglio deposito'!$F$29))+'foglio deposito'!$D$30*(ABS(B98)-ABS('foglio deposito'!$F$29)))</f>
        <v>3.6027533333333327E-2</v>
      </c>
      <c r="E98" s="99">
        <f>IF(ABS(B98)&lt;ABS('foglio deposito'!$F$29),-2*'foglio deposito'!$D$30/(-'foglio deposito'!$F$29)*(-B98^3/3-(B98)^4/(-8*'foglio deposito'!$F$29)),-(2*'foglio deposito'!$D$30/(-'foglio deposito'!$F$29)*(ABS('foglio deposito'!$F$29)^3/3-ABS('foglio deposito'!$F$29)^4/(-8*'foglio deposito'!$F$29))+'foglio deposito'!$D$30/2*(ABS(B98)^2-ABS('foglio deposito'!$F$29)^2)))</f>
        <v>-6.8445728666666664E-5</v>
      </c>
      <c r="F98" s="100">
        <f>D98/('foglio deposito'!$F$22*'foglio deposito'!$L$34)</f>
        <v>0.72952380952380946</v>
      </c>
      <c r="G98" s="100">
        <f t="shared" si="5"/>
        <v>0.40999464833044119</v>
      </c>
      <c r="H98" s="103">
        <f t="shared" si="6"/>
        <v>-1.8998172323759794E-3</v>
      </c>
      <c r="I98" s="30">
        <f t="shared" si="7"/>
        <v>-5.7850244879425246</v>
      </c>
      <c r="J98" s="92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2:20" x14ac:dyDescent="0.25">
      <c r="B99" s="98">
        <f>'foglio deposito'!$L$34/'foglio deposito'!$B$141*'foglio deposito'!B134</f>
        <v>-3.2550000000000005E-3</v>
      </c>
      <c r="C99" s="30">
        <f>IF(B99&gt;'foglio deposito'!$L$33,2*'foglio deposito'!$F$22/'foglio deposito'!$L$33*(B99-B99^2/(2*'foglio deposito'!$L$33)),'foglio deposito'!$F$22)</f>
        <v>-14.109999999999998</v>
      </c>
      <c r="D99" s="99">
        <f>IF(B99&gt;'foglio deposito'!$F$29,2*'foglio deposito'!$D$30/(-'foglio deposito'!$F$29)*(B99^2/2-(-B99)^3/(-6*'foglio deposito'!$F$29)),2*'foglio deposito'!$D$30/(-'foglio deposito'!$F$29)*('foglio deposito'!$F$29^2/2-(-'foglio deposito'!$F$29)^3/(-6*'foglio deposito'!$F$29))+'foglio deposito'!$D$30*(ABS(B99)-ABS('foglio deposito'!$F$29)))</f>
        <v>3.6521383333333331E-2</v>
      </c>
      <c r="E99" s="99">
        <f>IF(ABS(B99)&lt;ABS('foglio deposito'!$F$29),-2*'foglio deposito'!$D$30/(-'foglio deposito'!$F$29)*(-B99^3/3-(B99)^4/(-8*'foglio deposito'!$F$29)),-(2*'foglio deposito'!$D$30/(-'foglio deposito'!$F$29)*(ABS('foglio deposito'!$F$29)^3/3-ABS('foglio deposito'!$F$29)^4/(-8*'foglio deposito'!$F$29))+'foglio deposito'!$D$30/2*(ABS(B99)^2-ABS('foglio deposito'!$F$29)^2)))</f>
        <v>-7.0044568041666678E-5</v>
      </c>
      <c r="F99" s="100">
        <f>D99/('foglio deposito'!$F$22*'foglio deposito'!$L$34)</f>
        <v>0.73952380952380958</v>
      </c>
      <c r="G99" s="100">
        <f t="shared" si="5"/>
        <v>0.4107816692927716</v>
      </c>
      <c r="H99" s="103">
        <f t="shared" si="6"/>
        <v>-1.9179056664520289E-3</v>
      </c>
      <c r="I99" s="30">
        <f t="shared" si="7"/>
        <v>-5.7961293537210059</v>
      </c>
      <c r="J99" s="92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2:20" x14ac:dyDescent="0.25">
      <c r="B100" s="98">
        <f>'foglio deposito'!$L$34/'foglio deposito'!$B$141*'foglio deposito'!B135</f>
        <v>-3.2900000000000004E-3</v>
      </c>
      <c r="C100" s="30">
        <f>IF(B100&gt;'foglio deposito'!$L$33,2*'foglio deposito'!$F$22/'foglio deposito'!$L$33*(B100-B100^2/(2*'foglio deposito'!$L$33)),'foglio deposito'!$F$22)</f>
        <v>-14.109999999999998</v>
      </c>
      <c r="D100" s="99">
        <f>IF(B100&gt;'foglio deposito'!$F$29,2*'foglio deposito'!$D$30/(-'foglio deposito'!$F$29)*(B100^2/2-(-B100)^3/(-6*'foglio deposito'!$F$29)),2*'foglio deposito'!$D$30/(-'foglio deposito'!$F$29)*('foglio deposito'!$F$29^2/2-(-'foglio deposito'!$F$29)^3/(-6*'foglio deposito'!$F$29))+'foglio deposito'!$D$30*(ABS(B100)-ABS('foglio deposito'!$F$29)))</f>
        <v>3.7015233333333328E-2</v>
      </c>
      <c r="E100" s="99">
        <f>IF(ABS(B100)&lt;ABS('foglio deposito'!$F$29),-2*'foglio deposito'!$D$30/(-'foglio deposito'!$F$29)*(-B100^3/3-(B100)^4/(-8*'foglio deposito'!$F$29)),-(2*'foglio deposito'!$D$30/(-'foglio deposito'!$F$29)*(ABS('foglio deposito'!$F$29)^3/3-ABS('foglio deposito'!$F$29)^4/(-8*'foglio deposito'!$F$29))+'foglio deposito'!$D$30/2*(ABS(B100)^2-ABS('foglio deposito'!$F$29)^2)))</f>
        <v>-7.1660692166666676E-5</v>
      </c>
      <c r="F100" s="100">
        <f>D100/('foglio deposito'!$F$22*'foglio deposito'!$L$34)</f>
        <v>0.74952380952380959</v>
      </c>
      <c r="G100" s="100">
        <f t="shared" si="5"/>
        <v>0.41155671763419999</v>
      </c>
      <c r="H100" s="103">
        <f t="shared" si="6"/>
        <v>-1.9359783989834822E-3</v>
      </c>
      <c r="I100" s="30">
        <f t="shared" si="7"/>
        <v>-5.8070652858185605</v>
      </c>
      <c r="J100" s="92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2:20" x14ac:dyDescent="0.25">
      <c r="B101" s="98">
        <f>'foglio deposito'!$L$34/'foglio deposito'!$B$141*'foglio deposito'!B136</f>
        <v>-3.3250000000000003E-3</v>
      </c>
      <c r="C101" s="30">
        <f>IF(B101&gt;'foglio deposito'!$L$33,2*'foglio deposito'!$F$22/'foglio deposito'!$L$33*(B101-B101^2/(2*'foglio deposito'!$L$33)),'foglio deposito'!$F$22)</f>
        <v>-14.109999999999998</v>
      </c>
      <c r="D101" s="99">
        <f>IF(B101&gt;'foglio deposito'!$F$29,2*'foglio deposito'!$D$30/(-'foglio deposito'!$F$29)*(B101^2/2-(-B101)^3/(-6*'foglio deposito'!$F$29)),2*'foglio deposito'!$D$30/(-'foglio deposito'!$F$29)*('foglio deposito'!$F$29^2/2-(-'foglio deposito'!$F$29)^3/(-6*'foglio deposito'!$F$29))+'foglio deposito'!$D$30*(ABS(B101)-ABS('foglio deposito'!$F$29)))</f>
        <v>3.7509083333333332E-2</v>
      </c>
      <c r="E101" s="99">
        <f>IF(ABS(B101)&lt;ABS('foglio deposito'!$F$29),-2*'foglio deposito'!$D$30/(-'foglio deposito'!$F$29)*(-B101^3/3-(B101)^4/(-8*'foglio deposito'!$F$29)),-(2*'foglio deposito'!$D$30/(-'foglio deposito'!$F$29)*(ABS('foglio deposito'!$F$29)^3/3-ABS('foglio deposito'!$F$29)^4/(-8*'foglio deposito'!$F$29))+'foglio deposito'!$D$30/2*(ABS(B101)^2-ABS('foglio deposito'!$F$29)^2)))</f>
        <v>-7.3294101041666672E-5</v>
      </c>
      <c r="F101" s="100">
        <f>D101/('foglio deposito'!$F$22*'foglio deposito'!$L$34)</f>
        <v>0.7595238095238096</v>
      </c>
      <c r="G101" s="100">
        <f t="shared" si="5"/>
        <v>0.41231998491526622</v>
      </c>
      <c r="H101" s="103">
        <f t="shared" si="6"/>
        <v>-1.95403605015674E-3</v>
      </c>
      <c r="I101" s="30">
        <f t="shared" si="7"/>
        <v>-5.8178349871544057</v>
      </c>
      <c r="J101" s="92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2:20" x14ac:dyDescent="0.25">
      <c r="B102" s="98">
        <f>'foglio deposito'!$L$34/'foglio deposito'!$B$141*'foglio deposito'!B137</f>
        <v>-3.3600000000000001E-3</v>
      </c>
      <c r="C102" s="30">
        <f>IF(B102&gt;'foglio deposito'!$L$33,2*'foglio deposito'!$F$22/'foglio deposito'!$L$33*(B102-B102^2/(2*'foglio deposito'!$L$33)),'foglio deposito'!$F$22)</f>
        <v>-14.109999999999998</v>
      </c>
      <c r="D102" s="99">
        <f>IF(B102&gt;'foglio deposito'!$F$29,2*'foglio deposito'!$D$30/(-'foglio deposito'!$F$29)*(B102^2/2-(-B102)^3/(-6*'foglio deposito'!$F$29)),2*'foglio deposito'!$D$30/(-'foglio deposito'!$F$29)*('foglio deposito'!$F$29^2/2-(-'foglio deposito'!$F$29)^3/(-6*'foglio deposito'!$F$29))+'foglio deposito'!$D$30*(ABS(B102)-ABS('foglio deposito'!$F$29)))</f>
        <v>3.8002933333333322E-2</v>
      </c>
      <c r="E102" s="99">
        <f>IF(ABS(B102)&lt;ABS('foglio deposito'!$F$29),-2*'foglio deposito'!$D$30/(-'foglio deposito'!$F$29)*(-B102^3/3-(B102)^4/(-8*'foglio deposito'!$F$29)),-(2*'foglio deposito'!$D$30/(-'foglio deposito'!$F$29)*(ABS('foglio deposito'!$F$29)^3/3-ABS('foglio deposito'!$F$29)^4/(-8*'foglio deposito'!$F$29))+'foglio deposito'!$D$30/2*(ABS(B102)^2-ABS('foglio deposito'!$F$29)^2)))</f>
        <v>-7.4944794666666664E-5</v>
      </c>
      <c r="F102" s="100">
        <f>D102/('foglio deposito'!$F$22*'foglio deposito'!$L$34)</f>
        <v>0.76952380952380939</v>
      </c>
      <c r="G102" s="100">
        <f t="shared" si="5"/>
        <v>0.41307166430928799</v>
      </c>
      <c r="H102" s="103">
        <f t="shared" si="6"/>
        <v>-1.9720792079207924E-3</v>
      </c>
      <c r="I102" s="30">
        <f t="shared" si="7"/>
        <v>-5.8284411834040526</v>
      </c>
      <c r="J102" s="92"/>
      <c r="K102" s="19"/>
      <c r="L102" s="19"/>
      <c r="M102" s="50"/>
      <c r="N102" s="19"/>
      <c r="O102" s="19"/>
      <c r="P102" s="19"/>
      <c r="Q102" s="19"/>
      <c r="R102" s="19"/>
      <c r="S102" s="19"/>
      <c r="T102" s="19"/>
    </row>
    <row r="103" spans="2:20" x14ac:dyDescent="0.25">
      <c r="B103" s="98">
        <f>'foglio deposito'!$L$34/'foglio deposito'!$B$141*'foglio deposito'!B138</f>
        <v>-3.3950000000000004E-3</v>
      </c>
      <c r="C103" s="30">
        <f>IF(B103&gt;'foglio deposito'!$L$33,2*'foglio deposito'!$F$22/'foglio deposito'!$L$33*(B103-B103^2/(2*'foglio deposito'!$L$33)),'foglio deposito'!$F$22)</f>
        <v>-14.109999999999998</v>
      </c>
      <c r="D103" s="99">
        <f>IF(B103&gt;'foglio deposito'!$F$29,2*'foglio deposito'!$D$30/(-'foglio deposito'!$F$29)*(B103^2/2-(-B103)^3/(-6*'foglio deposito'!$F$29)),2*'foglio deposito'!$D$30/(-'foglio deposito'!$F$29)*('foglio deposito'!$F$29^2/2-(-'foglio deposito'!$F$29)^3/(-6*'foglio deposito'!$F$29))+'foglio deposito'!$D$30*(ABS(B103)-ABS('foglio deposito'!$F$29)))</f>
        <v>3.8496783333333326E-2</v>
      </c>
      <c r="E103" s="99">
        <f>IF(ABS(B103)&lt;ABS('foglio deposito'!$F$29),-2*'foglio deposito'!$D$30/(-'foglio deposito'!$F$29)*(-B103^3/3-(B103)^4/(-8*'foglio deposito'!$F$29)),-(2*'foglio deposito'!$D$30/(-'foglio deposito'!$F$29)*(ABS('foglio deposito'!$F$29)^3/3-ABS('foglio deposito'!$F$29)^4/(-8*'foglio deposito'!$F$29))+'foglio deposito'!$D$30/2*(ABS(B103)^2-ABS('foglio deposito'!$F$29)^2)))</f>
        <v>-7.6612773041666681E-5</v>
      </c>
      <c r="F103" s="100">
        <f>D103/('foglio deposito'!$F$22*'foglio deposito'!$L$34)</f>
        <v>0.77952380952380951</v>
      </c>
      <c r="G103" s="100">
        <f t="shared" si="5"/>
        <v>0.41381194991016812</v>
      </c>
      <c r="H103" s="103">
        <f t="shared" si="6"/>
        <v>-1.9901084300549795E-3</v>
      </c>
      <c r="I103" s="30">
        <f t="shared" si="7"/>
        <v>-5.8388866132324715</v>
      </c>
      <c r="J103" s="92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2:20" x14ac:dyDescent="0.25">
      <c r="B104" s="98">
        <f>'foglio deposito'!$L$34/'foglio deposito'!$B$141*'foglio deposito'!B139</f>
        <v>-3.4300000000000003E-3</v>
      </c>
      <c r="C104" s="30">
        <f>IF(B104&gt;'foglio deposito'!$L$33,2*'foglio deposito'!$F$22/'foglio deposito'!$L$33*(B104-B104^2/(2*'foglio deposito'!$L$33)),'foglio deposito'!$F$22)</f>
        <v>-14.109999999999998</v>
      </c>
      <c r="D104" s="99">
        <f>IF(B104&gt;'foglio deposito'!$F$29,2*'foglio deposito'!$D$30/(-'foglio deposito'!$F$29)*(B104^2/2-(-B104)^3/(-6*'foglio deposito'!$F$29)),2*'foglio deposito'!$D$30/(-'foglio deposito'!$F$29)*('foglio deposito'!$F$29^2/2-(-'foglio deposito'!$F$29)^3/(-6*'foglio deposito'!$F$29))+'foglio deposito'!$D$30*(ABS(B104)-ABS('foglio deposito'!$F$29)))</f>
        <v>3.899063333333333E-2</v>
      </c>
      <c r="E104" s="99">
        <f>IF(ABS(B104)&lt;ABS('foglio deposito'!$F$29),-2*'foglio deposito'!$D$30/(-'foglio deposito'!$F$29)*(-B104^3/3-(B104)^4/(-8*'foglio deposito'!$F$29)),-(2*'foglio deposito'!$D$30/(-'foglio deposito'!$F$29)*(ABS('foglio deposito'!$F$29)^3/3-ABS('foglio deposito'!$F$29)^4/(-8*'foglio deposito'!$F$29))+'foglio deposito'!$D$30/2*(ABS(B104)^2-ABS('foglio deposito'!$F$29)^2)))</f>
        <v>-7.8298036166666668E-5</v>
      </c>
      <c r="F104" s="100">
        <f>D104/('foglio deposito'!$F$22*'foglio deposito'!$L$34)</f>
        <v>0.78952380952380963</v>
      </c>
      <c r="G104" s="100">
        <f t="shared" si="5"/>
        <v>0.41454103612839244</v>
      </c>
      <c r="H104" s="103">
        <f t="shared" si="6"/>
        <v>-2.0081242460796142E-3</v>
      </c>
      <c r="I104" s="30">
        <f t="shared" si="7"/>
        <v>-5.849174019771616</v>
      </c>
      <c r="J104" s="92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2:20" x14ac:dyDescent="0.25">
      <c r="B105" s="98">
        <f>'foglio deposito'!$L$34/'foglio deposito'!$B$141*'foglio deposito'!B140</f>
        <v>-3.4650000000000002E-3</v>
      </c>
      <c r="C105" s="30">
        <f>IF(B105&gt;'foglio deposito'!$L$33,2*'foglio deposito'!$F$22/'foglio deposito'!$L$33*(B105-B105^2/(2*'foglio deposito'!$L$33)),'foglio deposito'!$F$22)</f>
        <v>-14.109999999999998</v>
      </c>
      <c r="D105" s="99">
        <f>IF(B105&gt;'foglio deposito'!$F$29,2*'foglio deposito'!$D$30/(-'foglio deposito'!$F$29)*(B105^2/2-(-B105)^3/(-6*'foglio deposito'!$F$29)),2*'foglio deposito'!$D$30/(-'foglio deposito'!$F$29)*('foglio deposito'!$F$29^2/2-(-'foglio deposito'!$F$29)^3/(-6*'foglio deposito'!$F$29))+'foglio deposito'!$D$30*(ABS(B105)-ABS('foglio deposito'!$F$29)))</f>
        <v>3.9484483333333327E-2</v>
      </c>
      <c r="E105" s="99">
        <f>IF(ABS(B105)&lt;ABS('foglio deposito'!$F$29),-2*'foglio deposito'!$D$30/(-'foglio deposito'!$F$29)*(-B105^3/3-(B105)^4/(-8*'foglio deposito'!$F$29)),-(2*'foglio deposito'!$D$30/(-'foglio deposito'!$F$29)*(ABS('foglio deposito'!$F$29)^3/3-ABS('foglio deposito'!$F$29)^4/(-8*'foglio deposito'!$F$29))+'foglio deposito'!$D$30/2*(ABS(B105)^2-ABS('foglio deposito'!$F$29)^2)))</f>
        <v>-8.000058404166668E-5</v>
      </c>
      <c r="F105" s="100">
        <f>D105/('foglio deposito'!$F$22*'foglio deposito'!$L$34)</f>
        <v>0.79952380952380953</v>
      </c>
      <c r="G105" s="100">
        <f t="shared" si="5"/>
        <v>0.4152591171650134</v>
      </c>
      <c r="H105" s="103">
        <f t="shared" si="6"/>
        <v>-2.0261271590232286E-3</v>
      </c>
      <c r="I105" s="30">
        <f t="shared" si="7"/>
        <v>-5.8593061431983378</v>
      </c>
      <c r="J105" s="92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2:20" x14ac:dyDescent="0.25">
      <c r="B106" s="98">
        <f>'foglio deposito'!$L$34/'foglio deposito'!$B$141*'foglio deposito'!B141</f>
        <v>-3.5000000000000005E-3</v>
      </c>
      <c r="C106" s="30">
        <f>IF(B106&gt;'foglio deposito'!$L$33,2*'foglio deposito'!$F$22/'foglio deposito'!$L$33*(B106-B106^2/(2*'foglio deposito'!$L$33)),'foglio deposito'!$F$22)</f>
        <v>-14.109999999999998</v>
      </c>
      <c r="D106" s="99">
        <f>IF(B106&gt;'foglio deposito'!$F$29,2*'foglio deposito'!$D$30/(-'foglio deposito'!$F$29)*(B106^2/2-(-B106)^3/(-6*'foglio deposito'!$F$29)),2*'foglio deposito'!$D$30/(-'foglio deposito'!$F$29)*('foglio deposito'!$F$29^2/2-(-'foglio deposito'!$F$29)^3/(-6*'foglio deposito'!$F$29))+'foglio deposito'!$D$30*(ABS(B106)-ABS('foglio deposito'!$F$29)))</f>
        <v>3.9978333333333331E-2</v>
      </c>
      <c r="E106" s="99">
        <f>IF(ABS(B106)&lt;ABS('foglio deposito'!$F$29),-2*'foglio deposito'!$D$30/(-'foglio deposito'!$F$29)*(-B106^3/3-(B106)^4/(-8*'foglio deposito'!$F$29)),-(2*'foglio deposito'!$D$30/(-'foglio deposito'!$F$29)*(ABS('foglio deposito'!$F$29)^3/3-ABS('foglio deposito'!$F$29)^4/(-8*'foglio deposito'!$F$29))+'foglio deposito'!$D$30/2*(ABS(B106)^2-ABS('foglio deposito'!$F$29)^2)))</f>
        <v>-8.1720416666666688E-5</v>
      </c>
      <c r="F106" s="100">
        <f>D106/('foglio deposito'!$F$22*'foglio deposito'!$L$34)</f>
        <v>0.80952380952380965</v>
      </c>
      <c r="G106" s="100">
        <f t="shared" si="5"/>
        <v>0.4159663865546217</v>
      </c>
      <c r="H106" s="103">
        <f t="shared" si="6"/>
        <v>-2.0441176470588243E-3</v>
      </c>
      <c r="I106" s="30">
        <f t="shared" si="7"/>
        <v>-5.8692857142857111</v>
      </c>
      <c r="J106" s="92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2:20" x14ac:dyDescent="0.2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</sheetData>
  <sheetProtection password="948B" sheet="1" objects="1" scenarios="1" selectLockedCells="1" selectUnlockedCells="1"/>
  <mergeCells count="5">
    <mergeCell ref="R14:S16"/>
    <mergeCell ref="T14:T16"/>
    <mergeCell ref="H2:K2"/>
    <mergeCell ref="C4:H4"/>
    <mergeCell ref="B2:G2"/>
  </mergeCells>
  <dataValidations count="1">
    <dataValidation type="list" allowBlank="1" showInputMessage="1" showErrorMessage="1" sqref="T14">
      <formula1>sn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7"/>
  <sheetViews>
    <sheetView showGridLines="0" showRowColHeaders="0" zoomScale="90" zoomScaleNormal="90" workbookViewId="0">
      <selection activeCell="R28" sqref="R28"/>
    </sheetView>
  </sheetViews>
  <sheetFormatPr defaultRowHeight="15" x14ac:dyDescent="0.25"/>
  <cols>
    <col min="1" max="1" width="2.42578125" customWidth="1"/>
    <col min="15" max="15" width="11.85546875" customWidth="1"/>
    <col min="17" max="17" width="17.28515625" customWidth="1"/>
  </cols>
  <sheetData>
    <row r="2" spans="3:17" ht="15.75" x14ac:dyDescent="0.25">
      <c r="C2" s="58" t="s">
        <v>91</v>
      </c>
      <c r="E2" s="20"/>
      <c r="F2" s="20"/>
      <c r="G2" s="20"/>
      <c r="H2" s="20"/>
      <c r="I2" s="20"/>
    </row>
    <row r="6" spans="3:17" x14ac:dyDescent="0.25">
      <c r="M6" s="19" t="s">
        <v>44</v>
      </c>
      <c r="N6" s="19"/>
      <c r="O6" s="19"/>
      <c r="P6" s="19"/>
      <c r="Q6" s="32" t="str">
        <f>DATI!F23</f>
        <v>Fe B450C</v>
      </c>
    </row>
    <row r="7" spans="3:17" x14ac:dyDescent="0.25">
      <c r="M7" s="19"/>
      <c r="N7" s="19"/>
      <c r="O7" s="19"/>
      <c r="P7" s="19"/>
      <c r="Q7" s="59"/>
    </row>
    <row r="8" spans="3:17" x14ac:dyDescent="0.25">
      <c r="M8" s="19" t="s">
        <v>52</v>
      </c>
      <c r="N8" s="19"/>
      <c r="O8" s="19"/>
      <c r="P8" s="65" t="s">
        <v>57</v>
      </c>
      <c r="Q8" s="34">
        <f>DATI!F25</f>
        <v>540</v>
      </c>
    </row>
    <row r="9" spans="3:17" x14ac:dyDescent="0.25">
      <c r="M9" s="19" t="s">
        <v>51</v>
      </c>
      <c r="N9" s="16"/>
      <c r="O9" s="27"/>
      <c r="P9" s="65" t="s">
        <v>58</v>
      </c>
      <c r="Q9" s="34">
        <f>DATI!F26</f>
        <v>450</v>
      </c>
    </row>
    <row r="10" spans="3:17" x14ac:dyDescent="0.25">
      <c r="M10" s="19" t="s">
        <v>56</v>
      </c>
      <c r="N10" s="19"/>
      <c r="O10" s="19"/>
      <c r="P10" s="65" t="s">
        <v>59</v>
      </c>
      <c r="Q10" s="34">
        <f>DATI!F27</f>
        <v>391.304347826087</v>
      </c>
    </row>
    <row r="11" spans="3:17" x14ac:dyDescent="0.25">
      <c r="M11" s="19" t="s">
        <v>39</v>
      </c>
      <c r="N11" s="19"/>
      <c r="O11" s="19"/>
      <c r="P11" s="65" t="s">
        <v>60</v>
      </c>
      <c r="Q11" s="26">
        <f>DATI!F28</f>
        <v>206000</v>
      </c>
    </row>
    <row r="12" spans="3:17" x14ac:dyDescent="0.25">
      <c r="M12" s="19"/>
      <c r="N12" s="19"/>
      <c r="O12" s="19"/>
      <c r="P12" s="19"/>
      <c r="Q12" s="19"/>
    </row>
    <row r="13" spans="3:17" ht="15.75" x14ac:dyDescent="0.25">
      <c r="M13" s="19" t="s">
        <v>47</v>
      </c>
      <c r="N13" s="19"/>
      <c r="O13" s="19"/>
      <c r="P13" s="8" t="s">
        <v>8</v>
      </c>
      <c r="Q13" s="69">
        <f>DATI!F40</f>
        <v>1.87</v>
      </c>
    </row>
    <row r="14" spans="3:17" ht="15.75" x14ac:dyDescent="0.25">
      <c r="M14" s="19" t="s">
        <v>82</v>
      </c>
      <c r="P14" s="8" t="s">
        <v>83</v>
      </c>
      <c r="Q14" s="69">
        <f>Q15/0.9</f>
        <v>75</v>
      </c>
    </row>
    <row r="15" spans="3:17" ht="15.75" x14ac:dyDescent="0.25">
      <c r="M15" s="19" t="s">
        <v>81</v>
      </c>
      <c r="N15" s="19"/>
      <c r="O15" s="19"/>
      <c r="P15" s="8" t="s">
        <v>12</v>
      </c>
      <c r="Q15" s="69">
        <f>DATI!F41</f>
        <v>67.5</v>
      </c>
    </row>
    <row r="17" spans="13:17" x14ac:dyDescent="0.25">
      <c r="M17" s="19" t="s">
        <v>79</v>
      </c>
      <c r="P17" s="3" t="s">
        <v>80</v>
      </c>
      <c r="Q17" s="97">
        <f>Q8/Q9</f>
        <v>1.2</v>
      </c>
    </row>
  </sheetData>
  <sheetProtection password="948B" sheet="1" objects="1" scenarios="1" selectLockedCells="1" selectUn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41"/>
  <sheetViews>
    <sheetView topLeftCell="A25" workbookViewId="0">
      <selection activeCell="G57" sqref="G57"/>
    </sheetView>
  </sheetViews>
  <sheetFormatPr defaultRowHeight="15" x14ac:dyDescent="0.25"/>
  <cols>
    <col min="3" max="3" width="39.5703125" customWidth="1"/>
    <col min="4" max="4" width="10.140625" customWidth="1"/>
    <col min="5" max="5" width="11" bestFit="1" customWidth="1"/>
    <col min="6" max="6" width="16.7109375" customWidth="1"/>
    <col min="7" max="7" width="11.5703125" customWidth="1"/>
    <col min="8" max="8" width="15.42578125" customWidth="1"/>
    <col min="9" max="9" width="11.5703125" customWidth="1"/>
    <col min="11" max="11" width="12.28515625" customWidth="1"/>
    <col min="12" max="12" width="13.42578125" customWidth="1"/>
    <col min="13" max="13" width="15.42578125" customWidth="1"/>
    <col min="15" max="15" width="11" customWidth="1"/>
    <col min="16" max="16" width="18.85546875" customWidth="1"/>
    <col min="19" max="19" width="10.5703125" bestFit="1" customWidth="1"/>
    <col min="20" max="20" width="11" bestFit="1" customWidth="1"/>
    <col min="21" max="21" width="12" bestFit="1" customWidth="1"/>
    <col min="22" max="22" width="13.5703125" customWidth="1"/>
    <col min="23" max="23" width="11" bestFit="1" customWidth="1"/>
    <col min="24" max="24" width="11.140625" customWidth="1"/>
  </cols>
  <sheetData>
    <row r="2" spans="4:23" x14ac:dyDescent="0.25">
      <c r="P2" s="88"/>
      <c r="Q2" s="12"/>
      <c r="R2" s="11"/>
      <c r="S2" s="11"/>
      <c r="T2" s="11"/>
      <c r="U2" s="11"/>
      <c r="V2" s="11"/>
      <c r="W2" s="11"/>
    </row>
    <row r="3" spans="4:23" x14ac:dyDescent="0.25">
      <c r="O3" s="11"/>
      <c r="P3" s="89"/>
      <c r="Q3" s="90"/>
      <c r="R3" s="11"/>
      <c r="S3" s="11"/>
      <c r="T3" s="11"/>
      <c r="U3" s="11"/>
      <c r="V3" s="11"/>
      <c r="W3" s="11"/>
    </row>
    <row r="4" spans="4:23" x14ac:dyDescent="0.25">
      <c r="D4" s="17" t="s">
        <v>10</v>
      </c>
      <c r="E4" s="14">
        <f>DATI!F35*10^-3</f>
        <v>-2E-3</v>
      </c>
      <c r="G4" t="s">
        <v>18</v>
      </c>
      <c r="H4" s="3">
        <f>10</f>
        <v>10</v>
      </c>
      <c r="J4" t="s">
        <v>19</v>
      </c>
      <c r="K4" s="3">
        <v>450</v>
      </c>
      <c r="L4">
        <v>540</v>
      </c>
      <c r="O4" s="11"/>
      <c r="P4" s="89"/>
      <c r="Q4" s="90"/>
      <c r="R4" s="12"/>
      <c r="S4" s="91"/>
      <c r="T4" s="11"/>
      <c r="U4" s="11"/>
      <c r="V4" s="11"/>
      <c r="W4" s="11"/>
    </row>
    <row r="5" spans="4:23" ht="15.75" x14ac:dyDescent="0.25">
      <c r="D5" s="18" t="s">
        <v>9</v>
      </c>
      <c r="E5" s="14">
        <f>'foglio deposito'!D11*10^-3</f>
        <v>-3.5000000000000001E-3</v>
      </c>
      <c r="G5" t="s">
        <v>20</v>
      </c>
      <c r="H5" s="3">
        <v>15</v>
      </c>
      <c r="J5" t="s">
        <v>21</v>
      </c>
      <c r="K5" s="3">
        <v>430</v>
      </c>
      <c r="L5">
        <v>540</v>
      </c>
      <c r="O5" s="11"/>
      <c r="P5" s="89"/>
      <c r="Q5" s="90"/>
      <c r="R5" s="12"/>
      <c r="S5" s="91"/>
      <c r="T5" s="11"/>
      <c r="U5" s="11"/>
      <c r="V5" s="11"/>
      <c r="W5" s="11"/>
    </row>
    <row r="6" spans="4:23" ht="15.75" x14ac:dyDescent="0.25">
      <c r="D6" s="18" t="s">
        <v>8</v>
      </c>
      <c r="E6" s="14">
        <f>DATI!F40*10^-3</f>
        <v>1.8700000000000001E-3</v>
      </c>
      <c r="G6" t="s">
        <v>22</v>
      </c>
      <c r="H6" s="3">
        <v>20</v>
      </c>
      <c r="O6" s="11"/>
      <c r="P6" s="89"/>
      <c r="Q6" s="90"/>
      <c r="R6" s="12"/>
      <c r="S6" s="91"/>
      <c r="T6" s="11"/>
      <c r="U6" s="11"/>
      <c r="V6" s="11"/>
      <c r="W6" s="11"/>
    </row>
    <row r="7" spans="4:23" ht="15.75" x14ac:dyDescent="0.25">
      <c r="D7" s="18" t="s">
        <v>12</v>
      </c>
      <c r="E7" s="14">
        <f>DATI!F41*10^-3</f>
        <v>6.7500000000000004E-2</v>
      </c>
      <c r="G7" t="s">
        <v>23</v>
      </c>
      <c r="H7" s="3">
        <v>25</v>
      </c>
      <c r="P7" s="89"/>
      <c r="Q7" s="90"/>
      <c r="R7" s="12"/>
      <c r="S7" s="91"/>
      <c r="T7" s="11"/>
      <c r="U7" s="11"/>
      <c r="V7" s="11"/>
      <c r="W7" s="11"/>
    </row>
    <row r="8" spans="4:23" x14ac:dyDescent="0.25">
      <c r="G8" t="s">
        <v>24</v>
      </c>
      <c r="H8" s="3">
        <v>30</v>
      </c>
      <c r="P8" s="89"/>
      <c r="Q8" s="90"/>
      <c r="R8" s="12"/>
      <c r="S8" s="91"/>
      <c r="T8" s="11"/>
      <c r="U8" s="11"/>
      <c r="V8" s="11"/>
      <c r="W8" s="11"/>
    </row>
    <row r="9" spans="4:23" x14ac:dyDescent="0.25">
      <c r="G9" t="s">
        <v>25</v>
      </c>
      <c r="H9" s="3">
        <v>35</v>
      </c>
      <c r="P9" s="89"/>
      <c r="Q9" s="90"/>
      <c r="R9" s="12"/>
      <c r="S9" s="91"/>
      <c r="T9" s="11"/>
      <c r="U9" s="11"/>
      <c r="V9" s="11"/>
      <c r="W9" s="11"/>
    </row>
    <row r="10" spans="4:23" ht="15.75" thickBot="1" x14ac:dyDescent="0.3">
      <c r="G10" t="s">
        <v>26</v>
      </c>
      <c r="H10" s="3">
        <v>40</v>
      </c>
      <c r="P10" s="89"/>
      <c r="Q10" s="90"/>
      <c r="R10" s="12"/>
      <c r="S10" s="91"/>
      <c r="T10" s="11"/>
      <c r="U10" s="11"/>
      <c r="V10" s="11"/>
      <c r="W10" s="11"/>
    </row>
    <row r="11" spans="4:23" ht="17.25" thickTop="1" thickBot="1" x14ac:dyDescent="0.3">
      <c r="D11" s="38">
        <f>IF('foglio deposito'!D33="si",#REF!+DATI!F36,DATI!F36)</f>
        <v>-3.5</v>
      </c>
      <c r="G11" t="s">
        <v>27</v>
      </c>
      <c r="H11" s="3">
        <v>45</v>
      </c>
      <c r="P11" s="89"/>
      <c r="Q11" s="90"/>
      <c r="R11" s="12"/>
      <c r="S11" s="91"/>
      <c r="T11" s="11"/>
      <c r="U11" s="11"/>
      <c r="V11" s="11"/>
      <c r="W11" s="11"/>
    </row>
    <row r="12" spans="4:23" ht="16.5" thickTop="1" thickBot="1" x14ac:dyDescent="0.3">
      <c r="G12" t="s">
        <v>28</v>
      </c>
      <c r="H12" s="3">
        <v>50</v>
      </c>
      <c r="J12" s="42" t="s">
        <v>50</v>
      </c>
      <c r="K12" s="41">
        <f>DATI!F26</f>
        <v>450</v>
      </c>
      <c r="L12" s="12" t="s">
        <v>49</v>
      </c>
      <c r="P12" s="89"/>
      <c r="Q12" s="90"/>
      <c r="R12" s="12"/>
      <c r="S12" s="91"/>
      <c r="T12" s="11"/>
      <c r="U12" s="11"/>
      <c r="V12" s="11"/>
      <c r="W12" s="11"/>
    </row>
    <row r="13" spans="4:23" ht="15.75" thickTop="1" x14ac:dyDescent="0.25">
      <c r="D13">
        <f>DATI!F36</f>
        <v>-3.5</v>
      </c>
      <c r="G13" t="s">
        <v>29</v>
      </c>
      <c r="H13" s="3">
        <v>55</v>
      </c>
      <c r="P13" s="89"/>
      <c r="Q13" s="90"/>
      <c r="R13" s="12"/>
      <c r="S13" s="91"/>
      <c r="T13" s="11"/>
      <c r="U13" s="11"/>
      <c r="V13" s="11"/>
      <c r="W13" s="11"/>
    </row>
    <row r="14" spans="4:23" x14ac:dyDescent="0.25">
      <c r="G14" t="s">
        <v>30</v>
      </c>
      <c r="H14" s="3">
        <v>60</v>
      </c>
      <c r="P14" s="89"/>
      <c r="Q14" s="90"/>
      <c r="R14" s="12"/>
      <c r="S14" s="91"/>
      <c r="T14" s="11"/>
      <c r="U14" s="11"/>
      <c r="V14" s="11"/>
      <c r="W14" s="11"/>
    </row>
    <row r="15" spans="4:23" x14ac:dyDescent="0.25">
      <c r="P15" s="89"/>
      <c r="Q15" s="90"/>
      <c r="R15" s="12"/>
      <c r="S15" s="91"/>
      <c r="T15" s="11"/>
      <c r="U15" s="11"/>
      <c r="V15" s="11"/>
      <c r="W15" s="11"/>
    </row>
    <row r="16" spans="4:23" x14ac:dyDescent="0.25">
      <c r="P16" s="89"/>
      <c r="Q16" s="90"/>
      <c r="R16" s="12"/>
      <c r="S16" s="91"/>
      <c r="T16" s="11"/>
      <c r="U16" s="11"/>
      <c r="V16" s="11"/>
      <c r="W16" s="11"/>
    </row>
    <row r="20" spans="2:18" x14ac:dyDescent="0.25">
      <c r="B20" s="124" t="s">
        <v>55</v>
      </c>
      <c r="C20" s="124"/>
      <c r="D20" s="62"/>
      <c r="E20" s="124" t="s">
        <v>11</v>
      </c>
      <c r="F20" s="124"/>
      <c r="G20" s="21" t="s">
        <v>6</v>
      </c>
      <c r="H20" s="29">
        <f>DATI!F14</f>
        <v>16.599999999999998</v>
      </c>
    </row>
    <row r="21" spans="2:18" ht="15.75" x14ac:dyDescent="0.25">
      <c r="B21" s="71"/>
      <c r="C21" s="71"/>
      <c r="D21" s="62"/>
      <c r="E21" s="71"/>
      <c r="F21" s="71"/>
      <c r="G21" s="21" t="s">
        <v>5</v>
      </c>
      <c r="H21" s="30">
        <f>DATI!F27</f>
        <v>391.304347826087</v>
      </c>
      <c r="I21" s="64">
        <f>-I25</f>
        <v>-67.5</v>
      </c>
      <c r="J21" s="61">
        <f>-J25</f>
        <v>-391.304347826087</v>
      </c>
      <c r="L21" s="64">
        <f>I21</f>
        <v>-67.5</v>
      </c>
      <c r="M21" s="61">
        <f>J21*'LEGAME COSTITUTIVO ACCIAIO'!Q17</f>
        <v>-469.56521739130437</v>
      </c>
      <c r="P21" s="52" t="s">
        <v>5</v>
      </c>
      <c r="Q21" s="55">
        <f>DATI!F27</f>
        <v>391.304347826087</v>
      </c>
      <c r="R21" s="52" t="s">
        <v>54</v>
      </c>
    </row>
    <row r="22" spans="2:18" ht="15.75" x14ac:dyDescent="0.25">
      <c r="B22" s="77" t="s">
        <v>10</v>
      </c>
      <c r="C22" s="78">
        <f>IF('foglio deposito'!D33="si",#REF!,DATI!F35)</f>
        <v>-2</v>
      </c>
      <c r="D22" s="5"/>
      <c r="E22" s="72" t="s">
        <v>6</v>
      </c>
      <c r="F22" s="73">
        <f>IF('LEGAME COSTITUTIVO CALCESTRUZZO'!T14="si",'LEGAME COSTITUTIVO CALCESTRUZZO'!O34*IF('foglio deposito'!D33="si",-#REF!/1.5,-'foglio deposito'!H20),IF('foglio deposito'!D33="si",-#REF!/1.5,-'foglio deposito'!H20))</f>
        <v>-14.109999999999998</v>
      </c>
      <c r="G22" s="22" t="s">
        <v>4</v>
      </c>
      <c r="H22" s="31">
        <f>DATI!F28</f>
        <v>206000</v>
      </c>
      <c r="I22" s="64">
        <f>-'LEGAME COSTITUTIVO ACCIAIO'!Q13</f>
        <v>-1.87</v>
      </c>
      <c r="J22" s="61">
        <f>-J25</f>
        <v>-391.304347826087</v>
      </c>
      <c r="L22" s="64">
        <f t="shared" ref="L22:L25" si="0">I22</f>
        <v>-1.87</v>
      </c>
      <c r="M22" s="61">
        <f t="shared" ref="M22:M24" si="1">J22</f>
        <v>-391.304347826087</v>
      </c>
      <c r="P22" s="54"/>
      <c r="Q22" s="53"/>
      <c r="R22" s="54"/>
    </row>
    <row r="23" spans="2:18" ht="15.75" x14ac:dyDescent="0.25">
      <c r="B23" s="79" t="s">
        <v>9</v>
      </c>
      <c r="C23" s="78">
        <f>'foglio deposito'!D11</f>
        <v>-3.5</v>
      </c>
      <c r="D23" s="7"/>
      <c r="E23" s="74" t="s">
        <v>3</v>
      </c>
      <c r="F23" s="75">
        <f>'foglio deposito'!H23</f>
        <v>0.85</v>
      </c>
      <c r="G23" s="9" t="s">
        <v>3</v>
      </c>
      <c r="H23" s="32">
        <f>DATI!F9</f>
        <v>0.85</v>
      </c>
      <c r="I23" s="60">
        <v>0</v>
      </c>
      <c r="J23" s="61">
        <v>0</v>
      </c>
      <c r="L23" s="64">
        <f t="shared" si="0"/>
        <v>0</v>
      </c>
      <c r="M23" s="61">
        <f t="shared" si="1"/>
        <v>0</v>
      </c>
      <c r="P23" s="52" t="s">
        <v>4</v>
      </c>
      <c r="Q23" s="56">
        <f>DATI!F28</f>
        <v>206000</v>
      </c>
      <c r="R23" s="52" t="s">
        <v>54</v>
      </c>
    </row>
    <row r="24" spans="2:18" ht="15.75" x14ac:dyDescent="0.25">
      <c r="D24" s="7"/>
      <c r="E24" s="74" t="s">
        <v>13</v>
      </c>
      <c r="F24" s="73">
        <f>'LEGAME COSTITUTIVO CALCESTRUZZO'!O30</f>
        <v>1.1937890758112488</v>
      </c>
      <c r="G24" s="9" t="s">
        <v>13</v>
      </c>
      <c r="H24" s="29">
        <f>DATI!F17</f>
        <v>1.1937890758112488</v>
      </c>
      <c r="I24" s="60">
        <v>1.87</v>
      </c>
      <c r="J24" s="61">
        <f>'LEGAME COSTITUTIVO ACCIAIO'!Q10</f>
        <v>391.304347826087</v>
      </c>
      <c r="L24" s="64">
        <f t="shared" si="0"/>
        <v>1.87</v>
      </c>
      <c r="M24" s="61">
        <f t="shared" si="1"/>
        <v>391.304347826087</v>
      </c>
    </row>
    <row r="25" spans="2:18" ht="15.75" x14ac:dyDescent="0.25">
      <c r="B25" s="8"/>
      <c r="C25" s="3"/>
      <c r="D25" s="7"/>
      <c r="E25" s="74" t="s">
        <v>14</v>
      </c>
      <c r="F25" s="76">
        <f>'LEGAME COSTITUTIVO CALCESTRUZZO'!O32</f>
        <v>31447.161439943484</v>
      </c>
      <c r="G25" s="9" t="s">
        <v>14</v>
      </c>
      <c r="H25" s="33">
        <f>DATI!F19</f>
        <v>31447.161439943484</v>
      </c>
      <c r="I25" s="64">
        <f>'LEGAME COSTITUTIVO ACCIAIO'!Q15</f>
        <v>67.5</v>
      </c>
      <c r="J25" s="61">
        <f>J24</f>
        <v>391.304347826087</v>
      </c>
      <c r="L25" s="64">
        <f t="shared" si="0"/>
        <v>67.5</v>
      </c>
      <c r="M25" s="61">
        <f>J25*'LEGAME COSTITUTIVO ACCIAIO'!Q17</f>
        <v>469.56521739130437</v>
      </c>
      <c r="O25" s="8" t="s">
        <v>15</v>
      </c>
      <c r="P25" s="6">
        <f>R25*10^3</f>
        <v>3.7961743481716111E-2</v>
      </c>
      <c r="Q25" s="7" t="s">
        <v>7</v>
      </c>
      <c r="R25">
        <f>'foglio deposito'!H24/'foglio deposito'!H25</f>
        <v>3.7961743481716111E-5</v>
      </c>
    </row>
    <row r="29" spans="2:18" x14ac:dyDescent="0.25">
      <c r="C29" s="17" t="s">
        <v>10</v>
      </c>
      <c r="D29" s="85">
        <f>'foglio deposito'!C22</f>
        <v>-2</v>
      </c>
      <c r="E29" s="86" t="s">
        <v>7</v>
      </c>
      <c r="F29" s="14">
        <f>D29*10^-3</f>
        <v>-2E-3</v>
      </c>
      <c r="I29" t="s">
        <v>16</v>
      </c>
      <c r="J29" s="19"/>
      <c r="K29" s="23"/>
    </row>
    <row r="30" spans="2:18" x14ac:dyDescent="0.25">
      <c r="C30" s="15" t="s">
        <v>6</v>
      </c>
      <c r="D30" s="15">
        <f>-'foglio deposito'!F22</f>
        <v>14.109999999999998</v>
      </c>
      <c r="E30" s="87"/>
      <c r="F30" s="14"/>
      <c r="I30" t="s">
        <v>17</v>
      </c>
      <c r="J30" s="19"/>
      <c r="K30" s="23"/>
    </row>
    <row r="32" spans="2:18" ht="15.75" thickBot="1" x14ac:dyDescent="0.3"/>
    <row r="33" spans="2:12" ht="15.75" thickTop="1" x14ac:dyDescent="0.25">
      <c r="B33" s="112" t="s">
        <v>87</v>
      </c>
      <c r="C33" s="113"/>
      <c r="D33" s="118" t="s">
        <v>17</v>
      </c>
      <c r="I33" s="13">
        <v>0</v>
      </c>
      <c r="J33">
        <v>0</v>
      </c>
      <c r="L33">
        <f>'foglio deposito'!C22*10^-3</f>
        <v>-2E-3</v>
      </c>
    </row>
    <row r="34" spans="2:12" x14ac:dyDescent="0.25">
      <c r="B34" s="114"/>
      <c r="C34" s="115"/>
      <c r="D34" s="119"/>
      <c r="I34" s="13" t="e">
        <f>DATI!#REF!/1000</f>
        <v>#REF!</v>
      </c>
      <c r="J34">
        <f>'foglio deposito'!F24</f>
        <v>1.1937890758112488</v>
      </c>
      <c r="L34">
        <f>'foglio deposito'!C23*10^-3</f>
        <v>-3.5000000000000001E-3</v>
      </c>
    </row>
    <row r="35" spans="2:12" ht="15.75" thickBot="1" x14ac:dyDescent="0.3">
      <c r="B35" s="116"/>
      <c r="C35" s="117"/>
      <c r="D35" s="120"/>
      <c r="L35">
        <f>'foglio deposito'!F24/'foglio deposito'!F25</f>
        <v>3.7961743481716111E-5</v>
      </c>
    </row>
    <row r="36" spans="2:12" ht="15.75" thickTop="1" x14ac:dyDescent="0.25"/>
    <row r="40" spans="2:12" x14ac:dyDescent="0.25">
      <c r="B40" s="43" t="s">
        <v>2</v>
      </c>
    </row>
    <row r="41" spans="2:12" x14ac:dyDescent="0.25">
      <c r="B41" s="32">
        <v>0</v>
      </c>
    </row>
    <row r="42" spans="2:12" x14ac:dyDescent="0.25">
      <c r="B42" s="32">
        <f t="shared" ref="B42:B73" si="2">B41+1</f>
        <v>1</v>
      </c>
    </row>
    <row r="43" spans="2:12" x14ac:dyDescent="0.25">
      <c r="B43" s="32">
        <f t="shared" si="2"/>
        <v>2</v>
      </c>
    </row>
    <row r="44" spans="2:12" x14ac:dyDescent="0.25">
      <c r="B44" s="32">
        <f t="shared" si="2"/>
        <v>3</v>
      </c>
    </row>
    <row r="45" spans="2:12" x14ac:dyDescent="0.25">
      <c r="B45" s="32">
        <f t="shared" si="2"/>
        <v>4</v>
      </c>
    </row>
    <row r="46" spans="2:12" x14ac:dyDescent="0.25">
      <c r="B46" s="32">
        <f t="shared" si="2"/>
        <v>5</v>
      </c>
    </row>
    <row r="47" spans="2:12" x14ac:dyDescent="0.25">
      <c r="B47" s="32">
        <f t="shared" si="2"/>
        <v>6</v>
      </c>
    </row>
    <row r="48" spans="2:12" x14ac:dyDescent="0.25">
      <c r="B48" s="32">
        <f t="shared" si="2"/>
        <v>7</v>
      </c>
    </row>
    <row r="49" spans="2:2" x14ac:dyDescent="0.25">
      <c r="B49" s="32">
        <f t="shared" si="2"/>
        <v>8</v>
      </c>
    </row>
    <row r="50" spans="2:2" x14ac:dyDescent="0.25">
      <c r="B50" s="32">
        <f t="shared" si="2"/>
        <v>9</v>
      </c>
    </row>
    <row r="51" spans="2:2" x14ac:dyDescent="0.25">
      <c r="B51" s="32">
        <f t="shared" si="2"/>
        <v>10</v>
      </c>
    </row>
    <row r="52" spans="2:2" x14ac:dyDescent="0.25">
      <c r="B52" s="32">
        <f t="shared" si="2"/>
        <v>11</v>
      </c>
    </row>
    <row r="53" spans="2:2" x14ac:dyDescent="0.25">
      <c r="B53" s="32">
        <f t="shared" si="2"/>
        <v>12</v>
      </c>
    </row>
    <row r="54" spans="2:2" x14ac:dyDescent="0.25">
      <c r="B54" s="32">
        <f t="shared" si="2"/>
        <v>13</v>
      </c>
    </row>
    <row r="55" spans="2:2" x14ac:dyDescent="0.25">
      <c r="B55" s="32">
        <f t="shared" si="2"/>
        <v>14</v>
      </c>
    </row>
    <row r="56" spans="2:2" x14ac:dyDescent="0.25">
      <c r="B56" s="32">
        <f t="shared" si="2"/>
        <v>15</v>
      </c>
    </row>
    <row r="57" spans="2:2" x14ac:dyDescent="0.25">
      <c r="B57" s="32">
        <f t="shared" si="2"/>
        <v>16</v>
      </c>
    </row>
    <row r="58" spans="2:2" x14ac:dyDescent="0.25">
      <c r="B58" s="32">
        <f t="shared" si="2"/>
        <v>17</v>
      </c>
    </row>
    <row r="59" spans="2:2" x14ac:dyDescent="0.25">
      <c r="B59" s="32">
        <f t="shared" si="2"/>
        <v>18</v>
      </c>
    </row>
    <row r="60" spans="2:2" x14ac:dyDescent="0.25">
      <c r="B60" s="32">
        <f t="shared" si="2"/>
        <v>19</v>
      </c>
    </row>
    <row r="61" spans="2:2" x14ac:dyDescent="0.25">
      <c r="B61" s="32">
        <f t="shared" si="2"/>
        <v>20</v>
      </c>
    </row>
    <row r="62" spans="2:2" x14ac:dyDescent="0.25">
      <c r="B62" s="32">
        <f t="shared" si="2"/>
        <v>21</v>
      </c>
    </row>
    <row r="63" spans="2:2" x14ac:dyDescent="0.25">
      <c r="B63" s="32">
        <f t="shared" si="2"/>
        <v>22</v>
      </c>
    </row>
    <row r="64" spans="2:2" x14ac:dyDescent="0.25">
      <c r="B64" s="32">
        <f t="shared" si="2"/>
        <v>23</v>
      </c>
    </row>
    <row r="65" spans="2:2" x14ac:dyDescent="0.25">
      <c r="B65" s="32">
        <f t="shared" si="2"/>
        <v>24</v>
      </c>
    </row>
    <row r="66" spans="2:2" x14ac:dyDescent="0.25">
      <c r="B66" s="32">
        <f t="shared" si="2"/>
        <v>25</v>
      </c>
    </row>
    <row r="67" spans="2:2" x14ac:dyDescent="0.25">
      <c r="B67" s="32">
        <f t="shared" si="2"/>
        <v>26</v>
      </c>
    </row>
    <row r="68" spans="2:2" x14ac:dyDescent="0.25">
      <c r="B68" s="32">
        <f t="shared" si="2"/>
        <v>27</v>
      </c>
    </row>
    <row r="69" spans="2:2" x14ac:dyDescent="0.25">
      <c r="B69" s="32">
        <f t="shared" si="2"/>
        <v>28</v>
      </c>
    </row>
    <row r="70" spans="2:2" x14ac:dyDescent="0.25">
      <c r="B70" s="32">
        <f t="shared" si="2"/>
        <v>29</v>
      </c>
    </row>
    <row r="71" spans="2:2" x14ac:dyDescent="0.25">
      <c r="B71" s="32">
        <f t="shared" si="2"/>
        <v>30</v>
      </c>
    </row>
    <row r="72" spans="2:2" x14ac:dyDescent="0.25">
      <c r="B72" s="32">
        <f t="shared" si="2"/>
        <v>31</v>
      </c>
    </row>
    <row r="73" spans="2:2" x14ac:dyDescent="0.25">
      <c r="B73" s="32">
        <f t="shared" si="2"/>
        <v>32</v>
      </c>
    </row>
    <row r="74" spans="2:2" x14ac:dyDescent="0.25">
      <c r="B74" s="32">
        <f t="shared" ref="B74:B105" si="3">B73+1</f>
        <v>33</v>
      </c>
    </row>
    <row r="75" spans="2:2" x14ac:dyDescent="0.25">
      <c r="B75" s="32">
        <f t="shared" si="3"/>
        <v>34</v>
      </c>
    </row>
    <row r="76" spans="2:2" x14ac:dyDescent="0.25">
      <c r="B76" s="32">
        <f t="shared" si="3"/>
        <v>35</v>
      </c>
    </row>
    <row r="77" spans="2:2" x14ac:dyDescent="0.25">
      <c r="B77" s="32">
        <f t="shared" si="3"/>
        <v>36</v>
      </c>
    </row>
    <row r="78" spans="2:2" x14ac:dyDescent="0.25">
      <c r="B78" s="32">
        <f t="shared" si="3"/>
        <v>37</v>
      </c>
    </row>
    <row r="79" spans="2:2" x14ac:dyDescent="0.25">
      <c r="B79" s="32">
        <f t="shared" si="3"/>
        <v>38</v>
      </c>
    </row>
    <row r="80" spans="2:2" x14ac:dyDescent="0.25">
      <c r="B80" s="32">
        <f t="shared" si="3"/>
        <v>39</v>
      </c>
    </row>
    <row r="81" spans="2:2" x14ac:dyDescent="0.25">
      <c r="B81" s="32">
        <f t="shared" si="3"/>
        <v>40</v>
      </c>
    </row>
    <row r="82" spans="2:2" x14ac:dyDescent="0.25">
      <c r="B82" s="32">
        <f t="shared" si="3"/>
        <v>41</v>
      </c>
    </row>
    <row r="83" spans="2:2" x14ac:dyDescent="0.25">
      <c r="B83" s="32">
        <f t="shared" si="3"/>
        <v>42</v>
      </c>
    </row>
    <row r="84" spans="2:2" x14ac:dyDescent="0.25">
      <c r="B84" s="32">
        <f t="shared" si="3"/>
        <v>43</v>
      </c>
    </row>
    <row r="85" spans="2:2" x14ac:dyDescent="0.25">
      <c r="B85" s="32">
        <f t="shared" si="3"/>
        <v>44</v>
      </c>
    </row>
    <row r="86" spans="2:2" x14ac:dyDescent="0.25">
      <c r="B86" s="32">
        <f t="shared" si="3"/>
        <v>45</v>
      </c>
    </row>
    <row r="87" spans="2:2" x14ac:dyDescent="0.25">
      <c r="B87" s="32">
        <f t="shared" si="3"/>
        <v>46</v>
      </c>
    </row>
    <row r="88" spans="2:2" x14ac:dyDescent="0.25">
      <c r="B88" s="32">
        <f t="shared" si="3"/>
        <v>47</v>
      </c>
    </row>
    <row r="89" spans="2:2" x14ac:dyDescent="0.25">
      <c r="B89" s="32">
        <f t="shared" si="3"/>
        <v>48</v>
      </c>
    </row>
    <row r="90" spans="2:2" x14ac:dyDescent="0.25">
      <c r="B90" s="32">
        <f t="shared" si="3"/>
        <v>49</v>
      </c>
    </row>
    <row r="91" spans="2:2" x14ac:dyDescent="0.25">
      <c r="B91" s="32">
        <f t="shared" si="3"/>
        <v>50</v>
      </c>
    </row>
    <row r="92" spans="2:2" x14ac:dyDescent="0.25">
      <c r="B92" s="32">
        <f t="shared" si="3"/>
        <v>51</v>
      </c>
    </row>
    <row r="93" spans="2:2" x14ac:dyDescent="0.25">
      <c r="B93" s="32">
        <f t="shared" si="3"/>
        <v>52</v>
      </c>
    </row>
    <row r="94" spans="2:2" x14ac:dyDescent="0.25">
      <c r="B94" s="32">
        <f t="shared" si="3"/>
        <v>53</v>
      </c>
    </row>
    <row r="95" spans="2:2" x14ac:dyDescent="0.25">
      <c r="B95" s="32">
        <f t="shared" si="3"/>
        <v>54</v>
      </c>
    </row>
    <row r="96" spans="2:2" x14ac:dyDescent="0.25">
      <c r="B96" s="32">
        <f t="shared" si="3"/>
        <v>55</v>
      </c>
    </row>
    <row r="97" spans="2:2" x14ac:dyDescent="0.25">
      <c r="B97" s="32">
        <f t="shared" si="3"/>
        <v>56</v>
      </c>
    </row>
    <row r="98" spans="2:2" x14ac:dyDescent="0.25">
      <c r="B98" s="32">
        <f t="shared" si="3"/>
        <v>57</v>
      </c>
    </row>
    <row r="99" spans="2:2" x14ac:dyDescent="0.25">
      <c r="B99" s="32">
        <f t="shared" si="3"/>
        <v>58</v>
      </c>
    </row>
    <row r="100" spans="2:2" x14ac:dyDescent="0.25">
      <c r="B100" s="32">
        <f t="shared" si="3"/>
        <v>59</v>
      </c>
    </row>
    <row r="101" spans="2:2" x14ac:dyDescent="0.25">
      <c r="B101" s="32">
        <f t="shared" si="3"/>
        <v>60</v>
      </c>
    </row>
    <row r="102" spans="2:2" x14ac:dyDescent="0.25">
      <c r="B102" s="32">
        <f t="shared" si="3"/>
        <v>61</v>
      </c>
    </row>
    <row r="103" spans="2:2" x14ac:dyDescent="0.25">
      <c r="B103" s="32">
        <f t="shared" si="3"/>
        <v>62</v>
      </c>
    </row>
    <row r="104" spans="2:2" x14ac:dyDescent="0.25">
      <c r="B104" s="32">
        <f t="shared" si="3"/>
        <v>63</v>
      </c>
    </row>
    <row r="105" spans="2:2" x14ac:dyDescent="0.25">
      <c r="B105" s="32">
        <f t="shared" si="3"/>
        <v>64</v>
      </c>
    </row>
    <row r="106" spans="2:2" x14ac:dyDescent="0.25">
      <c r="B106" s="32">
        <f t="shared" ref="B106:B141" si="4">B105+1</f>
        <v>65</v>
      </c>
    </row>
    <row r="107" spans="2:2" x14ac:dyDescent="0.25">
      <c r="B107" s="32">
        <f t="shared" si="4"/>
        <v>66</v>
      </c>
    </row>
    <row r="108" spans="2:2" x14ac:dyDescent="0.25">
      <c r="B108" s="32">
        <f t="shared" si="4"/>
        <v>67</v>
      </c>
    </row>
    <row r="109" spans="2:2" x14ac:dyDescent="0.25">
      <c r="B109" s="32">
        <f t="shared" si="4"/>
        <v>68</v>
      </c>
    </row>
    <row r="110" spans="2:2" x14ac:dyDescent="0.25">
      <c r="B110" s="32">
        <f t="shared" si="4"/>
        <v>69</v>
      </c>
    </row>
    <row r="111" spans="2:2" x14ac:dyDescent="0.25">
      <c r="B111" s="32">
        <f t="shared" si="4"/>
        <v>70</v>
      </c>
    </row>
    <row r="112" spans="2:2" x14ac:dyDescent="0.25">
      <c r="B112" s="32">
        <f t="shared" si="4"/>
        <v>71</v>
      </c>
    </row>
    <row r="113" spans="2:2" x14ac:dyDescent="0.25">
      <c r="B113" s="32">
        <f t="shared" si="4"/>
        <v>72</v>
      </c>
    </row>
    <row r="114" spans="2:2" x14ac:dyDescent="0.25">
      <c r="B114" s="32">
        <f t="shared" si="4"/>
        <v>73</v>
      </c>
    </row>
    <row r="115" spans="2:2" x14ac:dyDescent="0.25">
      <c r="B115" s="32">
        <f t="shared" si="4"/>
        <v>74</v>
      </c>
    </row>
    <row r="116" spans="2:2" x14ac:dyDescent="0.25">
      <c r="B116" s="32">
        <f t="shared" si="4"/>
        <v>75</v>
      </c>
    </row>
    <row r="117" spans="2:2" x14ac:dyDescent="0.25">
      <c r="B117" s="32">
        <f t="shared" si="4"/>
        <v>76</v>
      </c>
    </row>
    <row r="118" spans="2:2" x14ac:dyDescent="0.25">
      <c r="B118" s="32">
        <f t="shared" si="4"/>
        <v>77</v>
      </c>
    </row>
    <row r="119" spans="2:2" x14ac:dyDescent="0.25">
      <c r="B119" s="32">
        <f t="shared" si="4"/>
        <v>78</v>
      </c>
    </row>
    <row r="120" spans="2:2" x14ac:dyDescent="0.25">
      <c r="B120" s="32">
        <f t="shared" si="4"/>
        <v>79</v>
      </c>
    </row>
    <row r="121" spans="2:2" x14ac:dyDescent="0.25">
      <c r="B121" s="32">
        <f t="shared" si="4"/>
        <v>80</v>
      </c>
    </row>
    <row r="122" spans="2:2" x14ac:dyDescent="0.25">
      <c r="B122" s="32">
        <f t="shared" si="4"/>
        <v>81</v>
      </c>
    </row>
    <row r="123" spans="2:2" x14ac:dyDescent="0.25">
      <c r="B123" s="32">
        <f t="shared" si="4"/>
        <v>82</v>
      </c>
    </row>
    <row r="124" spans="2:2" x14ac:dyDescent="0.25">
      <c r="B124" s="32">
        <f t="shared" si="4"/>
        <v>83</v>
      </c>
    </row>
    <row r="125" spans="2:2" x14ac:dyDescent="0.25">
      <c r="B125" s="32">
        <f t="shared" si="4"/>
        <v>84</v>
      </c>
    </row>
    <row r="126" spans="2:2" x14ac:dyDescent="0.25">
      <c r="B126" s="32">
        <f t="shared" si="4"/>
        <v>85</v>
      </c>
    </row>
    <row r="127" spans="2:2" x14ac:dyDescent="0.25">
      <c r="B127" s="32">
        <f t="shared" si="4"/>
        <v>86</v>
      </c>
    </row>
    <row r="128" spans="2:2" x14ac:dyDescent="0.25">
      <c r="B128" s="32">
        <f t="shared" si="4"/>
        <v>87</v>
      </c>
    </row>
    <row r="129" spans="2:2" x14ac:dyDescent="0.25">
      <c r="B129" s="32">
        <f t="shared" si="4"/>
        <v>88</v>
      </c>
    </row>
    <row r="130" spans="2:2" x14ac:dyDescent="0.25">
      <c r="B130" s="32">
        <f t="shared" si="4"/>
        <v>89</v>
      </c>
    </row>
    <row r="131" spans="2:2" x14ac:dyDescent="0.25">
      <c r="B131" s="32">
        <f t="shared" si="4"/>
        <v>90</v>
      </c>
    </row>
    <row r="132" spans="2:2" x14ac:dyDescent="0.25">
      <c r="B132" s="32">
        <f t="shared" si="4"/>
        <v>91</v>
      </c>
    </row>
    <row r="133" spans="2:2" x14ac:dyDescent="0.25">
      <c r="B133" s="32">
        <f t="shared" si="4"/>
        <v>92</v>
      </c>
    </row>
    <row r="134" spans="2:2" x14ac:dyDescent="0.25">
      <c r="B134" s="32">
        <f t="shared" si="4"/>
        <v>93</v>
      </c>
    </row>
    <row r="135" spans="2:2" x14ac:dyDescent="0.25">
      <c r="B135" s="32">
        <f t="shared" si="4"/>
        <v>94</v>
      </c>
    </row>
    <row r="136" spans="2:2" x14ac:dyDescent="0.25">
      <c r="B136" s="32">
        <f t="shared" si="4"/>
        <v>95</v>
      </c>
    </row>
    <row r="137" spans="2:2" x14ac:dyDescent="0.25">
      <c r="B137" s="32">
        <f t="shared" si="4"/>
        <v>96</v>
      </c>
    </row>
    <row r="138" spans="2:2" x14ac:dyDescent="0.25">
      <c r="B138" s="32">
        <f t="shared" si="4"/>
        <v>97</v>
      </c>
    </row>
    <row r="139" spans="2:2" x14ac:dyDescent="0.25">
      <c r="B139" s="32">
        <f t="shared" si="4"/>
        <v>98</v>
      </c>
    </row>
    <row r="140" spans="2:2" x14ac:dyDescent="0.25">
      <c r="B140" s="32">
        <f t="shared" si="4"/>
        <v>99</v>
      </c>
    </row>
    <row r="141" spans="2:2" x14ac:dyDescent="0.25">
      <c r="B141" s="32">
        <f t="shared" si="4"/>
        <v>100</v>
      </c>
    </row>
  </sheetData>
  <protectedRanges>
    <protectedRange sqref="K12" name="Intervallo1_1"/>
  </protectedRanges>
  <mergeCells count="4">
    <mergeCell ref="B33:C35"/>
    <mergeCell ref="D33:D35"/>
    <mergeCell ref="E20:F20"/>
    <mergeCell ref="B20:C20"/>
  </mergeCells>
  <dataValidations count="1">
    <dataValidation type="list" allowBlank="1" showInputMessage="1" showErrorMessage="1" sqref="D33">
      <formula1>sn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ISTRUZIONI</vt:lpstr>
      <vt:lpstr>DATI</vt:lpstr>
      <vt:lpstr>LEGAME COSTITUTIVO CALCESTRUZZO</vt:lpstr>
      <vt:lpstr>LEGAME COSTITUTIVO ACCIAIO</vt:lpstr>
      <vt:lpstr>foglio deposito</vt:lpstr>
      <vt:lpstr>clas</vt:lpstr>
      <vt:lpstr>fer</vt:lpstr>
      <vt:lpstr>sn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</dc:creator>
  <cp:lastModifiedBy>Nicla</cp:lastModifiedBy>
  <cp:lastPrinted>2016-02-07T23:53:27Z</cp:lastPrinted>
  <dcterms:created xsi:type="dcterms:W3CDTF">2016-01-27T22:47:28Z</dcterms:created>
  <dcterms:modified xsi:type="dcterms:W3CDTF">2016-06-08T19:26:59Z</dcterms:modified>
</cp:coreProperties>
</file>