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cla\Documents\6.VARIE PER LA PROFESSIONE\PROGRAMMI UTILI\LEGAME COSTITUTIVO NTC\"/>
    </mc:Choice>
  </mc:AlternateContent>
  <workbookProtection workbookPassword="C2CA" lockStructure="1"/>
  <bookViews>
    <workbookView xWindow="0" yWindow="0" windowWidth="28800" windowHeight="12435" tabRatio="868"/>
  </bookViews>
  <sheets>
    <sheet name="ISTRUZIONI" sheetId="46" r:id="rId1"/>
    <sheet name="DATI" sheetId="39" r:id="rId2"/>
    <sheet name="foglio deposito" sheetId="15" state="hidden" r:id="rId3"/>
    <sheet name="LEGAME COSTITUTIVO CALCESTRUZZO" sheetId="20" r:id="rId4"/>
    <sheet name="LEGAME COSTITUTIVO ACCIAIO" sheetId="47" r:id="rId5"/>
    <sheet name="CONFINAMENTO EC2" sheetId="40" r:id="rId6"/>
    <sheet name="LIMITAZIONI TRAVI NTC08" sheetId="41" r:id="rId7"/>
    <sheet name="LIMITAZIONE PILASTRI NTC08" sheetId="42" r:id="rId8"/>
  </sheets>
  <externalReferences>
    <externalReference r:id="rId9"/>
    <externalReference r:id="rId10"/>
    <externalReference r:id="rId11"/>
  </externalReferences>
  <definedNames>
    <definedName name="ca" localSheetId="0">'[1]Foglio deposito'!$D$2:$D$4</definedName>
    <definedName name="CA">'foglio deposito'!#REF!</definedName>
    <definedName name="cari">'[1]Foglio deposito'!$F$2:$F$4</definedName>
    <definedName name="cd">[1]Foglio1!$S$19:$S$20</definedName>
    <definedName name="clas" localSheetId="0">'[1]Foglio deposito'!$M$10:$M$18</definedName>
    <definedName name="clas">'foglio deposito'!$G$6:$G$16</definedName>
    <definedName name="CLASS">'foglio deposito'!$G$6:$G$17</definedName>
    <definedName name="CURV" localSheetId="0">#REF!</definedName>
    <definedName name="CURV">#REF!</definedName>
    <definedName name="dut" localSheetId="0">'[2]foglio deposito'!$N$44:$N$45</definedName>
    <definedName name="dut">'foglio deposito'!$N$59:$N$60</definedName>
    <definedName name="fe">'[1]Foglio deposito'!$P$10:$P$11</definedName>
    <definedName name="fer" localSheetId="0">'[2]foglio deposito'!$J$4:$J$5</definedName>
    <definedName name="fer">'foglio deposito'!$J$6:$J$7</definedName>
    <definedName name="FERR" localSheetId="0">[1]Foglio1!$K$4:$K$8</definedName>
    <definedName name="FERR">'foglio deposito'!$J$6:$J$10</definedName>
    <definedName name="ff">[1]Foglio1!$N$4:$N$9</definedName>
    <definedName name="LC">'foglio deposito'!$K$18:$K$20</definedName>
    <definedName name="nn">[1]Foglio1!$M$6:$M$10</definedName>
    <definedName name="NU">[1]Foglio1!$M$4:$M$10</definedName>
    <definedName name="sigc">'[1]Foglio deposito'!$E$141:$E$142</definedName>
    <definedName name="sigs">'[1]Foglio deposito'!$F$141:$F$142</definedName>
    <definedName name="SN" localSheetId="0">'[1]Foglio deposito'!$B$2:$B$3</definedName>
    <definedName name="sn">'foglio deposito'!$C$38:$C$39</definedName>
    <definedName name="step" localSheetId="0">#REF!</definedName>
    <definedName name="step">#REF!</definedName>
    <definedName name="tarat">'foglio deposito'!$AA$3:$AA$83</definedName>
    <definedName name="taratu">'foglio deposito'!$AC$3:$AC$107</definedName>
    <definedName name="tp">'foglio deposito'!$F$1:$F$2</definedName>
    <definedName name="w">'[3]DATI NASCOSTI'!$C$105:$C$107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20" l="1"/>
  <c r="O29" i="20"/>
  <c r="O28" i="20"/>
  <c r="O27" i="20"/>
  <c r="O26" i="20"/>
  <c r="O25" i="20"/>
  <c r="O24" i="20"/>
  <c r="L69" i="15"/>
  <c r="M68" i="15"/>
  <c r="L68" i="15"/>
  <c r="F12" i="47"/>
  <c r="F10" i="47"/>
  <c r="F5" i="47"/>
  <c r="F57" i="39" l="1"/>
  <c r="F14" i="47" s="1"/>
  <c r="F13" i="47" s="1"/>
  <c r="P22" i="20" l="1"/>
  <c r="F33" i="39"/>
  <c r="P34" i="20" s="1"/>
  <c r="F21" i="39"/>
  <c r="H19" i="15" s="1"/>
  <c r="F42" i="39"/>
  <c r="F9" i="47" s="1"/>
  <c r="F41" i="39"/>
  <c r="F40" i="39"/>
  <c r="F7" i="47" s="1"/>
  <c r="D89" i="15" l="1"/>
  <c r="F8" i="47"/>
  <c r="F16" i="47" s="1"/>
  <c r="H17" i="15"/>
  <c r="F23" i="39" s="1"/>
  <c r="F26" i="39" s="1"/>
  <c r="H4" i="15" l="1"/>
  <c r="O72" i="39" s="1"/>
  <c r="H3" i="15"/>
  <c r="B29" i="41"/>
  <c r="H54" i="41"/>
  <c r="F54" i="41"/>
  <c r="D57" i="41"/>
  <c r="B71" i="42"/>
  <c r="B42" i="42"/>
  <c r="B38" i="42"/>
  <c r="F3" i="15"/>
  <c r="D81" i="15"/>
  <c r="AC4" i="15"/>
  <c r="AC5" i="15" s="1"/>
  <c r="AC6" i="15" s="1"/>
  <c r="AC7" i="15" s="1"/>
  <c r="AC8" i="15" s="1"/>
  <c r="AC9" i="15" s="1"/>
  <c r="AC10" i="15" s="1"/>
  <c r="AC11" i="15" s="1"/>
  <c r="AC12" i="15" s="1"/>
  <c r="AC13" i="15" s="1"/>
  <c r="AC14" i="15" s="1"/>
  <c r="AC15" i="15" s="1"/>
  <c r="AC16" i="15" s="1"/>
  <c r="AC17" i="15" s="1"/>
  <c r="AC18" i="15" s="1"/>
  <c r="AC19" i="15" s="1"/>
  <c r="AC20" i="15" s="1"/>
  <c r="AC21" i="15" s="1"/>
  <c r="AC22" i="15" s="1"/>
  <c r="AC23" i="15" s="1"/>
  <c r="AC24" i="15" s="1"/>
  <c r="AC25" i="15" s="1"/>
  <c r="AC26" i="15" s="1"/>
  <c r="AC27" i="15" s="1"/>
  <c r="AC28" i="15" s="1"/>
  <c r="AC29" i="15" s="1"/>
  <c r="AC30" i="15" s="1"/>
  <c r="AC31" i="15" s="1"/>
  <c r="AC32" i="15" s="1"/>
  <c r="AC33" i="15" s="1"/>
  <c r="AC34" i="15" s="1"/>
  <c r="AC35" i="15" s="1"/>
  <c r="AC36" i="15" s="1"/>
  <c r="AC37" i="15" s="1"/>
  <c r="AC38" i="15" s="1"/>
  <c r="AC39" i="15" s="1"/>
  <c r="AC40" i="15" s="1"/>
  <c r="AC41" i="15" s="1"/>
  <c r="AC42" i="15" s="1"/>
  <c r="AC43" i="15" s="1"/>
  <c r="AC44" i="15" s="1"/>
  <c r="AC45" i="15" s="1"/>
  <c r="AC46" i="15" s="1"/>
  <c r="AC47" i="15" s="1"/>
  <c r="AC48" i="15" s="1"/>
  <c r="AC49" i="15" s="1"/>
  <c r="AC50" i="15" s="1"/>
  <c r="AC51" i="15" s="1"/>
  <c r="AC52" i="15" s="1"/>
  <c r="AC53" i="15" s="1"/>
  <c r="AC54" i="15" s="1"/>
  <c r="AC55" i="15" s="1"/>
  <c r="AC56" i="15" s="1"/>
  <c r="AC57" i="15" s="1"/>
  <c r="AC58" i="15" s="1"/>
  <c r="AC59" i="15" s="1"/>
  <c r="AC60" i="15" s="1"/>
  <c r="AC61" i="15" s="1"/>
  <c r="AC62" i="15" s="1"/>
  <c r="AC63" i="15" s="1"/>
  <c r="AC64" i="15" s="1"/>
  <c r="AC65" i="15" s="1"/>
  <c r="AC66" i="15" s="1"/>
  <c r="AC67" i="15" s="1"/>
  <c r="AC68" i="15" s="1"/>
  <c r="AC69" i="15" s="1"/>
  <c r="AC70" i="15" s="1"/>
  <c r="AC71" i="15" s="1"/>
  <c r="AC72" i="15" s="1"/>
  <c r="AC73" i="15" s="1"/>
  <c r="AC74" i="15" s="1"/>
  <c r="AC75" i="15" s="1"/>
  <c r="AC76" i="15" s="1"/>
  <c r="AC77" i="15" s="1"/>
  <c r="AC78" i="15" s="1"/>
  <c r="AC79" i="15" s="1"/>
  <c r="AC80" i="15" s="1"/>
  <c r="AC81" i="15" s="1"/>
  <c r="AC82" i="15" s="1"/>
  <c r="AC83" i="15" s="1"/>
  <c r="AC84" i="15" s="1"/>
  <c r="AC85" i="15" s="1"/>
  <c r="AC86" i="15" s="1"/>
  <c r="AC87" i="15" s="1"/>
  <c r="AC88" i="15" s="1"/>
  <c r="AC89" i="15" s="1"/>
  <c r="AC90" i="15" s="1"/>
  <c r="AC91" i="15" s="1"/>
  <c r="AC92" i="15" s="1"/>
  <c r="AC93" i="15" s="1"/>
  <c r="AC94" i="15" s="1"/>
  <c r="AC95" i="15" s="1"/>
  <c r="AC96" i="15" s="1"/>
  <c r="AC97" i="15" s="1"/>
  <c r="AC98" i="15" s="1"/>
  <c r="AC99" i="15" s="1"/>
  <c r="AC100" i="15" s="1"/>
  <c r="AC101" i="15" s="1"/>
  <c r="AC102" i="15" s="1"/>
  <c r="AC103" i="15" s="1"/>
  <c r="AC104" i="15" s="1"/>
  <c r="AC105" i="15" s="1"/>
  <c r="AC106" i="15" s="1"/>
  <c r="AC107" i="15" s="1"/>
  <c r="AA4" i="15"/>
  <c r="AA5" i="15" s="1"/>
  <c r="AA6" i="15" s="1"/>
  <c r="AA7" i="15" s="1"/>
  <c r="AA8" i="15" s="1"/>
  <c r="AA9" i="15" s="1"/>
  <c r="AA10" i="15" s="1"/>
  <c r="AA11" i="15" s="1"/>
  <c r="AA12" i="15" s="1"/>
  <c r="AA13" i="15" s="1"/>
  <c r="AA14" i="15" s="1"/>
  <c r="AA15" i="15" s="1"/>
  <c r="AA16" i="15" s="1"/>
  <c r="AA17" i="15" s="1"/>
  <c r="AA18" i="15" s="1"/>
  <c r="AA19" i="15" s="1"/>
  <c r="AA20" i="15" s="1"/>
  <c r="AA21" i="15" s="1"/>
  <c r="AA22" i="15" s="1"/>
  <c r="AA23" i="15" s="1"/>
  <c r="AA24" i="15" s="1"/>
  <c r="AA25" i="15" s="1"/>
  <c r="AA26" i="15" s="1"/>
  <c r="AA27" i="15" s="1"/>
  <c r="AA28" i="15" s="1"/>
  <c r="AA29" i="15" s="1"/>
  <c r="AA30" i="15" s="1"/>
  <c r="AA31" i="15" s="1"/>
  <c r="AA32" i="15" s="1"/>
  <c r="AA33" i="15" s="1"/>
  <c r="AA34" i="15" s="1"/>
  <c r="AA35" i="15" s="1"/>
  <c r="AA36" i="15" s="1"/>
  <c r="AA37" i="15" s="1"/>
  <c r="AA38" i="15" s="1"/>
  <c r="AA39" i="15" s="1"/>
  <c r="AA40" i="15" s="1"/>
  <c r="AA41" i="15" s="1"/>
  <c r="AA42" i="15" s="1"/>
  <c r="AA43" i="15" s="1"/>
  <c r="AA44" i="15" s="1"/>
  <c r="AA45" i="15" s="1"/>
  <c r="AA46" i="15" s="1"/>
  <c r="AA47" i="15" s="1"/>
  <c r="AA48" i="15" s="1"/>
  <c r="AA49" i="15" s="1"/>
  <c r="AA50" i="15" s="1"/>
  <c r="AA51" i="15" s="1"/>
  <c r="AA52" i="15" s="1"/>
  <c r="AA53" i="15" s="1"/>
  <c r="AA54" i="15" s="1"/>
  <c r="AA55" i="15" s="1"/>
  <c r="AA56" i="15" s="1"/>
  <c r="AA57" i="15" s="1"/>
  <c r="AA58" i="15" s="1"/>
  <c r="AA59" i="15" s="1"/>
  <c r="AA60" i="15" s="1"/>
  <c r="AA61" i="15" s="1"/>
  <c r="AA62" i="15" s="1"/>
  <c r="AA63" i="15" s="1"/>
  <c r="AA64" i="15" s="1"/>
  <c r="AA65" i="15" s="1"/>
  <c r="AA66" i="15" s="1"/>
  <c r="AA67" i="15" s="1"/>
  <c r="AA68" i="15" s="1"/>
  <c r="AA69" i="15" s="1"/>
  <c r="AA70" i="15" s="1"/>
  <c r="AA71" i="15" s="1"/>
  <c r="AA72" i="15" s="1"/>
  <c r="AA73" i="15" s="1"/>
  <c r="AA74" i="15" s="1"/>
  <c r="AA75" i="15" s="1"/>
  <c r="AA76" i="15" s="1"/>
  <c r="AA77" i="15" s="1"/>
  <c r="AA78" i="15" s="1"/>
  <c r="AA79" i="15" s="1"/>
  <c r="AA80" i="15" s="1"/>
  <c r="AA81" i="15" s="1"/>
  <c r="AA82" i="15" s="1"/>
  <c r="AA83" i="15" s="1"/>
  <c r="F91" i="39" l="1"/>
  <c r="I71" i="39"/>
  <c r="O71" i="39"/>
  <c r="I72" i="39"/>
  <c r="O70" i="39"/>
  <c r="I70" i="39"/>
  <c r="C32" i="15"/>
  <c r="G100" i="39" l="1"/>
  <c r="G99" i="39"/>
  <c r="D15" i="15" l="1"/>
  <c r="L98" i="39" l="1"/>
  <c r="L100" i="39"/>
  <c r="O38" i="20"/>
  <c r="O37" i="20"/>
  <c r="O36" i="20"/>
  <c r="O32" i="20"/>
  <c r="I2" i="20"/>
  <c r="D96" i="42" l="1"/>
  <c r="C96" i="42"/>
  <c r="D94" i="42"/>
  <c r="C94" i="42"/>
  <c r="I86" i="42"/>
  <c r="E80" i="42"/>
  <c r="D80" i="42"/>
  <c r="H55" i="42"/>
  <c r="I55" i="42" s="1"/>
  <c r="H53" i="42"/>
  <c r="F53" i="42"/>
  <c r="I51" i="42"/>
  <c r="I49" i="42"/>
  <c r="I47" i="42"/>
  <c r="C43" i="42"/>
  <c r="H40" i="42"/>
  <c r="H38" i="42"/>
  <c r="C26" i="42"/>
  <c r="E26" i="42" s="1"/>
  <c r="C24" i="42"/>
  <c r="C14" i="42"/>
  <c r="I14" i="42" s="1"/>
  <c r="C12" i="42"/>
  <c r="I6" i="42"/>
  <c r="D77" i="41"/>
  <c r="C77" i="41"/>
  <c r="D76" i="41"/>
  <c r="C76" i="41"/>
  <c r="I65" i="41"/>
  <c r="E63" i="41"/>
  <c r="D63" i="41"/>
  <c r="I49" i="41"/>
  <c r="G40" i="41"/>
  <c r="E40" i="41"/>
  <c r="G38" i="41"/>
  <c r="E36" i="41"/>
  <c r="C30" i="41"/>
  <c r="H27" i="41"/>
  <c r="C19" i="41"/>
  <c r="I6" i="41"/>
  <c r="R63" i="15"/>
  <c r="D97" i="42" l="1"/>
  <c r="C28" i="42"/>
  <c r="I53" i="42"/>
  <c r="C97" i="42"/>
  <c r="I40" i="41"/>
  <c r="E96" i="42" l="1"/>
  <c r="G73" i="15"/>
  <c r="G74" i="15"/>
  <c r="G75" i="15"/>
  <c r="H75" i="15"/>
  <c r="I8" i="41" l="1"/>
  <c r="I70" i="15"/>
  <c r="I67" i="15"/>
  <c r="L67" i="15" s="1"/>
  <c r="F103" i="39"/>
  <c r="I102" i="39" s="1"/>
  <c r="F102" i="39"/>
  <c r="I66" i="15" l="1"/>
  <c r="L66" i="15" s="1"/>
  <c r="L70" i="15"/>
  <c r="L107" i="39"/>
  <c r="C105" i="42"/>
  <c r="G36" i="41"/>
  <c r="I36" i="41" s="1"/>
  <c r="M50" i="15"/>
  <c r="M49" i="15"/>
  <c r="C48" i="15"/>
  <c r="I48" i="15"/>
  <c r="C50" i="15"/>
  <c r="C52" i="15"/>
  <c r="F8" i="39" s="1"/>
  <c r="I23" i="15"/>
  <c r="I22" i="15"/>
  <c r="C98" i="39"/>
  <c r="F8" i="40" l="1"/>
  <c r="F39" i="40"/>
  <c r="F9" i="40"/>
  <c r="F40" i="40"/>
  <c r="F61" i="15"/>
  <c r="R64" i="15"/>
  <c r="F59" i="15"/>
  <c r="R65" i="15"/>
  <c r="P47" i="15"/>
  <c r="P50" i="15" s="1"/>
  <c r="I69" i="42" l="1"/>
  <c r="F42" i="40"/>
  <c r="F20" i="40"/>
  <c r="F30" i="40" s="1"/>
  <c r="P46" i="15"/>
  <c r="F19" i="40"/>
  <c r="F43" i="40"/>
  <c r="P49" i="15" l="1"/>
  <c r="F15" i="40"/>
  <c r="F25" i="40" s="1"/>
  <c r="F21" i="40"/>
  <c r="F29" i="40"/>
  <c r="F31" i="40" s="1"/>
  <c r="F45" i="40"/>
  <c r="J95" i="15" s="1"/>
  <c r="F23" i="40" l="1"/>
  <c r="F33" i="40"/>
  <c r="F35" i="40" s="1"/>
  <c r="O77" i="39"/>
  <c r="P71" i="39"/>
  <c r="O99" i="39" s="1"/>
  <c r="L80" i="39"/>
  <c r="L106" i="39" s="1"/>
  <c r="M78" i="39"/>
  <c r="K78" i="39"/>
  <c r="M66" i="39"/>
  <c r="K66" i="39"/>
  <c r="L78" i="39"/>
  <c r="F81" i="39"/>
  <c r="F85" i="39" s="1"/>
  <c r="F80" i="39"/>
  <c r="F84" i="39" s="1"/>
  <c r="F105" i="39" l="1"/>
  <c r="O67" i="39"/>
  <c r="O95" i="39" s="1"/>
  <c r="O105" i="39"/>
  <c r="F27" i="15"/>
  <c r="K14" i="15" l="1"/>
  <c r="F7" i="39"/>
  <c r="F25" i="39"/>
  <c r="F24" i="39" s="1"/>
  <c r="D88" i="15" s="1"/>
  <c r="J92" i="15" s="1"/>
  <c r="F73" i="39"/>
  <c r="F77" i="39" s="1"/>
  <c r="F74" i="39"/>
  <c r="F38" i="42" l="1"/>
  <c r="D74" i="41"/>
  <c r="D78" i="41" s="1"/>
  <c r="E76" i="41" s="1"/>
  <c r="C74" i="41"/>
  <c r="C78" i="41" s="1"/>
  <c r="E38" i="41"/>
  <c r="I38" i="41" s="1"/>
  <c r="H25" i="41"/>
  <c r="E56" i="41"/>
  <c r="I27" i="41"/>
  <c r="C55" i="15"/>
  <c r="F56" i="40"/>
  <c r="F57" i="40" s="1"/>
  <c r="F49" i="40" s="1"/>
  <c r="I46" i="15"/>
  <c r="J69" i="15"/>
  <c r="F89" i="39"/>
  <c r="F88" i="39"/>
  <c r="H71" i="42" s="1"/>
  <c r="I71" i="42" s="1"/>
  <c r="F25" i="15"/>
  <c r="F78" i="39"/>
  <c r="E57" i="41" s="1"/>
  <c r="F31" i="39"/>
  <c r="J70" i="15" l="1"/>
  <c r="M70" i="15" s="1"/>
  <c r="M69" i="15"/>
  <c r="D12" i="15"/>
  <c r="D13" i="15" s="1"/>
  <c r="C68" i="15" s="1"/>
  <c r="F56" i="41"/>
  <c r="H56" i="41"/>
  <c r="C42" i="42"/>
  <c r="C29" i="41"/>
  <c r="H103" i="42"/>
  <c r="H101" i="42"/>
  <c r="P36" i="20"/>
  <c r="C67" i="15"/>
  <c r="J66" i="15"/>
  <c r="M66" i="15" s="1"/>
  <c r="J67" i="15"/>
  <c r="M67" i="15" s="1"/>
  <c r="F27" i="39"/>
  <c r="F25" i="41" s="1"/>
  <c r="I25" i="41" s="1"/>
  <c r="D103" i="15" l="1"/>
  <c r="F103" i="15" s="1"/>
  <c r="D101" i="15"/>
  <c r="F50" i="40"/>
  <c r="P37" i="20" s="1"/>
  <c r="D102" i="15" s="1"/>
  <c r="I105" i="42"/>
  <c r="I40" i="42"/>
  <c r="I38" i="42"/>
  <c r="F28" i="39"/>
  <c r="F30" i="39" l="1"/>
  <c r="F29" i="39"/>
  <c r="G77" i="15"/>
  <c r="D82" i="15"/>
  <c r="H67" i="15"/>
  <c r="H68" i="15"/>
  <c r="F68" i="15" s="1"/>
  <c r="H66" i="15"/>
  <c r="H70" i="15"/>
  <c r="H6" i="15"/>
  <c r="H65" i="15" l="1"/>
  <c r="F76" i="39" s="1"/>
  <c r="F75" i="39" l="1"/>
  <c r="F67" i="15"/>
  <c r="F23" i="15"/>
  <c r="F21" i="15"/>
  <c r="F82" i="39"/>
  <c r="F83" i="39"/>
  <c r="H69" i="15"/>
  <c r="C34" i="15" s="1"/>
  <c r="F87" i="39" l="1"/>
  <c r="E6" i="15"/>
  <c r="E8" i="15"/>
  <c r="E9" i="15"/>
  <c r="O43" i="15"/>
  <c r="M43" i="15" s="1"/>
  <c r="E32" i="15" l="1"/>
  <c r="D32" i="15"/>
  <c r="B7" i="15"/>
  <c r="C9" i="15" l="1"/>
  <c r="F121" i="39" s="1"/>
  <c r="H32" i="42" l="1"/>
  <c r="E37" i="15"/>
  <c r="F32" i="15" l="1"/>
  <c r="B7" i="20" l="1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65" i="20" s="1"/>
  <c r="B66" i="20" s="1"/>
  <c r="B67" i="20" s="1"/>
  <c r="B68" i="20" s="1"/>
  <c r="B69" i="20" s="1"/>
  <c r="B70" i="20" s="1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100" i="20" s="1"/>
  <c r="B101" i="20" s="1"/>
  <c r="B102" i="20" s="1"/>
  <c r="B103" i="20" s="1"/>
  <c r="B104" i="20" s="1"/>
  <c r="B105" i="20" s="1"/>
  <c r="B106" i="20" s="1"/>
  <c r="K59" i="15"/>
  <c r="I38" i="15" l="1"/>
  <c r="G32" i="15"/>
  <c r="I39" i="15" l="1"/>
  <c r="O37" i="15" l="1"/>
  <c r="Q37" i="15" s="1"/>
  <c r="O31" i="15"/>
  <c r="Q31" i="15" s="1"/>
  <c r="H38" i="15" l="1"/>
  <c r="K60" i="15"/>
  <c r="C11" i="20" s="1"/>
  <c r="C8" i="20" l="1"/>
  <c r="C12" i="20"/>
  <c r="C16" i="20"/>
  <c r="C20" i="20"/>
  <c r="C24" i="20"/>
  <c r="C28" i="20"/>
  <c r="C32" i="20"/>
  <c r="C36" i="20"/>
  <c r="C40" i="20"/>
  <c r="C44" i="20"/>
  <c r="C48" i="20"/>
  <c r="C52" i="20"/>
  <c r="C56" i="20"/>
  <c r="C60" i="20"/>
  <c r="C64" i="20"/>
  <c r="C68" i="20"/>
  <c r="C72" i="20"/>
  <c r="C76" i="20"/>
  <c r="C80" i="20"/>
  <c r="C84" i="20"/>
  <c r="C88" i="20"/>
  <c r="C92" i="20"/>
  <c r="C96" i="20"/>
  <c r="C100" i="20"/>
  <c r="C104" i="20"/>
  <c r="C7" i="20"/>
  <c r="C15" i="20"/>
  <c r="C19" i="20"/>
  <c r="C23" i="20"/>
  <c r="C27" i="20"/>
  <c r="C31" i="20"/>
  <c r="C35" i="20"/>
  <c r="C39" i="20"/>
  <c r="C43" i="20"/>
  <c r="C47" i="20"/>
  <c r="C51" i="20"/>
  <c r="C55" i="20"/>
  <c r="C59" i="20"/>
  <c r="C63" i="20"/>
  <c r="C67" i="20"/>
  <c r="C71" i="20"/>
  <c r="C75" i="20"/>
  <c r="C79" i="20"/>
  <c r="C83" i="20"/>
  <c r="C87" i="20"/>
  <c r="C95" i="20"/>
  <c r="C103" i="20"/>
  <c r="C9" i="20"/>
  <c r="C13" i="20"/>
  <c r="C17" i="20"/>
  <c r="C21" i="20"/>
  <c r="C25" i="20"/>
  <c r="C29" i="20"/>
  <c r="C33" i="20"/>
  <c r="C37" i="20"/>
  <c r="C41" i="20"/>
  <c r="C45" i="20"/>
  <c r="C49" i="20"/>
  <c r="C53" i="20"/>
  <c r="C57" i="20"/>
  <c r="C61" i="20"/>
  <c r="C65" i="20"/>
  <c r="C69" i="20"/>
  <c r="C73" i="20"/>
  <c r="C77" i="20"/>
  <c r="C81" i="20"/>
  <c r="C85" i="20"/>
  <c r="C89" i="20"/>
  <c r="C93" i="20"/>
  <c r="C97" i="20"/>
  <c r="C101" i="20"/>
  <c r="C105" i="20"/>
  <c r="C99" i="20"/>
  <c r="C6" i="20"/>
  <c r="C10" i="20"/>
  <c r="C14" i="20"/>
  <c r="C18" i="20"/>
  <c r="C22" i="20"/>
  <c r="C26" i="20"/>
  <c r="C30" i="20"/>
  <c r="C34" i="20"/>
  <c r="C38" i="20"/>
  <c r="C42" i="20"/>
  <c r="C46" i="20"/>
  <c r="C50" i="20"/>
  <c r="C54" i="20"/>
  <c r="C58" i="20"/>
  <c r="C62" i="20"/>
  <c r="C66" i="20"/>
  <c r="C70" i="20"/>
  <c r="C74" i="20"/>
  <c r="C78" i="20"/>
  <c r="C82" i="20"/>
  <c r="C86" i="20"/>
  <c r="C90" i="20"/>
  <c r="C94" i="20"/>
  <c r="C98" i="20"/>
  <c r="C102" i="20"/>
  <c r="C106" i="20"/>
  <c r="C91" i="20"/>
  <c r="E7" i="15"/>
  <c r="M37" i="15" l="1"/>
  <c r="B4" i="15" s="1"/>
  <c r="M31" i="15"/>
  <c r="D6" i="20"/>
  <c r="J6" i="20" s="1"/>
  <c r="D9" i="20"/>
  <c r="D8" i="20"/>
  <c r="D7" i="20"/>
  <c r="D10" i="20"/>
  <c r="D11" i="20"/>
  <c r="D12" i="20"/>
  <c r="D13" i="20"/>
  <c r="D105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106" i="20"/>
  <c r="D14" i="20"/>
  <c r="Q38" i="15" l="1"/>
  <c r="Q32" i="15"/>
  <c r="H39" i="15"/>
  <c r="P26" i="20" l="1"/>
  <c r="P28" i="20" l="1"/>
  <c r="P29" i="20" s="1"/>
  <c r="P31" i="20" s="1"/>
  <c r="P24" i="20"/>
  <c r="P25" i="20"/>
  <c r="P30" i="20" l="1"/>
  <c r="F69" i="15" s="1"/>
  <c r="I60" i="15" s="1"/>
  <c r="P27" i="20"/>
  <c r="D104" i="15" s="1"/>
  <c r="P32" i="20"/>
  <c r="F70" i="15" s="1"/>
  <c r="K61" i="15" s="1"/>
  <c r="F52" i="39" s="1"/>
  <c r="P38" i="20" l="1"/>
  <c r="H60" i="15"/>
  <c r="E54" i="20"/>
  <c r="G54" i="20" s="1"/>
  <c r="E76" i="20"/>
  <c r="G76" i="20" s="1"/>
  <c r="F50" i="20"/>
  <c r="E29" i="20"/>
  <c r="G29" i="20" s="1"/>
  <c r="E88" i="20"/>
  <c r="G88" i="20" s="1"/>
  <c r="E97" i="20"/>
  <c r="G97" i="20" s="1"/>
  <c r="F57" i="20"/>
  <c r="F100" i="20"/>
  <c r="E81" i="20"/>
  <c r="G81" i="20" s="1"/>
  <c r="E105" i="20"/>
  <c r="G105" i="20" s="1"/>
  <c r="E101" i="20"/>
  <c r="G101" i="20" s="1"/>
  <c r="F63" i="20"/>
  <c r="F32" i="20"/>
  <c r="F77" i="20"/>
  <c r="E89" i="20"/>
  <c r="G89" i="20" s="1"/>
  <c r="E78" i="20"/>
  <c r="G78" i="20" s="1"/>
  <c r="F48" i="20"/>
  <c r="E95" i="20"/>
  <c r="G95" i="20" s="1"/>
  <c r="F12" i="20"/>
  <c r="F93" i="20"/>
  <c r="E55" i="20"/>
  <c r="G55" i="20" s="1"/>
  <c r="F24" i="20"/>
  <c r="F62" i="20"/>
  <c r="E67" i="20"/>
  <c r="G67" i="20" s="1"/>
  <c r="F36" i="20"/>
  <c r="F94" i="20"/>
  <c r="E58" i="20"/>
  <c r="G58" i="20" s="1"/>
  <c r="F37" i="20"/>
  <c r="F96" i="20"/>
  <c r="F34" i="20"/>
  <c r="F49" i="20"/>
  <c r="F17" i="20"/>
  <c r="E47" i="20"/>
  <c r="G47" i="20" s="1"/>
  <c r="E33" i="20"/>
  <c r="G33" i="20" s="1"/>
  <c r="F28" i="20"/>
  <c r="F99" i="20"/>
  <c r="F71" i="20"/>
  <c r="F40" i="20"/>
  <c r="F91" i="20"/>
  <c r="F83" i="20"/>
  <c r="F52" i="20"/>
  <c r="F27" i="20"/>
  <c r="E74" i="20"/>
  <c r="G74" i="20" s="1"/>
  <c r="E53" i="20"/>
  <c r="G53" i="20" s="1"/>
  <c r="F15" i="20"/>
  <c r="F102" i="20"/>
  <c r="F98" i="20"/>
  <c r="F8" i="20"/>
  <c r="E20" i="20"/>
  <c r="G20" i="20" s="1"/>
  <c r="F53" i="20"/>
  <c r="F38" i="20"/>
  <c r="F65" i="20"/>
  <c r="E56" i="20"/>
  <c r="G56" i="20" s="1"/>
  <c r="E68" i="20"/>
  <c r="G68" i="20" s="1"/>
  <c r="F69" i="20"/>
  <c r="F85" i="20"/>
  <c r="E34" i="20"/>
  <c r="G34" i="20" s="1"/>
  <c r="E49" i="20"/>
  <c r="G49" i="20" s="1"/>
  <c r="F41" i="20"/>
  <c r="E85" i="20"/>
  <c r="G85" i="20" s="1"/>
  <c r="E60" i="20"/>
  <c r="G60" i="20" s="1"/>
  <c r="E51" i="20"/>
  <c r="G51" i="20" s="1"/>
  <c r="F11" i="20"/>
  <c r="E65" i="20"/>
  <c r="G65" i="20" s="1"/>
  <c r="F44" i="20"/>
  <c r="E18" i="20"/>
  <c r="G18" i="20" s="1"/>
  <c r="F87" i="20"/>
  <c r="F56" i="20"/>
  <c r="F59" i="20"/>
  <c r="F25" i="20"/>
  <c r="F68" i="20"/>
  <c r="F75" i="20"/>
  <c r="F90" i="20"/>
  <c r="E69" i="20"/>
  <c r="G69" i="20" s="1"/>
  <c r="F31" i="20"/>
  <c r="E43" i="20"/>
  <c r="G43" i="20" s="1"/>
  <c r="E71" i="20"/>
  <c r="G71" i="20" s="1"/>
  <c r="E83" i="20"/>
  <c r="G83" i="20" s="1"/>
  <c r="F74" i="20"/>
  <c r="E9" i="20"/>
  <c r="G9" i="20" s="1"/>
  <c r="E7" i="20"/>
  <c r="G7" i="20" s="1"/>
  <c r="F82" i="20"/>
  <c r="F61" i="20"/>
  <c r="E23" i="20"/>
  <c r="G23" i="20" s="1"/>
  <c r="F86" i="20"/>
  <c r="E73" i="20"/>
  <c r="G73" i="20" s="1"/>
  <c r="E35" i="20"/>
  <c r="G35" i="20" s="1"/>
  <c r="F70" i="20"/>
  <c r="F46" i="20"/>
  <c r="E26" i="20"/>
  <c r="G26" i="20" s="1"/>
  <c r="E103" i="20"/>
  <c r="G103" i="20" s="1"/>
  <c r="F64" i="20"/>
  <c r="E13" i="20"/>
  <c r="G13" i="20" s="1"/>
  <c r="E57" i="20"/>
  <c r="G57" i="20" s="1"/>
  <c r="F106" i="20"/>
  <c r="E16" i="20"/>
  <c r="G16" i="20" s="1"/>
  <c r="F43" i="20"/>
  <c r="E98" i="20"/>
  <c r="G98" i="20" s="1"/>
  <c r="E77" i="20"/>
  <c r="G77" i="20" s="1"/>
  <c r="F39" i="20"/>
  <c r="E8" i="20"/>
  <c r="G8" i="20" s="1"/>
  <c r="F14" i="20"/>
  <c r="F51" i="20"/>
  <c r="F20" i="20"/>
  <c r="F78" i="20"/>
  <c r="F42" i="20"/>
  <c r="E21" i="20"/>
  <c r="G21" i="20" s="1"/>
  <c r="F80" i="20"/>
  <c r="E6" i="20"/>
  <c r="G6" i="20" s="1"/>
  <c r="E99" i="20"/>
  <c r="G99" i="20" s="1"/>
  <c r="E91" i="20"/>
  <c r="G91" i="20" s="1"/>
  <c r="E27" i="20"/>
  <c r="G27" i="20" s="1"/>
  <c r="E79" i="20"/>
  <c r="G79" i="20" s="1"/>
  <c r="E82" i="20"/>
  <c r="G82" i="20" s="1"/>
  <c r="F23" i="20"/>
  <c r="F89" i="20"/>
  <c r="E70" i="20"/>
  <c r="G70" i="20" s="1"/>
  <c r="F26" i="20"/>
  <c r="E64" i="20"/>
  <c r="G64" i="20" s="1"/>
  <c r="F22" i="20"/>
  <c r="F18" i="20"/>
  <c r="E59" i="20"/>
  <c r="G59" i="20" s="1"/>
  <c r="E75" i="20"/>
  <c r="G75" i="20" s="1"/>
  <c r="E31" i="20"/>
  <c r="G31" i="20" s="1"/>
  <c r="E40" i="20"/>
  <c r="G40" i="20" s="1"/>
  <c r="F6" i="20"/>
  <c r="F13" i="20"/>
  <c r="E17" i="20"/>
  <c r="G17" i="20" s="1"/>
  <c r="E106" i="20"/>
  <c r="G106" i="20" s="1"/>
  <c r="F16" i="20"/>
  <c r="E42" i="20"/>
  <c r="G42" i="20" s="1"/>
  <c r="E11" i="20"/>
  <c r="G11" i="20" s="1"/>
  <c r="F95" i="20"/>
  <c r="E12" i="20"/>
  <c r="G12" i="20" s="1"/>
  <c r="E93" i="20"/>
  <c r="G93" i="20" s="1"/>
  <c r="F55" i="20"/>
  <c r="E24" i="20"/>
  <c r="G24" i="20" s="1"/>
  <c r="E62" i="20"/>
  <c r="G62" i="20" s="1"/>
  <c r="F67" i="20"/>
  <c r="E36" i="20"/>
  <c r="G36" i="20" s="1"/>
  <c r="E94" i="20"/>
  <c r="G94" i="20" s="1"/>
  <c r="F58" i="20"/>
  <c r="E37" i="20"/>
  <c r="G37" i="20" s="1"/>
  <c r="E96" i="20"/>
  <c r="G96" i="20" s="1"/>
  <c r="E28" i="20"/>
  <c r="G28" i="20" s="1"/>
  <c r="E72" i="20"/>
  <c r="G72" i="20" s="1"/>
  <c r="E84" i="20"/>
  <c r="G84" i="20" s="1"/>
  <c r="F21" i="20"/>
  <c r="F54" i="20"/>
  <c r="F76" i="20"/>
  <c r="E50" i="20"/>
  <c r="G50" i="20" s="1"/>
  <c r="F29" i="20"/>
  <c r="F88" i="20"/>
  <c r="F97" i="20"/>
  <c r="E41" i="20"/>
  <c r="G41" i="20" s="1"/>
  <c r="E100" i="20"/>
  <c r="G100" i="20" s="1"/>
  <c r="F81" i="20"/>
  <c r="F105" i="20"/>
  <c r="F101" i="20"/>
  <c r="E63" i="20"/>
  <c r="G63" i="20" s="1"/>
  <c r="E32" i="20"/>
  <c r="G32" i="20" s="1"/>
  <c r="E39" i="20"/>
  <c r="G39" i="20" s="1"/>
  <c r="E19" i="20"/>
  <c r="G19" i="20" s="1"/>
  <c r="E10" i="20"/>
  <c r="G10" i="20" s="1"/>
  <c r="E102" i="20"/>
  <c r="G102" i="20" s="1"/>
  <c r="F92" i="20"/>
  <c r="F66" i="20"/>
  <c r="E45" i="20"/>
  <c r="G45" i="20" s="1"/>
  <c r="F104" i="20"/>
  <c r="E38" i="20"/>
  <c r="G38" i="20" s="1"/>
  <c r="F73" i="20"/>
  <c r="F19" i="20"/>
  <c r="E22" i="20"/>
  <c r="G22" i="20" s="1"/>
  <c r="E30" i="20"/>
  <c r="G30" i="20" s="1"/>
  <c r="F10" i="20"/>
  <c r="F79" i="20"/>
  <c r="E48" i="20"/>
  <c r="G48" i="20" s="1"/>
  <c r="F33" i="20"/>
  <c r="F45" i="20"/>
  <c r="E25" i="20"/>
  <c r="G25" i="20" s="1"/>
  <c r="F30" i="20"/>
  <c r="E80" i="20"/>
  <c r="G80" i="20" s="1"/>
  <c r="E14" i="20"/>
  <c r="G14" i="20" s="1"/>
  <c r="F7" i="20"/>
  <c r="E61" i="20"/>
  <c r="G61" i="20" s="1"/>
  <c r="E86" i="20"/>
  <c r="G86" i="20" s="1"/>
  <c r="F35" i="20"/>
  <c r="E46" i="20"/>
  <c r="G46" i="20" s="1"/>
  <c r="F103" i="20"/>
  <c r="E66" i="20"/>
  <c r="G66" i="20" s="1"/>
  <c r="E15" i="20"/>
  <c r="G15" i="20" s="1"/>
  <c r="E44" i="20"/>
  <c r="G44" i="20" s="1"/>
  <c r="E87" i="20"/>
  <c r="G87" i="20" s="1"/>
  <c r="F9" i="20"/>
  <c r="E90" i="20"/>
  <c r="G90" i="20" s="1"/>
  <c r="E92" i="20"/>
  <c r="G92" i="20" s="1"/>
  <c r="E52" i="20"/>
  <c r="G52" i="20" s="1"/>
  <c r="F60" i="20"/>
  <c r="F72" i="20"/>
  <c r="F84" i="20"/>
  <c r="F47" i="20"/>
  <c r="E104" i="20"/>
  <c r="G104" i="20" s="1"/>
  <c r="I60" i="20" l="1"/>
  <c r="H60" i="20"/>
  <c r="J60" i="20" s="1"/>
  <c r="H92" i="20"/>
  <c r="J92" i="20" s="1"/>
  <c r="I92" i="20"/>
  <c r="H97" i="20"/>
  <c r="J97" i="20" s="1"/>
  <c r="I97" i="20"/>
  <c r="H58" i="20"/>
  <c r="J58" i="20" s="1"/>
  <c r="I58" i="20"/>
  <c r="I14" i="20"/>
  <c r="H14" i="20"/>
  <c r="J14" i="20" s="1"/>
  <c r="I27" i="20"/>
  <c r="H27" i="20"/>
  <c r="J27" i="20" s="1"/>
  <c r="H94" i="20"/>
  <c r="J94" i="20" s="1"/>
  <c r="I94" i="20"/>
  <c r="I77" i="20"/>
  <c r="H77" i="20"/>
  <c r="J77" i="20" s="1"/>
  <c r="I103" i="20"/>
  <c r="H103" i="20"/>
  <c r="J103" i="20" s="1"/>
  <c r="H104" i="20"/>
  <c r="J104" i="20" s="1"/>
  <c r="I104" i="20"/>
  <c r="I81" i="20"/>
  <c r="H81" i="20"/>
  <c r="J81" i="20" s="1"/>
  <c r="I88" i="20"/>
  <c r="H88" i="20"/>
  <c r="J88" i="20" s="1"/>
  <c r="H54" i="20"/>
  <c r="J54" i="20" s="1"/>
  <c r="I54" i="20"/>
  <c r="I95" i="20"/>
  <c r="H95" i="20"/>
  <c r="J95" i="20" s="1"/>
  <c r="H18" i="20"/>
  <c r="J18" i="20" s="1"/>
  <c r="I18" i="20"/>
  <c r="H78" i="20"/>
  <c r="J78" i="20" s="1"/>
  <c r="I78" i="20"/>
  <c r="I43" i="20"/>
  <c r="H43" i="20"/>
  <c r="J43" i="20" s="1"/>
  <c r="H46" i="20"/>
  <c r="J46" i="20" s="1"/>
  <c r="I46" i="20"/>
  <c r="H86" i="20"/>
  <c r="J86" i="20" s="1"/>
  <c r="I86" i="20"/>
  <c r="I90" i="20"/>
  <c r="H90" i="20"/>
  <c r="J90" i="20" s="1"/>
  <c r="H59" i="20"/>
  <c r="J59" i="20" s="1"/>
  <c r="I59" i="20"/>
  <c r="H44" i="20"/>
  <c r="J44" i="20" s="1"/>
  <c r="I44" i="20"/>
  <c r="H15" i="20"/>
  <c r="J15" i="20" s="1"/>
  <c r="I15" i="20"/>
  <c r="H52" i="20"/>
  <c r="J52" i="20" s="1"/>
  <c r="I52" i="20"/>
  <c r="H71" i="20"/>
  <c r="J71" i="20" s="1"/>
  <c r="I71" i="20"/>
  <c r="H96" i="20"/>
  <c r="J96" i="20" s="1"/>
  <c r="I96" i="20"/>
  <c r="I36" i="20"/>
  <c r="H36" i="20"/>
  <c r="J36" i="20" s="1"/>
  <c r="H48" i="20"/>
  <c r="J48" i="20" s="1"/>
  <c r="I48" i="20"/>
  <c r="H32" i="20"/>
  <c r="J32" i="20" s="1"/>
  <c r="I32" i="20"/>
  <c r="I33" i="20"/>
  <c r="H33" i="20"/>
  <c r="J33" i="20" s="1"/>
  <c r="H105" i="20"/>
  <c r="J105" i="20" s="1"/>
  <c r="I105" i="20"/>
  <c r="I16" i="20"/>
  <c r="H16" i="20"/>
  <c r="J16" i="20" s="1"/>
  <c r="H26" i="20"/>
  <c r="J26" i="20" s="1"/>
  <c r="I26" i="20"/>
  <c r="I42" i="20"/>
  <c r="H42" i="20"/>
  <c r="J42" i="20" s="1"/>
  <c r="H82" i="20"/>
  <c r="J82" i="20" s="1"/>
  <c r="I82" i="20"/>
  <c r="H25" i="20"/>
  <c r="J25" i="20" s="1"/>
  <c r="I25" i="20"/>
  <c r="I102" i="20"/>
  <c r="H102" i="20"/>
  <c r="J102" i="20" s="1"/>
  <c r="H47" i="20"/>
  <c r="J47" i="20" s="1"/>
  <c r="I47" i="20"/>
  <c r="I30" i="20"/>
  <c r="H30" i="20"/>
  <c r="J30" i="20" s="1"/>
  <c r="I84" i="20"/>
  <c r="H84" i="20"/>
  <c r="J84" i="20" s="1"/>
  <c r="H7" i="20"/>
  <c r="J7" i="20" s="1"/>
  <c r="I7" i="20"/>
  <c r="H79" i="20"/>
  <c r="J79" i="20" s="1"/>
  <c r="I79" i="20"/>
  <c r="H19" i="20"/>
  <c r="J19" i="20" s="1"/>
  <c r="I19" i="20"/>
  <c r="H29" i="20"/>
  <c r="J29" i="20" s="1"/>
  <c r="I29" i="20"/>
  <c r="H21" i="20"/>
  <c r="J21" i="20" s="1"/>
  <c r="I21" i="20"/>
  <c r="H55" i="20"/>
  <c r="J55" i="20" s="1"/>
  <c r="I55" i="20"/>
  <c r="I22" i="20"/>
  <c r="H22" i="20"/>
  <c r="J22" i="20" s="1"/>
  <c r="H89" i="20"/>
  <c r="J89" i="20" s="1"/>
  <c r="I89" i="20"/>
  <c r="H80" i="20"/>
  <c r="J80" i="20" s="1"/>
  <c r="I80" i="20"/>
  <c r="H20" i="20"/>
  <c r="J20" i="20" s="1"/>
  <c r="I20" i="20"/>
  <c r="H39" i="20"/>
  <c r="J39" i="20" s="1"/>
  <c r="I39" i="20"/>
  <c r="H64" i="20"/>
  <c r="J64" i="20" s="1"/>
  <c r="I64" i="20"/>
  <c r="I70" i="20"/>
  <c r="H70" i="20"/>
  <c r="J70" i="20" s="1"/>
  <c r="H75" i="20"/>
  <c r="J75" i="20" s="1"/>
  <c r="I75" i="20"/>
  <c r="H56" i="20"/>
  <c r="J56" i="20" s="1"/>
  <c r="I56" i="20"/>
  <c r="H85" i="20"/>
  <c r="J85" i="20" s="1"/>
  <c r="I85" i="20"/>
  <c r="H65" i="20"/>
  <c r="J65" i="20" s="1"/>
  <c r="I65" i="20"/>
  <c r="H8" i="20"/>
  <c r="J8" i="20" s="1"/>
  <c r="I8" i="20"/>
  <c r="I83" i="20"/>
  <c r="H83" i="20"/>
  <c r="J83" i="20" s="1"/>
  <c r="H99" i="20"/>
  <c r="J99" i="20" s="1"/>
  <c r="I99" i="20"/>
  <c r="I17" i="20"/>
  <c r="H17" i="20"/>
  <c r="J17" i="20" s="1"/>
  <c r="H37" i="20"/>
  <c r="J37" i="20" s="1"/>
  <c r="I37" i="20"/>
  <c r="H93" i="20"/>
  <c r="J93" i="20" s="1"/>
  <c r="I93" i="20"/>
  <c r="I63" i="20"/>
  <c r="H63" i="20"/>
  <c r="J63" i="20" s="1"/>
  <c r="H100" i="20"/>
  <c r="J100" i="20" s="1"/>
  <c r="I100" i="20"/>
  <c r="H9" i="20"/>
  <c r="J9" i="20" s="1"/>
  <c r="I9" i="20"/>
  <c r="I76" i="20"/>
  <c r="H76" i="20"/>
  <c r="J76" i="20" s="1"/>
  <c r="H53" i="20"/>
  <c r="J53" i="20" s="1"/>
  <c r="I53" i="20"/>
  <c r="I40" i="20"/>
  <c r="H40" i="20"/>
  <c r="J40" i="20" s="1"/>
  <c r="I34" i="20"/>
  <c r="H34" i="20"/>
  <c r="J34" i="20" s="1"/>
  <c r="I24" i="20"/>
  <c r="H24" i="20"/>
  <c r="J24" i="20" s="1"/>
  <c r="H72" i="20"/>
  <c r="J72" i="20" s="1"/>
  <c r="I72" i="20"/>
  <c r="H35" i="20"/>
  <c r="J35" i="20" s="1"/>
  <c r="I35" i="20"/>
  <c r="H45" i="20"/>
  <c r="J45" i="20" s="1"/>
  <c r="I45" i="20"/>
  <c r="H10" i="20"/>
  <c r="J10" i="20" s="1"/>
  <c r="I10" i="20"/>
  <c r="I73" i="20"/>
  <c r="H73" i="20"/>
  <c r="J73" i="20" s="1"/>
  <c r="I66" i="20"/>
  <c r="H66" i="20"/>
  <c r="J66" i="20" s="1"/>
  <c r="H101" i="20"/>
  <c r="J101" i="20" s="1"/>
  <c r="I101" i="20"/>
  <c r="I67" i="20"/>
  <c r="H67" i="20"/>
  <c r="J67" i="20" s="1"/>
  <c r="H13" i="20"/>
  <c r="J13" i="20" s="1"/>
  <c r="I13" i="20"/>
  <c r="I23" i="20"/>
  <c r="H23" i="20"/>
  <c r="J23" i="20" s="1"/>
  <c r="H51" i="20"/>
  <c r="J51" i="20" s="1"/>
  <c r="I51" i="20"/>
  <c r="H106" i="20"/>
  <c r="J106" i="20" s="1"/>
  <c r="I106" i="20"/>
  <c r="I61" i="20"/>
  <c r="H61" i="20"/>
  <c r="J61" i="20" s="1"/>
  <c r="H74" i="20"/>
  <c r="J74" i="20" s="1"/>
  <c r="I74" i="20"/>
  <c r="H31" i="20"/>
  <c r="J31" i="20" s="1"/>
  <c r="I31" i="20"/>
  <c r="I68" i="20"/>
  <c r="H68" i="20"/>
  <c r="J68" i="20" s="1"/>
  <c r="I87" i="20"/>
  <c r="H87" i="20"/>
  <c r="J87" i="20" s="1"/>
  <c r="I11" i="20"/>
  <c r="H11" i="20"/>
  <c r="J11" i="20" s="1"/>
  <c r="H41" i="20"/>
  <c r="J41" i="20" s="1"/>
  <c r="I41" i="20"/>
  <c r="I69" i="20"/>
  <c r="H69" i="20"/>
  <c r="J69" i="20" s="1"/>
  <c r="H38" i="20"/>
  <c r="J38" i="20" s="1"/>
  <c r="I38" i="20"/>
  <c r="H98" i="20"/>
  <c r="J98" i="20" s="1"/>
  <c r="I98" i="20"/>
  <c r="H91" i="20"/>
  <c r="J91" i="20" s="1"/>
  <c r="I91" i="20"/>
  <c r="H28" i="20"/>
  <c r="J28" i="20" s="1"/>
  <c r="I28" i="20"/>
  <c r="H49" i="20"/>
  <c r="J49" i="20" s="1"/>
  <c r="I49" i="20"/>
  <c r="H62" i="20"/>
  <c r="J62" i="20" s="1"/>
  <c r="I62" i="20"/>
  <c r="H12" i="20"/>
  <c r="J12" i="20" s="1"/>
  <c r="I12" i="20"/>
  <c r="H57" i="20"/>
  <c r="J57" i="20" s="1"/>
  <c r="I57" i="20"/>
  <c r="H50" i="20"/>
  <c r="J50" i="20" s="1"/>
  <c r="I50" i="20"/>
</calcChain>
</file>

<file path=xl/comments1.xml><?xml version="1.0" encoding="utf-8"?>
<comments xmlns="http://schemas.openxmlformats.org/spreadsheetml/2006/main">
  <authors>
    <author>DELL1</author>
    <author>Nicla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Calcolato dall'asse del ferro longitudinale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Per la valutazione della reale duttilità della sezione, va sempre considerato il contributo del confinamento delle staffe.</t>
        </r>
      </text>
    </comment>
    <comment ref="F123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 valori richiesti di seguito servono solo per la definizione delle limitazioni di normativa dei pilastri. Non entrano in gioo nella definizione del diagramma momento-curvatura.</t>
        </r>
      </text>
    </comment>
  </commentList>
</comments>
</file>

<file path=xl/comments2.xml><?xml version="1.0" encoding="utf-8"?>
<comments xmlns="http://schemas.openxmlformats.org/spreadsheetml/2006/main">
  <authors>
    <author>DELL1</author>
    <author>Nicla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Sarà sempre considerata come una forza di compressione a prescindere dal segno</t>
        </r>
      </text>
    </comment>
    <comment ref="G19" authorId="1" shapeId="0">
      <text>
        <r>
          <rPr>
            <b/>
            <sz val="9"/>
            <color indexed="81"/>
            <rFont val="Tahoma"/>
            <family val="2"/>
          </rPr>
          <t xml:space="preserve">Davide Cicchini:
</t>
        </r>
        <r>
          <rPr>
            <sz val="9"/>
            <color indexed="81"/>
            <rFont val="Tahoma"/>
            <family val="2"/>
          </rPr>
          <t xml:space="preserve">
fm/FC</t>
        </r>
      </text>
    </comment>
  </commentList>
</comments>
</file>

<file path=xl/comments3.xml><?xml version="1.0" encoding="utf-8"?>
<comments xmlns="http://schemas.openxmlformats.org/spreadsheetml/2006/main">
  <authors>
    <author>DELL1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Coordinata in ascissa del baricentro.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Coordina in ordinata del baricentro.</t>
        </r>
      </text>
    </comment>
  </commentList>
</comments>
</file>

<file path=xl/comments4.xml><?xml version="1.0" encoding="utf-8"?>
<comments xmlns="http://schemas.openxmlformats.org/spreadsheetml/2006/main">
  <authors>
    <author>DELL1</author>
  </authors>
  <commentList>
    <comment ref="H71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Ghersi consiglia valori minori del 2,5%</t>
        </r>
      </text>
    </comment>
  </commentList>
</comments>
</file>

<file path=xl/sharedStrings.xml><?xml version="1.0" encoding="utf-8"?>
<sst xmlns="http://schemas.openxmlformats.org/spreadsheetml/2006/main" count="517" uniqueCount="402">
  <si>
    <t>β2</t>
  </si>
  <si>
    <t>β1</t>
  </si>
  <si>
    <t>STEP</t>
  </si>
  <si>
    <t>As</t>
  </si>
  <si>
    <t>α</t>
  </si>
  <si>
    <t>Es</t>
  </si>
  <si>
    <t>fyd</t>
  </si>
  <si>
    <t>fcd</t>
  </si>
  <si>
    <t>[‰]</t>
  </si>
  <si>
    <t>εyd</t>
  </si>
  <si>
    <t>d</t>
  </si>
  <si>
    <t>εcu</t>
  </si>
  <si>
    <t>H</t>
  </si>
  <si>
    <t>εc2</t>
  </si>
  <si>
    <t>B</t>
  </si>
  <si>
    <t>d'</t>
  </si>
  <si>
    <t>RESISTENZE</t>
  </si>
  <si>
    <t>A's</t>
  </si>
  <si>
    <t>SFORZO NORMALE</t>
  </si>
  <si>
    <t>εud</t>
  </si>
  <si>
    <t>εc(var)</t>
  </si>
  <si>
    <t>y</t>
  </si>
  <si>
    <t>[mm]</t>
  </si>
  <si>
    <t>fctd</t>
  </si>
  <si>
    <t>Ec</t>
  </si>
  <si>
    <t>εctu</t>
  </si>
  <si>
    <t>yu</t>
  </si>
  <si>
    <t>Mu</t>
  </si>
  <si>
    <t>χu</t>
  </si>
  <si>
    <t>χy</t>
  </si>
  <si>
    <t>Myd</t>
  </si>
  <si>
    <t>Mcrack</t>
  </si>
  <si>
    <t>EI</t>
  </si>
  <si>
    <t>χelas</t>
  </si>
  <si>
    <t>I,approx</t>
  </si>
  <si>
    <t>comportamento elastico</t>
  </si>
  <si>
    <t>σ</t>
  </si>
  <si>
    <t>progressivo</t>
  </si>
  <si>
    <t>ν</t>
  </si>
  <si>
    <t>si</t>
  </si>
  <si>
    <t>no</t>
  </si>
  <si>
    <t>ω</t>
  </si>
  <si>
    <t>ω'</t>
  </si>
  <si>
    <t>momento curvatura semplificato presso-flex</t>
  </si>
  <si>
    <t>momento curvatura semplificato flex</t>
  </si>
  <si>
    <t>curvatura limite</t>
  </si>
  <si>
    <t>ρ</t>
  </si>
  <si>
    <t>ρ'</t>
  </si>
  <si>
    <t>I</t>
  </si>
  <si>
    <r>
      <t>ρ</t>
    </r>
    <r>
      <rPr>
        <sz val="8"/>
        <color theme="1"/>
        <rFont val="Calibri"/>
        <family val="2"/>
      </rPr>
      <t>tot</t>
    </r>
  </si>
  <si>
    <t>C8/10</t>
  </si>
  <si>
    <t>Fe B450C</t>
  </si>
  <si>
    <t>C12/15</t>
  </si>
  <si>
    <t>Fe B44k</t>
  </si>
  <si>
    <t>C16/20</t>
  </si>
  <si>
    <t>C20/25</t>
  </si>
  <si>
    <t>C25/30</t>
  </si>
  <si>
    <t>C28/35</t>
  </si>
  <si>
    <t>C32/40</t>
  </si>
  <si>
    <t>C35/45</t>
  </si>
  <si>
    <t>C40/50</t>
  </si>
  <si>
    <t>C45/55</t>
  </si>
  <si>
    <t>C50/60</t>
  </si>
  <si>
    <t>Resistenza cubica caratteristica</t>
  </si>
  <si>
    <t>Resistenza cilindrica media</t>
  </si>
  <si>
    <t>Resistenza cilindrica caratteristica</t>
  </si>
  <si>
    <t>Resistenza cilindrica di calcolo</t>
  </si>
  <si>
    <t>Resistenza a trazione caratteristica</t>
  </si>
  <si>
    <t>Resistenza a trazione media</t>
  </si>
  <si>
    <t>Resistenza a trazione di calcolo</t>
  </si>
  <si>
    <t>Resistenza tangenziale di calcolo</t>
  </si>
  <si>
    <t xml:space="preserve">Modulo di Young </t>
  </si>
  <si>
    <r>
      <t>E</t>
    </r>
    <r>
      <rPr>
        <b/>
        <sz val="9"/>
        <color theme="1"/>
        <rFont val="Calibri"/>
        <family val="2"/>
        <scheme val="minor"/>
      </rPr>
      <t>c</t>
    </r>
  </si>
  <si>
    <t>Calcestruzzo:</t>
  </si>
  <si>
    <t>Classe di resistenza</t>
  </si>
  <si>
    <t>Acciaio:</t>
  </si>
  <si>
    <t>Tipo Acciaio</t>
  </si>
  <si>
    <t xml:space="preserve"> prolungati nel tempo</t>
  </si>
  <si>
    <t>Coef. di riduzione della resistenza, per carichi</t>
  </si>
  <si>
    <t>Deformazione limite del tratta parabolico</t>
  </si>
  <si>
    <t>Deformazione ultima (tratto rettangolare)</t>
  </si>
  <si>
    <t>Deformazione allo snervamento</t>
  </si>
  <si>
    <t>Deformazione ultima</t>
  </si>
  <si>
    <t>Base</t>
  </si>
  <si>
    <t>Altezza</t>
  </si>
  <si>
    <t>Copriferro teorico</t>
  </si>
  <si>
    <t>Altezza utile</t>
  </si>
  <si>
    <t>Armatura In zona compressa</t>
  </si>
  <si>
    <t>Armatura in zona tesa</t>
  </si>
  <si>
    <t>Area di acciaio in zona tesa</t>
  </si>
  <si>
    <t>Area di acciaio in zona compressa</t>
  </si>
  <si>
    <t>Sforzo normale sollecitante</t>
  </si>
  <si>
    <t>Sforzo normale sollecitante adimensionalizzato</t>
  </si>
  <si>
    <t>Percentuale meccanica di armatura in zona tesa</t>
  </si>
  <si>
    <t>Percentuale meccanica di armatura in zona compressa</t>
  </si>
  <si>
    <t>Percentuale geometrica di armatura in zona tesa</t>
  </si>
  <si>
    <t>Percentuale geometrica di armatura in zona compressa</t>
  </si>
  <si>
    <t>Percentuale geometrica di armatura totale</t>
  </si>
  <si>
    <r>
      <t>ω</t>
    </r>
    <r>
      <rPr>
        <sz val="8"/>
        <color theme="1"/>
        <rFont val="Calibri"/>
        <family val="2"/>
      </rPr>
      <t>tot</t>
    </r>
  </si>
  <si>
    <t>Percentuale meccanica di armatura totale</t>
  </si>
  <si>
    <t>Longitudinale:</t>
  </si>
  <si>
    <t>Trasversale:</t>
  </si>
  <si>
    <t>numero</t>
  </si>
  <si>
    <t>diametro</t>
  </si>
  <si>
    <r>
      <t>N/mm</t>
    </r>
    <r>
      <rPr>
        <vertAlign val="superscript"/>
        <sz val="10"/>
        <rFont val="Arial"/>
        <family val="2"/>
      </rPr>
      <t>2</t>
    </r>
  </si>
  <si>
    <r>
      <t>f</t>
    </r>
    <r>
      <rPr>
        <b/>
        <vertAlign val="subscript"/>
        <sz val="10"/>
        <rFont val="Arial"/>
        <family val="2"/>
      </rPr>
      <t>yk =</t>
    </r>
  </si>
  <si>
    <t>PER LA ZONA CRITICA</t>
  </si>
  <si>
    <t>Tensione di snervamento</t>
  </si>
  <si>
    <t>Tensione di Rottura</t>
  </si>
  <si>
    <r>
      <t>f</t>
    </r>
    <r>
      <rPr>
        <b/>
        <sz val="8"/>
        <color theme="1"/>
        <rFont val="Calibri"/>
        <family val="2"/>
        <scheme val="minor"/>
      </rPr>
      <t>k</t>
    </r>
  </si>
  <si>
    <t>Nel caso di pilastri inserire anche l'armatura nell'altra direzione</t>
  </si>
  <si>
    <t>Armatura in zona compressa</t>
  </si>
  <si>
    <r>
      <t>N</t>
    </r>
    <r>
      <rPr>
        <sz val="9"/>
        <color theme="1"/>
        <rFont val="Calibri"/>
        <family val="2"/>
        <scheme val="minor"/>
      </rPr>
      <t>ED</t>
    </r>
  </si>
  <si>
    <t>Area di acciaio sinistra</t>
  </si>
  <si>
    <t>Area di acciaio destra</t>
  </si>
  <si>
    <r>
      <t>ω</t>
    </r>
    <r>
      <rPr>
        <sz val="8"/>
        <color theme="1"/>
        <rFont val="Calibri"/>
        <family val="2"/>
      </rPr>
      <t>tot(sopra-sotto)</t>
    </r>
  </si>
  <si>
    <r>
      <t>ω</t>
    </r>
    <r>
      <rPr>
        <sz val="8"/>
        <color theme="1"/>
        <rFont val="Calibri"/>
        <family val="2"/>
      </rPr>
      <t>tot(destra-sinistra)</t>
    </r>
  </si>
  <si>
    <r>
      <t>ρ</t>
    </r>
    <r>
      <rPr>
        <sz val="8"/>
        <color theme="1"/>
        <rFont val="Calibri"/>
        <family val="2"/>
      </rPr>
      <t>tot(sopra sotto)</t>
    </r>
  </si>
  <si>
    <r>
      <t>ρ</t>
    </r>
    <r>
      <rPr>
        <sz val="8"/>
        <color theme="1"/>
        <rFont val="Calibri"/>
        <family val="2"/>
      </rPr>
      <t>tot(destra sinistra)</t>
    </r>
  </si>
  <si>
    <t>As,sx</t>
  </si>
  <si>
    <t>As,dx</t>
  </si>
  <si>
    <r>
      <t>ω</t>
    </r>
    <r>
      <rPr>
        <sz val="9"/>
        <color theme="1"/>
        <rFont val="Calibri"/>
        <family val="2"/>
      </rPr>
      <t>,sx</t>
    </r>
  </si>
  <si>
    <r>
      <t>ω</t>
    </r>
    <r>
      <rPr>
        <sz val="9"/>
        <color theme="1"/>
        <rFont val="Calibri"/>
        <family val="2"/>
      </rPr>
      <t>,dx</t>
    </r>
  </si>
  <si>
    <r>
      <t>ρ</t>
    </r>
    <r>
      <rPr>
        <sz val="9"/>
        <color theme="1"/>
        <rFont val="Calibri"/>
        <family val="2"/>
      </rPr>
      <t>,dx</t>
    </r>
  </si>
  <si>
    <r>
      <t>ρ</t>
    </r>
    <r>
      <rPr>
        <sz val="9"/>
        <color theme="1"/>
        <rFont val="Calibri"/>
        <family val="2"/>
      </rPr>
      <t>,sx</t>
    </r>
  </si>
  <si>
    <t>Area di acciaio totale</t>
  </si>
  <si>
    <t>As,tot</t>
  </si>
  <si>
    <t>F</t>
  </si>
  <si>
    <t>LIMITAZIONI PILASTRI</t>
  </si>
  <si>
    <t>altezza utile</t>
  </si>
  <si>
    <t>( dall'asse longitudinale del ferro)</t>
  </si>
  <si>
    <t xml:space="preserve">copriferro </t>
  </si>
  <si>
    <t>h'</t>
  </si>
  <si>
    <t>altezza totale</t>
  </si>
  <si>
    <t>[Mpa]</t>
  </si>
  <si>
    <t>base</t>
  </si>
  <si>
    <t>b</t>
  </si>
  <si>
    <t>1.caratteristiche geometriche</t>
  </si>
  <si>
    <t>ωst</t>
  </si>
  <si>
    <t xml:space="preserve">volume totale </t>
  </si>
  <si>
    <t>lunghezza totale</t>
  </si>
  <si>
    <t>volume legature totali</t>
  </si>
  <si>
    <t>volume legature in altezza</t>
  </si>
  <si>
    <t>volume legature in base</t>
  </si>
  <si>
    <t>volume delle legature</t>
  </si>
  <si>
    <t>αv</t>
  </si>
  <si>
    <t>volume della staffa</t>
  </si>
  <si>
    <t>αh</t>
  </si>
  <si>
    <t xml:space="preserve">lungheza delle legature </t>
  </si>
  <si>
    <t>legature in altezza</t>
  </si>
  <si>
    <t>legature in base</t>
  </si>
  <si>
    <t>perimetro della staffa</t>
  </si>
  <si>
    <t>staffa lato in altezza</t>
  </si>
  <si>
    <t>H₀</t>
  </si>
  <si>
    <t xml:space="preserve">staffa lato di base </t>
  </si>
  <si>
    <t>dimensioni staffa</t>
  </si>
  <si>
    <t>3.coefficiente di efficienza</t>
  </si>
  <si>
    <t>2.armatura trasversale</t>
  </si>
  <si>
    <t>1.calcestruzzo confinato</t>
  </si>
  <si>
    <t>Duttilità offerta al calcestruzzo dal confinamento delle staffe</t>
  </si>
  <si>
    <r>
      <t>b</t>
    </r>
    <r>
      <rPr>
        <b/>
        <sz val="12"/>
        <color theme="1"/>
        <rFont val="Calibri"/>
        <family val="2"/>
      </rPr>
      <t>₀</t>
    </r>
  </si>
  <si>
    <t>Area della sezione della staffa</t>
  </si>
  <si>
    <t>Area della sezione di legatura (spille) disposte come la base</t>
  </si>
  <si>
    <t>Area della sezione di legatura (spille) disposte come l'altezza</t>
  </si>
  <si>
    <t xml:space="preserve">Ast </t>
  </si>
  <si>
    <t>Diametro della staffa</t>
  </si>
  <si>
    <t>Passo della staffa</t>
  </si>
  <si>
    <t>Copriferro reale</t>
  </si>
  <si>
    <t>c'</t>
  </si>
  <si>
    <t>Altezza confinata dalla staffa</t>
  </si>
  <si>
    <t>Base confinata dalla staffa</t>
  </si>
  <si>
    <t>dimensioni braccia interne</t>
  </si>
  <si>
    <t>2 RESISTENZE DEI MATERIALI</t>
  </si>
  <si>
    <t>3 DEFORMAZIONI LIMITE DEI MATERIALI</t>
  </si>
  <si>
    <t>4 ARMATURE DELLA SEZIONE</t>
  </si>
  <si>
    <t>Numero totale di braccia nella direzione della base</t>
  </si>
  <si>
    <t>Numero totale di braccia nella direzione dell'altezza</t>
  </si>
  <si>
    <t>leagture di base</t>
  </si>
  <si>
    <t>legature altezza</t>
  </si>
  <si>
    <t>Percentuale meccanica e volumetrica di staffe</t>
  </si>
  <si>
    <t>Coefficiente di efficienza</t>
  </si>
  <si>
    <t>Coefficiente di efficienza verticale</t>
  </si>
  <si>
    <t>Coefficiente di efficienza orizzontale</t>
  </si>
  <si>
    <t xml:space="preserve">numero di ferri longitudinali sulle basi vincolati da staffe </t>
  </si>
  <si>
    <t xml:space="preserve">numero di ferri longitudinali sulle altezze vincolati da staffe </t>
  </si>
  <si>
    <t>Area della sezione di staffe disposte come la base</t>
  </si>
  <si>
    <r>
      <t>A</t>
    </r>
    <r>
      <rPr>
        <sz val="9"/>
        <color theme="1"/>
        <rFont val="Calibri"/>
        <family val="2"/>
        <scheme val="minor"/>
      </rPr>
      <t>st,altezza</t>
    </r>
  </si>
  <si>
    <r>
      <t>A</t>
    </r>
    <r>
      <rPr>
        <sz val="9"/>
        <color theme="1"/>
        <rFont val="Calibri"/>
        <family val="2"/>
        <scheme val="minor"/>
      </rPr>
      <t>st,base</t>
    </r>
  </si>
  <si>
    <t>Area della sezione di staffe disposte come l'altezza</t>
  </si>
  <si>
    <r>
      <t>ε</t>
    </r>
    <r>
      <rPr>
        <sz val="9"/>
        <color theme="1"/>
        <rFont val="Calibri"/>
        <family val="2"/>
      </rPr>
      <t>ccu</t>
    </r>
  </si>
  <si>
    <t>Distanza tra i ferri di base</t>
  </si>
  <si>
    <t>Distanza tra i ferri in altezza</t>
  </si>
  <si>
    <t>Deformazione ultima per calcestruzzo confinato</t>
  </si>
  <si>
    <t>4.deformazione ultima per calcestruzzo confinato</t>
  </si>
  <si>
    <t>DEFORMAZIONI</t>
  </si>
  <si>
    <t>Resistenza  di calcolo</t>
  </si>
  <si>
    <t>Deformazione ultima a trazione</t>
  </si>
  <si>
    <r>
      <t>f</t>
    </r>
    <r>
      <rPr>
        <sz val="8"/>
        <color theme="1"/>
        <rFont val="Calibri"/>
        <family val="2"/>
        <scheme val="minor"/>
      </rPr>
      <t>k</t>
    </r>
  </si>
  <si>
    <r>
      <t>f</t>
    </r>
    <r>
      <rPr>
        <sz val="8"/>
        <color theme="1"/>
        <rFont val="Calibri"/>
        <family val="2"/>
        <scheme val="minor"/>
      </rPr>
      <t>y,k</t>
    </r>
  </si>
  <si>
    <r>
      <t>f</t>
    </r>
    <r>
      <rPr>
        <sz val="8"/>
        <color theme="1"/>
        <rFont val="Calibri"/>
        <family val="2"/>
        <scheme val="minor"/>
      </rPr>
      <t>y,d</t>
    </r>
  </si>
  <si>
    <r>
      <t>E</t>
    </r>
    <r>
      <rPr>
        <sz val="9"/>
        <color theme="1"/>
        <rFont val="Calibri"/>
        <family val="2"/>
        <scheme val="minor"/>
      </rPr>
      <t>c</t>
    </r>
  </si>
  <si>
    <t>Armatura sinistra (NON RIPETERE I FERRI D'ANGOLO)</t>
  </si>
  <si>
    <t>Armatura destra  (NON RIPETERE I FERRI D'ANGOLO)</t>
  </si>
  <si>
    <t>Altezza della sezione</t>
  </si>
  <si>
    <t>Larghezza della sezione</t>
  </si>
  <si>
    <t>Classe di duttilità alta CD"A"</t>
  </si>
  <si>
    <t>Classe di duttilità bassa CD"B"</t>
  </si>
  <si>
    <t>Verifica limiti di armatura in ZONA CRITICA</t>
  </si>
  <si>
    <t>PASSO</t>
  </si>
  <si>
    <t>Armatura trasversale minima fuori zona critica</t>
  </si>
  <si>
    <t>(cm)</t>
  </si>
  <si>
    <t>A(σ-ε)</t>
  </si>
  <si>
    <t>Sy(σ-ε)</t>
  </si>
  <si>
    <t>LEGAME COSTITUTIVO DEL CALCESTRUZZO: PARABOLA-RETTANGOLO</t>
  </si>
  <si>
    <t>verificato</t>
  </si>
  <si>
    <t>Armature longitudinali</t>
  </si>
  <si>
    <t>Armature trasversali</t>
  </si>
  <si>
    <t>As,max=0.04 Ac</t>
  </si>
  <si>
    <r>
      <t>As,min=0.26 (f</t>
    </r>
    <r>
      <rPr>
        <sz val="8"/>
        <color theme="1"/>
        <rFont val="Calibri"/>
        <family val="2"/>
        <scheme val="minor"/>
      </rPr>
      <t>ctm</t>
    </r>
    <r>
      <rPr>
        <sz val="11"/>
        <color theme="1"/>
        <rFont val="Calibri"/>
        <family val="2"/>
        <scheme val="minor"/>
      </rPr>
      <t>/f</t>
    </r>
    <r>
      <rPr>
        <sz val="8"/>
        <color theme="1"/>
        <rFont val="Calibri"/>
        <family val="2"/>
        <scheme val="minor"/>
      </rPr>
      <t>yk</t>
    </r>
    <r>
      <rPr>
        <sz val="11"/>
        <color theme="1"/>
        <rFont val="Calibri"/>
        <family val="2"/>
        <scheme val="minor"/>
      </rPr>
      <t xml:space="preserve">) bw d; </t>
    </r>
    <r>
      <rPr>
        <sz val="11"/>
        <color theme="1"/>
        <rFont val="Calibri"/>
        <family val="2"/>
      </rPr>
      <t xml:space="preserve">non minore di 0.0013 b d </t>
    </r>
  </si>
  <si>
    <r>
      <t>A</t>
    </r>
    <r>
      <rPr>
        <sz val="9"/>
        <color theme="1"/>
        <rFont val="Calibri"/>
        <family val="2"/>
        <scheme val="minor"/>
      </rPr>
      <t>st</t>
    </r>
  </si>
  <si>
    <t>s</t>
  </si>
  <si>
    <t>Passo non superiore a 0,8 d</t>
  </si>
  <si>
    <t>Passo non superiore a 3 staffe/metro</t>
  </si>
  <si>
    <t>superiormente e inferiormente per tutta la lunghezza della trave</t>
  </si>
  <si>
    <t xml:space="preserve"> Almeno due barre di diametro nn inferiore a 14 devono essere presenti sia </t>
  </si>
  <si>
    <t xml:space="preserve">Verifica quantitativi di armatura </t>
  </si>
  <si>
    <t>1-Un quarto dell'altezza utile della sezione trasversale</t>
  </si>
  <si>
    <t>2-175 mm e 225 mm, rispettivamente per CD"A" e CD"B"</t>
  </si>
  <si>
    <t>3- 6 volte e 8 volte il diametro minimo delle barre longitudinali considerate ai fini delle verifiche</t>
  </si>
  <si>
    <t>CD"A"</t>
  </si>
  <si>
    <t>CD"B"</t>
  </si>
  <si>
    <t>4- 24 volte il diametro delle armature trasversali</t>
  </si>
  <si>
    <t>Diametro minimo delle staffe 6 mm</t>
  </si>
  <si>
    <t>Almeno il 50% dell'armatura a taglio deve essere costituita da staffe</t>
  </si>
  <si>
    <r>
      <t xml:space="preserve">La larghezza della trave deve essere </t>
    </r>
    <r>
      <rPr>
        <sz val="13"/>
        <rFont val="Calibri"/>
        <family val="2"/>
      </rPr>
      <t>≥</t>
    </r>
    <r>
      <rPr>
        <sz val="11.7"/>
        <rFont val="Calibri"/>
        <family val="2"/>
      </rPr>
      <t xml:space="preserve"> di 20 cm</t>
    </r>
  </si>
  <si>
    <r>
      <t xml:space="preserve">Il rapporto B/H </t>
    </r>
    <r>
      <rPr>
        <sz val="12"/>
        <color theme="1"/>
        <rFont val="Calibri"/>
        <family val="2"/>
      </rPr>
      <t>≥0,25; B ≥ 200 mm:</t>
    </r>
  </si>
  <si>
    <t>La larghezza della trave per le travi basse comunemente denominate "a spessore", deve essere non maggiore</t>
  </si>
  <si>
    <t>risultando comunque non maggiore di volte bc, essendo bc la larghezza del pilastro ortogonale all'asse della trave.</t>
  </si>
  <si>
    <t xml:space="preserve">della larghezza del pilastro, aumentata da ogni lato di metà dell'altezza della sezione trasversale della trave stessa, </t>
  </si>
  <si>
    <t>Le zone critiche si estendono, per CD”B” e CD”A”, per una lunghezza pari rispettivamente a 1 e 1,5 volte l'altezza</t>
  </si>
  <si>
    <t xml:space="preserve">della sezione della trave, misurata a partire dalla faccia del nodo trave-pilastro o da entrambi i lati a partire dalla </t>
  </si>
  <si>
    <t xml:space="preserve">sezione di prima plasticizzazione. Per travi che sostengono un pilastro in falso, si assume una lunghezza pari a 2 </t>
  </si>
  <si>
    <t>volte l’altezza della sezione misurata da entrambe le facce del pilastro.</t>
  </si>
  <si>
    <t>§ 7.4.6.2.1 limitazioni armatura Travi (zona sismica)</t>
  </si>
  <si>
    <t>§ 4.1.6.1.1  limitazioni armatura Travi (zona non sismica)</t>
  </si>
  <si>
    <t>§ 7.4.6.1.1 limitazioni geometriche Travi</t>
  </si>
  <si>
    <t>§ 7.4.6.1.2 limitazioni geometriche Pilastri</t>
  </si>
  <si>
    <r>
      <t xml:space="preserve">La dimensione minima della sezione trasverslae non deve essere inferiore a 250 mm </t>
    </r>
    <r>
      <rPr>
        <sz val="13"/>
        <rFont val="Calibri"/>
        <family val="2"/>
      </rPr>
      <t/>
    </r>
  </si>
  <si>
    <t>MIN:</t>
  </si>
  <si>
    <t>Spostamento orizzontale medio d'interpiano</t>
  </si>
  <si>
    <t>dr</t>
  </si>
  <si>
    <t>Taglio sismico di piano</t>
  </si>
  <si>
    <t>V</t>
  </si>
  <si>
    <t>Altezza interpiano</t>
  </si>
  <si>
    <t>h</t>
  </si>
  <si>
    <t>può comunque superare il valore 0,3.</t>
  </si>
  <si>
    <r>
      <t>conto incrementando gli effetti dell’azione sismica orizzontale di un fattore pari a 1/(1-</t>
    </r>
    <r>
      <rPr>
        <sz val="12"/>
        <rFont val="Calibri"/>
        <family val="2"/>
      </rPr>
      <t>θ</t>
    </r>
    <r>
      <rPr>
        <sz val="12"/>
        <rFont val="Calibri"/>
        <family val="2"/>
        <scheme val="minor"/>
      </rPr>
      <t>); θ non</t>
    </r>
  </si>
  <si>
    <t>θ</t>
  </si>
  <si>
    <t>decimo della maggiore tra le distanze tra il punto in cui si annulla il momento flettente e le estremità</t>
  </si>
  <si>
    <t>del pilastro.</t>
  </si>
  <si>
    <r>
      <t xml:space="preserve">Se </t>
    </r>
    <r>
      <rPr>
        <sz val="11"/>
        <color theme="1"/>
        <rFont val="Calibri"/>
        <family val="2"/>
      </rPr>
      <t>θ</t>
    </r>
    <r>
      <rPr>
        <sz val="11"/>
        <color theme="1"/>
        <rFont val="Calibri"/>
        <family val="2"/>
        <scheme val="minor"/>
      </rPr>
      <t>, quale definito nel § 7.3.1, risulta &gt;0,1, l’altezza della sezione non deve essere inferiore ad un</t>
    </r>
  </si>
  <si>
    <t>hmin</t>
  </si>
  <si>
    <t>Quando θ è compreso tra 0,1 e 0,2 gli effetti delle non linearità geometriche possono essere presi in</t>
  </si>
  <si>
    <t>In assenza di analisi più accurate si può assumere che la lunghezza della zona critica sia la maggiore</t>
  </si>
  <si>
    <t>tra: l’altezza della sezione, 1/6 dell’altezza libera del pilastro, 45 cm, l’altezza libera del pilastro se</t>
  </si>
  <si>
    <t>questa è inferiore a 3 volte l’altezza della sezione.</t>
  </si>
  <si>
    <t>Hcrit</t>
  </si>
  <si>
    <t>hpil</t>
  </si>
  <si>
    <t>1/6 hpil</t>
  </si>
  <si>
    <t>se hpil&lt;3H</t>
  </si>
  <si>
    <t>non minore di</t>
  </si>
  <si>
    <t>§ 4.1.6.1.1  limitazioni armatura Pilastri (zona non sismica)</t>
  </si>
  <si>
    <t>§ 7.4.4.2.2.1  limitazioni di compressione</t>
  </si>
  <si>
    <t>Al di fuori delle zone di sovrapposizione As,max = 0,04 Ac</t>
  </si>
  <si>
    <t>Ac</t>
  </si>
  <si>
    <t>Il diametro delle staffe deve essere non minore di 6 mm</t>
  </si>
  <si>
    <t>Il diametro deve essere non minore di un quarto del diametro massimo delle barre longitudinali</t>
  </si>
  <si>
    <t>Diametro adottato:</t>
  </si>
  <si>
    <r>
      <t xml:space="preserve">Passo non superiore a 12 volte </t>
    </r>
    <r>
      <rPr>
        <sz val="12"/>
        <color theme="1"/>
        <rFont val="Calibri"/>
        <family val="2"/>
      </rPr>
      <t>φ</t>
    </r>
    <r>
      <rPr>
        <sz val="10.8"/>
        <color theme="1"/>
        <rFont val="Calibri"/>
        <family val="2"/>
      </rPr>
      <t>min,long</t>
    </r>
  </si>
  <si>
    <t>Passo non superiore a 250mm</t>
  </si>
  <si>
    <t>§ 7.4.6.2.2 limitazioni armatura Pilastri (zona sismica)</t>
  </si>
  <si>
    <t>Nel caso in cui i tamponamenti non si estendano per l’intera altezza dei pilastri adiacenti, l’armatura</t>
  </si>
  <si>
    <t>risultante deve essere estesa per una distanza pari alla profondità del pilastro oltre la zona priva di</t>
  </si>
  <si>
    <t>tamponamento. Nel caso in cui l’altezza della zona priva di tamponamento fosse inferiore a 1,5</t>
  </si>
  <si>
    <t>volte la profondità del pilastro, debbono essere utilizzate armature bi-diagonali.</t>
  </si>
  <si>
    <t>Nel caso precedente, qualora il tamponamento sia presente su un solo lato di un pilastro, l’armatura</t>
  </si>
  <si>
    <t>trasversale da disporre alle estremità del pilastro ai sensi del § 7.4.5.3. deve essere estesa all’intera</t>
  </si>
  <si>
    <t>altezza del pilastro.</t>
  </si>
  <si>
    <t>Interasse barre &lt; 250mm</t>
  </si>
  <si>
    <t>Se sotto l’azione del sisma la forza assiale su un pilastro è di trazione, la lunghezza di ancoraggio</t>
  </si>
  <si>
    <t>delle barre longitudinali deve essere incrementata del 50%.</t>
  </si>
  <si>
    <t>Armatura trasversale minima in zona critica</t>
  </si>
  <si>
    <t>Nelle zone critiche devono essere rispettate le condizioni seguenti: le barre disposte sugli angoli</t>
  </si>
  <si>
    <t>della sezione devono essere contenute dalle staffe; almeno una barra ogni due, di quelle disposte sui</t>
  </si>
  <si>
    <t>lati, deve essere trattenuta da staffe interne o da legature.</t>
  </si>
  <si>
    <t>Passo minimo di staffe e legature:</t>
  </si>
  <si>
    <t>1-1/3 e 1/2 del lato minore della sezione trasversale, rispettivamente per CD”A” e CD”B”;</t>
  </si>
  <si>
    <t>2-125 mm e 175 mm, rispettivamente per CD”A” e CD”B”;</t>
  </si>
  <si>
    <t>3- 6 e 8 volte il diametro delle barre longitudinali che collegano, rispettivamente per CD”A” e CD”B”.</t>
  </si>
  <si>
    <t>Ast/s ≥ 0,12* fcd*bst/ fyd per CD"A"</t>
  </si>
  <si>
    <r>
      <t xml:space="preserve">Ast/s </t>
    </r>
    <r>
      <rPr>
        <sz val="11"/>
        <color theme="1"/>
        <rFont val="Calibri"/>
        <family val="2"/>
      </rPr>
      <t>≥</t>
    </r>
    <r>
      <rPr>
        <sz val="9.9"/>
        <color theme="1"/>
        <rFont val="Calibri"/>
        <family val="2"/>
      </rPr>
      <t xml:space="preserve"> 0,08* fcd*bst/ fyd per CD"A" al di fuori della zona critica e per CD "B"</t>
    </r>
  </si>
  <si>
    <t>in cui Ast è l’area complessiva dei bracci delle staffe, bst è la distanza tra i bracci più esterni delle</t>
  </si>
  <si>
    <t>staffe ed s è il passo delle staffe.</t>
  </si>
  <si>
    <t xml:space="preserve">LIMITAZIONI TRAVI </t>
  </si>
  <si>
    <t>ν  ≤  0,65 (CD"B") ≤  0,55 (CD"A")</t>
  </si>
  <si>
    <t>ν =</t>
  </si>
  <si>
    <t>Ast/s</t>
  </si>
  <si>
    <t>Lcri</t>
  </si>
  <si>
    <t>Si devono disporre staffe in un quantitativo minimo non inferiore a:</t>
  </si>
  <si>
    <t>Tensione di confinamento</t>
  </si>
  <si>
    <t>CONFINAMENTO DEL CALCESTRUZZO SECONDO EC2</t>
  </si>
  <si>
    <t>Resistenza del calcestruzzo confinato</t>
  </si>
  <si>
    <r>
      <t>ε</t>
    </r>
    <r>
      <rPr>
        <b/>
        <sz val="9"/>
        <color theme="1"/>
        <rFont val="Calibri"/>
        <family val="2"/>
      </rPr>
      <t>ccu</t>
    </r>
  </si>
  <si>
    <t>5.Resistenza per calcestruzzo confinato</t>
  </si>
  <si>
    <r>
      <t>σ</t>
    </r>
    <r>
      <rPr>
        <b/>
        <sz val="9"/>
        <color theme="1"/>
        <rFont val="Calibri"/>
        <family val="2"/>
      </rPr>
      <t>2</t>
    </r>
  </si>
  <si>
    <t>Deformazione ultima del ramo parabolico  per cls confinato</t>
  </si>
  <si>
    <t>staffe interne dirette in altezza</t>
  </si>
  <si>
    <t>Staffe interne dirette come la base</t>
  </si>
  <si>
    <r>
      <t>f</t>
    </r>
    <r>
      <rPr>
        <b/>
        <sz val="8"/>
        <color theme="1"/>
        <rFont val="Calibri"/>
        <family val="2"/>
        <scheme val="minor"/>
      </rPr>
      <t>cck</t>
    </r>
  </si>
  <si>
    <r>
      <t>ε</t>
    </r>
    <r>
      <rPr>
        <b/>
        <sz val="9"/>
        <color theme="1"/>
        <rFont val="Calibri"/>
        <family val="2"/>
      </rPr>
      <t>cc2</t>
    </r>
  </si>
  <si>
    <t>Deformazione limite del tratto parabolico</t>
  </si>
  <si>
    <r>
      <t xml:space="preserve">Area minima a metro Ast </t>
    </r>
    <r>
      <rPr>
        <sz val="12"/>
        <color theme="1"/>
        <rFont val="Calibri"/>
        <family val="2"/>
      </rPr>
      <t xml:space="preserve">≥ </t>
    </r>
    <r>
      <rPr>
        <sz val="12"/>
        <color theme="1"/>
        <rFont val="Calibri"/>
        <family val="2"/>
        <scheme val="minor"/>
      </rPr>
      <t>1,5 B mm</t>
    </r>
    <r>
      <rPr>
        <sz val="12"/>
        <color theme="1"/>
        <rFont val="Calibri"/>
        <family val="2"/>
      </rPr>
      <t>²</t>
    </r>
    <r>
      <rPr>
        <sz val="10.8"/>
        <color theme="1"/>
        <rFont val="Calibri"/>
        <family val="2"/>
      </rPr>
      <t>/m</t>
    </r>
  </si>
  <si>
    <t>Ing. Davide Cicchini</t>
  </si>
  <si>
    <t>www.davidecicchini.it</t>
  </si>
  <si>
    <t>Mcr,flex</t>
  </si>
  <si>
    <r>
      <t>ε</t>
    </r>
    <r>
      <rPr>
        <b/>
        <sz val="9"/>
        <color theme="1"/>
        <rFont val="Calibri"/>
        <family val="2"/>
      </rPr>
      <t>cu</t>
    </r>
  </si>
  <si>
    <t>(Queste informazioni devono essere inserite solo nel caso di pilastri)</t>
  </si>
  <si>
    <t>Tipo elemento</t>
  </si>
  <si>
    <t>trave</t>
  </si>
  <si>
    <t>pilastro</t>
  </si>
  <si>
    <t>ferri destra/sinistra</t>
  </si>
  <si>
    <t>Luce libera</t>
  </si>
  <si>
    <r>
      <t>L</t>
    </r>
    <r>
      <rPr>
        <sz val="8"/>
        <color theme="1"/>
        <rFont val="Calibri"/>
        <family val="2"/>
      </rPr>
      <t>,lib</t>
    </r>
  </si>
  <si>
    <t xml:space="preserve">1 GEOMETRIA </t>
  </si>
  <si>
    <t>compotamento elastico</t>
  </si>
  <si>
    <r>
      <t>R</t>
    </r>
    <r>
      <rPr>
        <b/>
        <sz val="8"/>
        <color theme="1"/>
        <rFont val="Calibri"/>
        <family val="2"/>
        <scheme val="minor"/>
      </rPr>
      <t>ck</t>
    </r>
  </si>
  <si>
    <r>
      <t>f</t>
    </r>
    <r>
      <rPr>
        <b/>
        <sz val="8"/>
        <color theme="1"/>
        <rFont val="Calibri"/>
        <family val="2"/>
        <scheme val="minor"/>
      </rPr>
      <t>cm</t>
    </r>
  </si>
  <si>
    <r>
      <t>f</t>
    </r>
    <r>
      <rPr>
        <b/>
        <sz val="8"/>
        <color theme="1"/>
        <rFont val="Calibri"/>
        <family val="2"/>
        <scheme val="minor"/>
      </rPr>
      <t>ck</t>
    </r>
  </si>
  <si>
    <r>
      <t>f</t>
    </r>
    <r>
      <rPr>
        <b/>
        <sz val="8"/>
        <color theme="1"/>
        <rFont val="Calibri"/>
        <family val="2"/>
        <scheme val="minor"/>
      </rPr>
      <t>cd</t>
    </r>
  </si>
  <si>
    <r>
      <t>f</t>
    </r>
    <r>
      <rPr>
        <b/>
        <sz val="8"/>
        <color theme="1"/>
        <rFont val="Calibri"/>
        <family val="2"/>
        <scheme val="minor"/>
      </rPr>
      <t>ctm</t>
    </r>
  </si>
  <si>
    <r>
      <t>f</t>
    </r>
    <r>
      <rPr>
        <b/>
        <sz val="8"/>
        <color theme="1"/>
        <rFont val="Calibri"/>
        <family val="2"/>
        <scheme val="minor"/>
      </rPr>
      <t>ctk</t>
    </r>
  </si>
  <si>
    <r>
      <t>f</t>
    </r>
    <r>
      <rPr>
        <b/>
        <sz val="8"/>
        <color theme="1"/>
        <rFont val="Calibri"/>
        <family val="2"/>
        <scheme val="minor"/>
      </rPr>
      <t>ctd</t>
    </r>
  </si>
  <si>
    <r>
      <t>f</t>
    </r>
    <r>
      <rPr>
        <b/>
        <sz val="9"/>
        <color theme="1"/>
        <rFont val="Calibri"/>
        <family val="2"/>
        <scheme val="minor"/>
      </rPr>
      <t>bd</t>
    </r>
  </si>
  <si>
    <r>
      <t>f</t>
    </r>
    <r>
      <rPr>
        <b/>
        <sz val="8"/>
        <color theme="1"/>
        <rFont val="Calibri"/>
        <family val="2"/>
        <scheme val="minor"/>
      </rPr>
      <t>yk</t>
    </r>
  </si>
  <si>
    <r>
      <t>f</t>
    </r>
    <r>
      <rPr>
        <b/>
        <sz val="8"/>
        <color theme="1"/>
        <rFont val="Calibri"/>
        <family val="2"/>
        <scheme val="minor"/>
      </rPr>
      <t>yd</t>
    </r>
  </si>
  <si>
    <t>db</t>
  </si>
  <si>
    <t>Diametro medio delle barre longitudinali</t>
  </si>
  <si>
    <t>ν,medio</t>
  </si>
  <si>
    <t>Sforzo normale medio adimensionalizzato</t>
  </si>
  <si>
    <t>Percentuale meccanica di armatura a destra</t>
  </si>
  <si>
    <t>Percentuale geometrica di armatura a sinistra</t>
  </si>
  <si>
    <t>Percentuale meccanica di armatura a sinistra</t>
  </si>
  <si>
    <t>Percentuale geometrica di armatura a destra</t>
  </si>
  <si>
    <t>Valore di efficienza del confinamento</t>
  </si>
  <si>
    <t xml:space="preserve">valori medi ricavati dai provini </t>
  </si>
  <si>
    <t>corretti con il fattore di confidenza</t>
  </si>
  <si>
    <t>Percentuale geometrica di armatura trasversale</t>
  </si>
  <si>
    <t>ESISTENTE</t>
  </si>
  <si>
    <t>SNERV</t>
  </si>
  <si>
    <t>ROTTURA</t>
  </si>
  <si>
    <t>Fe B38k</t>
  </si>
  <si>
    <t>Fe B32k</t>
  </si>
  <si>
    <t>Fe B22k</t>
  </si>
  <si>
    <t>fm</t>
  </si>
  <si>
    <t>LC</t>
  </si>
  <si>
    <t>LC1</t>
  </si>
  <si>
    <t>LC2</t>
  </si>
  <si>
    <t>LC3</t>
  </si>
  <si>
    <t>FC</t>
  </si>
  <si>
    <t>fck</t>
  </si>
  <si>
    <t>Livello di conoscenza</t>
  </si>
  <si>
    <t>Fattore di confidenza</t>
  </si>
  <si>
    <t>eps,u</t>
  </si>
  <si>
    <t>Resistenza media del cls ( da prove sperimentali e indagini statistiche)</t>
  </si>
  <si>
    <t>Se l'elemento si ritiene duttile imporre il valore unitario al coefficiente parziale di sicurezza del calcestruzzo.</t>
  </si>
  <si>
    <r>
      <rPr>
        <b/>
        <sz val="11"/>
        <color theme="1"/>
        <rFont val="Calibri"/>
        <family val="2"/>
        <scheme val="minor"/>
      </rPr>
      <t xml:space="preserve">Paragrafo 8.7.2 NTC08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Per il calcolo della capacità di elementi/meccanismi duttili o fragili si impiegano le proprietà dei materiali esistenti, determinate secondo le modalità indicate al punto 8.5.3, divise per i fattori di confidenza in relazione al livello di conoscenza raggiunto.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Per il calcolo della capacità di resistenza degli elementi  fragili primari, le resistenze dei materiali si dividono per i corrispondenti coefficienti parziali e per i fattori di confidenza in relazione al livello di conoscenza raggiunto.</t>
    </r>
  </si>
  <si>
    <r>
      <rPr>
        <b/>
        <sz val="11"/>
        <color theme="1"/>
        <rFont val="Calibri"/>
        <family val="2"/>
        <scheme val="minor"/>
      </rPr>
      <t xml:space="preserve">Paragrafo C8A.6 NTC08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In mancanza di informazioni si può assumere che la deformazione ultima dell'acciaio sia pari al 4%</t>
    </r>
  </si>
  <si>
    <t>Coef. di riduzione della resistenza, per carichi  prolungati nel tempo</t>
  </si>
  <si>
    <t>Coef. Parziale di sicurezza del calcestruzzo</t>
  </si>
  <si>
    <r>
      <t>γ</t>
    </r>
    <r>
      <rPr>
        <b/>
        <sz val="8"/>
        <color theme="1"/>
        <rFont val="Calibri"/>
        <family val="2"/>
      </rPr>
      <t>c</t>
    </r>
  </si>
  <si>
    <r>
      <t xml:space="preserve">Resistenza cilindrica di calcolo (non diviso per </t>
    </r>
    <r>
      <rPr>
        <sz val="11"/>
        <color theme="1"/>
        <rFont val="Calibri"/>
        <family val="2"/>
      </rPr>
      <t>α</t>
    </r>
    <r>
      <rPr>
        <sz val="8"/>
        <color theme="1"/>
        <rFont val="Calibri"/>
        <family val="2"/>
      </rPr>
      <t>cc</t>
    </r>
    <r>
      <rPr>
        <sz val="9.9"/>
        <color theme="1"/>
        <rFont val="Calibri"/>
        <family val="2"/>
      </rPr>
      <t>)</t>
    </r>
  </si>
  <si>
    <r>
      <t>α</t>
    </r>
    <r>
      <rPr>
        <b/>
        <sz val="8"/>
        <color theme="1"/>
        <rFont val="Calibri"/>
        <family val="2"/>
      </rPr>
      <t>cc</t>
    </r>
  </si>
  <si>
    <t>Versione 1.0</t>
  </si>
  <si>
    <t>Sono state inserite tutte le limitazioni geometriche e di armatura di travi e pilastri</t>
  </si>
  <si>
    <r>
      <t xml:space="preserve">Sono riportati i valori dei coefficienti </t>
    </r>
    <r>
      <rPr>
        <sz val="12"/>
        <color theme="1"/>
        <rFont val="Calibri"/>
        <family val="2"/>
      </rPr>
      <t>β</t>
    </r>
    <r>
      <rPr>
        <sz val="12"/>
        <color theme="1"/>
        <rFont val="Arial"/>
        <family val="2"/>
      </rPr>
      <t>1 e β2 in base all'evoluzione del diagramma.</t>
    </r>
  </si>
  <si>
    <t xml:space="preserve">Si rappresenta anche il legame costitutivo del calcestruzzo confinato definito in </t>
  </si>
  <si>
    <t>in base a quanto disposto dalla Norma Tecnica Italiana.</t>
  </si>
  <si>
    <t>Il foglio di calcolo disegna i legami costitutivi dei materiali: calcestruzzo e acciaio</t>
  </si>
  <si>
    <t>5 CONFINAMENTO OFFERTO DALLE STAFFE</t>
  </si>
  <si>
    <t>Considerare la duttilità offerta dalle staffe?</t>
  </si>
  <si>
    <r>
      <rPr>
        <sz val="14"/>
        <color theme="1"/>
        <rFont val="Calibri"/>
        <family val="2"/>
        <scheme val="minor"/>
      </rPr>
      <t>ε</t>
    </r>
    <r>
      <rPr>
        <sz val="8"/>
        <color theme="1"/>
        <rFont val="Calibri"/>
        <family val="2"/>
        <scheme val="minor"/>
      </rPr>
      <t>G</t>
    </r>
  </si>
  <si>
    <r>
      <rPr>
        <sz val="14"/>
        <color theme="1"/>
        <rFont val="Calibri"/>
        <family val="2"/>
        <scheme val="minor"/>
      </rPr>
      <t>σ</t>
    </r>
    <r>
      <rPr>
        <sz val="8"/>
        <color theme="1"/>
        <rFont val="Calibri"/>
        <family val="2"/>
        <scheme val="minor"/>
      </rPr>
      <t>G</t>
    </r>
  </si>
  <si>
    <t>Rapporto di sovraresistenza</t>
  </si>
  <si>
    <t>k</t>
  </si>
  <si>
    <t xml:space="preserve">Deformazione ultima </t>
  </si>
  <si>
    <t>εuk</t>
  </si>
  <si>
    <t>LEGAME COSTITUTIVO DELL'ACCIAIO</t>
  </si>
  <si>
    <r>
      <t>f</t>
    </r>
    <r>
      <rPr>
        <sz val="9"/>
        <color theme="1"/>
        <rFont val="Calibri"/>
        <family val="2"/>
        <scheme val="minor"/>
      </rPr>
      <t>bd</t>
    </r>
  </si>
  <si>
    <t>6 CLASSE DI DUTTILITA'</t>
  </si>
  <si>
    <t>7 SFORZO NORMALE</t>
  </si>
  <si>
    <t>in base alle prescrizioni della Normativa Italiana.</t>
  </si>
  <si>
    <t>accordo alle disposizioni dell'eurocodice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</si>
</sst>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0.000"/>
    <numFmt numFmtId="165" formatCode="0.0"/>
    <numFmt numFmtId="166" formatCode="0.0000000"/>
    <numFmt numFmtId="167" formatCode="0.000%"/>
    <numFmt numFmtId="168" formatCode="0.0E+00"/>
    <numFmt numFmtId="169" formatCode="0.00&quot; ‰&quot;"/>
    <numFmt numFmtId="170" formatCode="0.00&quot; N/mm²&quot;"/>
    <numFmt numFmtId="171" formatCode="0&quot; N/mm²&quot;"/>
    <numFmt numFmtId="172" formatCode="0.0&quot; N/mm²&quot;"/>
    <numFmt numFmtId="173" formatCode="0&quot; mm&quot;"/>
    <numFmt numFmtId="174" formatCode="&quot;φ&quot;\ 0"/>
    <numFmt numFmtId="175" formatCode="0&quot; mm²&quot;"/>
    <numFmt numFmtId="176" formatCode="0.0&quot; kN&quot;"/>
    <numFmt numFmtId="177" formatCode="00000&quot; mm³&quot;"/>
    <numFmt numFmtId="178" formatCode="0.0&quot; mm²&quot;"/>
    <numFmt numFmtId="179" formatCode="0.00&quot; mm²/mm&quot;"/>
    <numFmt numFmtId="180" formatCode="0.0000000000000000000000"/>
    <numFmt numFmtId="181" formatCode="0.00&quot; mm&quot;"/>
    <numFmt numFmtId="182" formatCode="0.00&quot; MPa&quot;"/>
  </numFmts>
  <fonts count="6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Symbol"/>
      <family val="1"/>
      <charset val="2"/>
    </font>
    <font>
      <i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</font>
    <font>
      <u/>
      <sz val="14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indexed="61"/>
      <name val="Arial"/>
      <family val="2"/>
    </font>
    <font>
      <b/>
      <sz val="11"/>
      <color theme="0" tint="-0.3499862666707357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.8"/>
      <color theme="1"/>
      <name val="Calibri"/>
      <family val="2"/>
    </font>
    <font>
      <b/>
      <sz val="13"/>
      <color rgb="FFFF0000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</font>
    <font>
      <sz val="11.7"/>
      <name val="Calibri"/>
      <family val="2"/>
    </font>
    <font>
      <sz val="12"/>
      <name val="Calibri"/>
      <family val="2"/>
    </font>
    <font>
      <sz val="9.9"/>
      <color theme="1"/>
      <name val="Calibri"/>
      <family val="2"/>
    </font>
    <font>
      <b/>
      <sz val="9"/>
      <color indexed="61"/>
      <name val="Arial"/>
      <family val="2"/>
    </font>
    <font>
      <b/>
      <sz val="9"/>
      <color theme="1"/>
      <name val="Calibri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Symbol"/>
      <family val="1"/>
      <charset val="2"/>
    </font>
    <font>
      <b/>
      <u/>
      <sz val="14"/>
      <color rgb="FFFF0000"/>
      <name val="Calibri"/>
      <family val="2"/>
      <scheme val="minor"/>
    </font>
    <font>
      <b/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55" fillId="0" borderId="0" applyNumberFormat="0" applyFill="0" applyBorder="0" applyAlignment="0" applyProtection="0"/>
  </cellStyleXfs>
  <cellXfs count="3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6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/>
    <xf numFmtId="2" fontId="3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167" fontId="0" fillId="0" borderId="0" xfId="0" applyNumberFormat="1" applyFont="1" applyAlignment="1">
      <alignment horizontal="center" vertical="center"/>
    </xf>
    <xf numFmtId="0" fontId="0" fillId="0" borderId="3" xfId="0" applyBorder="1"/>
    <xf numFmtId="2" fontId="3" fillId="0" borderId="3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" fontId="0" fillId="0" borderId="0" xfId="0" applyNumberFormat="1" applyFont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2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2" fontId="1" fillId="0" borderId="6" xfId="0" applyNumberFormat="1" applyFont="1" applyBorder="1" applyAlignment="1" applyProtection="1">
      <alignment horizontal="center" vertical="center"/>
      <protection hidden="1"/>
    </xf>
    <xf numFmtId="171" fontId="0" fillId="0" borderId="1" xfId="0" applyNumberFormat="1" applyFont="1" applyBorder="1" applyAlignment="1" applyProtection="1">
      <alignment horizontal="center" vertical="center"/>
      <protection hidden="1"/>
    </xf>
    <xf numFmtId="171" fontId="0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hidden="1"/>
    </xf>
    <xf numFmtId="170" fontId="0" fillId="0" borderId="1" xfId="0" applyNumberFormat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71" fontId="0" fillId="0" borderId="1" xfId="0" applyNumberFormat="1" applyBorder="1" applyAlignment="1" applyProtection="1">
      <alignment horizontal="center" vertical="center"/>
      <protection hidden="1"/>
    </xf>
    <xf numFmtId="172" fontId="0" fillId="0" borderId="1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174" fontId="4" fillId="0" borderId="10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0" fontId="0" fillId="0" borderId="1" xfId="0" applyNumberFormat="1" applyBorder="1" applyAlignment="1" applyProtection="1">
      <alignment horizontal="center" vertical="center"/>
    </xf>
    <xf numFmtId="173" fontId="0" fillId="0" borderId="0" xfId="0" applyNumberFormat="1" applyBorder="1" applyAlignment="1" applyProtection="1">
      <alignment horizontal="center" vertical="center"/>
      <protection hidden="1"/>
    </xf>
    <xf numFmtId="10" fontId="0" fillId="0" borderId="0" xfId="0" applyNumberFormat="1" applyAlignment="1" applyProtection="1">
      <alignment horizontal="center" vertical="center"/>
      <protection hidden="1"/>
    </xf>
    <xf numFmtId="173" fontId="0" fillId="0" borderId="10" xfId="0" applyNumberFormat="1" applyBorder="1" applyAlignment="1" applyProtection="1">
      <alignment horizontal="center" vertical="center"/>
      <protection locked="0"/>
    </xf>
    <xf numFmtId="170" fontId="0" fillId="0" borderId="1" xfId="0" applyNumberFormat="1" applyFont="1" applyBorder="1" applyAlignment="1" applyProtection="1">
      <alignment horizontal="center" vertical="center"/>
    </xf>
    <xf numFmtId="171" fontId="0" fillId="0" borderId="1" xfId="0" applyNumberFormat="1" applyFont="1" applyBorder="1" applyAlignment="1" applyProtection="1">
      <alignment horizontal="center" vertical="center"/>
    </xf>
    <xf numFmtId="169" fontId="5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75" fontId="0" fillId="0" borderId="1" xfId="0" applyNumberFormat="1" applyBorder="1" applyAlignment="1" applyProtection="1">
      <alignment horizontal="center" vertical="center"/>
    </xf>
    <xf numFmtId="10" fontId="0" fillId="0" borderId="0" xfId="0" applyNumberFormat="1" applyBorder="1" applyAlignment="1" applyProtection="1">
      <alignment horizontal="center" vertical="center"/>
    </xf>
    <xf numFmtId="0" fontId="17" fillId="0" borderId="0" xfId="0" applyFont="1" applyAlignme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20" fillId="0" borderId="10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7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/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1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/>
    <xf numFmtId="0" fontId="0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0" fillId="4" borderId="0" xfId="0" applyFont="1" applyFill="1" applyBorder="1"/>
    <xf numFmtId="0" fontId="0" fillId="4" borderId="20" xfId="0" applyFont="1" applyFill="1" applyBorder="1"/>
    <xf numFmtId="0" fontId="0" fillId="4" borderId="6" xfId="0" applyFont="1" applyFill="1" applyBorder="1"/>
    <xf numFmtId="0" fontId="0" fillId="4" borderId="18" xfId="0" applyFont="1" applyFill="1" applyBorder="1"/>
    <xf numFmtId="0" fontId="0" fillId="4" borderId="17" xfId="0" applyFont="1" applyFill="1" applyBorder="1"/>
    <xf numFmtId="0" fontId="0" fillId="4" borderId="19" xfId="0" applyFont="1" applyFill="1" applyBorder="1"/>
    <xf numFmtId="0" fontId="30" fillId="0" borderId="0" xfId="0" applyFont="1"/>
    <xf numFmtId="0" fontId="0" fillId="4" borderId="16" xfId="0" applyFont="1" applyFill="1" applyBorder="1"/>
    <xf numFmtId="0" fontId="0" fillId="4" borderId="7" xfId="0" applyFont="1" applyFill="1" applyBorder="1"/>
    <xf numFmtId="0" fontId="0" fillId="4" borderId="8" xfId="0" applyFont="1" applyFill="1" applyBorder="1"/>
    <xf numFmtId="0" fontId="0" fillId="4" borderId="9" xfId="0" applyFont="1" applyFill="1" applyBorder="1"/>
    <xf numFmtId="0" fontId="0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right"/>
    </xf>
    <xf numFmtId="0" fontId="32" fillId="0" borderId="8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>
      <alignment horizontal="left"/>
    </xf>
    <xf numFmtId="0" fontId="32" fillId="0" borderId="0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right" vertical="center" textRotation="90"/>
      <protection hidden="1"/>
    </xf>
    <xf numFmtId="1" fontId="5" fillId="0" borderId="0" xfId="0" applyNumberFormat="1" applyFont="1" applyAlignment="1" applyProtection="1">
      <alignment horizontal="left" vertical="center" textRotation="90"/>
      <protection hidden="1"/>
    </xf>
    <xf numFmtId="0" fontId="32" fillId="0" borderId="5" xfId="0" applyFont="1" applyBorder="1" applyAlignment="1" applyProtection="1">
      <alignment horizontal="left" vertical="center" textRotation="90"/>
      <protection hidden="1"/>
    </xf>
    <xf numFmtId="173" fontId="33" fillId="0" borderId="0" xfId="0" applyNumberFormat="1" applyFont="1"/>
    <xf numFmtId="173" fontId="33" fillId="0" borderId="0" xfId="0" applyNumberFormat="1" applyFont="1" applyAlignment="1">
      <alignment horizontal="right" vertical="center"/>
    </xf>
    <xf numFmtId="166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30" fillId="0" borderId="0" xfId="0" applyNumberFormat="1" applyFont="1" applyFill="1" applyAlignment="1" applyProtection="1">
      <alignment horizontal="center" vertical="center"/>
      <protection hidden="1"/>
    </xf>
    <xf numFmtId="0" fontId="34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0" fontId="5" fillId="0" borderId="5" xfId="0" applyFont="1" applyBorder="1"/>
    <xf numFmtId="0" fontId="5" fillId="0" borderId="0" xfId="0" applyFont="1" applyBorder="1"/>
    <xf numFmtId="0" fontId="8" fillId="0" borderId="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22" xfId="0" applyFont="1" applyBorder="1" applyAlignment="1"/>
    <xf numFmtId="0" fontId="9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1" fontId="5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173" fontId="0" fillId="0" borderId="14" xfId="0" applyNumberFormat="1" applyBorder="1" applyAlignment="1" applyProtection="1">
      <alignment horizontal="center" vertical="center"/>
      <protection hidden="1"/>
    </xf>
    <xf numFmtId="173" fontId="0" fillId="0" borderId="1" xfId="0" applyNumberFormat="1" applyBorder="1" applyAlignment="1" applyProtection="1">
      <alignment horizontal="center" vertical="center"/>
      <protection hidden="1"/>
    </xf>
    <xf numFmtId="2" fontId="5" fillId="0" borderId="0" xfId="0" applyNumberFormat="1" applyFont="1" applyBorder="1" applyAlignment="1">
      <alignment vertical="center"/>
    </xf>
    <xf numFmtId="0" fontId="36" fillId="0" borderId="0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166" fontId="5" fillId="0" borderId="0" xfId="0" applyNumberFormat="1" applyFont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31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37" fillId="0" borderId="0" xfId="0" applyFont="1" applyAlignment="1" applyProtection="1"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vertical="top"/>
      <protection hidden="1"/>
    </xf>
    <xf numFmtId="164" fontId="5" fillId="0" borderId="1" xfId="0" applyNumberFormat="1" applyFont="1" applyBorder="1" applyAlignment="1" applyProtection="1">
      <alignment horizontal="center" vertical="center"/>
      <protection hidden="1"/>
    </xf>
    <xf numFmtId="173" fontId="0" fillId="0" borderId="23" xfId="0" applyNumberForma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177" fontId="5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8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39" fillId="0" borderId="0" xfId="0" applyFont="1" applyBorder="1" applyAlignment="1" applyProtection="1">
      <alignment vertical="center"/>
      <protection hidden="1"/>
    </xf>
    <xf numFmtId="169" fontId="5" fillId="0" borderId="1" xfId="0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Alignment="1"/>
    <xf numFmtId="169" fontId="0" fillId="0" borderId="1" xfId="0" applyNumberFormat="1" applyFont="1" applyBorder="1" applyAlignment="1" applyProtection="1">
      <alignment horizontal="center" vertical="center"/>
      <protection hidden="1"/>
    </xf>
    <xf numFmtId="169" fontId="0" fillId="0" borderId="0" xfId="0" applyNumberFormat="1"/>
    <xf numFmtId="0" fontId="0" fillId="0" borderId="6" xfId="0" applyFont="1" applyBorder="1" applyAlignment="1" applyProtection="1">
      <alignment horizontal="center" vertical="center"/>
      <protection hidden="1"/>
    </xf>
    <xf numFmtId="2" fontId="0" fillId="0" borderId="6" xfId="0" applyNumberFormat="1" applyFont="1" applyBorder="1" applyAlignment="1" applyProtection="1">
      <alignment horizontal="center" vertical="center"/>
      <protection hidden="1"/>
    </xf>
    <xf numFmtId="167" fontId="0" fillId="0" borderId="0" xfId="0" applyNumberFormat="1" applyProtection="1">
      <protection hidden="1"/>
    </xf>
    <xf numFmtId="170" fontId="0" fillId="0" borderId="1" xfId="0" applyNumberFormat="1" applyFont="1" applyBorder="1" applyAlignment="1" applyProtection="1">
      <alignment horizontal="center" vertical="center"/>
      <protection hidden="1"/>
    </xf>
    <xf numFmtId="169" fontId="5" fillId="0" borderId="1" xfId="0" applyNumberFormat="1" applyFont="1" applyBorder="1" applyAlignment="1" applyProtection="1">
      <alignment horizontal="center" vertical="center"/>
      <protection hidden="1"/>
    </xf>
    <xf numFmtId="10" fontId="0" fillId="0" borderId="0" xfId="0" applyNumberFormat="1" applyBorder="1" applyAlignment="1" applyProtection="1">
      <alignment horizontal="center" vertical="center"/>
      <protection hidden="1"/>
    </xf>
    <xf numFmtId="0" fontId="23" fillId="0" borderId="1" xfId="0" applyFont="1" applyFill="1" applyBorder="1" applyAlignment="1" applyProtection="1">
      <alignment horizontal="center" vertical="center"/>
      <protection hidden="1"/>
    </xf>
    <xf numFmtId="10" fontId="0" fillId="0" borderId="12" xfId="0" applyNumberFormat="1" applyBorder="1" applyAlignment="1" applyProtection="1">
      <alignment horizontal="center" vertical="center"/>
      <protection hidden="1"/>
    </xf>
    <xf numFmtId="10" fontId="0" fillId="0" borderId="1" xfId="0" applyNumberFormat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40" fillId="0" borderId="0" xfId="0" applyFont="1" applyAlignment="1" applyProtection="1">
      <protection hidden="1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 applyAlignment="1">
      <alignment horizontal="center"/>
    </xf>
    <xf numFmtId="0" fontId="0" fillId="0" borderId="27" xfId="0" applyBorder="1"/>
    <xf numFmtId="0" fontId="8" fillId="0" borderId="27" xfId="0" applyFont="1" applyBorder="1" applyAlignment="1" applyProtection="1">
      <alignment horizontal="left" vertical="center"/>
    </xf>
    <xf numFmtId="0" fontId="21" fillId="0" borderId="30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165" fontId="0" fillId="0" borderId="0" xfId="0" applyNumberFormat="1" applyBorder="1" applyAlignment="1" applyProtection="1">
      <alignment horizontal="center" vertical="center"/>
      <protection hidden="1"/>
    </xf>
    <xf numFmtId="0" fontId="21" fillId="0" borderId="18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protection hidden="1"/>
    </xf>
    <xf numFmtId="2" fontId="2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44" fillId="0" borderId="0" xfId="0" applyFont="1" applyAlignment="1" applyProtection="1">
      <protection hidden="1"/>
    </xf>
    <xf numFmtId="0" fontId="0" fillId="0" borderId="0" xfId="0" applyFont="1" applyAlignment="1" applyProtection="1"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protection hidden="1"/>
    </xf>
    <xf numFmtId="0" fontId="46" fillId="0" borderId="0" xfId="0" applyFont="1" applyAlignment="1" applyProtection="1">
      <protection hidden="1"/>
    </xf>
    <xf numFmtId="2" fontId="0" fillId="0" borderId="0" xfId="0" applyNumberFormat="1" applyBorder="1" applyAlignment="1" applyProtection="1">
      <alignment horizontal="left" vertical="center"/>
      <protection hidden="1"/>
    </xf>
    <xf numFmtId="0" fontId="47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164" fontId="0" fillId="0" borderId="0" xfId="0" applyNumberForma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2" fontId="25" fillId="0" borderId="0" xfId="0" applyNumberFormat="1" applyFont="1" applyBorder="1" applyAlignment="1" applyProtection="1">
      <alignment horizontal="center" vertical="center"/>
      <protection hidden="1"/>
    </xf>
    <xf numFmtId="2" fontId="25" fillId="0" borderId="0" xfId="0" applyNumberFormat="1" applyFont="1" applyBorder="1" applyAlignment="1" applyProtection="1">
      <alignment horizontal="left" vertical="center"/>
      <protection hidden="1"/>
    </xf>
    <xf numFmtId="175" fontId="0" fillId="0" borderId="0" xfId="0" applyNumberFormat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49" fontId="1" fillId="0" borderId="0" xfId="0" applyNumberFormat="1" applyFont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2" fontId="0" fillId="0" borderId="0" xfId="0" applyNumberFormat="1" applyFill="1" applyBorder="1" applyAlignment="1" applyProtection="1">
      <alignment horizontal="left" vertical="center"/>
      <protection hidden="1"/>
    </xf>
    <xf numFmtId="0" fontId="0" fillId="4" borderId="31" xfId="0" applyFont="1" applyFill="1" applyBorder="1"/>
    <xf numFmtId="0" fontId="0" fillId="4" borderId="32" xfId="0" applyFont="1" applyFill="1" applyBorder="1"/>
    <xf numFmtId="0" fontId="0" fillId="4" borderId="33" xfId="0" applyFont="1" applyFill="1" applyBorder="1"/>
    <xf numFmtId="0" fontId="0" fillId="4" borderId="34" xfId="0" applyFont="1" applyFill="1" applyBorder="1"/>
    <xf numFmtId="0" fontId="0" fillId="4" borderId="35" xfId="0" applyFont="1" applyFill="1" applyBorder="1"/>
    <xf numFmtId="1" fontId="5" fillId="0" borderId="6" xfId="0" applyNumberFormat="1" applyFont="1" applyBorder="1" applyAlignment="1" applyProtection="1">
      <alignment horizontal="right" vertical="center" textRotation="90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170" fontId="0" fillId="2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2" fontId="0" fillId="2" borderId="1" xfId="0" applyNumberFormat="1" applyFont="1" applyFill="1" applyBorder="1" applyAlignment="1" applyProtection="1">
      <alignment horizontal="center" vertical="center"/>
    </xf>
    <xf numFmtId="171" fontId="0" fillId="2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hidden="1"/>
    </xf>
    <xf numFmtId="169" fontId="0" fillId="2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175" fontId="0" fillId="0" borderId="0" xfId="0" applyNumberFormat="1"/>
    <xf numFmtId="0" fontId="0" fillId="4" borderId="33" xfId="0" applyFont="1" applyFill="1" applyBorder="1" applyAlignment="1">
      <alignment horizontal="left"/>
    </xf>
    <xf numFmtId="175" fontId="0" fillId="0" borderId="6" xfId="0" applyNumberFormat="1" applyBorder="1" applyAlignment="1" applyProtection="1">
      <alignment horizontal="center" vertical="center"/>
    </xf>
    <xf numFmtId="176" fontId="0" fillId="0" borderId="10" xfId="0" applyNumberFormat="1" applyFont="1" applyBorder="1" applyAlignment="1" applyProtection="1">
      <alignment horizontal="center" vertical="center"/>
      <protection locked="0"/>
    </xf>
    <xf numFmtId="0" fontId="54" fillId="0" borderId="0" xfId="0" applyFont="1" applyProtection="1">
      <protection hidden="1"/>
    </xf>
    <xf numFmtId="0" fontId="54" fillId="0" borderId="0" xfId="0" applyFont="1"/>
    <xf numFmtId="174" fontId="4" fillId="0" borderId="0" xfId="0" applyNumberFormat="1" applyFont="1" applyBorder="1" applyAlignment="1" applyProtection="1">
      <alignment horizontal="center" vertical="center"/>
      <protection hidden="1"/>
    </xf>
    <xf numFmtId="178" fontId="0" fillId="0" borderId="0" xfId="0" applyNumberForma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179" fontId="0" fillId="0" borderId="0" xfId="0" applyNumberFormat="1" applyProtection="1">
      <protection hidden="1"/>
    </xf>
    <xf numFmtId="169" fontId="0" fillId="0" borderId="10" xfId="0" applyNumberFormat="1" applyFont="1" applyBorder="1" applyAlignment="1" applyProtection="1">
      <alignment horizontal="center" vertical="center"/>
      <protection locked="0"/>
    </xf>
    <xf numFmtId="0" fontId="56" fillId="0" borderId="0" xfId="0" applyFont="1"/>
    <xf numFmtId="180" fontId="0" fillId="0" borderId="0" xfId="0" applyNumberFormat="1" applyBorder="1"/>
    <xf numFmtId="0" fontId="18" fillId="0" borderId="1" xfId="0" applyFont="1" applyBorder="1" applyAlignment="1" applyProtection="1">
      <alignment horizontal="center" vertical="center"/>
      <protection hidden="1"/>
    </xf>
    <xf numFmtId="0" fontId="57" fillId="0" borderId="0" xfId="0" applyFont="1" applyProtection="1">
      <protection hidden="1"/>
    </xf>
    <xf numFmtId="175" fontId="0" fillId="0" borderId="0" xfId="0" applyNumberFormat="1" applyBorder="1" applyAlignment="1" applyProtection="1">
      <alignment horizontal="center" vertical="center"/>
    </xf>
    <xf numFmtId="175" fontId="0" fillId="0" borderId="0" xfId="0" applyNumberFormat="1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59" fillId="0" borderId="6" xfId="0" applyFont="1" applyBorder="1" applyAlignment="1" applyProtection="1">
      <alignment horizontal="right" vertical="center" textRotation="90"/>
      <protection hidden="1"/>
    </xf>
    <xf numFmtId="0" fontId="58" fillId="0" borderId="0" xfId="0" applyFont="1" applyAlignment="1" applyProtection="1">
      <alignment vertical="center"/>
      <protection hidden="1"/>
    </xf>
    <xf numFmtId="0" fontId="0" fillId="2" borderId="0" xfId="0" applyFill="1"/>
    <xf numFmtId="164" fontId="0" fillId="0" borderId="13" xfId="0" applyNumberFormat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181" fontId="0" fillId="0" borderId="0" xfId="0" applyNumberFormat="1" applyBorder="1" applyAlignment="1" applyProtection="1">
      <alignment horizontal="center" vertical="center"/>
      <protection hidden="1"/>
    </xf>
    <xf numFmtId="170" fontId="0" fillId="0" borderId="0" xfId="0" applyNumberFormat="1" applyProtection="1">
      <protection hidden="1"/>
    </xf>
    <xf numFmtId="172" fontId="0" fillId="0" borderId="0" xfId="0" applyNumberFormat="1" applyProtection="1"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172" fontId="0" fillId="0" borderId="12" xfId="0" applyNumberFormat="1" applyFont="1" applyBorder="1" applyAlignment="1" applyProtection="1">
      <alignment horizontal="center" vertical="center"/>
      <protection hidden="1"/>
    </xf>
    <xf numFmtId="171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17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169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7" fillId="0" borderId="0" xfId="0" applyFont="1" applyBorder="1" applyAlignment="1" applyProtection="1">
      <alignment vertical="center" wrapText="1"/>
      <protection hidden="1"/>
    </xf>
    <xf numFmtId="0" fontId="30" fillId="0" borderId="0" xfId="0" applyFont="1" applyBorder="1" applyAlignment="1" applyProtection="1">
      <alignment vertical="center"/>
      <protection locked="0"/>
    </xf>
    <xf numFmtId="0" fontId="30" fillId="0" borderId="10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167" fontId="0" fillId="0" borderId="1" xfId="0" applyNumberFormat="1" applyFont="1" applyBorder="1" applyAlignment="1" applyProtection="1">
      <alignment horizontal="center" vertical="center"/>
      <protection hidden="1"/>
    </xf>
    <xf numFmtId="168" fontId="0" fillId="0" borderId="1" xfId="0" applyNumberFormat="1" applyBorder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left"/>
      <protection hidden="1"/>
    </xf>
    <xf numFmtId="165" fontId="0" fillId="0" borderId="1" xfId="0" applyNumberFormat="1" applyFont="1" applyBorder="1" applyAlignment="1" applyProtection="1">
      <alignment horizontal="center" vertical="center"/>
      <protection hidden="1"/>
    </xf>
    <xf numFmtId="1" fontId="0" fillId="0" borderId="1" xfId="0" applyNumberFormat="1" applyBorder="1"/>
    <xf numFmtId="169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 applyProtection="1">
      <alignment horizontal="center" vertical="center"/>
      <protection hidden="1"/>
    </xf>
    <xf numFmtId="182" fontId="0" fillId="0" borderId="1" xfId="0" applyNumberForma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55" fillId="0" borderId="0" xfId="1" applyAlignment="1" applyProtection="1">
      <alignment horizontal="center"/>
      <protection locked="0"/>
    </xf>
    <xf numFmtId="0" fontId="55" fillId="0" borderId="0" xfId="1" applyAlignment="1" applyProtection="1">
      <alignment horizontal="center"/>
      <protection hidden="1"/>
    </xf>
    <xf numFmtId="0" fontId="37" fillId="6" borderId="0" xfId="0" applyFont="1" applyFill="1" applyAlignment="1" applyProtection="1">
      <alignment horizont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0" fillId="4" borderId="37" xfId="0" applyFont="1" applyFill="1" applyBorder="1" applyAlignment="1">
      <alignment horizontal="center" vertical="center" textRotation="90" wrapText="1"/>
    </xf>
    <xf numFmtId="0" fontId="0" fillId="4" borderId="38" xfId="0" applyFont="1" applyFill="1" applyBorder="1" applyAlignment="1">
      <alignment horizontal="center" vertical="center" textRotation="90" wrapText="1"/>
    </xf>
    <xf numFmtId="0" fontId="0" fillId="4" borderId="36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0" fillId="4" borderId="31" xfId="0" applyFont="1" applyFill="1" applyBorder="1" applyAlignment="1">
      <alignment horizontal="center" vertical="center" wrapText="1"/>
    </xf>
    <xf numFmtId="0" fontId="0" fillId="4" borderId="32" xfId="0" applyFont="1" applyFill="1" applyBorder="1" applyAlignment="1">
      <alignment horizontal="center" vertical="center" wrapText="1"/>
    </xf>
    <xf numFmtId="0" fontId="0" fillId="4" borderId="33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1" fontId="30" fillId="5" borderId="25" xfId="0" applyNumberFormat="1" applyFont="1" applyFill="1" applyBorder="1" applyAlignment="1" applyProtection="1">
      <alignment horizontal="center" vertical="center"/>
      <protection locked="0"/>
    </xf>
    <xf numFmtId="1" fontId="30" fillId="5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4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0" fillId="0" borderId="0" xfId="0" applyFont="1" applyAlignment="1" applyProtection="1">
      <alignment horizontal="left"/>
      <protection hidden="1"/>
    </xf>
    <xf numFmtId="0" fontId="43" fillId="0" borderId="0" xfId="0" applyFont="1" applyAlignment="1" applyProtection="1">
      <alignment horizontal="right"/>
      <protection hidden="1"/>
    </xf>
    <xf numFmtId="0" fontId="43" fillId="0" borderId="0" xfId="0" applyFont="1" applyAlignment="1" applyProtection="1">
      <alignment horizontal="left"/>
      <protection hidden="1"/>
    </xf>
    <xf numFmtId="0" fontId="24" fillId="0" borderId="2" xfId="0" applyFont="1" applyFill="1" applyBorder="1" applyAlignment="1" applyProtection="1">
      <alignment horizontal="center" vertical="center" wrapText="1"/>
      <protection hidden="1"/>
    </xf>
    <xf numFmtId="0" fontId="24" fillId="0" borderId="4" xfId="0" applyFont="1" applyFill="1" applyBorder="1" applyAlignment="1" applyProtection="1">
      <alignment horizontal="center" vertical="center" wrapText="1"/>
      <protection hidden="1"/>
    </xf>
    <xf numFmtId="0" fontId="24" fillId="0" borderId="7" xfId="0" applyFont="1" applyFill="1" applyBorder="1" applyAlignment="1" applyProtection="1">
      <alignment horizontal="center" vertical="center" wrapText="1"/>
      <protection hidden="1"/>
    </xf>
    <xf numFmtId="0" fontId="24" fillId="0" borderId="9" xfId="0" applyFont="1" applyFill="1" applyBorder="1" applyAlignment="1" applyProtection="1">
      <alignment horizontal="center" vertical="center" wrapText="1"/>
      <protection hidden="1"/>
    </xf>
    <xf numFmtId="0" fontId="52" fillId="0" borderId="2" xfId="0" applyFont="1" applyFill="1" applyBorder="1" applyAlignment="1" applyProtection="1">
      <alignment horizontal="center" vertical="center" wrapText="1"/>
      <protection hidden="1"/>
    </xf>
    <xf numFmtId="0" fontId="52" fillId="0" borderId="4" xfId="0" applyFont="1" applyFill="1" applyBorder="1" applyAlignment="1" applyProtection="1">
      <alignment horizontal="center" vertical="center" wrapText="1"/>
      <protection hidden="1"/>
    </xf>
    <xf numFmtId="0" fontId="52" fillId="0" borderId="7" xfId="0" applyFont="1" applyFill="1" applyBorder="1" applyAlignment="1" applyProtection="1">
      <alignment horizontal="center" vertical="center" wrapText="1"/>
      <protection hidden="1"/>
    </xf>
    <xf numFmtId="0" fontId="52" fillId="0" borderId="9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Border="1" applyAlignment="1" applyProtection="1">
      <alignment horizontal="left" vertical="center"/>
      <protection hidden="1"/>
    </xf>
    <xf numFmtId="49" fontId="5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15" xfId="0" applyFont="1" applyBorder="1" applyAlignment="1" applyProtection="1">
      <alignment horizontal="center"/>
      <protection hidden="1"/>
    </xf>
    <xf numFmtId="0" fontId="0" fillId="0" borderId="11" xfId="0" applyFont="1" applyBorder="1" applyAlignment="1" applyProtection="1">
      <alignment horizontal="center"/>
      <protection hidden="1"/>
    </xf>
    <xf numFmtId="0" fontId="1" fillId="3" borderId="15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24" fillId="0" borderId="3" xfId="0" applyFont="1" applyFill="1" applyBorder="1" applyAlignment="1" applyProtection="1">
      <alignment horizontal="center" vertical="center" wrapText="1"/>
      <protection hidden="1"/>
    </xf>
    <xf numFmtId="0" fontId="24" fillId="0" borderId="8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2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41" fillId="0" borderId="2" xfId="0" applyFont="1" applyFill="1" applyBorder="1" applyAlignment="1" applyProtection="1">
      <alignment horizontal="center" vertical="center" wrapText="1"/>
      <protection hidden="1"/>
    </xf>
    <xf numFmtId="0" fontId="41" fillId="0" borderId="4" xfId="0" applyFont="1" applyFill="1" applyBorder="1" applyAlignment="1" applyProtection="1">
      <alignment horizontal="center" vertical="center" wrapText="1"/>
      <protection hidden="1"/>
    </xf>
    <xf numFmtId="0" fontId="41" fillId="0" borderId="7" xfId="0" applyFont="1" applyFill="1" applyBorder="1" applyAlignment="1" applyProtection="1">
      <alignment horizontal="center" vertical="center" wrapText="1"/>
      <protection hidden="1"/>
    </xf>
    <xf numFmtId="0" fontId="41" fillId="0" borderId="9" xfId="0" applyFont="1" applyFill="1" applyBorder="1" applyAlignment="1" applyProtection="1">
      <alignment horizontal="center" vertical="center" wrapText="1"/>
      <protection hidden="1"/>
    </xf>
  </cellXfs>
  <cellStyles count="2">
    <cellStyle name="Collegamento ipertestuale" xfId="1" builtinId="8"/>
    <cellStyle name="Normale" xfId="0" builtinId="0"/>
  </cellStyles>
  <dxfs count="35">
    <dxf>
      <font>
        <color theme="0"/>
      </font>
      <numFmt numFmtId="183" formatCode="&quot;&quot;"/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numFmt numFmtId="2" formatCode="0.00"/>
    </dxf>
    <dxf>
      <border>
        <left/>
        <right/>
        <top/>
        <bottom/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/>
        <right/>
        <top/>
        <bottom/>
        <vertical/>
        <horizontal/>
      </border>
    </dxf>
    <dxf>
      <font>
        <color theme="0"/>
      </font>
    </dxf>
    <dxf>
      <font>
        <b/>
        <i val="0"/>
        <color theme="1"/>
      </font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FFAFA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Legame costitutivo calcestruzzo: Parabola-Rettangolo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623848551632122"/>
          <c:y val="0.15324840764331213"/>
          <c:w val="0.81849296576063169"/>
          <c:h val="0.74399886319942488"/>
        </c:manualLayout>
      </c:layout>
      <c:scatterChart>
        <c:scatterStyle val="lineMarker"/>
        <c:varyColors val="0"/>
        <c:ser>
          <c:idx val="2"/>
          <c:order val="2"/>
          <c:tx>
            <c:v>BAR</c:v>
          </c:tx>
          <c:spPr>
            <a:ln w="28575">
              <a:solidFill>
                <a:srgbClr val="0000FF"/>
              </a:solidFill>
            </a:ln>
          </c:spPr>
          <c:marker>
            <c:spPr>
              <a:ln w="28575">
                <a:solidFill>
                  <a:srgbClr val="0000FF"/>
                </a:solidFill>
              </a:ln>
            </c:spPr>
          </c:marker>
          <c:dPt>
            <c:idx val="0"/>
            <c:marker>
              <c:symbol val="circle"/>
              <c:size val="7"/>
            </c:marker>
            <c:bubble3D val="0"/>
          </c:dPt>
          <c:dLbls>
            <c:dLbl>
              <c:idx val="0"/>
              <c:layout>
                <c:manualLayout>
                  <c:x val="2.5742239991619675E-2"/>
                  <c:y val="-7.00635270909607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baricentro del grafico  </a:t>
                    </a:r>
                    <a:fld id="{6CA7D1F5-9FE3-43F8-8C69-2A92BC70C9A1}" type="XVALUE">
                      <a:rPr lang="en-US"/>
                      <a:pPr/>
                      <a:t>[VALORE X]</a:t>
                    </a:fld>
                    <a:r>
                      <a:rPr lang="en-US" baseline="0"/>
                      <a:t>; </a:t>
                    </a:r>
                    <a:fld id="{14E7B5A6-4624-4889-8EB6-24C19981EA28}" type="YVALUE">
                      <a:rPr lang="en-US" baseline="0"/>
                      <a:pPr/>
                      <a:t>[VALORE Y]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2694773895566"/>
                      <c:h val="0.2395329087048832"/>
                    </c:manualLayout>
                  </c15:layout>
                  <c15:dlblFieldTable/>
                  <c15:showDataLabelsRange val="0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EllipseCallout">
                    <a:avLst/>
                  </a:prstGeom>
                </c15:spPr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Ref>
              <c:f>'LEGAME COSTITUTIVO CALCESTRUZZO'!$I$106</c:f>
              <c:numCache>
                <c:formatCode>0.000%</c:formatCode>
                <c:ptCount val="1"/>
                <c:pt idx="0">
                  <c:v>-6.4429876408507065E-3</c:v>
                </c:pt>
              </c:numCache>
            </c:numRef>
          </c:xVal>
          <c:yVal>
            <c:numRef>
              <c:f>'LEGAME COSTITUTIVO CALCESTRUZZO'!$J$106</c:f>
              <c:numCache>
                <c:formatCode>0.00" MPa"</c:formatCode>
                <c:ptCount val="1"/>
                <c:pt idx="0">
                  <c:v>-8.1607529243227503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55219872"/>
        <c:axId val="-1855219328"/>
      </c:scatterChart>
      <c:scatterChart>
        <c:scatterStyle val="smoothMarker"/>
        <c:varyColors val="0"/>
        <c:ser>
          <c:idx val="0"/>
          <c:order val="0"/>
          <c:spPr>
            <a:effectLst/>
          </c:spPr>
          <c:marker>
            <c:symbol val="none"/>
          </c:marker>
          <c:xVal>
            <c:numRef>
              <c:f>'LEGAME COSTITUTIVO CALCESTRUZZO'!$C$6:$C$106</c:f>
              <c:numCache>
                <c:formatCode>0.000%</c:formatCode>
                <c:ptCount val="101"/>
                <c:pt idx="0">
                  <c:v>0</c:v>
                </c:pt>
                <c:pt idx="1">
                  <c:v>-1.2183153994508394E-4</c:v>
                </c:pt>
                <c:pt idx="2">
                  <c:v>-2.4366307989016789E-4</c:v>
                </c:pt>
                <c:pt idx="3">
                  <c:v>-3.6549461983525182E-4</c:v>
                </c:pt>
                <c:pt idx="4">
                  <c:v>-4.8732615978033577E-4</c:v>
                </c:pt>
                <c:pt idx="5">
                  <c:v>-6.0915769972541968E-4</c:v>
                </c:pt>
                <c:pt idx="6">
                  <c:v>-7.3098923967050364E-4</c:v>
                </c:pt>
                <c:pt idx="7">
                  <c:v>-8.5282077961558759E-4</c:v>
                </c:pt>
                <c:pt idx="8">
                  <c:v>-9.7465231956067155E-4</c:v>
                </c:pt>
                <c:pt idx="9">
                  <c:v>-1.0964838595057555E-3</c:v>
                </c:pt>
                <c:pt idx="10">
                  <c:v>-1.2183153994508394E-3</c:v>
                </c:pt>
                <c:pt idx="11">
                  <c:v>-1.3401469393959234E-3</c:v>
                </c:pt>
                <c:pt idx="12">
                  <c:v>-1.4619784793410073E-3</c:v>
                </c:pt>
                <c:pt idx="13">
                  <c:v>-1.5838100192860913E-3</c:v>
                </c:pt>
                <c:pt idx="14">
                  <c:v>-1.7056415592311752E-3</c:v>
                </c:pt>
                <c:pt idx="15">
                  <c:v>-1.8274730991762593E-3</c:v>
                </c:pt>
                <c:pt idx="16">
                  <c:v>-1.9493046391213431E-3</c:v>
                </c:pt>
                <c:pt idx="17">
                  <c:v>-2.0711361790664269E-3</c:v>
                </c:pt>
                <c:pt idx="18">
                  <c:v>-2.192967719011511E-3</c:v>
                </c:pt>
                <c:pt idx="19">
                  <c:v>-2.3147992589565951E-3</c:v>
                </c:pt>
                <c:pt idx="20">
                  <c:v>-2.4366307989016787E-3</c:v>
                </c:pt>
                <c:pt idx="21">
                  <c:v>-2.5584623388467628E-3</c:v>
                </c:pt>
                <c:pt idx="22">
                  <c:v>-2.6802938787918468E-3</c:v>
                </c:pt>
                <c:pt idx="23">
                  <c:v>-2.8021254187369309E-3</c:v>
                </c:pt>
                <c:pt idx="24">
                  <c:v>-2.9239569586820145E-3</c:v>
                </c:pt>
                <c:pt idx="25">
                  <c:v>-3.0457884986270986E-3</c:v>
                </c:pt>
                <c:pt idx="26">
                  <c:v>-3.1676200385721827E-3</c:v>
                </c:pt>
                <c:pt idx="27">
                  <c:v>-3.2894515785172663E-3</c:v>
                </c:pt>
                <c:pt idx="28">
                  <c:v>-3.4112831184623504E-3</c:v>
                </c:pt>
                <c:pt idx="29">
                  <c:v>-3.5331146584074344E-3</c:v>
                </c:pt>
                <c:pt idx="30">
                  <c:v>-3.6549461983525185E-3</c:v>
                </c:pt>
                <c:pt idx="31">
                  <c:v>-3.7767777382976021E-3</c:v>
                </c:pt>
                <c:pt idx="32">
                  <c:v>-3.8986092782426862E-3</c:v>
                </c:pt>
                <c:pt idx="33">
                  <c:v>-4.0204408181877703E-3</c:v>
                </c:pt>
                <c:pt idx="34">
                  <c:v>-4.1422723581328539E-3</c:v>
                </c:pt>
                <c:pt idx="35">
                  <c:v>-4.2641038980779384E-3</c:v>
                </c:pt>
                <c:pt idx="36">
                  <c:v>-4.385935438023022E-3</c:v>
                </c:pt>
                <c:pt idx="37">
                  <c:v>-4.5077669779681057E-3</c:v>
                </c:pt>
                <c:pt idx="38">
                  <c:v>-4.6295985179131902E-3</c:v>
                </c:pt>
                <c:pt idx="39">
                  <c:v>-4.7514300578582738E-3</c:v>
                </c:pt>
                <c:pt idx="40">
                  <c:v>-4.8732615978033574E-3</c:v>
                </c:pt>
                <c:pt idx="41">
                  <c:v>-4.9950931377484419E-3</c:v>
                </c:pt>
                <c:pt idx="42">
                  <c:v>-5.1169246776935256E-3</c:v>
                </c:pt>
                <c:pt idx="43">
                  <c:v>-5.2387562176386092E-3</c:v>
                </c:pt>
                <c:pt idx="44">
                  <c:v>-5.3605877575836937E-3</c:v>
                </c:pt>
                <c:pt idx="45">
                  <c:v>-5.4824192975287773E-3</c:v>
                </c:pt>
                <c:pt idx="46">
                  <c:v>-5.6042508374738618E-3</c:v>
                </c:pt>
                <c:pt idx="47">
                  <c:v>-5.7260823774189454E-3</c:v>
                </c:pt>
                <c:pt idx="48">
                  <c:v>-5.8479139173640291E-3</c:v>
                </c:pt>
                <c:pt idx="49">
                  <c:v>-5.9697454573091136E-3</c:v>
                </c:pt>
                <c:pt idx="50">
                  <c:v>-6.0915769972541972E-3</c:v>
                </c:pt>
                <c:pt idx="51">
                  <c:v>-6.2134085371992808E-3</c:v>
                </c:pt>
                <c:pt idx="52">
                  <c:v>-6.3352400771443653E-3</c:v>
                </c:pt>
                <c:pt idx="53">
                  <c:v>-6.457071617089449E-3</c:v>
                </c:pt>
                <c:pt idx="54">
                  <c:v>-6.5789031570345326E-3</c:v>
                </c:pt>
                <c:pt idx="55">
                  <c:v>-6.7007346969796171E-3</c:v>
                </c:pt>
                <c:pt idx="56">
                  <c:v>-6.8225662369247007E-3</c:v>
                </c:pt>
                <c:pt idx="57">
                  <c:v>-6.9443977768697844E-3</c:v>
                </c:pt>
                <c:pt idx="58">
                  <c:v>-7.0662293168148689E-3</c:v>
                </c:pt>
                <c:pt idx="59">
                  <c:v>-7.1880608567599525E-3</c:v>
                </c:pt>
                <c:pt idx="60">
                  <c:v>-7.309892396705037E-3</c:v>
                </c:pt>
                <c:pt idx="61">
                  <c:v>-7.4317239366501206E-3</c:v>
                </c:pt>
                <c:pt idx="62">
                  <c:v>-7.5535554765952043E-3</c:v>
                </c:pt>
                <c:pt idx="63">
                  <c:v>-7.6753870165402888E-3</c:v>
                </c:pt>
                <c:pt idx="64">
                  <c:v>-7.7972185564853724E-3</c:v>
                </c:pt>
                <c:pt idx="65">
                  <c:v>-7.919050096430456E-3</c:v>
                </c:pt>
                <c:pt idx="66">
                  <c:v>-8.0408816363755405E-3</c:v>
                </c:pt>
                <c:pt idx="67">
                  <c:v>-8.162713176320625E-3</c:v>
                </c:pt>
                <c:pt idx="68">
                  <c:v>-8.2845447162657078E-3</c:v>
                </c:pt>
                <c:pt idx="69">
                  <c:v>-8.4063762562107923E-3</c:v>
                </c:pt>
                <c:pt idx="70">
                  <c:v>-8.5282077961558768E-3</c:v>
                </c:pt>
                <c:pt idx="71">
                  <c:v>-8.6500393361009596E-3</c:v>
                </c:pt>
                <c:pt idx="72">
                  <c:v>-8.7718708760460441E-3</c:v>
                </c:pt>
                <c:pt idx="73">
                  <c:v>-8.8937024159911286E-3</c:v>
                </c:pt>
                <c:pt idx="74">
                  <c:v>-9.0155339559362113E-3</c:v>
                </c:pt>
                <c:pt idx="75">
                  <c:v>-9.1373654958812958E-3</c:v>
                </c:pt>
                <c:pt idx="76">
                  <c:v>-9.2591970358263803E-3</c:v>
                </c:pt>
                <c:pt idx="77">
                  <c:v>-9.3810285757714631E-3</c:v>
                </c:pt>
                <c:pt idx="78">
                  <c:v>-9.5028601157165476E-3</c:v>
                </c:pt>
                <c:pt idx="79">
                  <c:v>-9.6246916556616321E-3</c:v>
                </c:pt>
                <c:pt idx="80">
                  <c:v>-9.7465231956067148E-3</c:v>
                </c:pt>
                <c:pt idx="81">
                  <c:v>-9.8683547355517993E-3</c:v>
                </c:pt>
                <c:pt idx="82">
                  <c:v>-9.9901862754968838E-3</c:v>
                </c:pt>
                <c:pt idx="83">
                  <c:v>-1.0112017815441967E-2</c:v>
                </c:pt>
                <c:pt idx="84">
                  <c:v>-1.0233849355387051E-2</c:v>
                </c:pt>
                <c:pt idx="85">
                  <c:v>-1.0355680895332136E-2</c:v>
                </c:pt>
                <c:pt idx="86">
                  <c:v>-1.0477512435277218E-2</c:v>
                </c:pt>
                <c:pt idx="87">
                  <c:v>-1.0599343975222303E-2</c:v>
                </c:pt>
                <c:pt idx="88">
                  <c:v>-1.0721175515167387E-2</c:v>
                </c:pt>
                <c:pt idx="89">
                  <c:v>-1.084300705511247E-2</c:v>
                </c:pt>
                <c:pt idx="90">
                  <c:v>-1.0964838595057555E-2</c:v>
                </c:pt>
                <c:pt idx="91">
                  <c:v>-1.1086670135002639E-2</c:v>
                </c:pt>
                <c:pt idx="92">
                  <c:v>-1.1208501674947724E-2</c:v>
                </c:pt>
                <c:pt idx="93">
                  <c:v>-1.1330333214892806E-2</c:v>
                </c:pt>
                <c:pt idx="94">
                  <c:v>-1.1452164754837891E-2</c:v>
                </c:pt>
                <c:pt idx="95">
                  <c:v>-1.1573996294782975E-2</c:v>
                </c:pt>
                <c:pt idx="96">
                  <c:v>-1.1695827834728058E-2</c:v>
                </c:pt>
                <c:pt idx="97">
                  <c:v>-1.1817659374673143E-2</c:v>
                </c:pt>
                <c:pt idx="98">
                  <c:v>-1.1939490914618227E-2</c:v>
                </c:pt>
                <c:pt idx="99">
                  <c:v>-1.206132245456331E-2</c:v>
                </c:pt>
                <c:pt idx="100">
                  <c:v>-1.2183153994508394E-2</c:v>
                </c:pt>
              </c:numCache>
            </c:numRef>
          </c:xVal>
          <c:yVal>
            <c:numRef>
              <c:f>'LEGAME COSTITUTIVO CALCESTRUZZO'!$D$6:$D$106</c:f>
              <c:numCache>
                <c:formatCode>0.00" MPa"</c:formatCode>
                <c:ptCount val="101"/>
                <c:pt idx="0">
                  <c:v>0</c:v>
                </c:pt>
                <c:pt idx="1">
                  <c:v>-1.8840283468937338</c:v>
                </c:pt>
                <c:pt idx="2">
                  <c:v>-3.6596077389366868</c:v>
                </c:pt>
                <c:pt idx="3">
                  <c:v>-5.3267381761288579</c:v>
                </c:pt>
                <c:pt idx="4">
                  <c:v>-6.8854196584702487</c:v>
                </c:pt>
                <c:pt idx="5">
                  <c:v>-8.335652185960857</c:v>
                </c:pt>
                <c:pt idx="6">
                  <c:v>-9.6774357586006872</c:v>
                </c:pt>
                <c:pt idx="7">
                  <c:v>-10.910770376389731</c:v>
                </c:pt>
                <c:pt idx="8">
                  <c:v>-12.035656039327998</c:v>
                </c:pt>
                <c:pt idx="9">
                  <c:v>-13.052092747415482</c:v>
                </c:pt>
                <c:pt idx="10">
                  <c:v>-13.960080500652186</c:v>
                </c:pt>
                <c:pt idx="11">
                  <c:v>-14.759619299038107</c:v>
                </c:pt>
                <c:pt idx="12">
                  <c:v>-15.450709142573249</c:v>
                </c:pt>
                <c:pt idx="13">
                  <c:v>-16.033350031257608</c:v>
                </c:pt>
                <c:pt idx="14">
                  <c:v>-16.507541965091185</c:v>
                </c:pt>
                <c:pt idx="15">
                  <c:v>-16.873284944073983</c:v>
                </c:pt>
                <c:pt idx="16">
                  <c:v>-17.130578968206002</c:v>
                </c:pt>
                <c:pt idx="17">
                  <c:v>-17.279424037487235</c:v>
                </c:pt>
                <c:pt idx="18">
                  <c:v>-17.320701781544194</c:v>
                </c:pt>
                <c:pt idx="19">
                  <c:v>-17.320701781544194</c:v>
                </c:pt>
                <c:pt idx="20">
                  <c:v>-17.320701781544194</c:v>
                </c:pt>
                <c:pt idx="21">
                  <c:v>-17.320701781544194</c:v>
                </c:pt>
                <c:pt idx="22">
                  <c:v>-17.320701781544194</c:v>
                </c:pt>
                <c:pt idx="23">
                  <c:v>-17.320701781544194</c:v>
                </c:pt>
                <c:pt idx="24">
                  <c:v>-17.320701781544194</c:v>
                </c:pt>
                <c:pt idx="25">
                  <c:v>-17.320701781544194</c:v>
                </c:pt>
                <c:pt idx="26">
                  <c:v>-17.320701781544194</c:v>
                </c:pt>
                <c:pt idx="27">
                  <c:v>-17.320701781544194</c:v>
                </c:pt>
                <c:pt idx="28">
                  <c:v>-17.320701781544194</c:v>
                </c:pt>
                <c:pt idx="29">
                  <c:v>-17.320701781544194</c:v>
                </c:pt>
                <c:pt idx="30">
                  <c:v>-17.320701781544194</c:v>
                </c:pt>
                <c:pt idx="31">
                  <c:v>-17.320701781544194</c:v>
                </c:pt>
                <c:pt idx="32">
                  <c:v>-17.320701781544194</c:v>
                </c:pt>
                <c:pt idx="33">
                  <c:v>-17.320701781544194</c:v>
                </c:pt>
                <c:pt idx="34">
                  <c:v>-17.320701781544194</c:v>
                </c:pt>
                <c:pt idx="35">
                  <c:v>-17.320701781544194</c:v>
                </c:pt>
                <c:pt idx="36">
                  <c:v>-17.320701781544194</c:v>
                </c:pt>
                <c:pt idx="37">
                  <c:v>-17.320701781544194</c:v>
                </c:pt>
                <c:pt idx="38">
                  <c:v>-17.320701781544194</c:v>
                </c:pt>
                <c:pt idx="39">
                  <c:v>-17.320701781544194</c:v>
                </c:pt>
                <c:pt idx="40">
                  <c:v>-17.320701781544194</c:v>
                </c:pt>
                <c:pt idx="41">
                  <c:v>-17.320701781544194</c:v>
                </c:pt>
                <c:pt idx="42">
                  <c:v>-17.320701781544194</c:v>
                </c:pt>
                <c:pt idx="43">
                  <c:v>-17.320701781544194</c:v>
                </c:pt>
                <c:pt idx="44">
                  <c:v>-17.320701781544194</c:v>
                </c:pt>
                <c:pt idx="45">
                  <c:v>-17.320701781544194</c:v>
                </c:pt>
                <c:pt idx="46">
                  <c:v>-17.320701781544194</c:v>
                </c:pt>
                <c:pt idx="47">
                  <c:v>-17.320701781544194</c:v>
                </c:pt>
                <c:pt idx="48">
                  <c:v>-17.320701781544194</c:v>
                </c:pt>
                <c:pt idx="49">
                  <c:v>-17.320701781544194</c:v>
                </c:pt>
                <c:pt idx="50">
                  <c:v>-17.320701781544194</c:v>
                </c:pt>
                <c:pt idx="51">
                  <c:v>-17.320701781544194</c:v>
                </c:pt>
                <c:pt idx="52">
                  <c:v>-17.320701781544194</c:v>
                </c:pt>
                <c:pt idx="53">
                  <c:v>-17.320701781544194</c:v>
                </c:pt>
                <c:pt idx="54">
                  <c:v>-17.320701781544194</c:v>
                </c:pt>
                <c:pt idx="55">
                  <c:v>-17.320701781544194</c:v>
                </c:pt>
                <c:pt idx="56">
                  <c:v>-17.320701781544194</c:v>
                </c:pt>
                <c:pt idx="57">
                  <c:v>-17.320701781544194</c:v>
                </c:pt>
                <c:pt idx="58">
                  <c:v>-17.320701781544194</c:v>
                </c:pt>
                <c:pt idx="59">
                  <c:v>-17.320701781544194</c:v>
                </c:pt>
                <c:pt idx="60">
                  <c:v>-17.320701781544194</c:v>
                </c:pt>
                <c:pt idx="61">
                  <c:v>-17.320701781544194</c:v>
                </c:pt>
                <c:pt idx="62">
                  <c:v>-17.320701781544194</c:v>
                </c:pt>
                <c:pt idx="63">
                  <c:v>-17.320701781544194</c:v>
                </c:pt>
                <c:pt idx="64">
                  <c:v>-17.320701781544194</c:v>
                </c:pt>
                <c:pt idx="65">
                  <c:v>-17.320701781544194</c:v>
                </c:pt>
                <c:pt idx="66">
                  <c:v>-17.320701781544194</c:v>
                </c:pt>
                <c:pt idx="67">
                  <c:v>-17.320701781544194</c:v>
                </c:pt>
                <c:pt idx="68">
                  <c:v>-17.320701781544194</c:v>
                </c:pt>
                <c:pt idx="69">
                  <c:v>-17.320701781544194</c:v>
                </c:pt>
                <c:pt idx="70">
                  <c:v>-17.320701781544194</c:v>
                </c:pt>
                <c:pt idx="71">
                  <c:v>-17.320701781544194</c:v>
                </c:pt>
                <c:pt idx="72">
                  <c:v>-17.320701781544194</c:v>
                </c:pt>
                <c:pt idx="73">
                  <c:v>-17.320701781544194</c:v>
                </c:pt>
                <c:pt idx="74">
                  <c:v>-17.320701781544194</c:v>
                </c:pt>
                <c:pt idx="75">
                  <c:v>-17.320701781544194</c:v>
                </c:pt>
                <c:pt idx="76">
                  <c:v>-17.320701781544194</c:v>
                </c:pt>
                <c:pt idx="77">
                  <c:v>-17.320701781544194</c:v>
                </c:pt>
                <c:pt idx="78">
                  <c:v>-17.320701781544194</c:v>
                </c:pt>
                <c:pt idx="79">
                  <c:v>-17.320701781544194</c:v>
                </c:pt>
                <c:pt idx="80">
                  <c:v>-17.320701781544194</c:v>
                </c:pt>
                <c:pt idx="81">
                  <c:v>-17.320701781544194</c:v>
                </c:pt>
                <c:pt idx="82">
                  <c:v>-17.320701781544194</c:v>
                </c:pt>
                <c:pt idx="83">
                  <c:v>-17.320701781544194</c:v>
                </c:pt>
                <c:pt idx="84">
                  <c:v>-17.320701781544194</c:v>
                </c:pt>
                <c:pt idx="85">
                  <c:v>-17.320701781544194</c:v>
                </c:pt>
                <c:pt idx="86">
                  <c:v>-17.320701781544194</c:v>
                </c:pt>
                <c:pt idx="87">
                  <c:v>-17.320701781544194</c:v>
                </c:pt>
                <c:pt idx="88">
                  <c:v>-17.320701781544194</c:v>
                </c:pt>
                <c:pt idx="89">
                  <c:v>-17.320701781544194</c:v>
                </c:pt>
                <c:pt idx="90">
                  <c:v>-17.320701781544194</c:v>
                </c:pt>
                <c:pt idx="91">
                  <c:v>-17.320701781544194</c:v>
                </c:pt>
                <c:pt idx="92">
                  <c:v>-17.320701781544194</c:v>
                </c:pt>
                <c:pt idx="93">
                  <c:v>-17.320701781544194</c:v>
                </c:pt>
                <c:pt idx="94">
                  <c:v>-17.320701781544194</c:v>
                </c:pt>
                <c:pt idx="95">
                  <c:v>-17.320701781544194</c:v>
                </c:pt>
                <c:pt idx="96">
                  <c:v>-17.320701781544194</c:v>
                </c:pt>
                <c:pt idx="97">
                  <c:v>-17.320701781544194</c:v>
                </c:pt>
                <c:pt idx="98">
                  <c:v>-17.320701781544194</c:v>
                </c:pt>
                <c:pt idx="99">
                  <c:v>-17.320701781544194</c:v>
                </c:pt>
                <c:pt idx="100">
                  <c:v>-17.320701781544194</c:v>
                </c:pt>
              </c:numCache>
            </c:numRef>
          </c:yVal>
          <c:smooth val="1"/>
        </c:ser>
        <c:ser>
          <c:idx val="1"/>
          <c:order val="1"/>
          <c:spPr>
            <a:effectLst/>
          </c:spPr>
          <c:marker>
            <c:symbol val="none"/>
          </c:marker>
          <c:xVal>
            <c:numRef>
              <c:f>'foglio deposito'!$H$59:$H$60</c:f>
              <c:numCache>
                <c:formatCode>0.000%</c:formatCode>
                <c:ptCount val="2"/>
                <c:pt idx="0">
                  <c:v>0</c:v>
                </c:pt>
                <c:pt idx="1">
                  <c:v>3.8675755131583922E-5</c:v>
                </c:pt>
              </c:numCache>
            </c:numRef>
          </c:xVal>
          <c:yVal>
            <c:numRef>
              <c:f>'foglio deposito'!$I$59:$I$60</c:f>
              <c:numCache>
                <c:formatCode>General</c:formatCode>
                <c:ptCount val="2"/>
                <c:pt idx="0">
                  <c:v>0</c:v>
                </c:pt>
                <c:pt idx="1">
                  <c:v>1.2280966063353354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55219872"/>
        <c:axId val="-1855219328"/>
      </c:scatterChart>
      <c:valAx>
        <c:axId val="-1855219872"/>
        <c:scaling>
          <c:orientation val="maxMin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855219328"/>
        <c:crosses val="autoZero"/>
        <c:crossBetween val="midCat"/>
      </c:valAx>
      <c:valAx>
        <c:axId val="-1855219328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&quot; MPa&quot;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855219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Legame Costitutivo</a:t>
            </a:r>
            <a:r>
              <a:rPr lang="it-IT" baseline="0"/>
              <a:t> dell'acciaio: Elasto-Plastico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'foglio deposito'!$I$66:$I$70</c:f>
              <c:numCache>
                <c:formatCode>0.00" ‰"</c:formatCode>
                <c:ptCount val="5"/>
                <c:pt idx="0">
                  <c:v>-67.5</c:v>
                </c:pt>
                <c:pt idx="1">
                  <c:v>-1.87</c:v>
                </c:pt>
                <c:pt idx="2">
                  <c:v>0</c:v>
                </c:pt>
                <c:pt idx="3">
                  <c:v>1.87</c:v>
                </c:pt>
                <c:pt idx="4">
                  <c:v>67.5</c:v>
                </c:pt>
              </c:numCache>
            </c:numRef>
          </c:xVal>
          <c:yVal>
            <c:numRef>
              <c:f>'foglio deposito'!$J$66:$J$70</c:f>
              <c:numCache>
                <c:formatCode>0.0</c:formatCode>
                <c:ptCount val="5"/>
                <c:pt idx="0">
                  <c:v>-391.304347826087</c:v>
                </c:pt>
                <c:pt idx="1">
                  <c:v>-391.304347826087</c:v>
                </c:pt>
                <c:pt idx="2">
                  <c:v>0</c:v>
                </c:pt>
                <c:pt idx="3">
                  <c:v>391.304347826087</c:v>
                </c:pt>
                <c:pt idx="4">
                  <c:v>391.304347826087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55215520"/>
        <c:axId val="-1855216608"/>
      </c:scatterChart>
      <c:valAx>
        <c:axId val="-1855215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&quot; ‰&quot;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855216608"/>
        <c:crosses val="autoZero"/>
        <c:crossBetween val="midCat"/>
      </c:valAx>
      <c:valAx>
        <c:axId val="-185521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855215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Legame Costitutivo</a:t>
            </a:r>
            <a:r>
              <a:rPr lang="it-IT" baseline="0"/>
              <a:t> dell'acciaio: Elasto-Incrudente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'foglio deposito'!$L$66:$L$70</c:f>
              <c:numCache>
                <c:formatCode>0.00" ‰"</c:formatCode>
                <c:ptCount val="5"/>
                <c:pt idx="0">
                  <c:v>-67.5</c:v>
                </c:pt>
                <c:pt idx="1">
                  <c:v>-1.87</c:v>
                </c:pt>
                <c:pt idx="2">
                  <c:v>0</c:v>
                </c:pt>
                <c:pt idx="3">
                  <c:v>1.87</c:v>
                </c:pt>
                <c:pt idx="4">
                  <c:v>67.5</c:v>
                </c:pt>
              </c:numCache>
            </c:numRef>
          </c:xVal>
          <c:yVal>
            <c:numRef>
              <c:f>'foglio deposito'!$M$66:$M$70</c:f>
              <c:numCache>
                <c:formatCode>0.0</c:formatCode>
                <c:ptCount val="5"/>
                <c:pt idx="0">
                  <c:v>-469.56521739130437</c:v>
                </c:pt>
                <c:pt idx="1">
                  <c:v>-391.304347826087</c:v>
                </c:pt>
                <c:pt idx="2">
                  <c:v>0</c:v>
                </c:pt>
                <c:pt idx="3">
                  <c:v>391.304347826087</c:v>
                </c:pt>
                <c:pt idx="4">
                  <c:v>469.56521739130437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39097424"/>
        <c:axId val="-1539103408"/>
      </c:scatterChart>
      <c:valAx>
        <c:axId val="-153909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&quot; ‰&quot;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539103408"/>
        <c:crosses val="autoZero"/>
        <c:crossBetween val="midCat"/>
      </c:valAx>
      <c:valAx>
        <c:axId val="-153910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539097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</xdr:colOff>
      <xdr:row>0</xdr:row>
      <xdr:rowOff>133350</xdr:rowOff>
    </xdr:from>
    <xdr:ext cx="5381625" cy="537138"/>
    <xdr:pic>
      <xdr:nvPicPr>
        <xdr:cNvPr id="2" name="Immagine 1" descr="Cat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49" y="133350"/>
          <a:ext cx="5381625" cy="53713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37041</xdr:colOff>
      <xdr:row>4</xdr:row>
      <xdr:rowOff>49212</xdr:rowOff>
    </xdr:from>
    <xdr:to>
      <xdr:col>17</xdr:col>
      <xdr:colOff>250823</xdr:colOff>
      <xdr:row>19</xdr:row>
      <xdr:rowOff>134937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</xdr:row>
      <xdr:rowOff>161925</xdr:rowOff>
    </xdr:from>
    <xdr:to>
      <xdr:col>17</xdr:col>
      <xdr:colOff>219077</xdr:colOff>
      <xdr:row>21</xdr:row>
      <xdr:rowOff>61913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21</xdr:row>
      <xdr:rowOff>171450</xdr:rowOff>
    </xdr:from>
    <xdr:to>
      <xdr:col>17</xdr:col>
      <xdr:colOff>219077</xdr:colOff>
      <xdr:row>39</xdr:row>
      <xdr:rowOff>42863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50</xdr:row>
          <xdr:rowOff>85725</xdr:rowOff>
        </xdr:from>
        <xdr:to>
          <xdr:col>3</xdr:col>
          <xdr:colOff>514350</xdr:colOff>
          <xdr:row>52</xdr:row>
          <xdr:rowOff>9525</xdr:rowOff>
        </xdr:to>
        <xdr:sp macro="" textlink="">
          <xdr:nvSpPr>
            <xdr:cNvPr id="26628" name="Object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la/Documents/6.VARIE%20PER%20LA%20PROFESSIONE/PROGRAMMI%20UTILI/PROGETTO%20TRAVE/PROGETTO%20TRAVE%20PRINCIPALE%20CAP7%20+%20SLE-NTC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egami%20costitutivi%20+limiti%20+confinamen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tecnico\f\Users\Nicla\Documents\6.VARIE%20PER%20LA%20PROFESSIONE\PROGRAMMI%20UTILI\PROGETTO%20SOLAIO%20BAUSTA\CALCOLO%20SOLAIO%20SLU+S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PROGETTO FLESSIONE E TAGLIO "/>
      <sheetName val="Verifica SLE mezzeria"/>
      <sheetName val="Foglio deposito"/>
      <sheetName val="Foglio1"/>
    </sheetNames>
    <sheetDataSet>
      <sheetData sheetId="0"/>
      <sheetData sheetId="1"/>
      <sheetData sheetId="2"/>
      <sheetData sheetId="3">
        <row r="2">
          <cell r="B2" t="str">
            <v>SI</v>
          </cell>
          <cell r="D2" t="str">
            <v>ordinaria</v>
          </cell>
          <cell r="F2" t="str">
            <v>P,sle carat.</v>
          </cell>
        </row>
        <row r="3">
          <cell r="B3" t="str">
            <v>NO</v>
          </cell>
          <cell r="D3" t="str">
            <v>aggressiva</v>
          </cell>
          <cell r="F3" t="str">
            <v>P,sle freq.</v>
          </cell>
        </row>
        <row r="4">
          <cell r="D4" t="str">
            <v>molto aggressiva</v>
          </cell>
          <cell r="F4" t="str">
            <v>P,sle quas. Perm</v>
          </cell>
        </row>
        <row r="10">
          <cell r="M10" t="str">
            <v>C8/10</v>
          </cell>
          <cell r="P10" t="str">
            <v>Fe B450C</v>
          </cell>
        </row>
        <row r="11">
          <cell r="M11" t="str">
            <v>C12/15</v>
          </cell>
          <cell r="P11" t="str">
            <v>Fe B44k</v>
          </cell>
        </row>
        <row r="12">
          <cell r="M12" t="str">
            <v>C16/20</v>
          </cell>
        </row>
        <row r="13">
          <cell r="M13" t="str">
            <v>C20/25</v>
          </cell>
        </row>
        <row r="14">
          <cell r="M14" t="str">
            <v>C25/30</v>
          </cell>
        </row>
        <row r="15">
          <cell r="M15" t="str">
            <v>C28/35</v>
          </cell>
        </row>
        <row r="16">
          <cell r="M16" t="str">
            <v>C32/40</v>
          </cell>
        </row>
        <row r="17">
          <cell r="M17" t="str">
            <v>C35/45</v>
          </cell>
        </row>
        <row r="18">
          <cell r="M18" t="str">
            <v>C40/50</v>
          </cell>
        </row>
        <row r="141">
          <cell r="E141" t="str">
            <v>σ c,vecchio</v>
          </cell>
          <cell r="F141" t="str">
            <v>σ s,vecchio</v>
          </cell>
        </row>
        <row r="142">
          <cell r="E142" t="str">
            <v>σ c,nuovo</v>
          </cell>
          <cell r="F142" t="str">
            <v>σ s, nuovo</v>
          </cell>
        </row>
      </sheetData>
      <sheetData sheetId="4">
        <row r="4">
          <cell r="K4">
            <v>0</v>
          </cell>
          <cell r="M4">
            <v>0</v>
          </cell>
          <cell r="N4">
            <v>8</v>
          </cell>
        </row>
        <row r="5">
          <cell r="K5">
            <v>14</v>
          </cell>
          <cell r="M5">
            <v>1</v>
          </cell>
          <cell r="N5">
            <v>10</v>
          </cell>
        </row>
        <row r="6">
          <cell r="K6">
            <v>16</v>
          </cell>
          <cell r="M6">
            <v>2</v>
          </cell>
          <cell r="N6">
            <v>12</v>
          </cell>
        </row>
        <row r="7">
          <cell r="K7">
            <v>18</v>
          </cell>
          <cell r="M7">
            <v>3</v>
          </cell>
          <cell r="N7">
            <v>14</v>
          </cell>
        </row>
        <row r="8">
          <cell r="K8">
            <v>20</v>
          </cell>
          <cell r="M8">
            <v>4</v>
          </cell>
          <cell r="N8">
            <v>16</v>
          </cell>
        </row>
        <row r="9">
          <cell r="M9">
            <v>5</v>
          </cell>
          <cell r="N9">
            <v>18</v>
          </cell>
        </row>
        <row r="10">
          <cell r="M10">
            <v>6</v>
          </cell>
        </row>
        <row r="19">
          <cell r="S19" t="str">
            <v>Classe di duttilità alta CD"A"</v>
          </cell>
        </row>
        <row r="20">
          <cell r="S20" t="str">
            <v>Classe di duttilità bassa CD"B"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LEGAME COSTITUTIVO CALCESTRUZZO"/>
      <sheetName val="LEGAME COSTITUTIVO ACCIAIO"/>
      <sheetName val="LIMITAZIONI TRAVI"/>
      <sheetName val="LIMITAZIONE PILASTRI"/>
      <sheetName val="CONFINAMENTO"/>
      <sheetName val="foglio deposito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>
        <row r="4">
          <cell r="J4" t="str">
            <v>Fe B450C</v>
          </cell>
        </row>
        <row r="5">
          <cell r="J5" t="str">
            <v>Fe B44k</v>
          </cell>
        </row>
        <row r="44">
          <cell r="N44" t="str">
            <v>Classe di duttilità alta CD"A"</v>
          </cell>
        </row>
        <row r="45">
          <cell r="N45" t="str">
            <v>Classe di duttilità bassa CD"B"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ca e caratt (4)"/>
      <sheetName val="Comb. 1 (4)"/>
      <sheetName val="Comb. 2 (4)"/>
      <sheetName val="Comb. 3 (4)"/>
      <sheetName val="Comb. 4 (4)"/>
      <sheetName val="Comb. 5  (4)"/>
      <sheetName val="Comb. 6 (4)"/>
      <sheetName val="Comb. 7 (4)"/>
      <sheetName val="Comb. 8 (4)"/>
      <sheetName val="Comb. 9 (4)"/>
      <sheetName val="Comb. 10 (4)"/>
      <sheetName val="TABULATI (4)"/>
      <sheetName val="Manuale"/>
      <sheetName val="riepilogo carichi"/>
      <sheetName val="Inviluppo taglio (4)"/>
      <sheetName val="Inviluppo momento (4)"/>
      <sheetName val="DATI NASCOSTI"/>
      <sheetName val="1-Definizione Carichi"/>
      <sheetName val="Definizione Carichi (2)"/>
      <sheetName val="Definizione Carichi (3)"/>
      <sheetName val="logica e caratt (3)"/>
      <sheetName val="Definizione Carichi (4)"/>
      <sheetName val="OUTPUT SOLLECITAZIONE"/>
      <sheetName val="Comb. 1 (3)"/>
      <sheetName val="Comb. 2 (3)"/>
      <sheetName val="Comb. 3 (3)"/>
      <sheetName val="Comb. 4 (3)"/>
      <sheetName val="Comb. 5  (3)"/>
      <sheetName val="Comb. 6 (3)"/>
      <sheetName val="Comb. 7 (3)"/>
      <sheetName val="Comb. 8 (3)"/>
      <sheetName val="Comb. 9 (3)"/>
      <sheetName val="Comb. 10 (3)"/>
      <sheetName val="TABULATI (3)"/>
      <sheetName val="M TRASLATO"/>
      <sheetName val="2-Progetto Solaio"/>
      <sheetName val="INPUT SOLLEC. ARMATURE"/>
      <sheetName val="Diagramma Mrd"/>
      <sheetName val="DATI NASCOSTI ARMATURA"/>
      <sheetName val="OUTPUT PROGETTO SOLAIO"/>
      <sheetName val="Sollecitazioni SLE"/>
      <sheetName val="OUTPUT VERIFICHE SLE"/>
      <sheetName val="Verifiche COMB RARA"/>
      <sheetName val="Verifiche COMB FREQ"/>
      <sheetName val="Verifiche COMB QUAS PERM"/>
      <sheetName val="M TRASLATO (2)"/>
      <sheetName val="M TRASLATO (3)"/>
      <sheetName val="Inviluppo taglio (3)"/>
      <sheetName val="Inviluppo momento (3)"/>
      <sheetName val="logica e caratt (2)"/>
      <sheetName val="Comb. 1 (2)"/>
      <sheetName val="Comb. 2 (2)"/>
      <sheetName val="Comb. 3 (2)"/>
      <sheetName val="Comb. 4 (2)"/>
      <sheetName val="Comb. 5  (2)"/>
      <sheetName val="Comb. 6 (2)"/>
      <sheetName val="Comb. 7 (2)"/>
      <sheetName val="Comb. 8 (2)"/>
      <sheetName val="Comb. 9 (2)"/>
      <sheetName val="Comb. 10 (2)"/>
      <sheetName val="TABULATI (2)"/>
      <sheetName val="Inviluppo taglio (2)"/>
      <sheetName val="Inviluppo momento (2)"/>
      <sheetName val="M TRASLATO (4)"/>
      <sheetName val="logica e caratt"/>
      <sheetName val="Comb. 1"/>
      <sheetName val="Comb. 2"/>
      <sheetName val="Comb. 3"/>
      <sheetName val="Comb. 4"/>
      <sheetName val="Comb. 5 "/>
      <sheetName val="Comb. 6"/>
      <sheetName val="Comb. 7"/>
      <sheetName val="Comb. 8"/>
      <sheetName val="Comb. 9"/>
      <sheetName val="Comb. 10"/>
      <sheetName val="TABULATI"/>
      <sheetName val="Inviluppo taglio"/>
      <sheetName val="Inviluppo mom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05">
          <cell r="B105" t="str">
            <v>si</v>
          </cell>
          <cell r="C105">
            <v>0.2</v>
          </cell>
        </row>
        <row r="106">
          <cell r="C106">
            <v>0.3</v>
          </cell>
        </row>
        <row r="107">
          <cell r="C107">
            <v>0.4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videcicchini.it/" TargetMode="External"/><Relationship Id="rId1" Type="http://schemas.openxmlformats.org/officeDocument/2006/relationships/hyperlink" Target="http://www.davidecicchini.i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2.emf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showRowColHeaders="0" tabSelected="1" workbookViewId="0">
      <selection activeCell="H15" sqref="H15:J15"/>
    </sheetView>
  </sheetViews>
  <sheetFormatPr defaultRowHeight="15" x14ac:dyDescent="0.25"/>
  <cols>
    <col min="1" max="1" width="2.140625" customWidth="1"/>
  </cols>
  <sheetData>
    <row r="1" spans="1:14" ht="11.2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15.75" x14ac:dyDescent="0.25">
      <c r="A5" s="37"/>
      <c r="B5" s="234" t="s">
        <v>387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5.75" x14ac:dyDescent="0.25">
      <c r="A6" s="37"/>
      <c r="B6" s="234" t="s">
        <v>386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15.75" x14ac:dyDescent="0.25">
      <c r="A7" s="37"/>
      <c r="B7" s="234" t="s">
        <v>385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ht="15.75" x14ac:dyDescent="0.25">
      <c r="A8" s="37"/>
      <c r="B8" s="234" t="s">
        <v>401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ht="15.75" x14ac:dyDescent="0.25">
      <c r="A9" s="37"/>
      <c r="B9" s="234" t="s">
        <v>384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ht="15.75" x14ac:dyDescent="0.25">
      <c r="A10" s="37"/>
      <c r="B10" s="234" t="s">
        <v>383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ht="15.75" x14ac:dyDescent="0.25">
      <c r="A11" s="37"/>
      <c r="B11" s="234" t="s">
        <v>400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15.75" x14ac:dyDescent="0.25">
      <c r="A12" s="37"/>
      <c r="B12" s="234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ht="15.75" x14ac:dyDescent="0.25">
      <c r="A13" s="37"/>
      <c r="B13" s="284" t="s">
        <v>382</v>
      </c>
      <c r="C13" s="284"/>
      <c r="D13" s="284"/>
      <c r="E13" s="37"/>
      <c r="F13" s="37"/>
      <c r="G13" s="37"/>
      <c r="H13" s="281" t="s">
        <v>322</v>
      </c>
      <c r="I13" s="281"/>
      <c r="J13" s="281"/>
      <c r="K13" s="37"/>
      <c r="L13" s="37"/>
      <c r="M13" s="37"/>
      <c r="N13" s="37"/>
    </row>
    <row r="14" spans="1:14" x14ac:dyDescent="0.25">
      <c r="A14" s="37"/>
      <c r="B14" s="283" t="s">
        <v>323</v>
      </c>
      <c r="C14" s="283"/>
      <c r="D14" s="283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ht="15.75" x14ac:dyDescent="0.25">
      <c r="A15" s="37"/>
      <c r="B15" s="234"/>
      <c r="C15" s="37"/>
      <c r="D15" s="37"/>
      <c r="E15" s="37"/>
      <c r="F15" s="37"/>
      <c r="G15" s="37"/>
      <c r="H15" s="282" t="s">
        <v>323</v>
      </c>
      <c r="I15" s="282"/>
      <c r="J15" s="282"/>
      <c r="K15" s="37"/>
      <c r="L15" s="37"/>
      <c r="M15" s="37"/>
      <c r="N15" s="37"/>
    </row>
    <row r="16" spans="1:14" ht="15.75" x14ac:dyDescent="0.25">
      <c r="A16" s="37"/>
      <c r="B16" s="234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1:14" ht="15.75" x14ac:dyDescent="0.25">
      <c r="A17" s="37"/>
      <c r="B17" s="234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15.75" x14ac:dyDescent="0.25">
      <c r="A18" s="37"/>
      <c r="B18" s="234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ht="15.75" x14ac:dyDescent="0.25">
      <c r="A19" s="37"/>
      <c r="B19" s="234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14" ht="15.75" x14ac:dyDescent="0.25">
      <c r="A20" s="37"/>
      <c r="B20" s="234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ht="15.75" x14ac:dyDescent="0.25">
      <c r="A21" s="37"/>
      <c r="B21" s="234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 ht="15.75" x14ac:dyDescent="0.25">
      <c r="A22" s="37"/>
      <c r="B22" s="234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ht="15.75" x14ac:dyDescent="0.25">
      <c r="A23" s="37"/>
      <c r="B23" s="234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ht="15.75" x14ac:dyDescent="0.25">
      <c r="A24" s="37"/>
      <c r="B24" s="234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ht="15.75" x14ac:dyDescent="0.25">
      <c r="A25" s="37"/>
      <c r="B25" s="234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ht="15.75" x14ac:dyDescent="0.25">
      <c r="B26" s="235"/>
    </row>
  </sheetData>
  <sheetProtection password="C2CA" sheet="1" objects="1" scenarios="1" selectLockedCells="1"/>
  <mergeCells count="4">
    <mergeCell ref="H13:J13"/>
    <mergeCell ref="H15:J15"/>
    <mergeCell ref="B14:D14"/>
    <mergeCell ref="B13:D13"/>
  </mergeCells>
  <hyperlinks>
    <hyperlink ref="H15" r:id="rId1"/>
    <hyperlink ref="B14" r:id="rId2"/>
  </hyperlinks>
  <pageMargins left="0.7" right="0.7" top="0.75" bottom="0.75" header="0.3" footer="0.3"/>
  <pageSetup paperSize="9" orientation="portrait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139"/>
  <sheetViews>
    <sheetView showGridLines="0" showRowColHeaders="0" zoomScale="90" zoomScaleNormal="90" workbookViewId="0">
      <selection activeCell="F4" sqref="F4"/>
    </sheetView>
  </sheetViews>
  <sheetFormatPr defaultRowHeight="15" x14ac:dyDescent="0.25"/>
  <cols>
    <col min="1" max="1" width="3" customWidth="1"/>
    <col min="2" max="2" width="19.28515625" customWidth="1"/>
    <col min="3" max="3" width="20.7109375" customWidth="1"/>
    <col min="4" max="4" width="22.5703125" customWidth="1"/>
    <col min="5" max="6" width="17.42578125" customWidth="1"/>
    <col min="8" max="8" width="11.7109375" customWidth="1"/>
    <col min="9" max="9" width="16.140625" customWidth="1"/>
    <col min="10" max="10" width="4.85546875" customWidth="1"/>
    <col min="12" max="12" width="10.7109375" customWidth="1"/>
    <col min="13" max="13" width="9.140625" customWidth="1"/>
    <col min="14" max="14" width="4.85546875" customWidth="1"/>
    <col min="16" max="16" width="10.7109375" bestFit="1" customWidth="1"/>
  </cols>
  <sheetData>
    <row r="2" spans="2:23" x14ac:dyDescent="0.25">
      <c r="B2" s="285" t="s">
        <v>333</v>
      </c>
      <c r="C2" s="285"/>
      <c r="D2" s="37"/>
      <c r="E2" s="37"/>
      <c r="F2" s="37"/>
      <c r="G2" s="38"/>
      <c r="H2" s="37"/>
      <c r="I2" s="37"/>
      <c r="J2" s="37"/>
      <c r="K2" s="37"/>
    </row>
    <row r="3" spans="2:23" ht="15.75" thickBot="1" x14ac:dyDescent="0.3">
      <c r="B3" s="39"/>
      <c r="C3" s="39"/>
      <c r="D3" s="37"/>
      <c r="E3" s="37"/>
      <c r="F3" s="37"/>
      <c r="G3" s="38"/>
      <c r="H3" s="39"/>
      <c r="I3" s="37"/>
    </row>
    <row r="4" spans="2:23" ht="16.5" thickTop="1" thickBot="1" x14ac:dyDescent="0.3">
      <c r="B4" s="37" t="s">
        <v>83</v>
      </c>
      <c r="C4" s="37"/>
      <c r="D4" s="37"/>
      <c r="E4" s="2" t="s">
        <v>14</v>
      </c>
      <c r="F4" s="60">
        <v>300</v>
      </c>
      <c r="G4" s="3"/>
      <c r="H4" s="37"/>
    </row>
    <row r="5" spans="2:23" ht="17.25" thickTop="1" thickBot="1" x14ac:dyDescent="0.3">
      <c r="B5" s="37" t="s">
        <v>84</v>
      </c>
      <c r="C5" s="37"/>
      <c r="D5" s="37"/>
      <c r="E5" s="2" t="s">
        <v>12</v>
      </c>
      <c r="F5" s="60">
        <v>500</v>
      </c>
      <c r="G5" s="6"/>
      <c r="H5" s="37"/>
    </row>
    <row r="6" spans="2:23" ht="17.25" thickTop="1" thickBot="1" x14ac:dyDescent="0.3">
      <c r="B6" s="37" t="s">
        <v>85</v>
      </c>
      <c r="C6" s="37"/>
      <c r="D6" s="37"/>
      <c r="E6" s="2" t="s">
        <v>15</v>
      </c>
      <c r="F6" s="60">
        <v>45</v>
      </c>
      <c r="G6" s="6"/>
      <c r="H6" s="37"/>
      <c r="I6" s="37"/>
    </row>
    <row r="7" spans="2:23" ht="16.5" thickTop="1" x14ac:dyDescent="0.25">
      <c r="B7" s="37" t="s">
        <v>86</v>
      </c>
      <c r="C7" s="37"/>
      <c r="D7" s="37"/>
      <c r="E7" s="2" t="s">
        <v>10</v>
      </c>
      <c r="F7" s="136">
        <f>F5-F6</f>
        <v>455</v>
      </c>
      <c r="G7" s="6"/>
      <c r="H7" s="37"/>
      <c r="I7" s="37"/>
    </row>
    <row r="8" spans="2:23" ht="15.75" x14ac:dyDescent="0.25">
      <c r="B8" s="37" t="s">
        <v>167</v>
      </c>
      <c r="C8" s="37"/>
      <c r="D8" s="37"/>
      <c r="E8" s="2" t="s">
        <v>168</v>
      </c>
      <c r="F8" s="137">
        <f>'foglio deposito'!C52-DATI!F64/2-DATI!F95</f>
        <v>27</v>
      </c>
      <c r="G8" s="6"/>
      <c r="H8" s="37"/>
      <c r="I8" s="42"/>
    </row>
    <row r="9" spans="2:23" ht="6" customHeight="1" thickBot="1" x14ac:dyDescent="0.3">
      <c r="B9" s="37"/>
      <c r="C9" s="37"/>
      <c r="D9" s="37"/>
      <c r="E9" s="2"/>
      <c r="F9" s="58"/>
      <c r="G9" s="6"/>
      <c r="H9" s="37"/>
      <c r="I9" s="37"/>
    </row>
    <row r="10" spans="2:23" ht="17.25" thickTop="1" thickBot="1" x14ac:dyDescent="0.3">
      <c r="B10" s="37" t="s">
        <v>327</v>
      </c>
      <c r="C10" s="37"/>
      <c r="D10" s="37"/>
      <c r="E10" s="2"/>
      <c r="F10" s="60" t="s">
        <v>329</v>
      </c>
      <c r="G10" s="6"/>
      <c r="H10" s="37"/>
      <c r="I10" s="37"/>
    </row>
    <row r="11" spans="2:23" ht="17.25" thickTop="1" thickBot="1" x14ac:dyDescent="0.3">
      <c r="B11" s="37" t="s">
        <v>331</v>
      </c>
      <c r="E11" s="202" t="s">
        <v>332</v>
      </c>
      <c r="F11" s="60">
        <v>2800</v>
      </c>
      <c r="G11" s="6"/>
      <c r="H11" s="37"/>
      <c r="I11" s="37"/>
    </row>
    <row r="12" spans="2:23" ht="15.75" thickTop="1" x14ac:dyDescent="0.25">
      <c r="B12" s="37"/>
      <c r="C12" s="37"/>
      <c r="D12" s="37"/>
      <c r="E12" s="37"/>
      <c r="F12" s="37"/>
      <c r="G12" s="37"/>
      <c r="H12" s="37"/>
      <c r="I12" s="37"/>
      <c r="Q12" s="78"/>
      <c r="R12" s="78"/>
      <c r="S12" s="78"/>
      <c r="T12" s="78"/>
      <c r="U12" s="78"/>
      <c r="V12" s="78"/>
      <c r="W12" s="78"/>
    </row>
    <row r="13" spans="2:23" x14ac:dyDescent="0.25">
      <c r="B13" s="285" t="s">
        <v>172</v>
      </c>
      <c r="C13" s="285"/>
      <c r="D13" s="37"/>
      <c r="E13" s="37"/>
      <c r="F13" s="37"/>
      <c r="G13" s="37"/>
      <c r="Q13" s="78"/>
      <c r="R13" s="78"/>
      <c r="S13" s="78"/>
      <c r="T13" s="78"/>
      <c r="U13" s="78"/>
      <c r="V13" s="78"/>
      <c r="W13" s="78"/>
    </row>
    <row r="14" spans="2:23" x14ac:dyDescent="0.25">
      <c r="B14" s="47"/>
      <c r="C14" s="47"/>
      <c r="D14" s="37"/>
      <c r="E14" s="37"/>
      <c r="F14" s="37"/>
      <c r="G14" s="37"/>
      <c r="Q14" s="78"/>
      <c r="R14" s="78"/>
      <c r="S14" s="78"/>
      <c r="T14" s="78"/>
      <c r="U14" s="78"/>
      <c r="V14" s="78"/>
      <c r="W14" s="78"/>
    </row>
    <row r="15" spans="2:23" ht="15.75" x14ac:dyDescent="0.25">
      <c r="B15" s="47" t="s">
        <v>73</v>
      </c>
      <c r="C15" s="47"/>
      <c r="D15" s="37"/>
      <c r="E15" s="37"/>
      <c r="F15" s="37"/>
      <c r="G15" s="37"/>
      <c r="Q15" s="116"/>
      <c r="R15" s="116"/>
      <c r="S15" s="78"/>
      <c r="T15" s="78"/>
      <c r="U15" s="78"/>
      <c r="V15" s="78"/>
      <c r="W15" s="78"/>
    </row>
    <row r="16" spans="2:23" ht="16.5" thickBot="1" x14ac:dyDescent="0.3">
      <c r="B16" s="47"/>
      <c r="C16" s="47"/>
      <c r="D16" s="37"/>
      <c r="E16" s="37"/>
      <c r="F16" s="37"/>
      <c r="G16" s="37"/>
      <c r="Q16" s="116"/>
      <c r="R16" s="116"/>
      <c r="S16" s="78"/>
      <c r="T16" s="78"/>
      <c r="U16" s="80"/>
      <c r="V16" s="80"/>
      <c r="W16" s="80"/>
    </row>
    <row r="17" spans="2:23" ht="17.25" thickTop="1" thickBot="1" x14ac:dyDescent="0.3">
      <c r="B17" s="37" t="s">
        <v>74</v>
      </c>
      <c r="C17" s="47"/>
      <c r="D17" s="37"/>
      <c r="E17" s="37"/>
      <c r="F17" s="64" t="s">
        <v>56</v>
      </c>
      <c r="H17" s="289" t="s">
        <v>375</v>
      </c>
      <c r="I17" s="289"/>
      <c r="J17" s="289"/>
      <c r="K17" s="289"/>
      <c r="L17" s="289"/>
      <c r="M17" s="289"/>
      <c r="P17" s="116"/>
      <c r="Q17" s="116"/>
      <c r="R17" s="116"/>
      <c r="S17" s="78"/>
      <c r="T17" s="78"/>
      <c r="U17" s="81"/>
      <c r="V17" s="81"/>
      <c r="W17" s="81"/>
    </row>
    <row r="18" spans="2:23" ht="17.25" thickTop="1" thickBot="1" x14ac:dyDescent="0.3">
      <c r="B18" s="37"/>
      <c r="C18" s="69"/>
      <c r="D18" s="37"/>
      <c r="E18" s="37"/>
      <c r="F18" s="263"/>
      <c r="H18" s="289"/>
      <c r="I18" s="289"/>
      <c r="J18" s="289"/>
      <c r="K18" s="289"/>
      <c r="L18" s="289"/>
      <c r="M18" s="289"/>
      <c r="P18" s="116"/>
      <c r="Q18" s="116"/>
      <c r="R18" s="116"/>
      <c r="S18" s="78"/>
      <c r="T18" s="78"/>
      <c r="U18" s="81"/>
      <c r="V18" s="81"/>
      <c r="W18" s="81"/>
    </row>
    <row r="19" spans="2:23" ht="17.25" thickTop="1" thickBot="1" x14ac:dyDescent="0.3">
      <c r="B19" s="37" t="s">
        <v>370</v>
      </c>
      <c r="C19" s="69"/>
      <c r="D19" s="37"/>
      <c r="E19" s="1" t="s">
        <v>364</v>
      </c>
      <c r="F19" s="64" t="s">
        <v>366</v>
      </c>
      <c r="H19" s="289"/>
      <c r="I19" s="289"/>
      <c r="J19" s="289"/>
      <c r="K19" s="289"/>
      <c r="L19" s="289"/>
      <c r="M19" s="289"/>
      <c r="P19" s="116"/>
      <c r="Q19" s="116"/>
      <c r="R19" s="116"/>
      <c r="S19" s="78"/>
      <c r="T19" s="78"/>
      <c r="U19" s="81"/>
      <c r="V19" s="81"/>
      <c r="W19" s="81"/>
    </row>
    <row r="20" spans="2:23" ht="17.25" thickTop="1" thickBot="1" x14ac:dyDescent="0.3">
      <c r="B20" s="37" t="s">
        <v>373</v>
      </c>
      <c r="C20" s="69"/>
      <c r="D20" s="37"/>
      <c r="E20" s="40" t="s">
        <v>363</v>
      </c>
      <c r="F20" s="262">
        <v>15</v>
      </c>
      <c r="H20" s="289"/>
      <c r="I20" s="289"/>
      <c r="J20" s="289"/>
      <c r="K20" s="289"/>
      <c r="L20" s="289"/>
      <c r="M20" s="289"/>
      <c r="P20" s="116"/>
      <c r="Q20" s="116"/>
      <c r="R20" s="116"/>
      <c r="S20" s="78"/>
      <c r="T20" s="78"/>
      <c r="U20" s="81"/>
      <c r="V20" s="81"/>
      <c r="W20" s="81"/>
    </row>
    <row r="21" spans="2:23" ht="16.5" thickTop="1" x14ac:dyDescent="0.25">
      <c r="B21" s="37" t="s">
        <v>371</v>
      </c>
      <c r="C21" s="69"/>
      <c r="D21" s="37"/>
      <c r="E21" s="1" t="s">
        <v>368</v>
      </c>
      <c r="F21" s="261">
        <f>VLOOKUP(F19,'foglio deposito'!K18:L20,2,FALSE)</f>
        <v>1.2</v>
      </c>
      <c r="H21" s="289"/>
      <c r="I21" s="289"/>
      <c r="J21" s="289"/>
      <c r="K21" s="289"/>
      <c r="L21" s="289"/>
      <c r="M21" s="289"/>
      <c r="P21" s="116"/>
      <c r="Q21" s="116"/>
      <c r="R21" s="116"/>
      <c r="S21" s="78"/>
      <c r="T21" s="78"/>
      <c r="U21" s="81"/>
      <c r="V21" s="81"/>
      <c r="W21" s="81"/>
    </row>
    <row r="22" spans="2:23" ht="15.75" x14ac:dyDescent="0.25">
      <c r="B22" s="37"/>
      <c r="C22" s="37"/>
      <c r="D22" s="37"/>
      <c r="E22" s="37"/>
      <c r="F22" s="37"/>
      <c r="G22" s="37"/>
      <c r="H22" s="289"/>
      <c r="I22" s="289"/>
      <c r="J22" s="289"/>
      <c r="K22" s="289"/>
      <c r="L22" s="289"/>
      <c r="M22" s="289"/>
      <c r="N22" s="138"/>
      <c r="O22" s="138"/>
      <c r="P22" s="138"/>
      <c r="Q22" s="138"/>
      <c r="R22" s="138"/>
      <c r="S22" s="78"/>
      <c r="T22" s="78"/>
      <c r="U22" s="81"/>
      <c r="V22" s="81"/>
      <c r="W22" s="81"/>
    </row>
    <row r="23" spans="2:23" x14ac:dyDescent="0.25">
      <c r="B23" s="37" t="s">
        <v>63</v>
      </c>
      <c r="C23" s="37"/>
      <c r="D23" s="37"/>
      <c r="E23" s="43" t="s">
        <v>335</v>
      </c>
      <c r="F23" s="61">
        <f>VLOOKUP(F17,'foglio deposito'!G6:H17,2,FALSE)</f>
        <v>30</v>
      </c>
      <c r="G23" s="37"/>
      <c r="H23" s="289"/>
      <c r="I23" s="289"/>
      <c r="J23" s="289"/>
      <c r="K23" s="289"/>
      <c r="L23" s="289"/>
      <c r="M23" s="289"/>
      <c r="P23" s="77"/>
      <c r="Q23" s="77"/>
      <c r="R23" s="78"/>
      <c r="S23" s="78"/>
      <c r="T23" s="78"/>
      <c r="U23" s="78"/>
      <c r="V23" s="78"/>
      <c r="W23" s="78"/>
    </row>
    <row r="24" spans="2:23" x14ac:dyDescent="0.25">
      <c r="B24" s="37" t="s">
        <v>64</v>
      </c>
      <c r="C24" s="37"/>
      <c r="D24" s="37"/>
      <c r="E24" s="43" t="s">
        <v>336</v>
      </c>
      <c r="F24" s="61">
        <f>IF(F17="esistente",F20,DATI!F25+8)</f>
        <v>32.9</v>
      </c>
      <c r="G24" s="37"/>
      <c r="H24" s="289"/>
      <c r="I24" s="289"/>
      <c r="J24" s="289"/>
      <c r="K24" s="289"/>
      <c r="L24" s="289"/>
      <c r="M24" s="289"/>
      <c r="P24" s="77"/>
      <c r="Q24" s="77"/>
      <c r="R24" s="78"/>
      <c r="S24" s="78"/>
      <c r="T24" s="78"/>
      <c r="U24" s="78"/>
      <c r="V24" s="78"/>
      <c r="W24" s="78"/>
    </row>
    <row r="25" spans="2:23" x14ac:dyDescent="0.25">
      <c r="B25" s="37" t="s">
        <v>65</v>
      </c>
      <c r="C25" s="37"/>
      <c r="D25" s="37"/>
      <c r="E25" s="43" t="s">
        <v>337</v>
      </c>
      <c r="F25" s="61">
        <f>F23*0.83</f>
        <v>24.9</v>
      </c>
      <c r="G25" s="37"/>
      <c r="H25" s="289"/>
      <c r="I25" s="289"/>
      <c r="J25" s="289"/>
      <c r="K25" s="289"/>
      <c r="L25" s="289"/>
      <c r="M25" s="289"/>
      <c r="P25" s="77"/>
      <c r="Q25" s="77"/>
      <c r="R25" s="78"/>
      <c r="S25" s="78"/>
      <c r="T25" s="78"/>
      <c r="U25" s="78"/>
      <c r="V25" s="78"/>
      <c r="W25" s="78"/>
    </row>
    <row r="26" spans="2:23" x14ac:dyDescent="0.25">
      <c r="B26" s="37" t="s">
        <v>380</v>
      </c>
      <c r="C26" s="37"/>
      <c r="D26" s="37"/>
      <c r="E26" s="43" t="s">
        <v>338</v>
      </c>
      <c r="F26" s="61">
        <f>(0.83*F23)/F34</f>
        <v>16.599999999999998</v>
      </c>
      <c r="G26" s="37"/>
      <c r="H26" s="289"/>
      <c r="I26" s="289"/>
      <c r="J26" s="289"/>
      <c r="K26" s="289"/>
      <c r="L26" s="289"/>
      <c r="M26" s="289"/>
      <c r="P26" s="77"/>
      <c r="Q26" s="77"/>
      <c r="R26" s="78"/>
      <c r="S26" s="78"/>
      <c r="T26" s="78"/>
      <c r="U26" s="78"/>
      <c r="V26" s="78"/>
      <c r="W26" s="78"/>
    </row>
    <row r="27" spans="2:23" x14ac:dyDescent="0.25">
      <c r="B27" s="37" t="s">
        <v>67</v>
      </c>
      <c r="C27" s="37"/>
      <c r="D27" s="37"/>
      <c r="E27" s="44" t="s">
        <v>339</v>
      </c>
      <c r="F27" s="61">
        <f>0.3*F25^(2/3)</f>
        <v>2.5581194481669618</v>
      </c>
      <c r="G27" s="37"/>
      <c r="H27" s="37"/>
      <c r="I27" s="37"/>
      <c r="P27" s="77"/>
      <c r="Q27" s="77"/>
      <c r="R27" s="78"/>
      <c r="S27" s="78"/>
      <c r="T27" s="78"/>
      <c r="U27" s="78"/>
      <c r="V27" s="78"/>
      <c r="W27" s="78"/>
    </row>
    <row r="28" spans="2:23" x14ac:dyDescent="0.25">
      <c r="B28" s="37" t="s">
        <v>68</v>
      </c>
      <c r="C28" s="37"/>
      <c r="D28" s="37"/>
      <c r="E28" s="43" t="s">
        <v>340</v>
      </c>
      <c r="F28" s="61">
        <f>0.7*F27</f>
        <v>1.7906836137168731</v>
      </c>
      <c r="G28" s="37"/>
      <c r="H28" s="37"/>
      <c r="I28" s="37"/>
      <c r="P28" s="77"/>
      <c r="Q28" s="77"/>
      <c r="R28" s="78"/>
      <c r="S28" s="78"/>
      <c r="T28" s="78"/>
      <c r="U28" s="78"/>
      <c r="V28" s="78"/>
      <c r="W28" s="78"/>
    </row>
    <row r="29" spans="2:23" x14ac:dyDescent="0.25">
      <c r="B29" s="37" t="s">
        <v>69</v>
      </c>
      <c r="C29" s="37"/>
      <c r="D29" s="37"/>
      <c r="E29" s="43" t="s">
        <v>341</v>
      </c>
      <c r="F29" s="61">
        <f>F28/F34</f>
        <v>1.1937890758112488</v>
      </c>
      <c r="G29" s="37"/>
      <c r="P29" s="77"/>
      <c r="Q29" s="77"/>
      <c r="R29" s="78"/>
      <c r="S29" s="78"/>
      <c r="T29" s="78"/>
      <c r="U29" s="78"/>
      <c r="V29" s="78"/>
      <c r="W29" s="78"/>
    </row>
    <row r="30" spans="2:23" x14ac:dyDescent="0.25">
      <c r="B30" s="37" t="s">
        <v>70</v>
      </c>
      <c r="C30" s="37"/>
      <c r="D30" s="37"/>
      <c r="E30" s="43" t="s">
        <v>342</v>
      </c>
      <c r="F30" s="61">
        <f>(2.25*F28)/F34</f>
        <v>2.68602542057531</v>
      </c>
      <c r="G30" s="37"/>
      <c r="P30" s="77"/>
      <c r="Q30" s="77"/>
      <c r="R30" s="78"/>
      <c r="S30" s="78"/>
      <c r="T30" s="78"/>
      <c r="U30" s="78"/>
      <c r="V30" s="78"/>
      <c r="W30" s="78"/>
    </row>
    <row r="31" spans="2:23" x14ac:dyDescent="0.25">
      <c r="B31" s="37" t="s">
        <v>71</v>
      </c>
      <c r="C31" s="37"/>
      <c r="D31" s="37"/>
      <c r="E31" s="43" t="s">
        <v>72</v>
      </c>
      <c r="F31" s="62">
        <f>22000*((0.83*F23+8)/10)^0.3</f>
        <v>31447.161439943484</v>
      </c>
      <c r="G31" s="37"/>
      <c r="H31" s="37"/>
      <c r="I31" s="37"/>
      <c r="P31" s="77"/>
      <c r="Q31" s="77"/>
      <c r="R31" s="78"/>
      <c r="S31" s="78"/>
      <c r="T31" s="78"/>
      <c r="U31" s="78"/>
      <c r="V31" s="78"/>
      <c r="W31" s="78"/>
    </row>
    <row r="32" spans="2:23" x14ac:dyDescent="0.25">
      <c r="C32" s="37"/>
      <c r="D32" s="37"/>
      <c r="E32" s="37"/>
      <c r="F32" s="46"/>
      <c r="G32" s="37"/>
      <c r="H32" s="37"/>
      <c r="I32" s="37"/>
      <c r="P32" s="77"/>
      <c r="Q32" s="77"/>
      <c r="R32" s="78"/>
      <c r="S32" s="78"/>
      <c r="T32" s="78"/>
      <c r="U32" s="78"/>
      <c r="V32" s="78"/>
      <c r="W32" s="78"/>
    </row>
    <row r="33" spans="2:23" ht="15.75" thickBot="1" x14ac:dyDescent="0.3">
      <c r="B33" s="37" t="s">
        <v>377</v>
      </c>
      <c r="C33" s="37"/>
      <c r="D33" s="37"/>
      <c r="E33" s="54" t="s">
        <v>381</v>
      </c>
      <c r="F33" s="51">
        <f>IF(F17="esistente",1,0.85)</f>
        <v>0.85</v>
      </c>
      <c r="G33" s="37"/>
      <c r="H33" s="289" t="s">
        <v>374</v>
      </c>
      <c r="I33" s="289"/>
      <c r="J33" s="289"/>
      <c r="K33" s="289"/>
      <c r="L33" s="289"/>
      <c r="M33" s="289"/>
      <c r="P33" s="78"/>
      <c r="Q33" s="78"/>
      <c r="R33" s="78"/>
      <c r="S33" s="78"/>
      <c r="T33" s="78"/>
      <c r="U33" s="78"/>
      <c r="V33" s="78"/>
      <c r="W33" s="78"/>
    </row>
    <row r="34" spans="2:23" ht="16.5" thickTop="1" thickBot="1" x14ac:dyDescent="0.3">
      <c r="B34" s="37" t="s">
        <v>378</v>
      </c>
      <c r="C34" s="37"/>
      <c r="D34" s="37"/>
      <c r="E34" s="54" t="s">
        <v>379</v>
      </c>
      <c r="F34" s="64">
        <v>1.5</v>
      </c>
      <c r="G34" s="37"/>
      <c r="H34" s="289"/>
      <c r="I34" s="289"/>
      <c r="J34" s="289"/>
      <c r="K34" s="289"/>
      <c r="L34" s="289"/>
      <c r="M34" s="289"/>
      <c r="P34" s="78"/>
      <c r="Q34" s="78"/>
      <c r="R34" s="78"/>
      <c r="S34" s="78"/>
      <c r="T34" s="78"/>
      <c r="U34" s="78"/>
      <c r="V34" s="78"/>
      <c r="W34" s="78"/>
    </row>
    <row r="35" spans="2:23" ht="15.75" thickTop="1" x14ac:dyDescent="0.25">
      <c r="B35" s="37"/>
      <c r="C35" s="37"/>
      <c r="D35" s="37"/>
      <c r="E35" s="37"/>
      <c r="F35" s="37"/>
      <c r="G35" s="37"/>
      <c r="H35" s="37"/>
      <c r="I35" s="37"/>
      <c r="P35" s="78"/>
      <c r="Q35" s="78"/>
      <c r="R35" s="78"/>
      <c r="S35" s="78"/>
      <c r="T35" s="78"/>
      <c r="U35" s="78"/>
      <c r="V35" s="78"/>
      <c r="W35" s="78"/>
    </row>
    <row r="36" spans="2:23" x14ac:dyDescent="0.25">
      <c r="B36" s="47" t="s">
        <v>75</v>
      </c>
      <c r="C36" s="37"/>
      <c r="D36" s="37"/>
      <c r="E36" s="37"/>
      <c r="F36" s="37"/>
      <c r="G36" s="37"/>
      <c r="P36" s="78"/>
      <c r="Q36" s="78"/>
      <c r="R36" s="78"/>
      <c r="S36" s="78"/>
      <c r="T36" s="78"/>
      <c r="U36" s="78"/>
      <c r="V36" s="78"/>
      <c r="W36" s="78"/>
    </row>
    <row r="37" spans="2:23" ht="15.75" thickBot="1" x14ac:dyDescent="0.3">
      <c r="B37" s="37"/>
      <c r="C37" s="37"/>
      <c r="D37" s="37"/>
      <c r="E37" s="37"/>
      <c r="F37" s="37"/>
      <c r="G37" s="37"/>
    </row>
    <row r="38" spans="2:23" ht="16.5" thickTop="1" thickBot="1" x14ac:dyDescent="0.3">
      <c r="B38" s="37" t="s">
        <v>76</v>
      </c>
      <c r="C38" s="37"/>
      <c r="D38" s="37"/>
      <c r="E38" s="37"/>
      <c r="F38" s="64" t="s">
        <v>51</v>
      </c>
      <c r="G38" s="37"/>
    </row>
    <row r="39" spans="2:23" ht="15.75" thickTop="1" x14ac:dyDescent="0.25">
      <c r="B39" s="37"/>
      <c r="C39" s="37"/>
      <c r="D39" s="37"/>
      <c r="E39" s="37"/>
      <c r="F39" s="157"/>
      <c r="G39" s="37"/>
    </row>
    <row r="40" spans="2:23" x14ac:dyDescent="0.25">
      <c r="B40" s="37" t="s">
        <v>108</v>
      </c>
      <c r="C40" s="37"/>
      <c r="D40" s="37"/>
      <c r="E40" s="43" t="s">
        <v>109</v>
      </c>
      <c r="F40" s="53">
        <f>(VLOOKUP(F38,'foglio deposito'!J6:L10,3,FALSE))</f>
        <v>540</v>
      </c>
      <c r="G40" s="37"/>
    </row>
    <row r="41" spans="2:23" x14ac:dyDescent="0.25">
      <c r="B41" s="37" t="s">
        <v>107</v>
      </c>
      <c r="C41" s="30"/>
      <c r="D41" s="46"/>
      <c r="E41" s="43" t="s">
        <v>343</v>
      </c>
      <c r="F41" s="53">
        <f>(VLOOKUP(DATI!F38,'foglio deposito'!J6:K10,2,FALSE))</f>
        <v>450</v>
      </c>
      <c r="G41" s="37"/>
    </row>
    <row r="42" spans="2:23" ht="15.75" thickBot="1" x14ac:dyDescent="0.3">
      <c r="B42" s="37" t="s">
        <v>195</v>
      </c>
      <c r="C42" s="37"/>
      <c r="D42" s="37"/>
      <c r="E42" s="43" t="s">
        <v>344</v>
      </c>
      <c r="F42" s="259">
        <f>(VLOOKUP(F38,'foglio deposito'!J6:K10,2,FALSE)/1.15)</f>
        <v>391.304347826087</v>
      </c>
      <c r="G42" s="37"/>
    </row>
    <row r="43" spans="2:23" ht="16.5" thickTop="1" thickBot="1" x14ac:dyDescent="0.3">
      <c r="B43" s="37" t="s">
        <v>71</v>
      </c>
      <c r="C43" s="37"/>
      <c r="D43" s="37"/>
      <c r="E43" s="30" t="s">
        <v>72</v>
      </c>
      <c r="F43" s="260">
        <v>210000</v>
      </c>
      <c r="G43" s="37"/>
    </row>
    <row r="44" spans="2:23" ht="15.75" thickTop="1" x14ac:dyDescent="0.25">
      <c r="B44" s="37"/>
      <c r="C44" s="30"/>
      <c r="D44" s="46"/>
      <c r="E44" s="37"/>
      <c r="F44" s="37"/>
      <c r="G44" s="37"/>
      <c r="H44" s="37"/>
      <c r="I44" s="37"/>
      <c r="J44" s="37"/>
      <c r="K44" s="37"/>
    </row>
    <row r="45" spans="2:23" x14ac:dyDescent="0.25">
      <c r="B45" s="37"/>
      <c r="C45" s="30"/>
      <c r="D45" s="46"/>
      <c r="E45" s="37"/>
      <c r="F45" s="37"/>
      <c r="G45" s="37"/>
      <c r="H45" s="37"/>
      <c r="I45" s="37"/>
      <c r="J45" s="37"/>
      <c r="K45" s="37"/>
    </row>
    <row r="46" spans="2:23" x14ac:dyDescent="0.25">
      <c r="B46" s="67" t="s">
        <v>173</v>
      </c>
      <c r="C46" s="38"/>
      <c r="D46" s="37"/>
      <c r="E46" s="37"/>
      <c r="F46" s="37"/>
      <c r="G46" s="37"/>
      <c r="I46" s="37"/>
      <c r="J46" s="37"/>
      <c r="K46" s="37"/>
    </row>
    <row r="47" spans="2:23" x14ac:dyDescent="0.25">
      <c r="B47" s="38"/>
      <c r="C47" s="38"/>
      <c r="D47" s="37"/>
      <c r="E47" s="37"/>
      <c r="F47" s="37"/>
      <c r="G47" s="37"/>
      <c r="I47" s="37"/>
      <c r="J47" s="37"/>
      <c r="K47" s="37"/>
    </row>
    <row r="48" spans="2:23" x14ac:dyDescent="0.25">
      <c r="B48" s="47" t="s">
        <v>73</v>
      </c>
      <c r="C48" s="37"/>
      <c r="D48" s="37"/>
      <c r="E48" s="8"/>
      <c r="F48" s="59"/>
      <c r="G48" s="37"/>
      <c r="I48" s="37"/>
      <c r="J48" s="37"/>
      <c r="K48" s="37"/>
    </row>
    <row r="49" spans="2:13" ht="15.75" thickBot="1" x14ac:dyDescent="0.3">
      <c r="B49" s="37"/>
      <c r="C49" s="37"/>
      <c r="D49" s="37"/>
      <c r="E49" s="37"/>
      <c r="F49" s="37"/>
      <c r="G49" s="37"/>
      <c r="I49" s="37"/>
      <c r="J49" s="37"/>
      <c r="K49" s="37"/>
    </row>
    <row r="50" spans="2:13" ht="16.5" thickTop="1" thickBot="1" x14ac:dyDescent="0.3">
      <c r="B50" s="37" t="s">
        <v>79</v>
      </c>
      <c r="C50" s="37"/>
      <c r="D50" s="37"/>
      <c r="E50" s="8" t="s">
        <v>13</v>
      </c>
      <c r="F50" s="242">
        <v>-2</v>
      </c>
      <c r="I50" s="37"/>
      <c r="J50" s="37"/>
    </row>
    <row r="51" spans="2:13" ht="17.25" thickTop="1" thickBot="1" x14ac:dyDescent="0.3">
      <c r="B51" s="37" t="s">
        <v>80</v>
      </c>
      <c r="C51" s="37"/>
      <c r="D51" s="37"/>
      <c r="E51" s="7" t="s">
        <v>11</v>
      </c>
      <c r="F51" s="63">
        <v>-3.5</v>
      </c>
    </row>
    <row r="52" spans="2:13" ht="16.5" thickTop="1" x14ac:dyDescent="0.25">
      <c r="B52" s="37" t="s">
        <v>196</v>
      </c>
      <c r="C52" s="37"/>
      <c r="D52" s="37"/>
      <c r="E52" s="7" t="s">
        <v>25</v>
      </c>
      <c r="F52" s="162">
        <f>'foglio deposito'!K61*1000</f>
        <v>3.8675755131583923E-2</v>
      </c>
    </row>
    <row r="54" spans="2:13" x14ac:dyDescent="0.25">
      <c r="B54" s="47" t="s">
        <v>75</v>
      </c>
      <c r="C54" s="37"/>
      <c r="D54" s="37"/>
      <c r="E54" s="37"/>
      <c r="F54" s="37"/>
      <c r="G54" s="37"/>
    </row>
    <row r="55" spans="2:13" x14ac:dyDescent="0.25">
      <c r="B55" s="37"/>
      <c r="C55" s="37"/>
      <c r="D55" s="37"/>
      <c r="E55" s="37"/>
      <c r="F55" s="37"/>
      <c r="G55" s="37"/>
    </row>
    <row r="56" spans="2:13" ht="15.75" x14ac:dyDescent="0.25">
      <c r="B56" s="37" t="s">
        <v>81</v>
      </c>
      <c r="C56" s="37"/>
      <c r="D56" s="37"/>
      <c r="E56" s="7" t="s">
        <v>9</v>
      </c>
      <c r="F56" s="168">
        <v>1.87</v>
      </c>
      <c r="H56" s="289" t="s">
        <v>376</v>
      </c>
      <c r="I56" s="289"/>
      <c r="J56" s="289"/>
      <c r="K56" s="289"/>
      <c r="L56" s="289"/>
      <c r="M56" s="289"/>
    </row>
    <row r="57" spans="2:13" ht="15.75" x14ac:dyDescent="0.25">
      <c r="B57" s="37" t="s">
        <v>82</v>
      </c>
      <c r="C57" s="37"/>
      <c r="D57" s="37"/>
      <c r="E57" s="7" t="s">
        <v>19</v>
      </c>
      <c r="F57" s="264">
        <f>VLOOKUP(F38,'foglio deposito'!J6:M10,4,FALSE)</f>
        <v>67.5</v>
      </c>
      <c r="H57" s="289"/>
      <c r="I57" s="289"/>
      <c r="J57" s="289"/>
      <c r="K57" s="289"/>
      <c r="L57" s="289"/>
      <c r="M57" s="289"/>
    </row>
    <row r="58" spans="2:13" x14ac:dyDescent="0.25">
      <c r="H58" s="289"/>
      <c r="I58" s="289"/>
      <c r="J58" s="289"/>
      <c r="K58" s="289"/>
      <c r="L58" s="289"/>
      <c r="M58" s="289"/>
    </row>
    <row r="60" spans="2:13" x14ac:dyDescent="0.25">
      <c r="B60" s="285" t="s">
        <v>174</v>
      </c>
      <c r="C60" s="285"/>
      <c r="D60" s="37"/>
      <c r="E60" s="37"/>
      <c r="F60" s="37"/>
      <c r="G60" s="37"/>
      <c r="H60" s="37"/>
    </row>
    <row r="61" spans="2:13" x14ac:dyDescent="0.25">
      <c r="B61" s="68"/>
      <c r="C61" s="68"/>
      <c r="D61" s="37"/>
      <c r="E61" s="37"/>
      <c r="F61" s="37"/>
      <c r="G61" s="37"/>
      <c r="H61" s="37"/>
    </row>
    <row r="62" spans="2:13" x14ac:dyDescent="0.25">
      <c r="B62" s="68" t="s">
        <v>100</v>
      </c>
      <c r="C62" s="68"/>
      <c r="D62" s="37"/>
      <c r="E62" s="37"/>
      <c r="F62" s="37"/>
      <c r="G62" s="37"/>
      <c r="H62" s="37"/>
    </row>
    <row r="63" spans="2:13" ht="15.75" thickBot="1" x14ac:dyDescent="0.3">
      <c r="C63" s="39"/>
      <c r="D63" s="37"/>
      <c r="E63" s="40" t="s">
        <v>102</v>
      </c>
      <c r="F63" s="40" t="s">
        <v>103</v>
      </c>
      <c r="G63" s="37"/>
      <c r="H63" s="37"/>
    </row>
    <row r="64" spans="2:13" ht="21" customHeight="1" thickTop="1" thickBot="1" x14ac:dyDescent="0.35">
      <c r="B64" s="246" t="s">
        <v>88</v>
      </c>
      <c r="C64" s="246"/>
      <c r="D64" s="37"/>
      <c r="E64" s="56">
        <v>3</v>
      </c>
      <c r="F64" s="55">
        <v>20</v>
      </c>
      <c r="G64" s="37"/>
    </row>
    <row r="65" spans="2:17" ht="21" customHeight="1" thickTop="1" thickBot="1" x14ac:dyDescent="0.35">
      <c r="B65" s="246" t="s">
        <v>87</v>
      </c>
      <c r="C65" s="246"/>
      <c r="D65" s="37"/>
      <c r="E65" s="56">
        <v>3</v>
      </c>
      <c r="F65" s="55">
        <v>20</v>
      </c>
      <c r="G65" s="37"/>
      <c r="H65" s="37"/>
    </row>
    <row r="66" spans="2:17" ht="16.5" thickTop="1" x14ac:dyDescent="0.25">
      <c r="B66" s="37"/>
      <c r="C66" s="37"/>
      <c r="D66" s="37"/>
      <c r="E66" s="37"/>
      <c r="F66" s="37"/>
      <c r="G66" s="37"/>
      <c r="H66" s="37"/>
      <c r="I66" s="83"/>
      <c r="J66" s="84"/>
      <c r="K66" s="101">
        <f>E65</f>
        <v>3</v>
      </c>
      <c r="L66" s="102" t="s">
        <v>127</v>
      </c>
      <c r="M66" s="103">
        <f>F65</f>
        <v>20</v>
      </c>
      <c r="N66" s="84"/>
      <c r="O66" s="84"/>
      <c r="P66" s="84"/>
      <c r="Q66" s="84"/>
    </row>
    <row r="67" spans="2:17" ht="15" customHeight="1" thickBot="1" x14ac:dyDescent="0.3">
      <c r="B67" s="76" t="s">
        <v>110</v>
      </c>
      <c r="G67" s="37"/>
      <c r="H67" s="37"/>
      <c r="I67" s="83"/>
      <c r="J67" s="85"/>
      <c r="K67" s="86"/>
      <c r="L67" s="86"/>
      <c r="M67" s="86"/>
      <c r="N67" s="87"/>
      <c r="O67" s="109">
        <f>O77</f>
        <v>45</v>
      </c>
      <c r="P67" s="84"/>
      <c r="Q67" s="84"/>
    </row>
    <row r="68" spans="2:17" ht="15" customHeight="1" x14ac:dyDescent="0.25">
      <c r="B68" s="37"/>
      <c r="G68" s="37"/>
      <c r="H68" s="37"/>
      <c r="I68" s="83"/>
      <c r="J68" s="88"/>
      <c r="K68" s="89"/>
      <c r="L68" s="90"/>
      <c r="M68" s="89"/>
      <c r="N68" s="91"/>
      <c r="O68" s="84"/>
      <c r="P68" s="84"/>
      <c r="Q68" s="84"/>
    </row>
    <row r="69" spans="2:17" ht="15" customHeight="1" thickBot="1" x14ac:dyDescent="0.3">
      <c r="C69" s="39"/>
      <c r="D69" s="37"/>
      <c r="E69" s="40" t="s">
        <v>102</v>
      </c>
      <c r="F69" s="40" t="s">
        <v>103</v>
      </c>
      <c r="G69" s="37"/>
      <c r="H69" s="37"/>
      <c r="I69" s="84"/>
      <c r="J69" s="88"/>
      <c r="K69" s="89"/>
      <c r="L69" s="89"/>
      <c r="M69" s="89"/>
      <c r="N69" s="91"/>
      <c r="O69" s="84"/>
      <c r="P69" s="84"/>
      <c r="Q69" s="84"/>
    </row>
    <row r="70" spans="2:17" ht="21" customHeight="1" thickTop="1" thickBot="1" x14ac:dyDescent="0.3">
      <c r="B70" s="37" t="s">
        <v>201</v>
      </c>
      <c r="C70" s="37"/>
      <c r="D70" s="37"/>
      <c r="E70" s="56">
        <v>2</v>
      </c>
      <c r="F70" s="55">
        <v>20</v>
      </c>
      <c r="G70" s="251"/>
      <c r="I70" s="105">
        <f>IF('foglio deposito'!H3=0,"",F70)</f>
        <v>20</v>
      </c>
      <c r="J70" s="92"/>
      <c r="K70" s="89"/>
      <c r="L70" s="89"/>
      <c r="M70" s="89"/>
      <c r="N70" s="93"/>
      <c r="O70" s="106">
        <f>IF('foglio deposito'!H4=0,"",F71)</f>
        <v>20</v>
      </c>
      <c r="P70" s="84"/>
      <c r="Q70" s="84"/>
    </row>
    <row r="71" spans="2:17" ht="21" customHeight="1" thickTop="1" thickBot="1" x14ac:dyDescent="0.35">
      <c r="B71" s="37" t="s">
        <v>202</v>
      </c>
      <c r="C71" s="37"/>
      <c r="D71" s="37"/>
      <c r="E71" s="56">
        <v>2</v>
      </c>
      <c r="F71" s="55">
        <v>20</v>
      </c>
      <c r="G71" s="251"/>
      <c r="I71" s="250" t="str">
        <f>IF('foglio deposito'!H3=0,"","F")</f>
        <v>F</v>
      </c>
      <c r="J71" s="94"/>
      <c r="K71" s="89"/>
      <c r="L71" s="89"/>
      <c r="M71" s="89"/>
      <c r="N71" s="93"/>
      <c r="O71" s="107" t="str">
        <f>IF('foglio deposito'!H4=0,"","F")</f>
        <v>F</v>
      </c>
      <c r="P71" s="108">
        <f>F5</f>
        <v>500</v>
      </c>
      <c r="Q71" s="95"/>
    </row>
    <row r="72" spans="2:17" ht="15" customHeight="1" thickTop="1" x14ac:dyDescent="0.25">
      <c r="G72" s="37"/>
      <c r="H72" s="37"/>
      <c r="I72" s="105">
        <f>IF('foglio deposito'!H3=0,"",'foglio deposito'!H3)</f>
        <v>2</v>
      </c>
      <c r="J72" s="92"/>
      <c r="K72" s="89"/>
      <c r="L72" s="89"/>
      <c r="M72" s="89"/>
      <c r="N72" s="93"/>
      <c r="O72" s="106">
        <f>IF('foglio deposito'!H4=0,"",'foglio deposito'!H4)</f>
        <v>2</v>
      </c>
      <c r="P72" s="84"/>
      <c r="Q72" s="84"/>
    </row>
    <row r="73" spans="2:17" ht="15" customHeight="1" x14ac:dyDescent="0.25">
      <c r="B73" s="37" t="s">
        <v>89</v>
      </c>
      <c r="C73" s="37"/>
      <c r="D73" s="37"/>
      <c r="E73" s="8" t="s">
        <v>3</v>
      </c>
      <c r="F73" s="247">
        <f>E64*(F64/2)^2*PI()</f>
        <v>942.47779607693792</v>
      </c>
      <c r="G73" s="37"/>
      <c r="H73" s="37"/>
      <c r="I73" s="100"/>
      <c r="J73" s="92"/>
      <c r="K73" s="89"/>
      <c r="L73" s="89"/>
      <c r="M73" s="89"/>
      <c r="N73" s="93"/>
      <c r="O73" s="84"/>
      <c r="P73" s="84"/>
      <c r="Q73" s="84"/>
    </row>
    <row r="74" spans="2:17" ht="15" customHeight="1" x14ac:dyDescent="0.25">
      <c r="B74" s="37" t="s">
        <v>90</v>
      </c>
      <c r="C74" s="37"/>
      <c r="D74" s="37"/>
      <c r="E74" s="8" t="s">
        <v>17</v>
      </c>
      <c r="F74" s="247">
        <f>E65*(F65/2)^2*PI()</f>
        <v>942.47779607693792</v>
      </c>
      <c r="G74" s="37"/>
      <c r="H74" s="37"/>
      <c r="I74" s="83"/>
      <c r="J74" s="88"/>
      <c r="K74" s="89"/>
      <c r="L74" s="89"/>
      <c r="M74" s="89"/>
      <c r="N74" s="91"/>
      <c r="O74" s="84"/>
      <c r="P74" s="84"/>
      <c r="Q74" s="84"/>
    </row>
    <row r="75" spans="2:17" ht="15" customHeight="1" x14ac:dyDescent="0.25">
      <c r="B75" s="37" t="s">
        <v>93</v>
      </c>
      <c r="C75" s="37"/>
      <c r="D75" s="37"/>
      <c r="E75" s="8" t="s">
        <v>41</v>
      </c>
      <c r="F75" s="66">
        <f>F73*'foglio deposito'!H66/(F4*F5*'foglio deposito'!H65)</f>
        <v>0.1481107065600217</v>
      </c>
      <c r="G75" s="37"/>
      <c r="H75" s="37"/>
      <c r="I75" s="83"/>
      <c r="J75" s="88"/>
      <c r="K75" s="89"/>
      <c r="L75" s="89"/>
      <c r="M75" s="89"/>
      <c r="N75" s="91"/>
      <c r="O75" s="84"/>
      <c r="P75" s="84"/>
      <c r="Q75" s="84"/>
    </row>
    <row r="76" spans="2:17" ht="15" customHeight="1" thickBot="1" x14ac:dyDescent="0.3">
      <c r="B76" s="37" t="s">
        <v>94</v>
      </c>
      <c r="C76" s="37"/>
      <c r="D76" s="37"/>
      <c r="E76" s="8" t="s">
        <v>42</v>
      </c>
      <c r="F76" s="66">
        <f>F74*'foglio deposito'!H66/(F4*F5*'foglio deposito'!H65)</f>
        <v>0.1481107065600217</v>
      </c>
      <c r="I76" s="84"/>
      <c r="J76" s="88"/>
      <c r="K76" s="89"/>
      <c r="L76" s="96"/>
      <c r="M76" s="89"/>
      <c r="N76" s="91"/>
      <c r="O76" s="84"/>
      <c r="P76" s="84"/>
      <c r="Q76" s="84"/>
    </row>
    <row r="77" spans="2:17" ht="15" customHeight="1" x14ac:dyDescent="0.3">
      <c r="B77" s="37" t="s">
        <v>95</v>
      </c>
      <c r="C77" s="30"/>
      <c r="D77" s="46"/>
      <c r="E77" s="8" t="s">
        <v>46</v>
      </c>
      <c r="F77" s="66">
        <f>F73/(F4*F5)</f>
        <v>6.2831853071795857E-3</v>
      </c>
      <c r="I77" s="84"/>
      <c r="J77" s="97"/>
      <c r="K77" s="98"/>
      <c r="L77" s="98"/>
      <c r="M77" s="98"/>
      <c r="N77" s="99"/>
      <c r="O77" s="109">
        <f>F6</f>
        <v>45</v>
      </c>
      <c r="P77" s="95"/>
      <c r="Q77" s="84"/>
    </row>
    <row r="78" spans="2:17" ht="15" customHeight="1" x14ac:dyDescent="0.25">
      <c r="B78" s="37" t="s">
        <v>96</v>
      </c>
      <c r="C78" s="30"/>
      <c r="D78" s="46"/>
      <c r="E78" s="8" t="s">
        <v>47</v>
      </c>
      <c r="F78" s="66">
        <f>F74/(F4*F5)</f>
        <v>6.2831853071795857E-3</v>
      </c>
      <c r="I78" s="84"/>
      <c r="J78" s="84"/>
      <c r="K78" s="101">
        <f>E64</f>
        <v>3</v>
      </c>
      <c r="L78" s="104" t="str">
        <f>L66</f>
        <v>F</v>
      </c>
      <c r="M78" s="103">
        <f>F64</f>
        <v>20</v>
      </c>
      <c r="N78" s="84"/>
      <c r="O78" s="84"/>
      <c r="P78" s="84"/>
      <c r="Q78" s="84"/>
    </row>
    <row r="79" spans="2:17" ht="15" customHeight="1" x14ac:dyDescent="0.25">
      <c r="F79" s="11"/>
      <c r="I79" s="84"/>
      <c r="J79" s="84"/>
      <c r="K79" s="84"/>
      <c r="L79" s="84"/>
      <c r="M79" s="84"/>
      <c r="N79" s="84"/>
      <c r="O79" s="84"/>
      <c r="P79" s="84"/>
      <c r="Q79" s="84"/>
    </row>
    <row r="80" spans="2:17" ht="15" customHeight="1" x14ac:dyDescent="0.3">
      <c r="B80" s="37" t="s">
        <v>113</v>
      </c>
      <c r="C80" s="37"/>
      <c r="D80" s="37"/>
      <c r="E80" s="8" t="s">
        <v>119</v>
      </c>
      <c r="F80" s="247">
        <f>'foglio deposito'!H3*(F70/2)^2*PI()</f>
        <v>628.31853071795865</v>
      </c>
      <c r="I80" s="84"/>
      <c r="J80" s="84"/>
      <c r="K80" s="84"/>
      <c r="L80" s="109">
        <f>F4</f>
        <v>300</v>
      </c>
      <c r="M80" s="95"/>
      <c r="N80" s="84"/>
      <c r="O80" s="84"/>
      <c r="P80" s="84"/>
      <c r="Q80" s="84"/>
    </row>
    <row r="81" spans="2:16" ht="15" customHeight="1" x14ac:dyDescent="0.25">
      <c r="B81" s="37" t="s">
        <v>114</v>
      </c>
      <c r="C81" s="37"/>
      <c r="D81" s="37"/>
      <c r="E81" s="8" t="s">
        <v>120</v>
      </c>
      <c r="F81" s="247">
        <f>'foglio deposito'!H4*(F71/2)^2*PI()</f>
        <v>628.31853071795865</v>
      </c>
    </row>
    <row r="82" spans="2:16" ht="15" customHeight="1" x14ac:dyDescent="0.25">
      <c r="B82" s="37" t="s">
        <v>351</v>
      </c>
      <c r="C82" s="37"/>
      <c r="D82" s="37"/>
      <c r="E82" s="8" t="s">
        <v>121</v>
      </c>
      <c r="F82" s="66">
        <f>F80*'foglio deposito'!H66/(F4*F5*'foglio deposito'!H65)</f>
        <v>9.8740471040014488E-2</v>
      </c>
    </row>
    <row r="83" spans="2:16" x14ac:dyDescent="0.25">
      <c r="B83" s="37" t="s">
        <v>349</v>
      </c>
      <c r="C83" s="37"/>
      <c r="D83" s="37"/>
      <c r="E83" s="8" t="s">
        <v>122</v>
      </c>
      <c r="F83" s="66">
        <f>F81*'foglio deposito'!H66/(F4*F5*'foglio deposito'!H65)</f>
        <v>9.8740471040014488E-2</v>
      </c>
    </row>
    <row r="84" spans="2:16" x14ac:dyDescent="0.25">
      <c r="B84" s="37" t="s">
        <v>352</v>
      </c>
      <c r="C84" s="30"/>
      <c r="D84" s="46"/>
      <c r="E84" s="8" t="s">
        <v>123</v>
      </c>
      <c r="F84" s="66">
        <f>F80/(F4*F5)</f>
        <v>4.1887902047863914E-3</v>
      </c>
    </row>
    <row r="85" spans="2:16" x14ac:dyDescent="0.25">
      <c r="B85" s="37" t="s">
        <v>350</v>
      </c>
      <c r="C85" s="30"/>
      <c r="D85" s="46"/>
      <c r="E85" s="8" t="s">
        <v>124</v>
      </c>
      <c r="F85" s="66">
        <f>F81/(F4*F5)</f>
        <v>4.1887902047863914E-3</v>
      </c>
    </row>
    <row r="86" spans="2:16" x14ac:dyDescent="0.25">
      <c r="F86" s="11"/>
    </row>
    <row r="87" spans="2:16" x14ac:dyDescent="0.25">
      <c r="B87" s="37" t="s">
        <v>99</v>
      </c>
      <c r="C87" s="37"/>
      <c r="D87" s="37"/>
      <c r="E87" s="8" t="s">
        <v>98</v>
      </c>
      <c r="F87" s="66">
        <f>(F74+F73+F82+F83)*'foglio deposito'!H66/(F4*F5*'foglio deposito'!H65)</f>
        <v>0.29625244731733202</v>
      </c>
    </row>
    <row r="88" spans="2:16" x14ac:dyDescent="0.25">
      <c r="B88" s="37" t="s">
        <v>97</v>
      </c>
      <c r="C88" s="30"/>
      <c r="D88" s="46"/>
      <c r="E88" s="8" t="s">
        <v>49</v>
      </c>
      <c r="F88" s="66">
        <f>(F81+F80+F73+F74)/(F4*F5)</f>
        <v>2.0943951023931956E-2</v>
      </c>
    </row>
    <row r="89" spans="2:16" x14ac:dyDescent="0.25">
      <c r="B89" s="37" t="s">
        <v>125</v>
      </c>
      <c r="E89" s="8" t="s">
        <v>126</v>
      </c>
      <c r="F89" s="248">
        <f>F73+F74+F80+F81</f>
        <v>3141.5926535897934</v>
      </c>
    </row>
    <row r="90" spans="2:16" x14ac:dyDescent="0.25">
      <c r="B90" s="37"/>
      <c r="E90" s="8"/>
      <c r="F90" s="248"/>
    </row>
    <row r="91" spans="2:16" x14ac:dyDescent="0.25">
      <c r="B91" s="37" t="s">
        <v>346</v>
      </c>
      <c r="E91" s="157" t="s">
        <v>345</v>
      </c>
      <c r="F91" s="255">
        <f>(DATI!E64*DATI!F64^2+DATI!E65*DATI!F65^2+'foglio deposito'!H3*DATI!F70^2+'foglio deposito'!H4*DATI!F71^2)/(DATI!E64*DATI!F64+DATI!E65*DATI!F65+'foglio deposito'!H3*DATI!F70+'foglio deposito'!H4*DATI!F71)</f>
        <v>20</v>
      </c>
    </row>
    <row r="93" spans="2:16" x14ac:dyDescent="0.25">
      <c r="B93" s="68" t="s">
        <v>101</v>
      </c>
    </row>
    <row r="94" spans="2:16" ht="14.25" customHeight="1" thickBot="1" x14ac:dyDescent="0.3">
      <c r="B94" s="125"/>
      <c r="C94" s="125"/>
      <c r="D94" s="125"/>
      <c r="E94" s="125"/>
      <c r="F94" s="116"/>
    </row>
    <row r="95" spans="2:16" ht="17.25" thickTop="1" thickBot="1" x14ac:dyDescent="0.3">
      <c r="B95" s="37" t="s">
        <v>165</v>
      </c>
      <c r="C95" s="37"/>
      <c r="D95" s="11"/>
      <c r="E95" s="119"/>
      <c r="F95" s="55">
        <v>8</v>
      </c>
      <c r="I95" s="83"/>
      <c r="J95" s="85"/>
      <c r="K95" s="86"/>
      <c r="L95" s="86"/>
      <c r="M95" s="86"/>
      <c r="N95" s="87"/>
      <c r="O95" s="109">
        <f>O67</f>
        <v>45</v>
      </c>
      <c r="P95" s="84"/>
    </row>
    <row r="96" spans="2:16" ht="9" customHeight="1" thickTop="1" thickBot="1" x14ac:dyDescent="0.3">
      <c r="B96" s="125"/>
      <c r="C96" s="116"/>
      <c r="D96" s="11"/>
      <c r="E96" s="125"/>
      <c r="F96" s="126"/>
      <c r="I96" s="83"/>
      <c r="J96" s="88"/>
      <c r="K96" s="286" t="s">
        <v>316</v>
      </c>
      <c r="L96" s="214"/>
      <c r="M96" s="215"/>
      <c r="N96" s="91"/>
      <c r="O96" s="84"/>
    </row>
    <row r="97" spans="2:16" ht="17.25" thickTop="1" thickBot="1" x14ac:dyDescent="0.3">
      <c r="B97" s="37" t="s">
        <v>166</v>
      </c>
      <c r="C97" s="37"/>
      <c r="D97" s="11"/>
      <c r="E97" s="119"/>
      <c r="F97" s="60">
        <v>120</v>
      </c>
      <c r="I97" s="83"/>
      <c r="J97" s="88"/>
      <c r="K97" s="287"/>
      <c r="L97" s="216"/>
      <c r="M97" s="94"/>
      <c r="N97" s="91"/>
      <c r="O97" s="84"/>
      <c r="P97" s="84"/>
    </row>
    <row r="98" spans="2:16" ht="11.25" customHeight="1" thickTop="1" thickBot="1" x14ac:dyDescent="0.3">
      <c r="B98" s="116"/>
      <c r="C98" s="127" t="str">
        <f>IF(F97&gt;334,"FUORI LEGGE","")</f>
        <v/>
      </c>
      <c r="D98" s="116"/>
      <c r="E98" s="125"/>
      <c r="F98" s="116"/>
      <c r="I98" s="84"/>
      <c r="J98" s="88"/>
      <c r="K98" s="287"/>
      <c r="L98" s="231">
        <f>F100-2</f>
        <v>0</v>
      </c>
      <c r="M98" s="94"/>
      <c r="N98" s="91"/>
      <c r="O98" s="106"/>
      <c r="P98" s="84"/>
    </row>
    <row r="99" spans="2:16" ht="17.25" thickTop="1" thickBot="1" x14ac:dyDescent="0.3">
      <c r="B99" s="37" t="s">
        <v>175</v>
      </c>
      <c r="F99" s="64">
        <v>2</v>
      </c>
      <c r="G99" s="243" t="str">
        <f>IF(F99&gt;=2,"","staffe insufficienti")</f>
        <v/>
      </c>
      <c r="I99" s="219"/>
      <c r="J99" s="89"/>
      <c r="K99" s="287"/>
      <c r="L99" s="216"/>
      <c r="M99" s="94"/>
      <c r="N99" s="91"/>
      <c r="O99" s="108">
        <f>P71</f>
        <v>500</v>
      </c>
      <c r="P99" s="84"/>
    </row>
    <row r="100" spans="2:16" ht="16.5" thickTop="1" thickBot="1" x14ac:dyDescent="0.3">
      <c r="B100" s="37" t="s">
        <v>176</v>
      </c>
      <c r="F100" s="64">
        <v>2</v>
      </c>
      <c r="G100" s="243" t="str">
        <f>IF(F100&gt;=2,"","staffe insufficienti")</f>
        <v/>
      </c>
      <c r="J100" s="88"/>
      <c r="K100" s="288"/>
      <c r="L100" s="217">
        <f>F99-2</f>
        <v>0</v>
      </c>
      <c r="M100" s="218"/>
      <c r="N100" s="91"/>
      <c r="P100" s="84"/>
    </row>
    <row r="101" spans="2:16" ht="16.5" thickTop="1" x14ac:dyDescent="0.25">
      <c r="B101" s="116"/>
      <c r="C101" s="116"/>
      <c r="D101" s="116"/>
      <c r="E101" s="116"/>
      <c r="F101" s="116"/>
      <c r="I101" s="219"/>
      <c r="J101" s="88"/>
      <c r="K101" s="216"/>
      <c r="L101" s="290" t="s">
        <v>317</v>
      </c>
      <c r="M101" s="291"/>
      <c r="N101" s="91"/>
      <c r="O101" s="84"/>
    </row>
    <row r="102" spans="2:16" ht="15.75" x14ac:dyDescent="0.25">
      <c r="B102" s="37" t="s">
        <v>185</v>
      </c>
      <c r="C102" s="134"/>
      <c r="E102" s="124" t="s">
        <v>187</v>
      </c>
      <c r="F102" s="65">
        <f>PI()*(F95/2)^2*F99</f>
        <v>100.53096491487338</v>
      </c>
      <c r="H102" s="207" t="s">
        <v>186</v>
      </c>
      <c r="I102" s="232">
        <f>F103</f>
        <v>100.53096491487338</v>
      </c>
      <c r="J102" s="88"/>
      <c r="K102" s="216"/>
      <c r="L102" s="292"/>
      <c r="M102" s="293"/>
      <c r="N102" s="91"/>
      <c r="O102" s="84"/>
      <c r="P102" s="84"/>
    </row>
    <row r="103" spans="2:16" ht="15.75" x14ac:dyDescent="0.25">
      <c r="B103" s="37" t="s">
        <v>188</v>
      </c>
      <c r="E103" s="124" t="s">
        <v>186</v>
      </c>
      <c r="F103" s="65">
        <f>PI()*(F95/2)^2*F100</f>
        <v>100.53096491487338</v>
      </c>
      <c r="I103" s="83"/>
      <c r="J103" s="88"/>
      <c r="K103" s="216"/>
      <c r="L103" s="216"/>
      <c r="M103" s="94"/>
      <c r="N103" s="91"/>
      <c r="O103" s="84"/>
      <c r="P103" s="84"/>
    </row>
    <row r="104" spans="2:16" ht="15.75" thickBot="1" x14ac:dyDescent="0.3">
      <c r="I104" s="83"/>
      <c r="J104" s="88"/>
      <c r="K104" s="217"/>
      <c r="L104" s="217"/>
      <c r="M104" s="218"/>
      <c r="N104" s="91"/>
      <c r="O104" s="84"/>
      <c r="P104" s="84"/>
    </row>
    <row r="105" spans="2:16" ht="15.75" x14ac:dyDescent="0.25">
      <c r="B105" s="37" t="s">
        <v>356</v>
      </c>
      <c r="E105" s="8" t="s">
        <v>46</v>
      </c>
      <c r="F105" s="66">
        <f>'CONFINAMENTO EC2'!F33/(DATI!F4*DATI!F5*DATI!F97)</f>
        <v>3.864857095616243E-3</v>
      </c>
      <c r="I105" s="84"/>
      <c r="J105" s="97"/>
      <c r="K105" s="98"/>
      <c r="L105" s="98"/>
      <c r="M105" s="98"/>
      <c r="N105" s="99"/>
      <c r="O105" s="109">
        <f>O77</f>
        <v>45</v>
      </c>
      <c r="P105" s="84"/>
    </row>
    <row r="106" spans="2:16" ht="15.75" x14ac:dyDescent="0.25">
      <c r="I106" s="84"/>
      <c r="J106" s="84"/>
      <c r="K106" s="101"/>
      <c r="L106" s="109">
        <f>L80</f>
        <v>300</v>
      </c>
      <c r="M106" s="103"/>
      <c r="N106" s="84"/>
      <c r="O106" s="84"/>
      <c r="P106" s="84"/>
    </row>
    <row r="107" spans="2:16" ht="18.75" x14ac:dyDescent="0.3">
      <c r="I107" s="84"/>
      <c r="J107" s="84"/>
      <c r="K107" s="124" t="s">
        <v>187</v>
      </c>
      <c r="L107" s="230">
        <f>F102</f>
        <v>100.53096491487338</v>
      </c>
      <c r="M107" s="84"/>
      <c r="N107" s="84"/>
      <c r="O107" s="84"/>
      <c r="P107" s="95"/>
    </row>
    <row r="108" spans="2:16" x14ac:dyDescent="0.25">
      <c r="B108" s="285" t="s">
        <v>388</v>
      </c>
      <c r="C108" s="285"/>
      <c r="D108" s="37"/>
      <c r="E108" s="37"/>
      <c r="F108" s="37"/>
      <c r="G108" s="37"/>
      <c r="H108" s="37"/>
      <c r="I108" s="37"/>
      <c r="J108" s="37"/>
      <c r="K108" s="37"/>
      <c r="L108" s="37"/>
      <c r="M108" s="37"/>
    </row>
    <row r="109" spans="2:16" ht="15.75" thickBot="1" x14ac:dyDescent="0.3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</row>
    <row r="110" spans="2:16" ht="20.25" thickTop="1" thickBot="1" x14ac:dyDescent="0.3">
      <c r="B110" s="37" t="s">
        <v>389</v>
      </c>
      <c r="F110" s="269" t="s">
        <v>39</v>
      </c>
      <c r="G110" s="37"/>
      <c r="H110" s="37"/>
      <c r="I110" s="37"/>
      <c r="J110" s="37"/>
      <c r="K110" s="37"/>
      <c r="L110" s="37"/>
      <c r="M110" s="37"/>
    </row>
    <row r="111" spans="2:16" ht="15.75" customHeight="1" thickTop="1" x14ac:dyDescent="0.25">
      <c r="E111" s="267"/>
      <c r="G111" s="37"/>
      <c r="H111" s="37"/>
      <c r="I111" s="37"/>
      <c r="J111" s="37"/>
      <c r="K111" s="37"/>
      <c r="L111" s="37"/>
      <c r="M111" s="37"/>
    </row>
    <row r="112" spans="2:16" ht="15.75" customHeight="1" x14ac:dyDescent="0.25">
      <c r="B112" s="285" t="s">
        <v>398</v>
      </c>
      <c r="C112" s="285"/>
      <c r="D112" s="267"/>
      <c r="E112" s="267"/>
      <c r="F112" s="268"/>
      <c r="G112" s="37"/>
      <c r="H112" s="37"/>
      <c r="I112" s="37"/>
      <c r="J112" s="37"/>
      <c r="K112" s="37"/>
      <c r="L112" s="37"/>
      <c r="M112" s="37"/>
    </row>
    <row r="113" spans="2:13" ht="15.75" thickBot="1" x14ac:dyDescent="0.3">
      <c r="G113" s="37"/>
      <c r="H113" s="37"/>
      <c r="I113" s="37"/>
      <c r="J113" s="37"/>
      <c r="K113" s="37"/>
      <c r="L113" s="37"/>
      <c r="M113" s="37"/>
    </row>
    <row r="114" spans="2:13" ht="16.5" thickTop="1" thickBot="1" x14ac:dyDescent="0.3">
      <c r="B114" s="294" t="s">
        <v>206</v>
      </c>
      <c r="C114" s="295"/>
      <c r="D114" s="37"/>
      <c r="E114" s="37"/>
      <c r="F114" s="37"/>
      <c r="G114" s="37"/>
      <c r="H114" s="37"/>
      <c r="I114" s="37"/>
      <c r="J114" s="37"/>
      <c r="K114" s="37"/>
      <c r="L114" s="37"/>
      <c r="M114" s="37"/>
    </row>
    <row r="115" spans="2:13" ht="10.5" customHeight="1" thickTop="1" x14ac:dyDescent="0.25"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</row>
    <row r="116" spans="2:13" ht="15.75" x14ac:dyDescent="0.25">
      <c r="B116" s="37"/>
      <c r="C116" s="37"/>
      <c r="D116" s="37"/>
      <c r="E116" s="37"/>
      <c r="F116" s="37"/>
      <c r="G116" s="251"/>
      <c r="H116" s="37"/>
      <c r="I116" s="37"/>
      <c r="J116" s="37"/>
      <c r="K116" s="37"/>
      <c r="L116" s="37"/>
      <c r="M116" s="37"/>
    </row>
    <row r="117" spans="2:13" ht="15" customHeight="1" x14ac:dyDescent="0.25">
      <c r="B117" s="285" t="s">
        <v>399</v>
      </c>
      <c r="C117" s="285"/>
      <c r="D117" s="46"/>
      <c r="E117" s="8"/>
      <c r="F117" s="66"/>
      <c r="G117" s="37"/>
      <c r="H117" s="37"/>
      <c r="I117" s="37"/>
      <c r="J117" s="37"/>
      <c r="K117" s="37"/>
      <c r="L117" s="37"/>
      <c r="M117" s="37"/>
    </row>
    <row r="118" spans="2:13" x14ac:dyDescent="0.25">
      <c r="B118" s="75" t="s">
        <v>326</v>
      </c>
      <c r="C118" s="30"/>
      <c r="D118" s="46"/>
      <c r="E118" s="8"/>
      <c r="F118" s="66"/>
      <c r="G118" s="37"/>
      <c r="H118" s="37"/>
      <c r="I118" s="37"/>
      <c r="J118" s="37"/>
      <c r="K118" s="37"/>
      <c r="L118" s="37"/>
      <c r="M118" s="37"/>
    </row>
    <row r="119" spans="2:13" ht="16.5" thickBot="1" x14ac:dyDescent="0.3">
      <c r="B119" s="37"/>
      <c r="C119" s="30"/>
      <c r="D119" s="46"/>
      <c r="E119" s="8"/>
      <c r="F119" s="169"/>
      <c r="G119" s="251"/>
      <c r="H119" s="37"/>
      <c r="I119" s="37"/>
      <c r="J119" s="37"/>
      <c r="K119" s="37"/>
      <c r="L119" s="37"/>
      <c r="M119" s="37"/>
    </row>
    <row r="120" spans="2:13" ht="17.25" thickTop="1" thickBot="1" x14ac:dyDescent="0.3">
      <c r="B120" s="37" t="s">
        <v>91</v>
      </c>
      <c r="C120" s="30"/>
      <c r="D120" s="46"/>
      <c r="E120" s="74" t="s">
        <v>112</v>
      </c>
      <c r="F120" s="233">
        <v>450</v>
      </c>
      <c r="G120" s="251"/>
      <c r="H120" s="37"/>
      <c r="I120" s="37"/>
      <c r="J120" s="37"/>
      <c r="K120" s="37"/>
      <c r="L120" s="37"/>
      <c r="M120" s="37"/>
    </row>
    <row r="121" spans="2:13" ht="16.5" thickTop="1" x14ac:dyDescent="0.25">
      <c r="B121" s="37" t="s">
        <v>92</v>
      </c>
      <c r="C121" s="30"/>
      <c r="D121" s="46"/>
      <c r="E121" s="8" t="s">
        <v>38</v>
      </c>
      <c r="F121" s="253">
        <f>ABS('foglio deposito'!C9)</f>
        <v>0.21261516654854717</v>
      </c>
      <c r="G121" s="251"/>
      <c r="H121" s="37"/>
      <c r="I121" s="37"/>
      <c r="J121" s="37"/>
      <c r="K121" s="37"/>
      <c r="L121" s="37"/>
      <c r="M121" s="37"/>
    </row>
    <row r="122" spans="2:13" ht="16.5" thickBot="1" x14ac:dyDescent="0.3">
      <c r="B122" s="37"/>
      <c r="C122" s="30"/>
      <c r="D122" s="46"/>
      <c r="E122" s="8"/>
      <c r="F122" s="201"/>
      <c r="G122" s="251"/>
      <c r="H122" s="37"/>
      <c r="I122" s="37"/>
      <c r="J122" s="37"/>
      <c r="K122" s="37"/>
      <c r="L122" s="37"/>
      <c r="M122" s="37"/>
    </row>
    <row r="123" spans="2:13" ht="16.5" thickTop="1" thickBot="1" x14ac:dyDescent="0.3">
      <c r="B123" t="s">
        <v>249</v>
      </c>
      <c r="E123" s="1" t="s">
        <v>250</v>
      </c>
      <c r="F123" s="60">
        <v>20</v>
      </c>
      <c r="G123" s="37"/>
      <c r="H123" s="37"/>
      <c r="I123" s="37"/>
      <c r="J123" s="37"/>
      <c r="K123" s="37"/>
      <c r="L123" s="37"/>
      <c r="M123" s="37"/>
    </row>
    <row r="124" spans="2:13" ht="16.5" thickTop="1" thickBot="1" x14ac:dyDescent="0.3">
      <c r="B124" s="37" t="s">
        <v>251</v>
      </c>
      <c r="E124" s="202" t="s">
        <v>252</v>
      </c>
      <c r="F124" s="233">
        <v>120</v>
      </c>
      <c r="G124" s="37"/>
      <c r="H124" s="37"/>
      <c r="I124" s="37"/>
      <c r="J124" s="37"/>
      <c r="K124" s="37"/>
      <c r="L124" s="37"/>
      <c r="M124" s="37"/>
    </row>
    <row r="125" spans="2:13" ht="16.5" thickTop="1" thickBot="1" x14ac:dyDescent="0.3">
      <c r="B125" s="37" t="s">
        <v>253</v>
      </c>
      <c r="E125" s="202" t="s">
        <v>254</v>
      </c>
      <c r="F125" s="60">
        <v>3000</v>
      </c>
      <c r="G125" s="37"/>
      <c r="H125" s="37"/>
      <c r="I125" s="37"/>
      <c r="J125" s="37"/>
      <c r="K125" s="37"/>
      <c r="L125" s="37"/>
      <c r="M125" s="37"/>
    </row>
    <row r="126" spans="2:13" ht="15.75" thickTop="1" x14ac:dyDescent="0.25"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</row>
    <row r="127" spans="2:13" x14ac:dyDescent="0.25"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</row>
    <row r="128" spans="2:13" x14ac:dyDescent="0.25"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</row>
    <row r="129" spans="2:13" x14ac:dyDescent="0.25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</row>
    <row r="130" spans="2:13" x14ac:dyDescent="0.25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</row>
    <row r="131" spans="2:13" x14ac:dyDescent="0.25"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</row>
    <row r="132" spans="2:13" x14ac:dyDescent="0.25"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</row>
    <row r="133" spans="2:13" x14ac:dyDescent="0.25"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</row>
    <row r="134" spans="2:13" x14ac:dyDescent="0.25"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</row>
    <row r="135" spans="2:13" x14ac:dyDescent="0.25"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</row>
    <row r="136" spans="2:13" x14ac:dyDescent="0.25"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</row>
    <row r="137" spans="2:13" x14ac:dyDescent="0.25"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</row>
    <row r="138" spans="2:13" x14ac:dyDescent="0.25"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</row>
    <row r="139" spans="2:13" x14ac:dyDescent="0.25"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</row>
  </sheetData>
  <sheetProtection password="C2CA" sheet="1" objects="1" scenarios="1" selectLockedCells="1"/>
  <protectedRanges>
    <protectedRange sqref="F95 F97" name="Intervallo1_1"/>
  </protectedRanges>
  <mergeCells count="12">
    <mergeCell ref="L101:M102"/>
    <mergeCell ref="B108:C108"/>
    <mergeCell ref="B117:C117"/>
    <mergeCell ref="B114:C114"/>
    <mergeCell ref="B112:C112"/>
    <mergeCell ref="B2:C2"/>
    <mergeCell ref="B13:C13"/>
    <mergeCell ref="B60:C60"/>
    <mergeCell ref="K96:K100"/>
    <mergeCell ref="H17:M26"/>
    <mergeCell ref="H33:M34"/>
    <mergeCell ref="H56:M58"/>
  </mergeCells>
  <conditionalFormatting sqref="O22">
    <cfRule type="cellIs" dxfId="34" priority="19" operator="equal">
      <formula>"verificato"</formula>
    </cfRule>
  </conditionalFormatting>
  <conditionalFormatting sqref="B80:F85 B67:F71">
    <cfRule type="expression" dxfId="33" priority="18">
      <formula>IF($F$10="trave",TRUE,FALSE)</formula>
    </cfRule>
  </conditionalFormatting>
  <conditionalFormatting sqref="E70:F71">
    <cfRule type="expression" dxfId="32" priority="17">
      <formula>IF($F$10="trave",TRUE,FALSE)</formula>
    </cfRule>
  </conditionalFormatting>
  <conditionalFormatting sqref="B19:F21">
    <cfRule type="expression" dxfId="31" priority="7">
      <formula>IF($F$17="esistente",FALSE,TRUE)</formula>
    </cfRule>
  </conditionalFormatting>
  <conditionalFormatting sqref="H17">
    <cfRule type="expression" dxfId="30" priority="6">
      <formula>IF($F$17="esistente",FALSE,TRUE)</formula>
    </cfRule>
  </conditionalFormatting>
  <conditionalFormatting sqref="H33">
    <cfRule type="expression" dxfId="29" priority="5">
      <formula>IF($F$17="esistente",FALSE,TRUE)</formula>
    </cfRule>
  </conditionalFormatting>
  <conditionalFormatting sqref="H56">
    <cfRule type="expression" dxfId="28" priority="4">
      <formula>IF($F$17="esistente",FALSE,TRUE)</formula>
    </cfRule>
  </conditionalFormatting>
  <conditionalFormatting sqref="F34">
    <cfRule type="cellIs" dxfId="27" priority="3" operator="notEqual">
      <formula>1.5</formula>
    </cfRule>
  </conditionalFormatting>
  <conditionalFormatting sqref="B117:F125">
    <cfRule type="expression" dxfId="26" priority="2">
      <formula>IF($F$10="trave",TRUE,FALSE)</formula>
    </cfRule>
  </conditionalFormatting>
  <conditionalFormatting sqref="F123:F125 F120:F121">
    <cfRule type="expression" dxfId="25" priority="1">
      <formula>IF($F$10="trave",TRUE,FALSE)</formula>
    </cfRule>
  </conditionalFormatting>
  <dataValidations count="6">
    <dataValidation type="list" allowBlank="1" showInputMessage="1" showErrorMessage="1" sqref="F38">
      <formula1>FERR</formula1>
    </dataValidation>
    <dataValidation type="list" allowBlank="1" showInputMessage="1" showErrorMessage="1" sqref="F17">
      <formula1>CLASS</formula1>
    </dataValidation>
    <dataValidation type="list" allowBlank="1" showInputMessage="1" showErrorMessage="1" sqref="F10">
      <formula1>tp</formula1>
    </dataValidation>
    <dataValidation type="list" allowBlank="1" showInputMessage="1" showErrorMessage="1" sqref="F19">
      <formula1>LC</formula1>
    </dataValidation>
    <dataValidation type="list" allowBlank="1" showInputMessage="1" showErrorMessage="1" sqref="F110">
      <formula1>sn</formula1>
    </dataValidation>
    <dataValidation type="list" allowBlank="1" showInputMessage="1" showErrorMessage="1" sqref="B114">
      <formula1>dut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219"/>
  <sheetViews>
    <sheetView topLeftCell="A98" workbookViewId="0">
      <selection activeCell="C114" sqref="C114"/>
    </sheetView>
  </sheetViews>
  <sheetFormatPr defaultRowHeight="15" x14ac:dyDescent="0.25"/>
  <cols>
    <col min="2" max="2" width="11" bestFit="1" customWidth="1"/>
    <col min="3" max="3" width="39.5703125" customWidth="1"/>
    <col min="4" max="4" width="10.140625" customWidth="1"/>
    <col min="5" max="5" width="11" bestFit="1" customWidth="1"/>
    <col min="6" max="6" width="33.140625" customWidth="1"/>
    <col min="7" max="7" width="11.5703125" customWidth="1"/>
    <col min="8" max="8" width="15.42578125" customWidth="1"/>
    <col min="9" max="9" width="11.5703125" customWidth="1"/>
    <col min="11" max="11" width="12.28515625" customWidth="1"/>
    <col min="12" max="12" width="13.42578125" customWidth="1"/>
    <col min="13" max="13" width="15.42578125" customWidth="1"/>
    <col min="15" max="15" width="11" customWidth="1"/>
    <col min="16" max="16" width="18.85546875" customWidth="1"/>
    <col min="19" max="19" width="10.5703125" bestFit="1" customWidth="1"/>
    <col min="20" max="20" width="11" bestFit="1" customWidth="1"/>
    <col min="21" max="21" width="12" bestFit="1" customWidth="1"/>
    <col min="22" max="22" width="13.5703125" customWidth="1"/>
    <col min="23" max="23" width="11" bestFit="1" customWidth="1"/>
    <col min="24" max="24" width="11.140625" customWidth="1"/>
  </cols>
  <sheetData>
    <row r="1" spans="2:29" x14ac:dyDescent="0.25">
      <c r="F1" t="s">
        <v>328</v>
      </c>
    </row>
    <row r="2" spans="2:29" ht="15.75" thickBot="1" x14ac:dyDescent="0.3">
      <c r="F2" t="s">
        <v>329</v>
      </c>
      <c r="H2" s="28" t="s">
        <v>330</v>
      </c>
      <c r="P2" s="26"/>
      <c r="Q2" s="29"/>
    </row>
    <row r="3" spans="2:29" ht="16.5" thickTop="1" thickBot="1" x14ac:dyDescent="0.3">
      <c r="B3" s="28" t="s">
        <v>45</v>
      </c>
      <c r="F3" s="233">
        <f>IF(DATI!F10="trave",0,DATI!F120)</f>
        <v>450</v>
      </c>
      <c r="H3" s="249">
        <f>IF(DATI!F10="trave",0,DATI!E70)</f>
        <v>2</v>
      </c>
      <c r="P3" s="27"/>
      <c r="Q3" s="29"/>
      <c r="AA3" s="4">
        <v>0.6</v>
      </c>
      <c r="AC3" s="10">
        <v>0.5</v>
      </c>
    </row>
    <row r="4" spans="2:29" ht="15.75" thickTop="1" x14ac:dyDescent="0.25">
      <c r="B4" s="29" t="e">
        <f>IF('foglio deposito'!C9&lt;=0.1,'foglio deposito'!M37,'foglio deposito'!M31)*'foglio deposito'!#REF!</f>
        <v>#REF!</v>
      </c>
      <c r="H4" s="249">
        <f>IF(DATI!F10="trave",0,DATI!E71)</f>
        <v>2</v>
      </c>
      <c r="O4" s="11"/>
      <c r="P4" s="31"/>
      <c r="Q4" s="32"/>
      <c r="R4" s="11"/>
      <c r="AA4" s="4">
        <f>AA3+0.01</f>
        <v>0.61</v>
      </c>
      <c r="AC4" s="10">
        <f>AC3+0.005</f>
        <v>0.505</v>
      </c>
    </row>
    <row r="5" spans="2:29" x14ac:dyDescent="0.25">
      <c r="J5" s="1"/>
      <c r="K5" s="1" t="s">
        <v>358</v>
      </c>
      <c r="L5" s="1" t="s">
        <v>359</v>
      </c>
      <c r="M5" t="s">
        <v>372</v>
      </c>
      <c r="N5" s="1"/>
      <c r="O5" s="11"/>
      <c r="P5" s="31"/>
      <c r="Q5" s="32"/>
      <c r="R5" s="11"/>
      <c r="AA5" s="4">
        <f t="shared" ref="AA5:AA68" si="0">AA4+0.01</f>
        <v>0.62</v>
      </c>
      <c r="AC5" s="10">
        <f t="shared" ref="AC5:AC68" si="1">AC4+0.005</f>
        <v>0.51</v>
      </c>
    </row>
    <row r="6" spans="2:29" x14ac:dyDescent="0.25">
      <c r="B6" s="299" t="s">
        <v>18</v>
      </c>
      <c r="C6" s="299"/>
      <c r="D6" s="35" t="s">
        <v>13</v>
      </c>
      <c r="E6" s="28">
        <f>DATI!F50*10^-3</f>
        <v>-2E-3</v>
      </c>
      <c r="G6" s="1" t="s">
        <v>50</v>
      </c>
      <c r="H6" s="1">
        <f>10</f>
        <v>10</v>
      </c>
      <c r="J6" s="1" t="s">
        <v>51</v>
      </c>
      <c r="K6" s="1">
        <v>450</v>
      </c>
      <c r="L6" s="1">
        <v>540</v>
      </c>
      <c r="M6" s="1">
        <v>67.5</v>
      </c>
      <c r="O6" s="11"/>
      <c r="P6" s="31"/>
      <c r="Q6" s="32"/>
      <c r="R6" s="29"/>
      <c r="S6" s="33"/>
      <c r="T6" s="28"/>
      <c r="U6" s="28"/>
      <c r="V6" s="28"/>
      <c r="W6" s="28"/>
      <c r="AA6" s="4">
        <f t="shared" si="0"/>
        <v>0.63</v>
      </c>
      <c r="AC6" s="10">
        <f t="shared" si="1"/>
        <v>0.51500000000000001</v>
      </c>
    </row>
    <row r="7" spans="2:29" ht="15.75" x14ac:dyDescent="0.25">
      <c r="B7" s="1">
        <f>-ABS('foglio deposito'!F3)</f>
        <v>-450</v>
      </c>
      <c r="C7" s="1"/>
      <c r="D7" s="36" t="s">
        <v>11</v>
      </c>
      <c r="E7" s="28">
        <f>'foglio deposito'!D13*10^-3</f>
        <v>-1.2183153994508394E-2</v>
      </c>
      <c r="G7" s="1" t="s">
        <v>52</v>
      </c>
      <c r="H7" s="1">
        <v>15</v>
      </c>
      <c r="J7" s="1" t="s">
        <v>53</v>
      </c>
      <c r="K7" s="1">
        <v>430</v>
      </c>
      <c r="L7" s="1">
        <v>540</v>
      </c>
      <c r="M7" s="1">
        <v>40</v>
      </c>
      <c r="O7" s="11"/>
      <c r="P7" s="31"/>
      <c r="Q7" s="32"/>
      <c r="R7" s="29"/>
      <c r="S7" s="33"/>
      <c r="T7" s="28"/>
      <c r="U7" s="28"/>
      <c r="V7" s="28"/>
      <c r="W7" s="28"/>
      <c r="AA7" s="4">
        <f t="shared" si="0"/>
        <v>0.64</v>
      </c>
      <c r="AC7" s="10">
        <f t="shared" si="1"/>
        <v>0.52</v>
      </c>
    </row>
    <row r="8" spans="2:29" ht="15.75" x14ac:dyDescent="0.25">
      <c r="D8" s="36" t="s">
        <v>9</v>
      </c>
      <c r="E8" s="28">
        <f>DATI!F56*10^-3</f>
        <v>1.8700000000000001E-3</v>
      </c>
      <c r="G8" s="1" t="s">
        <v>54</v>
      </c>
      <c r="H8" s="1">
        <v>20</v>
      </c>
      <c r="J8" s="1" t="s">
        <v>360</v>
      </c>
      <c r="K8" s="1">
        <v>375</v>
      </c>
      <c r="L8" s="1">
        <v>450</v>
      </c>
      <c r="M8" s="1">
        <v>40</v>
      </c>
      <c r="O8" s="11"/>
      <c r="P8" s="31"/>
      <c r="Q8" s="32"/>
      <c r="R8" s="29"/>
      <c r="S8" s="33"/>
      <c r="T8" s="28"/>
      <c r="U8" s="28"/>
      <c r="V8" s="28"/>
      <c r="W8" s="28"/>
      <c r="AA8" s="4">
        <f t="shared" si="0"/>
        <v>0.65</v>
      </c>
      <c r="AC8" s="10">
        <f t="shared" si="1"/>
        <v>0.52500000000000002</v>
      </c>
    </row>
    <row r="9" spans="2:29" ht="15.75" x14ac:dyDescent="0.25">
      <c r="B9" s="5" t="s">
        <v>38</v>
      </c>
      <c r="C9" s="10">
        <f>'foglio deposito'!B7*10^3/(DATI!F4*DATI!F5*'foglio deposito'!H65*'foglio deposito'!H68)</f>
        <v>-0.21261516654854717</v>
      </c>
      <c r="D9" s="36" t="s">
        <v>19</v>
      </c>
      <c r="E9" s="28">
        <f>DATI!F57*10^-3</f>
        <v>6.7500000000000004E-2</v>
      </c>
      <c r="G9" s="1" t="s">
        <v>55</v>
      </c>
      <c r="H9" s="1">
        <v>25</v>
      </c>
      <c r="J9" s="1" t="s">
        <v>361</v>
      </c>
      <c r="K9" s="1">
        <v>315</v>
      </c>
      <c r="L9" s="1">
        <v>490</v>
      </c>
      <c r="M9" s="1">
        <v>10</v>
      </c>
      <c r="P9" s="31"/>
      <c r="Q9" s="32"/>
      <c r="R9" s="29"/>
      <c r="S9" s="33"/>
      <c r="T9" s="28"/>
      <c r="U9" s="28"/>
      <c r="V9" s="28"/>
      <c r="W9" s="28"/>
      <c r="AA9" s="4">
        <f t="shared" si="0"/>
        <v>0.66</v>
      </c>
      <c r="AC9" s="10">
        <f t="shared" si="1"/>
        <v>0.53</v>
      </c>
    </row>
    <row r="10" spans="2:29" x14ac:dyDescent="0.25">
      <c r="G10" s="1" t="s">
        <v>56</v>
      </c>
      <c r="H10" s="1">
        <v>30</v>
      </c>
      <c r="J10" s="1" t="s">
        <v>362</v>
      </c>
      <c r="K10" s="1">
        <v>215</v>
      </c>
      <c r="L10" s="1">
        <v>335</v>
      </c>
      <c r="M10" s="1">
        <v>10</v>
      </c>
      <c r="P10" s="31"/>
      <c r="Q10" s="32"/>
      <c r="R10" s="29"/>
      <c r="S10" s="33"/>
      <c r="T10" s="28"/>
      <c r="U10" s="28"/>
      <c r="V10" s="28"/>
      <c r="W10" s="28"/>
      <c r="AA10" s="4">
        <f t="shared" si="0"/>
        <v>0.67</v>
      </c>
      <c r="AC10" s="10">
        <f t="shared" si="1"/>
        <v>0.53500000000000003</v>
      </c>
    </row>
    <row r="11" spans="2:29" x14ac:dyDescent="0.25">
      <c r="G11" s="1" t="s">
        <v>57</v>
      </c>
      <c r="H11" s="1">
        <v>35</v>
      </c>
      <c r="P11" s="31"/>
      <c r="Q11" s="32"/>
      <c r="R11" s="29"/>
      <c r="S11" s="33"/>
      <c r="T11" s="28"/>
      <c r="U11" s="28"/>
      <c r="V11" s="28"/>
      <c r="W11" s="28"/>
      <c r="AA11" s="4">
        <f t="shared" si="0"/>
        <v>0.68</v>
      </c>
      <c r="AC11" s="10">
        <f t="shared" si="1"/>
        <v>0.54</v>
      </c>
    </row>
    <row r="12" spans="2:29" ht="19.5" thickBot="1" x14ac:dyDescent="0.3">
      <c r="C12" s="156" t="s">
        <v>189</v>
      </c>
      <c r="D12" s="159">
        <f>(-(0.1*'CONFINAMENTO EC2'!F45*'CONFINAMENTO EC2'!F35))*1000</f>
        <v>-8.6831539945083946</v>
      </c>
      <c r="G12" s="1" t="s">
        <v>58</v>
      </c>
      <c r="H12" s="1">
        <v>40</v>
      </c>
      <c r="P12" s="31"/>
      <c r="Q12" s="32"/>
      <c r="R12" s="29"/>
      <c r="S12" s="33"/>
      <c r="T12" s="28"/>
      <c r="U12" s="28"/>
      <c r="V12" s="28"/>
      <c r="W12" s="28"/>
      <c r="AA12" s="4">
        <f t="shared" si="0"/>
        <v>0.69000000000000006</v>
      </c>
      <c r="AC12" s="10">
        <f t="shared" si="1"/>
        <v>0.54500000000000004</v>
      </c>
    </row>
    <row r="13" spans="2:29" ht="17.25" thickTop="1" thickBot="1" x14ac:dyDescent="0.3">
      <c r="D13" s="63">
        <f>IF(DATI!F110="si",D12+DATI!F51,DATI!F51)</f>
        <v>-12.183153994508395</v>
      </c>
      <c r="G13" s="1" t="s">
        <v>59</v>
      </c>
      <c r="H13" s="1">
        <v>45</v>
      </c>
      <c r="P13" s="31"/>
      <c r="Q13" s="32"/>
      <c r="R13" s="29"/>
      <c r="S13" s="33"/>
      <c r="T13" s="28"/>
      <c r="U13" s="28"/>
      <c r="V13" s="28"/>
      <c r="W13" s="28"/>
      <c r="AA13" s="4">
        <f t="shared" si="0"/>
        <v>0.70000000000000007</v>
      </c>
      <c r="AC13" s="10">
        <f t="shared" si="1"/>
        <v>0.55000000000000004</v>
      </c>
    </row>
    <row r="14" spans="2:29" ht="16.5" thickTop="1" thickBot="1" x14ac:dyDescent="0.3">
      <c r="G14" s="1" t="s">
        <v>60</v>
      </c>
      <c r="H14" s="1">
        <v>50</v>
      </c>
      <c r="J14" s="71" t="s">
        <v>105</v>
      </c>
      <c r="K14" s="70">
        <f>DATI!F41</f>
        <v>450</v>
      </c>
      <c r="L14" s="16" t="s">
        <v>104</v>
      </c>
      <c r="P14" s="31"/>
      <c r="Q14" s="32"/>
      <c r="R14" s="29"/>
      <c r="S14" s="33"/>
      <c r="T14" s="28"/>
      <c r="U14" s="28"/>
      <c r="V14" s="28"/>
      <c r="W14" s="28"/>
      <c r="AA14" s="4">
        <f t="shared" si="0"/>
        <v>0.71000000000000008</v>
      </c>
      <c r="AC14" s="10">
        <f t="shared" si="1"/>
        <v>0.55500000000000005</v>
      </c>
    </row>
    <row r="15" spans="2:29" ht="15.75" thickTop="1" x14ac:dyDescent="0.25">
      <c r="D15">
        <f>DATI!F51</f>
        <v>-3.5</v>
      </c>
      <c r="G15" s="1" t="s">
        <v>61</v>
      </c>
      <c r="H15" s="1">
        <v>55</v>
      </c>
      <c r="P15" s="31"/>
      <c r="Q15" s="32"/>
      <c r="R15" s="29"/>
      <c r="S15" s="33"/>
      <c r="T15" s="28"/>
      <c r="U15" s="28"/>
      <c r="V15" s="28"/>
      <c r="W15" s="28"/>
      <c r="AA15" s="4">
        <f t="shared" si="0"/>
        <v>0.72000000000000008</v>
      </c>
      <c r="AC15" s="10">
        <f t="shared" si="1"/>
        <v>0.56000000000000005</v>
      </c>
    </row>
    <row r="16" spans="2:29" x14ac:dyDescent="0.25">
      <c r="G16" s="1" t="s">
        <v>62</v>
      </c>
      <c r="H16" s="1">
        <v>60</v>
      </c>
      <c r="P16" s="31"/>
      <c r="Q16" s="32"/>
      <c r="R16" s="29"/>
      <c r="S16" s="33"/>
      <c r="T16" s="28"/>
      <c r="U16" s="28"/>
      <c r="V16" s="28"/>
      <c r="W16" s="28"/>
      <c r="AA16" s="4">
        <f t="shared" si="0"/>
        <v>0.73000000000000009</v>
      </c>
      <c r="AC16" s="10">
        <f t="shared" si="1"/>
        <v>0.56500000000000006</v>
      </c>
    </row>
    <row r="17" spans="2:29" x14ac:dyDescent="0.25">
      <c r="G17" t="s">
        <v>357</v>
      </c>
      <c r="H17">
        <f>'foglio deposito'!H19/0.83</f>
        <v>15.060240963855422</v>
      </c>
      <c r="K17" s="1"/>
      <c r="L17" s="1" t="s">
        <v>368</v>
      </c>
      <c r="P17" s="31"/>
      <c r="Q17" s="32"/>
      <c r="R17" s="29"/>
      <c r="S17" s="33"/>
      <c r="T17" s="28"/>
      <c r="U17" s="28"/>
      <c r="V17" s="28"/>
      <c r="W17" s="28"/>
      <c r="AA17" s="4">
        <f t="shared" si="0"/>
        <v>0.7400000000000001</v>
      </c>
      <c r="AC17" s="10">
        <f t="shared" si="1"/>
        <v>0.57000000000000006</v>
      </c>
    </row>
    <row r="18" spans="2:29" x14ac:dyDescent="0.25">
      <c r="K18" s="1" t="s">
        <v>365</v>
      </c>
      <c r="L18" s="4">
        <v>1.35</v>
      </c>
      <c r="P18" s="31"/>
      <c r="Q18" s="32"/>
      <c r="R18" s="29"/>
      <c r="S18" s="33"/>
      <c r="T18" s="28"/>
      <c r="U18" s="28"/>
      <c r="V18" s="28"/>
      <c r="W18" s="28"/>
      <c r="AA18" s="4">
        <f t="shared" si="0"/>
        <v>0.75000000000000011</v>
      </c>
      <c r="AC18" s="10">
        <f t="shared" si="1"/>
        <v>0.57500000000000007</v>
      </c>
    </row>
    <row r="19" spans="2:29" x14ac:dyDescent="0.25">
      <c r="G19" s="40" t="s">
        <v>369</v>
      </c>
      <c r="H19" s="61">
        <f>DATI!F20/DATI!F21</f>
        <v>12.5</v>
      </c>
      <c r="K19" s="1" t="s">
        <v>366</v>
      </c>
      <c r="L19" s="4">
        <v>1.2</v>
      </c>
      <c r="P19" s="31"/>
      <c r="Q19" s="32"/>
      <c r="R19" s="29"/>
      <c r="S19" s="33"/>
      <c r="T19" s="28"/>
      <c r="U19" s="28"/>
      <c r="V19" s="28"/>
      <c r="W19" s="28"/>
      <c r="AA19" s="4">
        <f t="shared" si="0"/>
        <v>0.76000000000000012</v>
      </c>
      <c r="AC19" s="10">
        <f t="shared" si="1"/>
        <v>0.58000000000000007</v>
      </c>
    </row>
    <row r="20" spans="2:29" x14ac:dyDescent="0.25">
      <c r="K20" s="1" t="s">
        <v>367</v>
      </c>
      <c r="L20" s="4">
        <v>1</v>
      </c>
      <c r="P20" s="31"/>
      <c r="Q20" s="32"/>
      <c r="R20" s="29"/>
      <c r="S20" s="33"/>
      <c r="T20" s="28"/>
      <c r="U20" s="28"/>
      <c r="V20" s="28"/>
      <c r="W20" s="28"/>
      <c r="AA20" s="4">
        <f t="shared" si="0"/>
        <v>0.77000000000000013</v>
      </c>
      <c r="AC20" s="10">
        <f t="shared" si="1"/>
        <v>0.58500000000000008</v>
      </c>
    </row>
    <row r="21" spans="2:29" ht="15.75" thickBot="1" x14ac:dyDescent="0.3">
      <c r="B21" s="37" t="s">
        <v>99</v>
      </c>
      <c r="C21" s="37"/>
      <c r="D21" s="37"/>
      <c r="E21" s="8" t="s">
        <v>115</v>
      </c>
      <c r="F21" s="57">
        <f>(DATI!F74+DATI!F73)*'foglio deposito'!H66/(DATI!F4*DATI!F5*'foglio deposito'!H65)</f>
        <v>0.29622141312004341</v>
      </c>
      <c r="I21" s="40" t="s">
        <v>103</v>
      </c>
      <c r="P21" s="31"/>
      <c r="Q21" s="32"/>
      <c r="R21" s="29"/>
      <c r="S21" s="33"/>
      <c r="T21" s="28"/>
      <c r="U21" s="28"/>
      <c r="V21" s="28"/>
      <c r="W21" s="28"/>
      <c r="AA21" s="4">
        <f t="shared" si="0"/>
        <v>0.78000000000000014</v>
      </c>
      <c r="AC21" s="10">
        <f t="shared" si="1"/>
        <v>0.59000000000000008</v>
      </c>
    </row>
    <row r="22" spans="2:29" ht="16.5" thickTop="1" thickBot="1" x14ac:dyDescent="0.3">
      <c r="I22" s="55">
        <f>DATI!F95</f>
        <v>8</v>
      </c>
      <c r="P22" s="31"/>
      <c r="Q22" s="32"/>
      <c r="R22" s="29"/>
      <c r="S22" s="33"/>
      <c r="T22" s="28"/>
      <c r="U22" s="28"/>
      <c r="V22" s="28"/>
      <c r="W22" s="28"/>
      <c r="AA22" s="4">
        <f t="shared" si="0"/>
        <v>0.79000000000000015</v>
      </c>
      <c r="AC22" s="10">
        <f t="shared" si="1"/>
        <v>0.59500000000000008</v>
      </c>
    </row>
    <row r="23" spans="2:29" ht="16.5" thickTop="1" thickBot="1" x14ac:dyDescent="0.3">
      <c r="B23" s="37" t="s">
        <v>99</v>
      </c>
      <c r="C23" s="37"/>
      <c r="D23" s="37"/>
      <c r="E23" s="8" t="s">
        <v>116</v>
      </c>
      <c r="F23" s="57">
        <f>(DATI!F81+DATI!F80)*'foglio deposito'!H66/(DATI!F4*DATI!F5*'foglio deposito'!H65)</f>
        <v>0.19748094208002898</v>
      </c>
      <c r="I23" s="55">
        <f>DATI!F95</f>
        <v>8</v>
      </c>
      <c r="P23" s="31"/>
      <c r="Q23" s="32"/>
      <c r="R23" s="29"/>
      <c r="S23" s="33"/>
      <c r="T23" s="28"/>
      <c r="U23" s="28"/>
      <c r="V23" s="28"/>
      <c r="W23" s="28"/>
      <c r="AA23" s="4">
        <f t="shared" si="0"/>
        <v>0.80000000000000016</v>
      </c>
      <c r="AC23" s="10">
        <f t="shared" si="1"/>
        <v>0.60000000000000009</v>
      </c>
    </row>
    <row r="24" spans="2:29" ht="15.75" thickTop="1" x14ac:dyDescent="0.25">
      <c r="P24" s="31"/>
      <c r="Q24" s="32"/>
      <c r="R24" s="29"/>
      <c r="S24" s="33"/>
      <c r="T24" s="28"/>
      <c r="U24" s="28"/>
      <c r="V24" s="28"/>
      <c r="W24" s="28"/>
      <c r="AA24" s="4">
        <f t="shared" si="0"/>
        <v>0.81000000000000016</v>
      </c>
      <c r="AC24" s="10">
        <f t="shared" si="1"/>
        <v>0.60500000000000009</v>
      </c>
    </row>
    <row r="25" spans="2:29" x14ac:dyDescent="0.25">
      <c r="B25" s="37" t="s">
        <v>97</v>
      </c>
      <c r="C25" s="30"/>
      <c r="D25" s="46"/>
      <c r="E25" s="8" t="s">
        <v>117</v>
      </c>
      <c r="F25" s="57">
        <f>(DATI!F74+DATI!F73)/(DATI!F4*DATI!F5)</f>
        <v>1.2566370614359171E-2</v>
      </c>
      <c r="V25" s="28"/>
      <c r="W25" s="28"/>
      <c r="AA25" s="4">
        <f t="shared" si="0"/>
        <v>0.82000000000000017</v>
      </c>
      <c r="AC25" s="10">
        <f t="shared" si="1"/>
        <v>0.6100000000000001</v>
      </c>
    </row>
    <row r="26" spans="2:29" x14ac:dyDescent="0.25">
      <c r="V26" s="28"/>
      <c r="W26" s="28"/>
      <c r="AA26" s="4">
        <f t="shared" si="0"/>
        <v>0.83000000000000018</v>
      </c>
      <c r="AC26" s="10">
        <f t="shared" si="1"/>
        <v>0.6150000000000001</v>
      </c>
    </row>
    <row r="27" spans="2:29" x14ac:dyDescent="0.25">
      <c r="B27" s="37" t="s">
        <v>97</v>
      </c>
      <c r="C27" s="30"/>
      <c r="D27" s="46"/>
      <c r="E27" s="8" t="s">
        <v>118</v>
      </c>
      <c r="F27" s="57">
        <f>(DATI!F81+DATI!F80)/(DATI!F4*DATI!F5)</f>
        <v>8.3775804095727827E-3</v>
      </c>
      <c r="AA27" s="4">
        <f t="shared" si="0"/>
        <v>0.84000000000000019</v>
      </c>
      <c r="AC27" s="10">
        <f t="shared" si="1"/>
        <v>0.62000000000000011</v>
      </c>
    </row>
    <row r="28" spans="2:29" x14ac:dyDescent="0.25">
      <c r="AA28" s="4">
        <f t="shared" si="0"/>
        <v>0.8500000000000002</v>
      </c>
      <c r="AC28" s="10">
        <f t="shared" si="1"/>
        <v>0.62500000000000011</v>
      </c>
    </row>
    <row r="29" spans="2:29" x14ac:dyDescent="0.25">
      <c r="AA29" s="4">
        <f t="shared" si="0"/>
        <v>0.86000000000000021</v>
      </c>
      <c r="AC29" s="10">
        <f t="shared" si="1"/>
        <v>0.63000000000000012</v>
      </c>
    </row>
    <row r="30" spans="2:29" x14ac:dyDescent="0.25">
      <c r="C30" t="s">
        <v>35</v>
      </c>
      <c r="AA30" s="4">
        <f t="shared" si="0"/>
        <v>0.87000000000000022</v>
      </c>
      <c r="AC30" s="10">
        <f t="shared" si="1"/>
        <v>0.63500000000000012</v>
      </c>
    </row>
    <row r="31" spans="2:29" x14ac:dyDescent="0.25">
      <c r="C31" s="13" t="s">
        <v>31</v>
      </c>
      <c r="D31" s="22" t="s">
        <v>32</v>
      </c>
      <c r="E31" s="22" t="s">
        <v>48</v>
      </c>
      <c r="F31" s="23" t="s">
        <v>33</v>
      </c>
      <c r="G31" s="22" t="s">
        <v>34</v>
      </c>
      <c r="L31" s="12" t="s">
        <v>28</v>
      </c>
      <c r="M31" s="13">
        <f>ABS(IFERROR(0.8*(-'foglio deposito'!E7/DATI!F5)/(DATI!F75-DATI!F76-'foglio deposito'!C9),0))</f>
        <v>9.1682294860007159E-5</v>
      </c>
      <c r="N31" s="23" t="s">
        <v>29</v>
      </c>
      <c r="O31" s="14">
        <f>2*'foglio deposito'!E8/(DATI!F5-DATI!F6)</f>
        <v>8.2197802197802207E-6</v>
      </c>
      <c r="P31" s="34" t="s">
        <v>29</v>
      </c>
      <c r="Q31" s="31">
        <f>O31*10^5</f>
        <v>0.82197802197802206</v>
      </c>
      <c r="AA31" s="4">
        <f t="shared" si="0"/>
        <v>0.88000000000000023</v>
      </c>
      <c r="AC31" s="10">
        <f t="shared" si="1"/>
        <v>0.64000000000000012</v>
      </c>
    </row>
    <row r="32" spans="2:29" x14ac:dyDescent="0.25">
      <c r="C32" s="24">
        <f>IF('foglio deposito'!C42="si",0,1.2*'foglio deposito'!H69/0.7*(DATI!F4*DATI!F5^3/12)/(DATI!F5/2))</f>
        <v>0</v>
      </c>
      <c r="D32" s="11">
        <f>'foglio deposito'!H70*(DATI!F4*DATI!F5^3/12)</f>
        <v>98272379499823.391</v>
      </c>
      <c r="E32">
        <f>(DATI!F4*DATI!F5^3/12)</f>
        <v>3125000000</v>
      </c>
      <c r="F32" s="244">
        <f>C32/D32</f>
        <v>0</v>
      </c>
      <c r="G32" s="11">
        <f>(DATI!F4*DATI!F5^3/12)</f>
        <v>3125000000</v>
      </c>
      <c r="L32" s="15" t="s">
        <v>26</v>
      </c>
      <c r="M32" s="11"/>
      <c r="N32" s="16" t="s">
        <v>30</v>
      </c>
      <c r="O32" s="17"/>
      <c r="P32" s="34" t="s">
        <v>28</v>
      </c>
      <c r="Q32" s="31">
        <f>M31*10^5</f>
        <v>9.1682294860007154</v>
      </c>
      <c r="AA32" s="4">
        <f t="shared" si="0"/>
        <v>0.89000000000000024</v>
      </c>
      <c r="AC32" s="10">
        <f t="shared" si="1"/>
        <v>0.64500000000000013</v>
      </c>
    </row>
    <row r="33" spans="2:29" x14ac:dyDescent="0.25">
      <c r="C33" s="11"/>
      <c r="D33" s="11"/>
      <c r="L33" s="18" t="s">
        <v>27</v>
      </c>
      <c r="M33" s="19"/>
      <c r="N33" s="19"/>
      <c r="O33" s="20"/>
      <c r="AA33" s="4">
        <f t="shared" si="0"/>
        <v>0.90000000000000024</v>
      </c>
      <c r="AC33" s="10">
        <f t="shared" si="1"/>
        <v>0.65000000000000013</v>
      </c>
    </row>
    <row r="34" spans="2:29" x14ac:dyDescent="0.25">
      <c r="B34" t="s">
        <v>324</v>
      </c>
      <c r="C34" s="11">
        <f>1.2*'foglio deposito'!H69/0.7*(DATI!F4*DATI!F5^3/12)/(DATI!F5/2)</f>
        <v>25581194.48166962</v>
      </c>
      <c r="D34" s="11"/>
      <c r="L34" t="s">
        <v>43</v>
      </c>
      <c r="AA34" s="4">
        <f t="shared" si="0"/>
        <v>0.91000000000000025</v>
      </c>
      <c r="AC34" s="10">
        <f t="shared" si="1"/>
        <v>0.65500000000000014</v>
      </c>
    </row>
    <row r="35" spans="2:29" x14ac:dyDescent="0.25">
      <c r="AA35" s="4">
        <f t="shared" si="0"/>
        <v>0.92000000000000026</v>
      </c>
      <c r="AC35" s="10">
        <f t="shared" si="1"/>
        <v>0.66000000000000014</v>
      </c>
    </row>
    <row r="36" spans="2:29" x14ac:dyDescent="0.25">
      <c r="C36" s="11"/>
      <c r="D36" s="11"/>
      <c r="AA36" s="4">
        <f t="shared" si="0"/>
        <v>0.93000000000000027</v>
      </c>
      <c r="AC36" s="10">
        <f t="shared" si="1"/>
        <v>0.66500000000000015</v>
      </c>
    </row>
    <row r="37" spans="2:29" x14ac:dyDescent="0.25">
      <c r="D37" t="s">
        <v>21</v>
      </c>
      <c r="E37" t="e">
        <f>('foglio deposito'!F3*10^3)/(DATI!F4*DATI!F5)*('foglio deposito'!E32/'foglio deposito'!C32)</f>
        <v>#DIV/0!</v>
      </c>
      <c r="H37" s="1">
        <v>0</v>
      </c>
      <c r="I37" s="1">
        <v>0</v>
      </c>
      <c r="L37" s="12" t="s">
        <v>28</v>
      </c>
      <c r="M37" s="13">
        <f>ABS(-(0.8*('foglio deposito'!E7/DATI!F5))/(DATI!F75-DATI!F76+30*10^3/(DATI!F4*DATI!F5*'foglio deposito'!H65*'foglio deposito'!H68)))</f>
        <v>1.3752344229001074E-3</v>
      </c>
      <c r="N37" s="23" t="s">
        <v>29</v>
      </c>
      <c r="O37" s="14">
        <f>1.4*'foglio deposito'!E8/DATI!F7</f>
        <v>5.7538461538461545E-6</v>
      </c>
      <c r="P37" s="34" t="s">
        <v>29</v>
      </c>
      <c r="Q37" s="31">
        <f>O37*10^5</f>
        <v>0.57538461538461549</v>
      </c>
      <c r="AA37" s="4">
        <f t="shared" si="0"/>
        <v>0.94000000000000028</v>
      </c>
      <c r="AC37" s="10">
        <f t="shared" si="1"/>
        <v>0.67000000000000015</v>
      </c>
    </row>
    <row r="38" spans="2:29" x14ac:dyDescent="0.25">
      <c r="C38" t="s">
        <v>39</v>
      </c>
      <c r="H38" s="9">
        <f>'foglio deposito'!O31</f>
        <v>8.2197802197802207E-6</v>
      </c>
      <c r="I38" s="1">
        <f>'foglio deposito'!O32</f>
        <v>0</v>
      </c>
      <c r="L38" s="15" t="s">
        <v>26</v>
      </c>
      <c r="M38" s="11"/>
      <c r="N38" s="16" t="s">
        <v>30</v>
      </c>
      <c r="O38" s="17"/>
      <c r="P38" s="34" t="s">
        <v>28</v>
      </c>
      <c r="Q38" s="31">
        <f>M37*10^5</f>
        <v>137.52344229001073</v>
      </c>
      <c r="AA38" s="4">
        <f t="shared" si="0"/>
        <v>0.95000000000000029</v>
      </c>
      <c r="AC38" s="10">
        <f t="shared" si="1"/>
        <v>0.67500000000000016</v>
      </c>
    </row>
    <row r="39" spans="2:29" x14ac:dyDescent="0.25">
      <c r="C39" t="s">
        <v>40</v>
      </c>
      <c r="H39" s="1">
        <f>'foglio deposito'!M31</f>
        <v>9.1682294860007159E-5</v>
      </c>
      <c r="I39" s="1">
        <f>'foglio deposito'!M33</f>
        <v>0</v>
      </c>
      <c r="L39" s="18" t="s">
        <v>27</v>
      </c>
      <c r="M39" s="19"/>
      <c r="N39" s="19"/>
      <c r="O39" s="20"/>
      <c r="AA39" s="4">
        <f t="shared" si="0"/>
        <v>0.9600000000000003</v>
      </c>
      <c r="AC39" s="10">
        <f t="shared" si="1"/>
        <v>0.68000000000000016</v>
      </c>
    </row>
    <row r="40" spans="2:29" x14ac:dyDescent="0.25">
      <c r="L40" t="s">
        <v>44</v>
      </c>
      <c r="AA40" s="4">
        <f t="shared" si="0"/>
        <v>0.97000000000000031</v>
      </c>
      <c r="AC40" s="10">
        <f t="shared" si="1"/>
        <v>0.68500000000000016</v>
      </c>
    </row>
    <row r="41" spans="2:29" ht="15.75" thickBot="1" x14ac:dyDescent="0.3">
      <c r="C41" s="252" t="s">
        <v>334</v>
      </c>
      <c r="AA41" s="4">
        <f t="shared" si="0"/>
        <v>0.98000000000000032</v>
      </c>
      <c r="AC41" s="10">
        <f t="shared" si="1"/>
        <v>0.69000000000000017</v>
      </c>
    </row>
    <row r="42" spans="2:29" ht="16.5" thickTop="1" thickBot="1" x14ac:dyDescent="0.3">
      <c r="C42" s="254" t="s">
        <v>39</v>
      </c>
      <c r="AA42" s="4">
        <f t="shared" si="0"/>
        <v>0.99000000000000032</v>
      </c>
      <c r="AC42" s="10">
        <f t="shared" si="1"/>
        <v>0.69500000000000017</v>
      </c>
    </row>
    <row r="43" spans="2:29" ht="16.5" thickTop="1" x14ac:dyDescent="0.25">
      <c r="L43" s="7" t="s">
        <v>25</v>
      </c>
      <c r="M43" s="4">
        <f>O43*10^3</f>
        <v>3.7961743481716111E-2</v>
      </c>
      <c r="N43" s="6" t="s">
        <v>8</v>
      </c>
      <c r="O43">
        <f>'foglio deposito'!H69/'foglio deposito'!H70</f>
        <v>3.7961743481716111E-5</v>
      </c>
      <c r="AA43" s="4">
        <f t="shared" si="0"/>
        <v>1.0000000000000002</v>
      </c>
      <c r="AC43" s="10">
        <f t="shared" si="1"/>
        <v>0.70000000000000018</v>
      </c>
    </row>
    <row r="44" spans="2:29" x14ac:dyDescent="0.25">
      <c r="AA44" s="4">
        <f t="shared" si="0"/>
        <v>1.0100000000000002</v>
      </c>
      <c r="AC44" s="10">
        <f t="shared" si="1"/>
        <v>0.70500000000000018</v>
      </c>
    </row>
    <row r="45" spans="2:29" x14ac:dyDescent="0.25">
      <c r="AA45" s="4">
        <f t="shared" si="0"/>
        <v>1.0200000000000002</v>
      </c>
      <c r="AC45" s="10">
        <f t="shared" si="1"/>
        <v>0.71000000000000019</v>
      </c>
    </row>
    <row r="46" spans="2:29" ht="15.75" x14ac:dyDescent="0.25">
      <c r="B46" s="300" t="s">
        <v>137</v>
      </c>
      <c r="C46" s="301"/>
      <c r="D46" s="301"/>
      <c r="E46" s="301"/>
      <c r="F46" s="301"/>
      <c r="G46" s="37"/>
      <c r="H46" s="119" t="s">
        <v>6</v>
      </c>
      <c r="I46" s="128">
        <f>DATI!F42</f>
        <v>391.304347826087</v>
      </c>
      <c r="J46" s="119" t="s">
        <v>134</v>
      </c>
      <c r="L46" s="149" t="s">
        <v>154</v>
      </c>
      <c r="P46" s="137">
        <f>IF(DATI!F95=0,0,'CONFINAMENTO EC2'!F8)</f>
        <v>246</v>
      </c>
      <c r="AA46" s="4">
        <f t="shared" si="0"/>
        <v>1.0300000000000002</v>
      </c>
      <c r="AC46" s="10">
        <f t="shared" si="1"/>
        <v>0.71500000000000019</v>
      </c>
    </row>
    <row r="47" spans="2:29" ht="16.5" thickBot="1" x14ac:dyDescent="0.3">
      <c r="B47" s="115"/>
      <c r="C47" s="116"/>
      <c r="D47" s="116"/>
      <c r="E47" s="116"/>
      <c r="F47" s="116"/>
      <c r="G47" s="37"/>
      <c r="H47" s="122"/>
      <c r="I47" s="121"/>
      <c r="J47" s="122"/>
      <c r="L47" s="149" t="s">
        <v>152</v>
      </c>
      <c r="M47" s="130"/>
      <c r="P47" s="137">
        <f>IF(DATI!F95=0,0,'CONFINAMENTO EC2'!F9)</f>
        <v>446</v>
      </c>
      <c r="AA47" s="4">
        <f t="shared" si="0"/>
        <v>1.0400000000000003</v>
      </c>
      <c r="AC47" s="10">
        <f t="shared" si="1"/>
        <v>0.7200000000000002</v>
      </c>
    </row>
    <row r="48" spans="2:29" ht="17.25" thickTop="1" thickBot="1" x14ac:dyDescent="0.3">
      <c r="B48" s="117" t="s">
        <v>136</v>
      </c>
      <c r="C48" s="118">
        <f>DATI!F4</f>
        <v>300</v>
      </c>
      <c r="D48" s="119" t="s">
        <v>22</v>
      </c>
      <c r="E48" s="116" t="s">
        <v>135</v>
      </c>
      <c r="F48" s="116"/>
      <c r="G48" s="37"/>
      <c r="H48" s="119" t="s">
        <v>5</v>
      </c>
      <c r="I48" s="129">
        <f>DATI!F43</f>
        <v>210000</v>
      </c>
      <c r="J48" s="119" t="s">
        <v>134</v>
      </c>
      <c r="AA48" s="4">
        <f t="shared" si="0"/>
        <v>1.0500000000000003</v>
      </c>
      <c r="AC48" s="10">
        <f t="shared" si="1"/>
        <v>0.7250000000000002</v>
      </c>
    </row>
    <row r="49" spans="2:29" ht="17.25" thickTop="1" thickBot="1" x14ac:dyDescent="0.3">
      <c r="B49" s="120"/>
      <c r="C49" s="121"/>
      <c r="D49" s="122"/>
      <c r="E49" s="116"/>
      <c r="F49" s="116"/>
      <c r="G49" s="37"/>
      <c r="H49" s="37"/>
      <c r="I49" s="37"/>
      <c r="J49" s="42"/>
      <c r="L49" t="s">
        <v>177</v>
      </c>
      <c r="M49" s="135">
        <f>IF(DATI!F99-2&lt;0,0,DATI!F99-2)</f>
        <v>0</v>
      </c>
      <c r="P49">
        <f>P46*2+M49*P46</f>
        <v>492</v>
      </c>
      <c r="AA49" s="4">
        <f t="shared" si="0"/>
        <v>1.0600000000000003</v>
      </c>
      <c r="AC49" s="10">
        <f t="shared" si="1"/>
        <v>0.7300000000000002</v>
      </c>
    </row>
    <row r="50" spans="2:29" ht="17.25" thickTop="1" thickBot="1" x14ac:dyDescent="0.3">
      <c r="B50" s="117" t="s">
        <v>12</v>
      </c>
      <c r="C50" s="118">
        <f>DATI!F5</f>
        <v>500</v>
      </c>
      <c r="D50" s="119" t="s">
        <v>22</v>
      </c>
      <c r="E50" s="116" t="s">
        <v>133</v>
      </c>
      <c r="F50" s="116"/>
      <c r="G50" s="37"/>
      <c r="H50" s="37"/>
      <c r="I50" s="37"/>
      <c r="J50" s="42"/>
      <c r="L50" t="s">
        <v>178</v>
      </c>
      <c r="M50" s="135">
        <f>IF(DATI!F100-2&lt;0,0,DATI!F100-2)</f>
        <v>0</v>
      </c>
      <c r="P50">
        <f>P47*2+M50*P47</f>
        <v>892</v>
      </c>
      <c r="AA50" s="4">
        <f t="shared" si="0"/>
        <v>1.0700000000000003</v>
      </c>
      <c r="AC50" s="10">
        <f t="shared" si="1"/>
        <v>0.73500000000000021</v>
      </c>
    </row>
    <row r="51" spans="2:29" ht="17.25" thickTop="1" thickBot="1" x14ac:dyDescent="0.3">
      <c r="B51" s="120"/>
      <c r="C51" s="121"/>
      <c r="D51" s="122"/>
      <c r="E51" s="116"/>
      <c r="F51" s="116"/>
      <c r="G51" s="37"/>
      <c r="H51" s="37"/>
      <c r="I51" s="37"/>
      <c r="J51" s="42"/>
      <c r="AA51" s="4">
        <f t="shared" si="0"/>
        <v>1.0800000000000003</v>
      </c>
      <c r="AC51" s="10">
        <f t="shared" si="1"/>
        <v>0.74000000000000021</v>
      </c>
    </row>
    <row r="52" spans="2:29" ht="17.25" thickTop="1" thickBot="1" x14ac:dyDescent="0.3">
      <c r="B52" s="117" t="s">
        <v>132</v>
      </c>
      <c r="C52" s="118">
        <f>DATI!F6</f>
        <v>45</v>
      </c>
      <c r="D52" s="119" t="s">
        <v>22</v>
      </c>
      <c r="E52" s="116" t="s">
        <v>131</v>
      </c>
      <c r="F52" s="116"/>
      <c r="G52" s="37"/>
      <c r="H52" s="37"/>
      <c r="I52" s="37"/>
      <c r="J52" s="42"/>
      <c r="AA52" s="4">
        <f t="shared" si="0"/>
        <v>1.0900000000000003</v>
      </c>
      <c r="AC52" s="10">
        <f t="shared" si="1"/>
        <v>0.74500000000000022</v>
      </c>
    </row>
    <row r="53" spans="2:29" ht="16.5" thickTop="1" x14ac:dyDescent="0.25">
      <c r="B53" s="115"/>
      <c r="C53" s="116" t="s">
        <v>130</v>
      </c>
      <c r="D53" s="122"/>
      <c r="E53" s="123"/>
      <c r="F53" s="116"/>
      <c r="G53" s="37"/>
      <c r="H53" s="37"/>
      <c r="I53" s="37"/>
      <c r="J53" s="42"/>
      <c r="AA53" s="4">
        <f t="shared" si="0"/>
        <v>1.1000000000000003</v>
      </c>
      <c r="AC53" s="10">
        <f t="shared" si="1"/>
        <v>0.75000000000000022</v>
      </c>
    </row>
    <row r="54" spans="2:29" ht="15.75" x14ac:dyDescent="0.25">
      <c r="B54" s="115"/>
      <c r="C54" s="123"/>
      <c r="D54" s="123"/>
      <c r="E54" s="123"/>
      <c r="F54" s="116"/>
      <c r="G54" s="37"/>
      <c r="H54" s="37"/>
      <c r="I54" s="37"/>
      <c r="J54" s="42"/>
      <c r="AA54" s="4">
        <f t="shared" si="0"/>
        <v>1.1100000000000003</v>
      </c>
      <c r="AC54" s="10">
        <f t="shared" si="1"/>
        <v>0.75500000000000023</v>
      </c>
    </row>
    <row r="55" spans="2:29" ht="15.75" x14ac:dyDescent="0.25">
      <c r="B55" s="117" t="s">
        <v>10</v>
      </c>
      <c r="C55" s="121">
        <f>DATI!F7</f>
        <v>455</v>
      </c>
      <c r="D55" s="119" t="s">
        <v>22</v>
      </c>
      <c r="E55" s="116" t="s">
        <v>129</v>
      </c>
      <c r="F55" s="116"/>
      <c r="G55" s="37"/>
      <c r="H55" s="37"/>
      <c r="I55" s="37"/>
      <c r="J55" s="42"/>
      <c r="AA55" s="4">
        <f t="shared" si="0"/>
        <v>1.1200000000000003</v>
      </c>
      <c r="AC55" s="10">
        <f t="shared" si="1"/>
        <v>0.76000000000000023</v>
      </c>
    </row>
    <row r="56" spans="2:29" ht="15.75" x14ac:dyDescent="0.25">
      <c r="B56" s="115"/>
      <c r="C56" s="116"/>
      <c r="D56" s="122"/>
      <c r="E56" s="116"/>
      <c r="F56" s="116"/>
      <c r="G56" s="37"/>
      <c r="H56" s="37"/>
      <c r="I56" s="37"/>
      <c r="J56" s="42"/>
      <c r="AA56" s="4">
        <f t="shared" si="0"/>
        <v>1.1300000000000003</v>
      </c>
      <c r="AC56" s="10">
        <f t="shared" si="1"/>
        <v>0.76500000000000024</v>
      </c>
    </row>
    <row r="57" spans="2:29" x14ac:dyDescent="0.25">
      <c r="AA57" s="4">
        <f t="shared" si="0"/>
        <v>1.1400000000000003</v>
      </c>
      <c r="AC57" s="10">
        <f t="shared" si="1"/>
        <v>0.77000000000000024</v>
      </c>
    </row>
    <row r="58" spans="2:29" x14ac:dyDescent="0.25">
      <c r="AA58" s="4">
        <f t="shared" si="0"/>
        <v>1.1500000000000004</v>
      </c>
      <c r="AC58" s="10">
        <f t="shared" si="1"/>
        <v>0.77500000000000024</v>
      </c>
    </row>
    <row r="59" spans="2:29" ht="15.75" x14ac:dyDescent="0.25">
      <c r="B59" s="149" t="s">
        <v>183</v>
      </c>
      <c r="F59" s="153">
        <f>IF(DATI!F95=0,0,2*(1+'foglio deposito'!M50))</f>
        <v>2</v>
      </c>
      <c r="H59" s="21">
        <v>0</v>
      </c>
      <c r="I59">
        <v>0</v>
      </c>
      <c r="K59">
        <f>'foglio deposito'!C67*10^-3</f>
        <v>-2.1774329380547849E-3</v>
      </c>
      <c r="N59" t="s">
        <v>205</v>
      </c>
      <c r="AA59" s="4">
        <f t="shared" si="0"/>
        <v>1.1600000000000004</v>
      </c>
      <c r="AC59" s="10">
        <f t="shared" si="1"/>
        <v>0.78000000000000025</v>
      </c>
    </row>
    <row r="60" spans="2:29" ht="15.75" x14ac:dyDescent="0.25">
      <c r="B60" s="130"/>
      <c r="C60" s="130"/>
      <c r="F60" s="130"/>
      <c r="H60" s="21">
        <f>DATI!F52/1000</f>
        <v>3.8675755131583922E-5</v>
      </c>
      <c r="I60">
        <f>'foglio deposito'!F69</f>
        <v>1.2280966063353354</v>
      </c>
      <c r="K60">
        <f>'foglio deposito'!C68*10^-3</f>
        <v>-1.2183153994508394E-2</v>
      </c>
      <c r="N60" t="s">
        <v>206</v>
      </c>
      <c r="AA60" s="4">
        <f t="shared" si="0"/>
        <v>1.1700000000000004</v>
      </c>
      <c r="AC60" s="10">
        <f t="shared" si="1"/>
        <v>0.78500000000000025</v>
      </c>
    </row>
    <row r="61" spans="2:29" ht="15.75" x14ac:dyDescent="0.25">
      <c r="B61" s="149" t="s">
        <v>184</v>
      </c>
      <c r="F61" s="153">
        <f>IF(DATI!F95=0,0,2*(1+'foglio deposito'!M49))</f>
        <v>2</v>
      </c>
      <c r="K61">
        <f>'foglio deposito'!F69/'foglio deposito'!F70</f>
        <v>3.8675755131583922E-5</v>
      </c>
      <c r="AA61" s="4">
        <f t="shared" si="0"/>
        <v>1.1800000000000004</v>
      </c>
      <c r="AC61" s="10">
        <f t="shared" si="1"/>
        <v>0.79000000000000026</v>
      </c>
    </row>
    <row r="62" spans="2:29" x14ac:dyDescent="0.25">
      <c r="AA62" s="4">
        <f t="shared" si="0"/>
        <v>1.1900000000000004</v>
      </c>
      <c r="AC62" s="10">
        <f t="shared" si="1"/>
        <v>0.79500000000000026</v>
      </c>
    </row>
    <row r="63" spans="2:29" ht="15.75" x14ac:dyDescent="0.25">
      <c r="N63" s="37" t="s">
        <v>161</v>
      </c>
      <c r="O63" s="134"/>
      <c r="Q63" s="124" t="s">
        <v>164</v>
      </c>
      <c r="R63" s="65">
        <f>PI()*(DATI!F95/2)^2</f>
        <v>50.26548245743669</v>
      </c>
      <c r="AA63" s="4">
        <f t="shared" si="0"/>
        <v>1.2000000000000004</v>
      </c>
      <c r="AC63" s="10">
        <f t="shared" si="1"/>
        <v>0.80000000000000027</v>
      </c>
    </row>
    <row r="64" spans="2:29" ht="15.75" x14ac:dyDescent="0.25">
      <c r="N64" s="37" t="s">
        <v>162</v>
      </c>
      <c r="O64" s="134"/>
      <c r="Q64" s="124" t="s">
        <v>164</v>
      </c>
      <c r="R64" s="65">
        <f>IF('foglio deposito'!M49=0,0,PI()*('foglio deposito'!I22/2)^2)</f>
        <v>0</v>
      </c>
      <c r="AA64" s="4">
        <f t="shared" si="0"/>
        <v>1.2100000000000004</v>
      </c>
      <c r="AC64" s="10">
        <f t="shared" si="1"/>
        <v>0.80500000000000027</v>
      </c>
    </row>
    <row r="65" spans="2:29" ht="15.75" x14ac:dyDescent="0.25">
      <c r="B65" s="296" t="s">
        <v>194</v>
      </c>
      <c r="C65" s="296"/>
      <c r="D65" s="161"/>
      <c r="E65" s="296" t="s">
        <v>16</v>
      </c>
      <c r="F65" s="296"/>
      <c r="G65" s="40" t="s">
        <v>7</v>
      </c>
      <c r="H65" s="48">
        <f>DATI!F26</f>
        <v>16.599999999999998</v>
      </c>
      <c r="N65" s="37" t="s">
        <v>163</v>
      </c>
      <c r="O65" s="134"/>
      <c r="Q65" s="124" t="s">
        <v>164</v>
      </c>
      <c r="R65" s="65">
        <f>IF('foglio deposito'!M50=0,0,PI()*('foglio deposito'!I23/2)^2)</f>
        <v>0</v>
      </c>
      <c r="AA65" s="4">
        <f t="shared" si="0"/>
        <v>1.2200000000000004</v>
      </c>
      <c r="AC65" s="10">
        <f t="shared" si="1"/>
        <v>0.81000000000000028</v>
      </c>
    </row>
    <row r="66" spans="2:29" x14ac:dyDescent="0.25">
      <c r="B66" s="221"/>
      <c r="C66" s="221"/>
      <c r="D66" s="161"/>
      <c r="E66" s="221"/>
      <c r="F66" s="221"/>
      <c r="G66" s="40" t="s">
        <v>6</v>
      </c>
      <c r="H66" s="49">
        <f>DATI!F42</f>
        <v>391.304347826087</v>
      </c>
      <c r="I66" s="163">
        <f>-I70</f>
        <v>-67.5</v>
      </c>
      <c r="J66" s="160">
        <f>-J70</f>
        <v>-391.304347826087</v>
      </c>
      <c r="L66" s="163">
        <f>I66</f>
        <v>-67.5</v>
      </c>
      <c r="M66" s="160">
        <f>J66*'LEGAME COSTITUTIVO ACCIAIO'!F16</f>
        <v>-469.56521739130437</v>
      </c>
      <c r="AA66" s="4">
        <f t="shared" si="0"/>
        <v>1.2300000000000004</v>
      </c>
      <c r="AC66" s="10">
        <f t="shared" si="1"/>
        <v>0.81500000000000028</v>
      </c>
    </row>
    <row r="67" spans="2:29" x14ac:dyDescent="0.25">
      <c r="B67" s="227" t="s">
        <v>13</v>
      </c>
      <c r="C67" s="228">
        <f>IF(DATI!F110="si",'CONFINAMENTO EC2'!F49,DATI!F50)</f>
        <v>-2.177432938054785</v>
      </c>
      <c r="D67" s="3"/>
      <c r="E67" s="222" t="s">
        <v>7</v>
      </c>
      <c r="F67" s="223">
        <f>IF(DATI!F110="si",-'CONFINAMENTO EC2'!F57/1.5,-'foglio deposito'!H65)</f>
        <v>-17.320701781544194</v>
      </c>
      <c r="G67" s="41" t="s">
        <v>5</v>
      </c>
      <c r="H67" s="50">
        <f>DATI!F43</f>
        <v>210000</v>
      </c>
      <c r="I67" s="163">
        <f>-'LEGAME COSTITUTIVO ACCIAIO'!F12</f>
        <v>-1.87</v>
      </c>
      <c r="J67" s="160">
        <f>-J70</f>
        <v>-391.304347826087</v>
      </c>
      <c r="L67" s="163">
        <f t="shared" ref="L67:L70" si="2">I67</f>
        <v>-1.87</v>
      </c>
      <c r="M67" s="160">
        <f t="shared" ref="M67:M69" si="3">J67</f>
        <v>-391.304347826087</v>
      </c>
      <c r="AA67" s="4">
        <f t="shared" si="0"/>
        <v>1.2400000000000004</v>
      </c>
      <c r="AC67" s="10">
        <f t="shared" si="1"/>
        <v>0.82000000000000028</v>
      </c>
    </row>
    <row r="68" spans="2:29" ht="15.75" x14ac:dyDescent="0.25">
      <c r="B68" s="229" t="s">
        <v>11</v>
      </c>
      <c r="C68" s="228">
        <f>'foglio deposito'!D13</f>
        <v>-12.183153994508395</v>
      </c>
      <c r="D68" s="6"/>
      <c r="E68" s="224" t="s">
        <v>4</v>
      </c>
      <c r="F68" s="225">
        <f>'foglio deposito'!H68</f>
        <v>0.85</v>
      </c>
      <c r="G68" s="8" t="s">
        <v>4</v>
      </c>
      <c r="H68" s="51">
        <f>DATI!F33</f>
        <v>0.85</v>
      </c>
      <c r="I68" s="159">
        <v>0</v>
      </c>
      <c r="J68" s="160">
        <v>0</v>
      </c>
      <c r="L68" s="159">
        <f t="shared" si="2"/>
        <v>0</v>
      </c>
      <c r="M68" s="160">
        <f t="shared" si="3"/>
        <v>0</v>
      </c>
      <c r="AA68" s="4">
        <f t="shared" si="0"/>
        <v>1.2500000000000004</v>
      </c>
      <c r="AC68" s="10">
        <f t="shared" si="1"/>
        <v>0.82500000000000029</v>
      </c>
    </row>
    <row r="69" spans="2:29" ht="15.75" x14ac:dyDescent="0.25">
      <c r="D69" s="6"/>
      <c r="E69" s="224" t="s">
        <v>23</v>
      </c>
      <c r="F69" s="223">
        <f>'LEGAME COSTITUTIVO CALCESTRUZZO'!P30</f>
        <v>1.2280966063353354</v>
      </c>
      <c r="G69" s="8" t="s">
        <v>23</v>
      </c>
      <c r="H69" s="48">
        <f>DATI!F29</f>
        <v>1.1937890758112488</v>
      </c>
      <c r="I69" s="159">
        <v>1.87</v>
      </c>
      <c r="J69" s="160">
        <f>'LEGAME COSTITUTIVO ACCIAIO'!F9</f>
        <v>391.304347826087</v>
      </c>
      <c r="L69" s="159">
        <f t="shared" si="2"/>
        <v>1.87</v>
      </c>
      <c r="M69" s="160">
        <f t="shared" si="3"/>
        <v>391.304347826087</v>
      </c>
      <c r="AA69" s="4">
        <f t="shared" ref="AA69:AA83" si="4">AA68+0.01</f>
        <v>1.2600000000000005</v>
      </c>
      <c r="AC69" s="10">
        <f t="shared" ref="AC69:AC85" si="5">AC68+0.005</f>
        <v>0.83000000000000029</v>
      </c>
    </row>
    <row r="70" spans="2:29" ht="15.75" x14ac:dyDescent="0.25">
      <c r="B70" s="7"/>
      <c r="C70" s="1"/>
      <c r="D70" s="6"/>
      <c r="E70" s="224" t="s">
        <v>24</v>
      </c>
      <c r="F70" s="226">
        <f>'LEGAME COSTITUTIVO CALCESTRUZZO'!P32</f>
        <v>31753.655543558612</v>
      </c>
      <c r="G70" s="8" t="s">
        <v>24</v>
      </c>
      <c r="H70" s="52">
        <f>DATI!F31</f>
        <v>31447.161439943484</v>
      </c>
      <c r="I70" s="163">
        <f>'LEGAME COSTITUTIVO ACCIAIO'!F14</f>
        <v>67.5</v>
      </c>
      <c r="J70" s="160">
        <f>J69</f>
        <v>391.304347826087</v>
      </c>
      <c r="L70" s="163">
        <f t="shared" si="2"/>
        <v>67.5</v>
      </c>
      <c r="M70" s="160">
        <f>J70*'LEGAME COSTITUTIVO ACCIAIO'!F16</f>
        <v>469.56521739130437</v>
      </c>
      <c r="AA70" s="4">
        <f t="shared" si="4"/>
        <v>1.2700000000000005</v>
      </c>
      <c r="AC70" s="10">
        <f t="shared" si="5"/>
        <v>0.8350000000000003</v>
      </c>
    </row>
    <row r="71" spans="2:29" x14ac:dyDescent="0.25">
      <c r="AA71" s="4">
        <f t="shared" si="4"/>
        <v>1.2800000000000005</v>
      </c>
      <c r="AC71" s="10">
        <f t="shared" si="5"/>
        <v>0.8400000000000003</v>
      </c>
    </row>
    <row r="72" spans="2:29" ht="15.75" thickBot="1" x14ac:dyDescent="0.3">
      <c r="AA72" s="4">
        <f t="shared" si="4"/>
        <v>1.2900000000000005</v>
      </c>
      <c r="AC72" s="10">
        <f t="shared" si="5"/>
        <v>0.84500000000000031</v>
      </c>
    </row>
    <row r="73" spans="2:29" ht="17.25" thickTop="1" thickBot="1" x14ac:dyDescent="0.3">
      <c r="C73" s="179" t="s">
        <v>204</v>
      </c>
      <c r="D73" s="178"/>
      <c r="E73" s="178"/>
      <c r="F73" s="177" t="s">
        <v>14</v>
      </c>
      <c r="G73" s="176">
        <f>DATI!F4</f>
        <v>300</v>
      </c>
      <c r="H73" s="180" t="s">
        <v>208</v>
      </c>
      <c r="AA73" s="4">
        <f t="shared" si="4"/>
        <v>1.3000000000000005</v>
      </c>
      <c r="AC73" s="10">
        <f t="shared" si="5"/>
        <v>0.85000000000000031</v>
      </c>
    </row>
    <row r="74" spans="2:29" ht="17.25" thickTop="1" thickBot="1" x14ac:dyDescent="0.3">
      <c r="C74" s="179" t="s">
        <v>203</v>
      </c>
      <c r="D74" s="178"/>
      <c r="E74" s="178"/>
      <c r="F74" s="177" t="s">
        <v>12</v>
      </c>
      <c r="G74" s="176">
        <f>DATI!F5</f>
        <v>500</v>
      </c>
      <c r="H74" s="183" t="s">
        <v>210</v>
      </c>
      <c r="AA74" s="4">
        <f t="shared" si="4"/>
        <v>1.3100000000000005</v>
      </c>
      <c r="AC74" s="10">
        <f t="shared" si="5"/>
        <v>0.85500000000000032</v>
      </c>
    </row>
    <row r="75" spans="2:29" ht="16.5" thickTop="1" thickBot="1" x14ac:dyDescent="0.3">
      <c r="C75" s="37"/>
      <c r="D75" s="37"/>
      <c r="E75" s="37"/>
      <c r="F75" s="37"/>
      <c r="G75" s="185" t="str">
        <f>IF(DATI!B114='foglio deposito'!N59,"A","B")</f>
        <v>B</v>
      </c>
      <c r="H75" s="297">
        <f>DATI!F95</f>
        <v>8</v>
      </c>
      <c r="AA75" s="4">
        <f t="shared" si="4"/>
        <v>1.3200000000000005</v>
      </c>
      <c r="AC75" s="10">
        <f t="shared" si="5"/>
        <v>0.86000000000000032</v>
      </c>
    </row>
    <row r="76" spans="2:29" ht="16.5" thickTop="1" thickBot="1" x14ac:dyDescent="0.3">
      <c r="C76" s="37"/>
      <c r="D76" s="37"/>
      <c r="E76" s="37"/>
      <c r="F76" s="37"/>
      <c r="H76" s="298"/>
      <c r="AA76" s="4">
        <f t="shared" si="4"/>
        <v>1.3300000000000005</v>
      </c>
      <c r="AC76" s="10">
        <f t="shared" si="5"/>
        <v>0.86500000000000032</v>
      </c>
    </row>
    <row r="77" spans="2:29" ht="19.5" thickTop="1" x14ac:dyDescent="0.25">
      <c r="C77" s="130" t="s">
        <v>192</v>
      </c>
      <c r="D77" s="37"/>
      <c r="E77" s="37"/>
      <c r="F77" s="156" t="s">
        <v>189</v>
      </c>
      <c r="G77" s="168">
        <f>'CONFINAMENTO EC2'!F50</f>
        <v>-12.183153994508395</v>
      </c>
      <c r="AA77" s="4">
        <f t="shared" si="4"/>
        <v>1.3400000000000005</v>
      </c>
      <c r="AC77" s="10">
        <f t="shared" si="5"/>
        <v>0.87000000000000033</v>
      </c>
    </row>
    <row r="78" spans="2:29" x14ac:dyDescent="0.25">
      <c r="AA78" s="4">
        <f t="shared" si="4"/>
        <v>1.3500000000000005</v>
      </c>
      <c r="AC78" s="10">
        <f t="shared" si="5"/>
        <v>0.87500000000000033</v>
      </c>
    </row>
    <row r="79" spans="2:29" x14ac:dyDescent="0.25">
      <c r="AA79" s="4">
        <f t="shared" si="4"/>
        <v>1.3600000000000005</v>
      </c>
      <c r="AC79" s="10">
        <f t="shared" si="5"/>
        <v>0.88000000000000034</v>
      </c>
    </row>
    <row r="80" spans="2:29" x14ac:dyDescent="0.25">
      <c r="D80" s="1"/>
      <c r="AA80" s="4">
        <f t="shared" si="4"/>
        <v>1.3700000000000006</v>
      </c>
      <c r="AC80" s="10">
        <f t="shared" si="5"/>
        <v>0.88500000000000034</v>
      </c>
    </row>
    <row r="81" spans="3:29" ht="18.75" x14ac:dyDescent="0.25">
      <c r="C81" s="245" t="s">
        <v>325</v>
      </c>
      <c r="D81" s="49">
        <f>DATI!F51</f>
        <v>-3.5</v>
      </c>
      <c r="AA81" s="4">
        <f t="shared" si="4"/>
        <v>1.3800000000000006</v>
      </c>
      <c r="AC81" s="10">
        <f t="shared" si="5"/>
        <v>0.89000000000000035</v>
      </c>
    </row>
    <row r="82" spans="3:29" ht="18.75" x14ac:dyDescent="0.25">
      <c r="C82" s="245" t="s">
        <v>312</v>
      </c>
      <c r="D82" s="49">
        <f>'CONFINAMENTO EC2'!F50</f>
        <v>-12.183153994508395</v>
      </c>
      <c r="AA82" s="4">
        <f t="shared" si="4"/>
        <v>1.3900000000000006</v>
      </c>
      <c r="AC82" s="10">
        <f t="shared" si="5"/>
        <v>0.89500000000000035</v>
      </c>
    </row>
    <row r="83" spans="3:29" x14ac:dyDescent="0.25">
      <c r="AA83" s="4">
        <f t="shared" si="4"/>
        <v>1.4000000000000006</v>
      </c>
      <c r="AC83" s="10">
        <f t="shared" si="5"/>
        <v>0.90000000000000036</v>
      </c>
    </row>
    <row r="84" spans="3:29" x14ac:dyDescent="0.25">
      <c r="AA84" s="1"/>
      <c r="AC84" s="10">
        <f t="shared" si="5"/>
        <v>0.90500000000000036</v>
      </c>
    </row>
    <row r="85" spans="3:29" x14ac:dyDescent="0.25">
      <c r="AA85" s="1"/>
      <c r="AC85" s="10">
        <f t="shared" si="5"/>
        <v>0.91000000000000036</v>
      </c>
    </row>
    <row r="86" spans="3:29" x14ac:dyDescent="0.25">
      <c r="AC86" s="10" t="e">
        <f>#REF!+0.005</f>
        <v>#REF!</v>
      </c>
    </row>
    <row r="87" spans="3:29" x14ac:dyDescent="0.25">
      <c r="AC87" s="10" t="e">
        <f t="shared" ref="AC87:AC100" si="6">AC86+0.005</f>
        <v>#REF!</v>
      </c>
    </row>
    <row r="88" spans="3:29" x14ac:dyDescent="0.25">
      <c r="C88" s="43" t="s">
        <v>336</v>
      </c>
      <c r="D88" s="256">
        <f>DATI!F24</f>
        <v>32.9</v>
      </c>
      <c r="E88" s="37"/>
      <c r="F88" s="75" t="s">
        <v>354</v>
      </c>
      <c r="G88" s="37"/>
      <c r="H88" s="37"/>
      <c r="I88" s="37"/>
      <c r="J88" s="37"/>
      <c r="AC88" s="10" t="e">
        <f t="shared" si="6"/>
        <v>#REF!</v>
      </c>
    </row>
    <row r="89" spans="3:29" x14ac:dyDescent="0.25">
      <c r="C89" s="43" t="s">
        <v>343</v>
      </c>
      <c r="D89" s="257">
        <f>DATI!F41</f>
        <v>450</v>
      </c>
      <c r="E89" s="37"/>
      <c r="F89" s="75" t="s">
        <v>355</v>
      </c>
      <c r="G89" s="37"/>
      <c r="H89" s="37"/>
      <c r="I89" s="37"/>
      <c r="J89" s="37"/>
      <c r="AC89" s="10" t="e">
        <f t="shared" si="6"/>
        <v>#REF!</v>
      </c>
    </row>
    <row r="90" spans="3:29" x14ac:dyDescent="0.25">
      <c r="C90" s="30"/>
      <c r="D90" s="257"/>
      <c r="E90" s="37"/>
      <c r="F90" s="75"/>
      <c r="G90" s="37"/>
      <c r="H90" s="37"/>
      <c r="I90" s="37"/>
      <c r="J90" s="37"/>
      <c r="AC90" s="10" t="e">
        <f t="shared" si="6"/>
        <v>#REF!</v>
      </c>
    </row>
    <row r="91" spans="3:29" x14ac:dyDescent="0.25">
      <c r="C91" s="30"/>
      <c r="D91" s="257"/>
      <c r="E91" s="37"/>
      <c r="F91" s="75"/>
      <c r="G91" s="37"/>
      <c r="H91" s="37"/>
      <c r="I91" s="37"/>
      <c r="J91" s="37"/>
      <c r="AC91" s="10" t="e">
        <f t="shared" si="6"/>
        <v>#REF!</v>
      </c>
    </row>
    <row r="92" spans="3:29" x14ac:dyDescent="0.25">
      <c r="C92" s="30"/>
      <c r="D92" s="37" t="s">
        <v>348</v>
      </c>
      <c r="E92" s="37"/>
      <c r="F92" s="37"/>
      <c r="G92" s="37"/>
      <c r="H92" s="37"/>
      <c r="I92" s="8" t="s">
        <v>347</v>
      </c>
      <c r="J92" s="258">
        <f>DATI!F120*1000/(DATI!F4*DATI!F5*'foglio deposito'!D88)</f>
        <v>9.1185410334346503E-2</v>
      </c>
      <c r="AC92" s="10" t="e">
        <f t="shared" si="6"/>
        <v>#REF!</v>
      </c>
    </row>
    <row r="93" spans="3:29" x14ac:dyDescent="0.25">
      <c r="C93" s="30"/>
      <c r="D93" s="37" t="s">
        <v>353</v>
      </c>
      <c r="E93" s="37"/>
      <c r="F93" s="37"/>
      <c r="G93" s="37"/>
      <c r="H93" s="37"/>
      <c r="I93" s="37"/>
      <c r="J93" s="37"/>
      <c r="AC93" s="10" t="e">
        <f t="shared" si="6"/>
        <v>#REF!</v>
      </c>
    </row>
    <row r="94" spans="3:29" x14ac:dyDescent="0.25">
      <c r="C94" s="37"/>
      <c r="D94" s="37"/>
      <c r="E94" s="37"/>
      <c r="F94" s="37"/>
      <c r="G94" s="37"/>
      <c r="H94" s="37"/>
      <c r="I94" s="37"/>
      <c r="J94" s="37"/>
      <c r="AC94" s="10" t="e">
        <f t="shared" si="6"/>
        <v>#REF!</v>
      </c>
    </row>
    <row r="95" spans="3:29" ht="15.75" x14ac:dyDescent="0.25">
      <c r="C95" s="37"/>
      <c r="D95" s="130" t="s">
        <v>180</v>
      </c>
      <c r="E95" s="37"/>
      <c r="F95" s="37"/>
      <c r="G95" s="37"/>
      <c r="H95" s="37"/>
      <c r="I95" s="6" t="s">
        <v>4</v>
      </c>
      <c r="J95" s="151">
        <f>IF(DATI!F110="no",0,'CONFINAMENTO EC2'!F45)</f>
        <v>0.59256379081196864</v>
      </c>
      <c r="AC95" s="10" t="e">
        <f t="shared" si="6"/>
        <v>#REF!</v>
      </c>
    </row>
    <row r="96" spans="3:29" x14ac:dyDescent="0.25">
      <c r="AC96" s="10" t="e">
        <f t="shared" si="6"/>
        <v>#REF!</v>
      </c>
    </row>
    <row r="97" spans="3:29" x14ac:dyDescent="0.25">
      <c r="AC97" s="10" t="e">
        <f>#REF!+0.005</f>
        <v>#REF!</v>
      </c>
    </row>
    <row r="98" spans="3:29" x14ac:dyDescent="0.25">
      <c r="AC98" s="10" t="e">
        <f t="shared" si="6"/>
        <v>#REF!</v>
      </c>
    </row>
    <row r="99" spans="3:29" x14ac:dyDescent="0.25">
      <c r="C99" s="296" t="s">
        <v>194</v>
      </c>
      <c r="D99" s="296"/>
      <c r="E99" s="37"/>
      <c r="F99" s="37"/>
      <c r="AC99" s="10" t="e">
        <f t="shared" si="6"/>
        <v>#REF!</v>
      </c>
    </row>
    <row r="100" spans="3:29" x14ac:dyDescent="0.25">
      <c r="C100" s="266"/>
      <c r="D100" s="266"/>
      <c r="E100" s="37"/>
      <c r="F100" s="37"/>
      <c r="AC100" s="10" t="e">
        <f t="shared" si="6"/>
        <v>#REF!</v>
      </c>
    </row>
    <row r="101" spans="3:29" x14ac:dyDescent="0.25">
      <c r="C101" s="227" t="s">
        <v>13</v>
      </c>
      <c r="D101" s="228">
        <f>'LEGAME COSTITUTIVO CALCESTRUZZO'!P36</f>
        <v>-2.177432938054785</v>
      </c>
      <c r="E101" s="37"/>
      <c r="F101" s="37"/>
      <c r="AC101" s="10" t="e">
        <f t="shared" ref="AC101:AC107" si="7">AC100+0.005</f>
        <v>#REF!</v>
      </c>
    </row>
    <row r="102" spans="3:29" ht="15.75" x14ac:dyDescent="0.25">
      <c r="C102" s="229" t="s">
        <v>11</v>
      </c>
      <c r="D102" s="228">
        <f>'LEGAME COSTITUTIVO CALCESTRUZZO'!P37</f>
        <v>-12.183153994508395</v>
      </c>
      <c r="E102" s="37"/>
      <c r="F102" s="37"/>
      <c r="AC102" s="10" t="e">
        <f t="shared" si="7"/>
        <v>#REF!</v>
      </c>
    </row>
    <row r="103" spans="3:29" x14ac:dyDescent="0.25">
      <c r="C103" s="35" t="s">
        <v>13</v>
      </c>
      <c r="D103" s="275">
        <f>'LEGAME COSTITUTIVO CALCESTRUZZO'!P36</f>
        <v>-2.177432938054785</v>
      </c>
      <c r="E103" s="271" t="s">
        <v>8</v>
      </c>
      <c r="F103" s="28">
        <f>D103*10^-3</f>
        <v>-2.1774329380547849E-3</v>
      </c>
      <c r="AC103" s="10" t="e">
        <f t="shared" si="7"/>
        <v>#REF!</v>
      </c>
    </row>
    <row r="104" spans="3:29" x14ac:dyDescent="0.25">
      <c r="C104" s="265" t="s">
        <v>7</v>
      </c>
      <c r="D104" s="277">
        <f>'LEGAME COSTITUTIVO CALCESTRUZZO'!P27</f>
        <v>14.722596514312565</v>
      </c>
      <c r="E104" s="276"/>
      <c r="F104" s="28"/>
      <c r="AC104" s="10" t="e">
        <f t="shared" si="7"/>
        <v>#REF!</v>
      </c>
    </row>
    <row r="105" spans="3:29" x14ac:dyDescent="0.25">
      <c r="AC105" s="10" t="e">
        <f t="shared" si="7"/>
        <v>#REF!</v>
      </c>
    </row>
    <row r="106" spans="3:29" x14ac:dyDescent="0.25">
      <c r="AC106" s="10" t="e">
        <f t="shared" si="7"/>
        <v>#REF!</v>
      </c>
    </row>
    <row r="107" spans="3:29" x14ac:dyDescent="0.25">
      <c r="AC107" s="10" t="e">
        <f t="shared" si="7"/>
        <v>#REF!</v>
      </c>
    </row>
    <row r="108" spans="3:29" x14ac:dyDescent="0.25">
      <c r="AC108" s="10"/>
    </row>
    <row r="109" spans="3:29" x14ac:dyDescent="0.25">
      <c r="AC109" s="10"/>
    </row>
    <row r="110" spans="3:29" x14ac:dyDescent="0.25">
      <c r="AC110" s="10"/>
    </row>
    <row r="111" spans="3:29" x14ac:dyDescent="0.25">
      <c r="AC111" s="10"/>
    </row>
    <row r="112" spans="3:29" x14ac:dyDescent="0.25">
      <c r="AC112" s="10"/>
    </row>
    <row r="113" spans="29:29" x14ac:dyDescent="0.25">
      <c r="AC113" s="10"/>
    </row>
    <row r="114" spans="29:29" x14ac:dyDescent="0.25">
      <c r="AC114" s="10"/>
    </row>
    <row r="115" spans="29:29" x14ac:dyDescent="0.25">
      <c r="AC115" s="10"/>
    </row>
    <row r="116" spans="29:29" x14ac:dyDescent="0.25">
      <c r="AC116" s="10"/>
    </row>
    <row r="117" spans="29:29" x14ac:dyDescent="0.25">
      <c r="AC117" s="10"/>
    </row>
    <row r="118" spans="29:29" x14ac:dyDescent="0.25">
      <c r="AC118" s="10"/>
    </row>
    <row r="119" spans="29:29" x14ac:dyDescent="0.25">
      <c r="AC119" s="10"/>
    </row>
    <row r="120" spans="29:29" x14ac:dyDescent="0.25">
      <c r="AC120" s="10"/>
    </row>
    <row r="121" spans="29:29" x14ac:dyDescent="0.25">
      <c r="AC121" s="10"/>
    </row>
    <row r="122" spans="29:29" x14ac:dyDescent="0.25">
      <c r="AC122" s="10"/>
    </row>
    <row r="123" spans="29:29" x14ac:dyDescent="0.25">
      <c r="AC123" s="10"/>
    </row>
    <row r="124" spans="29:29" x14ac:dyDescent="0.25">
      <c r="AC124" s="10"/>
    </row>
    <row r="125" spans="29:29" x14ac:dyDescent="0.25">
      <c r="AC125" s="10"/>
    </row>
    <row r="126" spans="29:29" x14ac:dyDescent="0.25">
      <c r="AC126" s="10"/>
    </row>
    <row r="127" spans="29:29" x14ac:dyDescent="0.25">
      <c r="AC127" s="10"/>
    </row>
    <row r="128" spans="29:29" x14ac:dyDescent="0.25">
      <c r="AC128" s="10"/>
    </row>
    <row r="129" spans="29:29" x14ac:dyDescent="0.25">
      <c r="AC129" s="10"/>
    </row>
    <row r="130" spans="29:29" x14ac:dyDescent="0.25">
      <c r="AC130" s="10"/>
    </row>
    <row r="131" spans="29:29" x14ac:dyDescent="0.25">
      <c r="AC131" s="10"/>
    </row>
    <row r="132" spans="29:29" x14ac:dyDescent="0.25">
      <c r="AC132" s="10"/>
    </row>
    <row r="133" spans="29:29" x14ac:dyDescent="0.25">
      <c r="AC133" s="10"/>
    </row>
    <row r="134" spans="29:29" x14ac:dyDescent="0.25">
      <c r="AC134" s="10"/>
    </row>
    <row r="135" spans="29:29" x14ac:dyDescent="0.25">
      <c r="AC135" s="10"/>
    </row>
    <row r="136" spans="29:29" x14ac:dyDescent="0.25">
      <c r="AC136" s="10"/>
    </row>
    <row r="137" spans="29:29" x14ac:dyDescent="0.25">
      <c r="AC137" s="10"/>
    </row>
    <row r="138" spans="29:29" x14ac:dyDescent="0.25">
      <c r="AC138" s="10"/>
    </row>
    <row r="139" spans="29:29" x14ac:dyDescent="0.25">
      <c r="AC139" s="10"/>
    </row>
    <row r="140" spans="29:29" x14ac:dyDescent="0.25">
      <c r="AC140" s="10"/>
    </row>
    <row r="141" spans="29:29" x14ac:dyDescent="0.25">
      <c r="AC141" s="10"/>
    </row>
    <row r="142" spans="29:29" x14ac:dyDescent="0.25">
      <c r="AC142" s="10"/>
    </row>
    <row r="143" spans="29:29" x14ac:dyDescent="0.25">
      <c r="AC143" s="10"/>
    </row>
    <row r="144" spans="29:29" x14ac:dyDescent="0.25">
      <c r="AC144" s="10"/>
    </row>
    <row r="145" spans="29:29" x14ac:dyDescent="0.25">
      <c r="AC145" s="10"/>
    </row>
    <row r="146" spans="29:29" x14ac:dyDescent="0.25">
      <c r="AC146" s="10"/>
    </row>
    <row r="147" spans="29:29" x14ac:dyDescent="0.25">
      <c r="AC147" s="10"/>
    </row>
    <row r="148" spans="29:29" x14ac:dyDescent="0.25">
      <c r="AC148" s="10"/>
    </row>
    <row r="149" spans="29:29" x14ac:dyDescent="0.25">
      <c r="AC149" s="10"/>
    </row>
    <row r="150" spans="29:29" x14ac:dyDescent="0.25">
      <c r="AC150" s="10"/>
    </row>
    <row r="151" spans="29:29" x14ac:dyDescent="0.25">
      <c r="AC151" s="10"/>
    </row>
    <row r="152" spans="29:29" x14ac:dyDescent="0.25">
      <c r="AC152" s="10"/>
    </row>
    <row r="153" spans="29:29" x14ac:dyDescent="0.25">
      <c r="AC153" s="10"/>
    </row>
    <row r="154" spans="29:29" x14ac:dyDescent="0.25">
      <c r="AC154" s="10"/>
    </row>
    <row r="155" spans="29:29" x14ac:dyDescent="0.25">
      <c r="AC155" s="10"/>
    </row>
    <row r="156" spans="29:29" x14ac:dyDescent="0.25">
      <c r="AC156" s="10"/>
    </row>
    <row r="157" spans="29:29" x14ac:dyDescent="0.25">
      <c r="AC157" s="10"/>
    </row>
    <row r="158" spans="29:29" x14ac:dyDescent="0.25">
      <c r="AC158" s="10"/>
    </row>
    <row r="159" spans="29:29" x14ac:dyDescent="0.25">
      <c r="AC159" s="10"/>
    </row>
    <row r="160" spans="29:29" x14ac:dyDescent="0.25">
      <c r="AC160" s="10"/>
    </row>
    <row r="161" spans="29:29" x14ac:dyDescent="0.25">
      <c r="AC161" s="10"/>
    </row>
    <row r="162" spans="29:29" x14ac:dyDescent="0.25">
      <c r="AC162" s="10"/>
    </row>
    <row r="163" spans="29:29" x14ac:dyDescent="0.25">
      <c r="AC163" s="10"/>
    </row>
    <row r="164" spans="29:29" x14ac:dyDescent="0.25">
      <c r="AC164" s="10"/>
    </row>
    <row r="165" spans="29:29" x14ac:dyDescent="0.25">
      <c r="AC165" s="10"/>
    </row>
    <row r="166" spans="29:29" x14ac:dyDescent="0.25">
      <c r="AC166" s="10"/>
    </row>
    <row r="167" spans="29:29" x14ac:dyDescent="0.25">
      <c r="AC167" s="10"/>
    </row>
    <row r="168" spans="29:29" x14ac:dyDescent="0.25">
      <c r="AC168" s="10"/>
    </row>
    <row r="169" spans="29:29" x14ac:dyDescent="0.25">
      <c r="AC169" s="10"/>
    </row>
    <row r="170" spans="29:29" x14ac:dyDescent="0.25">
      <c r="AC170" s="10"/>
    </row>
    <row r="171" spans="29:29" x14ac:dyDescent="0.25">
      <c r="AC171" s="10"/>
    </row>
    <row r="172" spans="29:29" x14ac:dyDescent="0.25">
      <c r="AC172" s="10"/>
    </row>
    <row r="173" spans="29:29" x14ac:dyDescent="0.25">
      <c r="AC173" s="10"/>
    </row>
    <row r="174" spans="29:29" x14ac:dyDescent="0.25">
      <c r="AC174" s="10"/>
    </row>
    <row r="175" spans="29:29" x14ac:dyDescent="0.25">
      <c r="AC175" s="10"/>
    </row>
    <row r="176" spans="29:29" x14ac:dyDescent="0.25">
      <c r="AC176" s="10"/>
    </row>
    <row r="177" spans="29:29" x14ac:dyDescent="0.25">
      <c r="AC177" s="10"/>
    </row>
    <row r="178" spans="29:29" x14ac:dyDescent="0.25">
      <c r="AC178" s="10"/>
    </row>
    <row r="179" spans="29:29" x14ac:dyDescent="0.25">
      <c r="AC179" s="10"/>
    </row>
    <row r="180" spans="29:29" x14ac:dyDescent="0.25">
      <c r="AC180" s="10"/>
    </row>
    <row r="181" spans="29:29" x14ac:dyDescent="0.25">
      <c r="AC181" s="10"/>
    </row>
    <row r="182" spans="29:29" x14ac:dyDescent="0.25">
      <c r="AC182" s="10"/>
    </row>
    <row r="183" spans="29:29" x14ac:dyDescent="0.25">
      <c r="AC183" s="10"/>
    </row>
    <row r="184" spans="29:29" x14ac:dyDescent="0.25">
      <c r="AC184" s="10"/>
    </row>
    <row r="185" spans="29:29" x14ac:dyDescent="0.25">
      <c r="AC185" s="10"/>
    </row>
    <row r="186" spans="29:29" x14ac:dyDescent="0.25">
      <c r="AC186" s="10"/>
    </row>
    <row r="187" spans="29:29" x14ac:dyDescent="0.25">
      <c r="AC187" s="10"/>
    </row>
    <row r="188" spans="29:29" x14ac:dyDescent="0.25">
      <c r="AC188" s="10"/>
    </row>
    <row r="189" spans="29:29" x14ac:dyDescent="0.25">
      <c r="AC189" s="10"/>
    </row>
    <row r="190" spans="29:29" x14ac:dyDescent="0.25">
      <c r="AC190" s="10"/>
    </row>
    <row r="191" spans="29:29" x14ac:dyDescent="0.25">
      <c r="AC191" s="10"/>
    </row>
    <row r="192" spans="29:29" x14ac:dyDescent="0.25">
      <c r="AC192" s="10"/>
    </row>
    <row r="193" spans="29:29" x14ac:dyDescent="0.25">
      <c r="AC193" s="10"/>
    </row>
    <row r="194" spans="29:29" x14ac:dyDescent="0.25">
      <c r="AC194" s="10"/>
    </row>
    <row r="195" spans="29:29" x14ac:dyDescent="0.25">
      <c r="AC195" s="10"/>
    </row>
    <row r="196" spans="29:29" x14ac:dyDescent="0.25">
      <c r="AC196" s="10"/>
    </row>
    <row r="197" spans="29:29" x14ac:dyDescent="0.25">
      <c r="AC197" s="10"/>
    </row>
    <row r="198" spans="29:29" x14ac:dyDescent="0.25">
      <c r="AC198" s="10"/>
    </row>
    <row r="199" spans="29:29" x14ac:dyDescent="0.25">
      <c r="AC199" s="10"/>
    </row>
    <row r="200" spans="29:29" x14ac:dyDescent="0.25">
      <c r="AC200" s="10"/>
    </row>
    <row r="201" spans="29:29" x14ac:dyDescent="0.25">
      <c r="AC201" s="10"/>
    </row>
    <row r="202" spans="29:29" x14ac:dyDescent="0.25">
      <c r="AC202" s="10"/>
    </row>
    <row r="203" spans="29:29" x14ac:dyDescent="0.25">
      <c r="AC203" s="10"/>
    </row>
    <row r="204" spans="29:29" x14ac:dyDescent="0.25">
      <c r="AC204" s="10"/>
    </row>
    <row r="205" spans="29:29" x14ac:dyDescent="0.25">
      <c r="AC205" s="10"/>
    </row>
    <row r="206" spans="29:29" x14ac:dyDescent="0.25">
      <c r="AC206" s="10"/>
    </row>
    <row r="207" spans="29:29" x14ac:dyDescent="0.25">
      <c r="AC207" s="10"/>
    </row>
    <row r="208" spans="29:29" x14ac:dyDescent="0.25">
      <c r="AC208" s="10"/>
    </row>
    <row r="209" spans="29:29" x14ac:dyDescent="0.25">
      <c r="AC209" s="10"/>
    </row>
    <row r="210" spans="29:29" x14ac:dyDescent="0.25">
      <c r="AC210" s="10"/>
    </row>
    <row r="211" spans="29:29" x14ac:dyDescent="0.25">
      <c r="AC211" s="10"/>
    </row>
    <row r="212" spans="29:29" x14ac:dyDescent="0.25">
      <c r="AC212" s="10"/>
    </row>
    <row r="213" spans="29:29" x14ac:dyDescent="0.25">
      <c r="AC213" s="10"/>
    </row>
    <row r="214" spans="29:29" x14ac:dyDescent="0.25">
      <c r="AC214" s="10"/>
    </row>
    <row r="215" spans="29:29" x14ac:dyDescent="0.25">
      <c r="AC215" s="10"/>
    </row>
    <row r="216" spans="29:29" x14ac:dyDescent="0.25">
      <c r="AC216" s="10"/>
    </row>
    <row r="217" spans="29:29" x14ac:dyDescent="0.25">
      <c r="AC217" s="10"/>
    </row>
    <row r="218" spans="29:29" x14ac:dyDescent="0.25">
      <c r="AC218" s="10"/>
    </row>
    <row r="219" spans="29:29" x14ac:dyDescent="0.25">
      <c r="AC219" s="10"/>
    </row>
  </sheetData>
  <protectedRanges>
    <protectedRange sqref="K14" name="Intervallo1_1"/>
    <protectedRange sqref="I22:I23" name="Intervallo1_1_1"/>
    <protectedRange sqref="C48 C50 C52" name="Intervallo1_2"/>
    <protectedRange sqref="M49:M50" name="Intervallo1_1_3"/>
    <protectedRange sqref="G73:G74" name="Intervallo2_1_1"/>
    <protectedRange sqref="H75" name="Intervallo1_3"/>
    <protectedRange sqref="H75:H76" name="Intervallo3_2"/>
    <protectedRange sqref="G75" name="Intervallo3_1_1"/>
  </protectedRanges>
  <mergeCells count="6">
    <mergeCell ref="C99:D99"/>
    <mergeCell ref="H75:H76"/>
    <mergeCell ref="B6:C6"/>
    <mergeCell ref="B46:F46"/>
    <mergeCell ref="E65:F65"/>
    <mergeCell ref="B65:C65"/>
  </mergeCells>
  <conditionalFormatting sqref="H3:H4">
    <cfRule type="expression" dxfId="24" priority="7">
      <formula>IF($F$10="trave",TRUE,FALSE)</formula>
    </cfRule>
  </conditionalFormatting>
  <conditionalFormatting sqref="H3:H4">
    <cfRule type="expression" dxfId="23" priority="6">
      <formula>IF($F$10="pilastro",TRUE,FALSE)</formula>
    </cfRule>
  </conditionalFormatting>
  <conditionalFormatting sqref="I92:J92">
    <cfRule type="expression" dxfId="22" priority="4">
      <formula>IF($Q$17="trave",TRUE,FALSE)</formula>
    </cfRule>
  </conditionalFormatting>
  <conditionalFormatting sqref="J92">
    <cfRule type="expression" dxfId="21" priority="5">
      <formula>IF($Q$17="trave",TRUE,FALSE)</formula>
    </cfRule>
  </conditionalFormatting>
  <conditionalFormatting sqref="C88:J95">
    <cfRule type="containsErrors" dxfId="20" priority="3">
      <formula>ISERROR(C88)</formula>
    </cfRule>
  </conditionalFormatting>
  <dataValidations count="1">
    <dataValidation type="list" allowBlank="1" showInputMessage="1" showErrorMessage="1" sqref="C42">
      <formula1>sn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107"/>
  <sheetViews>
    <sheetView showGridLines="0" showRowColHeaders="0" zoomScaleNormal="100" workbookViewId="0">
      <selection activeCell="L112" sqref="L112"/>
    </sheetView>
  </sheetViews>
  <sheetFormatPr defaultRowHeight="15" x14ac:dyDescent="0.25"/>
  <cols>
    <col min="1" max="1" width="2.42578125" customWidth="1"/>
    <col min="2" max="2" width="9.28515625" customWidth="1"/>
    <col min="3" max="6" width="13" customWidth="1"/>
    <col min="7" max="7" width="13.5703125" customWidth="1"/>
    <col min="8" max="10" width="13" customWidth="1"/>
    <col min="11" max="11" width="6.85546875" customWidth="1"/>
    <col min="12" max="12" width="12.7109375" bestFit="1" customWidth="1"/>
    <col min="13" max="13" width="13.5703125" customWidth="1"/>
    <col min="14" max="14" width="20.7109375" customWidth="1"/>
    <col min="15" max="15" width="13.5703125" customWidth="1"/>
    <col min="16" max="16" width="15.140625" customWidth="1"/>
    <col min="17" max="17" width="13.5703125" customWidth="1"/>
    <col min="21" max="21" width="13.28515625" bestFit="1" customWidth="1"/>
  </cols>
  <sheetData>
    <row r="2" spans="2:20" ht="18.75" x14ac:dyDescent="0.3">
      <c r="B2" s="305" t="s">
        <v>213</v>
      </c>
      <c r="C2" s="305"/>
      <c r="D2" s="305"/>
      <c r="E2" s="305"/>
      <c r="F2" s="305"/>
      <c r="G2" s="305"/>
      <c r="H2" s="305"/>
      <c r="I2" s="304" t="str">
        <f>IF(DATI!F110="no","NON CONFINATO","CONFINATO (Secondo EC2)")</f>
        <v>CONFINATO (Secondo EC2)</v>
      </c>
      <c r="J2" s="304"/>
      <c r="K2" s="304"/>
      <c r="O2" s="37"/>
      <c r="P2" s="37"/>
      <c r="Q2" s="37"/>
      <c r="R2" s="37"/>
      <c r="S2" s="37"/>
      <c r="T2" s="37"/>
    </row>
    <row r="3" spans="2:20" ht="9" customHeight="1" x14ac:dyDescent="0.25">
      <c r="B3" s="82"/>
      <c r="C3" s="37"/>
      <c r="D3" s="37"/>
      <c r="E3" s="37"/>
      <c r="F3" s="37"/>
      <c r="G3" s="37"/>
      <c r="H3" s="37"/>
      <c r="I3" s="37"/>
      <c r="J3" s="37"/>
      <c r="K3" s="37"/>
      <c r="O3" s="37"/>
      <c r="P3" s="37"/>
      <c r="Q3" s="37"/>
      <c r="R3" s="37"/>
      <c r="S3" s="37"/>
      <c r="T3" s="37"/>
    </row>
    <row r="4" spans="2:20" x14ac:dyDescent="0.25">
      <c r="B4" s="37"/>
      <c r="C4" s="37"/>
      <c r="D4" s="37"/>
      <c r="E4" s="302" t="s">
        <v>37</v>
      </c>
      <c r="F4" s="302"/>
      <c r="G4" s="37"/>
      <c r="H4" s="37"/>
      <c r="I4" s="37"/>
      <c r="J4" s="37"/>
      <c r="K4" s="303"/>
      <c r="L4" s="303"/>
      <c r="M4" s="37"/>
      <c r="N4" s="37"/>
      <c r="O4" s="37"/>
      <c r="P4" s="37"/>
      <c r="Q4" s="37"/>
      <c r="R4" s="37"/>
      <c r="S4" s="37"/>
      <c r="T4" s="37"/>
    </row>
    <row r="5" spans="2:20" ht="18.75" x14ac:dyDescent="0.25">
      <c r="B5" s="40" t="s">
        <v>2</v>
      </c>
      <c r="C5" s="270" t="s">
        <v>20</v>
      </c>
      <c r="D5" s="35" t="s">
        <v>36</v>
      </c>
      <c r="E5" s="271" t="s">
        <v>211</v>
      </c>
      <c r="F5" s="271" t="s">
        <v>212</v>
      </c>
      <c r="G5" s="271" t="s">
        <v>1</v>
      </c>
      <c r="H5" s="271" t="s">
        <v>0</v>
      </c>
      <c r="I5" s="271" t="s">
        <v>390</v>
      </c>
      <c r="J5" s="271" t="s">
        <v>391</v>
      </c>
      <c r="K5" s="2"/>
      <c r="L5" s="2"/>
      <c r="M5" s="37"/>
      <c r="N5" s="37"/>
      <c r="O5" s="37"/>
      <c r="P5" s="37"/>
      <c r="Q5" s="37"/>
      <c r="R5" s="37"/>
      <c r="S5" s="37"/>
      <c r="T5" s="37"/>
    </row>
    <row r="6" spans="2:20" x14ac:dyDescent="0.25">
      <c r="B6" s="40">
        <v>0</v>
      </c>
      <c r="C6" s="272">
        <f>'foglio deposito'!$K$60/$B$106*B6</f>
        <v>0</v>
      </c>
      <c r="D6" s="280">
        <f>IF(C6&gt;'foglio deposito'!$K$59,2*'foglio deposito'!$F$67/'foglio deposito'!$K$59*(C6-C6^2/(2*'foglio deposito'!$K$59)),'foglio deposito'!$F$67)</f>
        <v>0</v>
      </c>
      <c r="E6" s="273">
        <f>IF(C6&gt;'foglio deposito'!$F$103,2*'foglio deposito'!$D$104/(-'foglio deposito'!$F$103)*(C6^2/2-(-C6)^3/(-6*'foglio deposito'!$F$103)),2*'foglio deposito'!$D$104/(-'foglio deposito'!$F$103)*('foglio deposito'!$F$103^2/2-(-'foglio deposito'!$F$103)^3/(-6*'foglio deposito'!$F$103))+'foglio deposito'!$D$104*(ABS(C6)-ABS('foglio deposito'!$F$103)))</f>
        <v>0</v>
      </c>
      <c r="F6" s="273">
        <f>IF(ABS(C6)&lt;ABS('foglio deposito'!$F$103),-2*'foglio deposito'!$D$104/(-'foglio deposito'!$F$103)*(-C6^3/3-(C6)^4/(-8*'foglio deposito'!$F$103)),-(2*'foglio deposito'!$D$104/(-'foglio deposito'!$F$103)*(ABS('foglio deposito'!$F$103)^3/3-ABS('foglio deposito'!$F$103)^4/(-8*'foglio deposito'!$F$103))+'foglio deposito'!$D$104/2*(ABS(C6)^2-ABS('foglio deposito'!$F$103)^2)))</f>
        <v>0</v>
      </c>
      <c r="G6" s="258">
        <f>E6/('foglio deposito'!$F$67*'foglio deposito'!$K$60)</f>
        <v>0</v>
      </c>
      <c r="H6" s="258">
        <v>0</v>
      </c>
      <c r="I6" s="278">
        <v>0</v>
      </c>
      <c r="J6" s="280">
        <f>D6*H6</f>
        <v>0</v>
      </c>
      <c r="L6" s="37"/>
      <c r="M6" s="37"/>
      <c r="N6" s="37"/>
      <c r="O6" s="37"/>
      <c r="P6" s="37"/>
      <c r="Q6" s="37"/>
      <c r="R6" s="37"/>
      <c r="S6" s="37"/>
      <c r="T6" s="37"/>
    </row>
    <row r="7" spans="2:20" x14ac:dyDescent="0.25">
      <c r="B7" s="40">
        <f t="shared" ref="B7:B70" si="0">B6+1</f>
        <v>1</v>
      </c>
      <c r="C7" s="272">
        <f>'foglio deposito'!$K$60/$B$106*B7</f>
        <v>-1.2183153994508394E-4</v>
      </c>
      <c r="D7" s="280">
        <f>IF(C7&gt;'foglio deposito'!$K$59,2*'foglio deposito'!$F$67/'foglio deposito'!$K$59*(C7-C7^2/(2*'foglio deposito'!$K$59)),'foglio deposito'!$F$67)</f>
        <v>-1.8840283468937338</v>
      </c>
      <c r="E7" s="273">
        <f>IF(C7&gt;'foglio deposito'!$F$103,2*'foglio deposito'!$D$104/(-'foglio deposito'!$F$103)*(C7^2/2-(-C7)^3/(-6*'foglio deposito'!$F$103)),2*'foglio deposito'!$D$104/(-'foglio deposito'!$F$103)*('foglio deposito'!$F$103^2/2-(-'foglio deposito'!$F$103)^3/(-6*'foglio deposito'!$F$103))+'foglio deposito'!$D$104*(ABS(C7)-ABS('foglio deposito'!$F$103)))</f>
        <v>9.8487867432513941E-5</v>
      </c>
      <c r="F7" s="273">
        <f>IF(ABS(C7)&lt;ABS('foglio deposito'!$F$103),-2*'foglio deposito'!$D$104/(-'foglio deposito'!$F$103)*(-C7^3/3-(C7)^4/(-8*'foglio deposito'!$F$103)),-(2*'foglio deposito'!$D$104/(-'foglio deposito'!$F$103)*(ABS('foglio deposito'!$F$103)^3/3-ABS('foglio deposito'!$F$103)^4/(-8*'foglio deposito'!$F$103))+'foglio deposito'!$D$104/2*(ABS(C7)^2-ABS('foglio deposito'!$F$103)^2)))</f>
        <v>-7.9802823053197623E-9</v>
      </c>
      <c r="G7" s="258">
        <f>E7/('foglio deposito'!$F$67*'foglio deposito'!$K$60)</f>
        <v>4.6672118635505028E-4</v>
      </c>
      <c r="H7" s="258">
        <f>1-(F7/E7)/C7</f>
        <v>0.33491709125525393</v>
      </c>
      <c r="I7" s="279">
        <f>F7/E7</f>
        <v>-8.1028074963528153E-5</v>
      </c>
      <c r="J7" s="280">
        <f t="shared" ref="J7:J70" si="1">D7*H7</f>
        <v>-0.63099329378409386</v>
      </c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2:20" x14ac:dyDescent="0.25">
      <c r="B8" s="40">
        <f t="shared" si="0"/>
        <v>2</v>
      </c>
      <c r="C8" s="272">
        <f>'foglio deposito'!$K$60/$B$106*B8</f>
        <v>-2.4366307989016789E-4</v>
      </c>
      <c r="D8" s="280">
        <f>IF(C8&gt;'foglio deposito'!$K$59,2*'foglio deposito'!$F$67/'foglio deposito'!$K$59*(C8-C8^2/(2*'foglio deposito'!$K$59)),'foglio deposito'!$F$67)</f>
        <v>-3.6596077389366868</v>
      </c>
      <c r="E8" s="273">
        <f>IF(C8&gt;'foglio deposito'!$F$103,2*'foglio deposito'!$D$104/(-'foglio deposito'!$F$103)*(C8^2/2-(-C8)^3/(-6*'foglio deposito'!$F$103)),2*'foglio deposito'!$D$104/(-'foglio deposito'!$F$103)*('foglio deposito'!$F$103^2/2-(-'foglio deposito'!$F$103)^3/(-6*'foglio deposito'!$F$103))+'foglio deposito'!$D$104*(ABS(C8)-ABS('foglio deposito'!$F$103)))</f>
        <v>3.8646438459760929E-4</v>
      </c>
      <c r="F8" s="273">
        <f>IF(ABS(C8)&lt;ABS('foglio deposito'!$F$103),-2*'foglio deposito'!$D$104/(-'foglio deposito'!$F$103)*(-C8^3/3-(C8)^4/(-8*'foglio deposito'!$F$103)),-(2*'foglio deposito'!$D$104/(-'foglio deposito'!$F$103)*(ABS('foglio deposito'!$F$103)^3/3-ABS('foglio deposito'!$F$103)^4/(-8*'foglio deposito'!$F$103))+'foglio deposito'!$D$104/2*(ABS(C8)^2-ABS('foglio deposito'!$F$103)^2)))</f>
        <v>-6.2474013775479245E-8</v>
      </c>
      <c r="G8" s="258">
        <f>E8/('foglio deposito'!$F$67*'foglio deposito'!$K$60)</f>
        <v>1.8314044233617393E-3</v>
      </c>
      <c r="H8" s="258">
        <f t="shared" ref="H8:H71" si="2">1-(F8/E8)/C8</f>
        <v>0.33656221436818923</v>
      </c>
      <c r="I8" s="279">
        <f>F8/E8</f>
        <v>-1.6165529416255998E-4</v>
      </c>
      <c r="J8" s="280">
        <f t="shared" si="1"/>
        <v>-1.2316856843354935</v>
      </c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2:20" x14ac:dyDescent="0.25">
      <c r="B9" s="40">
        <f t="shared" si="0"/>
        <v>3</v>
      </c>
      <c r="C9" s="272">
        <f>'foglio deposito'!$K$60/$B$106*B9</f>
        <v>-3.6549461983525182E-4</v>
      </c>
      <c r="D9" s="280">
        <f>IF(C9&gt;'foglio deposito'!$K$59,2*'foglio deposito'!$F$67/'foglio deposito'!$K$59*(C9-C9^2/(2*'foglio deposito'!$K$59)),'foglio deposito'!$F$67)</f>
        <v>-5.3267381761288579</v>
      </c>
      <c r="E9" s="273">
        <f>IF(C9&gt;'foglio deposito'!$F$103,2*'foglio deposito'!$D$104/(-'foglio deposito'!$F$103)*(C9^2/2-(-C9)^3/(-6*'foglio deposito'!$F$103)),2*'foglio deposito'!$D$104/(-'foglio deposito'!$F$103)*('foglio deposito'!$F$103^2/2-(-'foglio deposito'!$F$103)^3/(-6*'foglio deposito'!$F$103))+'foglio deposito'!$D$104*(ABS(C9)-ABS('foglio deposito'!$F$103)))</f>
        <v>8.5269892379661639E-4</v>
      </c>
      <c r="F9" s="273">
        <f>IF(ABS(C9)&lt;ABS('foglio deposito'!$F$103),-2*'foglio deposito'!$D$104/(-'foglio deposito'!$F$103)*(-C9^3/3-(C9)^4/(-8*'foglio deposito'!$F$103)),-(2*'foglio deposito'!$D$104/(-'foglio deposito'!$F$103)*(ABS('foglio deposito'!$F$103)^3/3-ABS('foglio deposito'!$F$103)^4/(-8*'foglio deposito'!$F$103))+'foglio deposito'!$D$104/2*(ABS(C9)^2-ABS('foglio deposito'!$F$103)^2)))</f>
        <v>-2.0623197074085135E-7</v>
      </c>
      <c r="G9" s="258">
        <f>E9/('foglio deposito'!$F$67*'foglio deposito'!$K$60)</f>
        <v>4.0408292279323754E-3</v>
      </c>
      <c r="H9" s="258">
        <f t="shared" si="2"/>
        <v>0.33827233966894565</v>
      </c>
      <c r="I9" s="279">
        <f t="shared" ref="I9:I70" si="3">F9/E9</f>
        <v>-2.4185789964716934E-4</v>
      </c>
      <c r="J9" s="280">
        <f t="shared" si="1"/>
        <v>-1.8018881856430011</v>
      </c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2:20" x14ac:dyDescent="0.25">
      <c r="B10" s="40">
        <f t="shared" si="0"/>
        <v>4</v>
      </c>
      <c r="C10" s="272">
        <f>'foglio deposito'!$K$60/$B$106*B10</f>
        <v>-4.8732615978033577E-4</v>
      </c>
      <c r="D10" s="280">
        <f>IF(C10&gt;'foglio deposito'!$K$59,2*'foglio deposito'!$F$67/'foglio deposito'!$K$59*(C10-C10^2/(2*'foglio deposito'!$K$59)),'foglio deposito'!$F$67)</f>
        <v>-6.8854196584702487</v>
      </c>
      <c r="E10" s="273">
        <f>IF(C10&gt;'foglio deposito'!$F$103,2*'foglio deposito'!$D$104/(-'foglio deposito'!$F$103)*(C10^2/2-(-C10)^3/(-6*'foglio deposito'!$F$103)),2*'foglio deposito'!$D$104/(-'foglio deposito'!$F$103)*('foglio deposito'!$F$103^2/2-(-'foglio deposito'!$F$103)^3/(-6*'foglio deposito'!$F$103))+'foglio deposito'!$D$104*(ABS(C10)-ABS('foglio deposito'!$F$103)))</f>
        <v>1.4859608573308655E-3</v>
      </c>
      <c r="F10" s="273">
        <f>IF(ABS(C10)&lt;ABS('foglio deposito'!$F$103),-2*'foglio deposito'!$D$104/(-'foglio deposito'!$F$103)*(-C10^3/3-(C10)^4/(-8*'foglio deposito'!$F$103)),-(2*'foglio deposito'!$D$104/(-'foglio deposito'!$F$103)*(ABS('foglio deposito'!$F$103)^3/3-ABS('foglio deposito'!$F$103)^4/(-8*'foglio deposito'!$F$103))+'foglio deposito'!$D$104/2*(ABS(C10)^2-ABS('foglio deposito'!$F$103)^2)))</f>
        <v>-4.7790019553057252E-7</v>
      </c>
      <c r="G10" s="258">
        <f>E10/('foglio deposito'!$F$67*'foglio deposito'!$K$60)</f>
        <v>7.0417751169792641E-3</v>
      </c>
      <c r="H10" s="258">
        <f t="shared" si="2"/>
        <v>0.34005139735725842</v>
      </c>
      <c r="I10" s="279">
        <f t="shared" si="3"/>
        <v>-3.2161021817828599E-4</v>
      </c>
      <c r="J10" s="280">
        <f t="shared" si="1"/>
        <v>-2.341396576253945</v>
      </c>
      <c r="K10" s="42"/>
      <c r="L10" s="37"/>
      <c r="M10" s="37"/>
      <c r="N10" s="37"/>
      <c r="O10" s="37"/>
      <c r="P10" s="37"/>
      <c r="Q10" s="37"/>
      <c r="R10" s="37"/>
      <c r="S10" s="37"/>
      <c r="T10" s="37"/>
    </row>
    <row r="11" spans="2:20" x14ac:dyDescent="0.25">
      <c r="B11" s="40">
        <f t="shared" si="0"/>
        <v>5</v>
      </c>
      <c r="C11" s="272">
        <f>'foglio deposito'!$K$60/$B$106*B11</f>
        <v>-6.0915769972541968E-4</v>
      </c>
      <c r="D11" s="280">
        <f>IF(C11&gt;'foglio deposito'!$K$59,2*'foglio deposito'!$F$67/'foglio deposito'!$K$59*(C11-C11^2/(2*'foglio deposito'!$K$59)),'foglio deposito'!$F$67)</f>
        <v>-8.335652185960857</v>
      </c>
      <c r="E11" s="273">
        <f>IF(C11&gt;'foglio deposito'!$F$103,2*'foglio deposito'!$D$104/(-'foglio deposito'!$F$103)*(C11^2/2-(-C11)^3/(-6*'foglio deposito'!$F$103)),2*'foglio deposito'!$D$104/(-'foglio deposito'!$F$103)*('foglio deposito'!$F$103^2/2-(-'foglio deposito'!$F$103)^3/(-6*'foglio deposito'!$F$103))+'foglio deposito'!$D$104*(ABS(C11)-ABS('foglio deposito'!$F$103)))</f>
        <v>2.275019557501686E-3</v>
      </c>
      <c r="F11" s="273">
        <f>IF(ABS(C11)&lt;ABS('foglio deposito'!$F$103),-2*'foglio deposito'!$D$104/(-'foglio deposito'!$F$103)*(-C11^3/3-(C11)^4/(-8*'foglio deposito'!$F$103)),-(2*'foglio deposito'!$D$104/(-'foglio deposito'!$F$103)*(ABS('foglio deposito'!$F$103)^3/3-ABS('foglio deposito'!$F$103)^4/(-8*'foglio deposito'!$F$103))+'foglio deposito'!$D$104/2*(ABS(C11)^2-ABS('foglio deposito'!$F$103)^2)))</f>
        <v>-9.1201999647254223E-7</v>
      </c>
      <c r="G11" s="258">
        <f>E11/('foglio deposito'!$F$67*'foglio deposito'!$K$60)</f>
        <v>1.0781021607414711E-2</v>
      </c>
      <c r="H11" s="258">
        <f t="shared" si="2"/>
        <v>0.34190364098986359</v>
      </c>
      <c r="I11" s="279">
        <f t="shared" si="3"/>
        <v>-4.0088446425228869E-4</v>
      </c>
      <c r="J11" s="280">
        <f t="shared" si="1"/>
        <v>-2.8499898324051327</v>
      </c>
      <c r="K11" s="42"/>
      <c r="L11" s="37"/>
      <c r="M11" s="37"/>
      <c r="N11" s="37"/>
      <c r="O11" s="37"/>
      <c r="P11" s="37"/>
      <c r="Q11" s="37"/>
      <c r="R11" s="37"/>
      <c r="S11" s="37"/>
      <c r="T11" s="37"/>
    </row>
    <row r="12" spans="2:20" x14ac:dyDescent="0.25">
      <c r="B12" s="40">
        <f t="shared" si="0"/>
        <v>6</v>
      </c>
      <c r="C12" s="272">
        <f>'foglio deposito'!$K$60/$B$106*B12</f>
        <v>-7.3098923967050364E-4</v>
      </c>
      <c r="D12" s="280">
        <f>IF(C12&gt;'foglio deposito'!$K$59,2*'foglio deposito'!$F$67/'foglio deposito'!$K$59*(C12-C12^2/(2*'foglio deposito'!$K$59)),'foglio deposito'!$F$67)</f>
        <v>-9.6774357586006872</v>
      </c>
      <c r="E12" s="273">
        <f>IF(C12&gt;'foglio deposito'!$F$103,2*'foglio deposito'!$D$104/(-'foglio deposito'!$F$103)*(C12^2/2-(-C12)^3/(-6*'foglio deposito'!$F$103)),2*'foglio deposito'!$D$104/(-'foglio deposito'!$F$103)*('foglio deposito'!$F$103^2/2-(-'foglio deposito'!$F$103)^3/(-6*'foglio deposito'!$F$103))+'foglio deposito'!$D$104*(ABS(C12)-ABS('foglio deposito'!$F$103)))</f>
        <v>3.20864439661041E-3</v>
      </c>
      <c r="F12" s="273">
        <f>IF(ABS(C12)&lt;ABS('foglio deposito'!$F$103),-2*'foglio deposito'!$D$104/(-'foglio deposito'!$F$103)*(-C12^3/3-(C12)^4/(-8*'foglio deposito'!$F$103)),-(2*'foglio deposito'!$D$104/(-'foglio deposito'!$F$103)*(ABS('foglio deposito'!$F$103)^3/3-ABS('foglio deposito'!$F$103)^4/(-8*'foglio deposito'!$F$103))+'foglio deposito'!$D$104/2*(ABS(C12)^2-ABS('foglio deposito'!$F$103)^2)))</f>
        <v>-1.5390279478934246E-6</v>
      </c>
      <c r="G12" s="258">
        <f>E12/('foglio deposito'!$F$67*'foglio deposito'!$K$60)</f>
        <v>1.520534821615103E-2</v>
      </c>
      <c r="H12" s="258">
        <f t="shared" si="2"/>
        <v>0.34383368143410786</v>
      </c>
      <c r="I12" s="279">
        <f t="shared" si="3"/>
        <v>-4.7965051830587498E-4</v>
      </c>
      <c r="J12" s="280">
        <f t="shared" si="1"/>
        <v>-3.3274283637217525</v>
      </c>
      <c r="K12" s="42"/>
      <c r="L12" s="37"/>
      <c r="M12" s="37"/>
      <c r="N12" s="37"/>
      <c r="O12" s="37"/>
      <c r="P12" s="37"/>
      <c r="Q12" s="37"/>
      <c r="R12" s="37"/>
      <c r="S12" s="37"/>
      <c r="T12" s="37"/>
    </row>
    <row r="13" spans="2:20" x14ac:dyDescent="0.25">
      <c r="B13" s="40">
        <f t="shared" si="0"/>
        <v>7</v>
      </c>
      <c r="C13" s="272">
        <f>'foglio deposito'!$K$60/$B$106*B13</f>
        <v>-8.5282077961558759E-4</v>
      </c>
      <c r="D13" s="280">
        <f>IF(C13&gt;'foglio deposito'!$K$59,2*'foglio deposito'!$F$67/'foglio deposito'!$K$59*(C13-C13^2/(2*'foglio deposito'!$K$59)),'foglio deposito'!$F$67)</f>
        <v>-10.910770376389731</v>
      </c>
      <c r="E13" s="273">
        <f>IF(C13&gt;'foglio deposito'!$F$103,2*'foglio deposito'!$D$104/(-'foglio deposito'!$F$103)*(C13^2/2-(-C13)^3/(-6*'foglio deposito'!$F$103)),2*'foglio deposito'!$D$104/(-'foglio deposito'!$F$103)*('foglio deposito'!$F$103^2/2-(-'foglio deposito'!$F$103)^3/(-6*'foglio deposito'!$F$103))+'foglio deposito'!$D$104*(ABS(C13)-ABS('foglio deposito'!$F$103)))</f>
        <v>4.2756047469583672E-3</v>
      </c>
      <c r="F13" s="273">
        <f>IF(ABS(C13)&lt;ABS('foglio deposito'!$F$103),-2*'foglio deposito'!$D$104/(-'foglio deposito'!$F$103)*(-C13^3/3-(C13)^4/(-8*'foglio deposito'!$F$103)),-(2*'foglio deposito'!$D$104/(-'foglio deposito'!$F$103)*(ABS('foglio deposito'!$F$103)^3/3-ABS('foglio deposito'!$F$103)^4/(-8*'foglio deposito'!$F$103))+'foglio deposito'!$D$104/2*(ABS(C13)^2-ABS('foglio deposito'!$F$103)^2)))</f>
        <v>-2.3852558901186453E-6</v>
      </c>
      <c r="G13" s="258">
        <f>E13/('foglio deposito'!$F$67*'foglio deposito'!$K$60)</f>
        <v>2.0261534460100528E-2</v>
      </c>
      <c r="H13" s="258">
        <f t="shared" si="2"/>
        <v>0.34584652519163173</v>
      </c>
      <c r="I13" s="279">
        <f t="shared" si="3"/>
        <v>-5.5787567637431831E-4</v>
      </c>
      <c r="J13" s="280">
        <f t="shared" si="1"/>
        <v>-3.7734520218381804</v>
      </c>
      <c r="K13" s="42"/>
      <c r="L13" s="37"/>
      <c r="M13" s="37"/>
      <c r="N13" s="37"/>
      <c r="O13" s="37"/>
      <c r="P13" s="37"/>
      <c r="Q13" s="37"/>
      <c r="R13" s="37"/>
      <c r="S13" s="37"/>
      <c r="T13" s="37"/>
    </row>
    <row r="14" spans="2:20" x14ac:dyDescent="0.25">
      <c r="B14" s="40">
        <f t="shared" si="0"/>
        <v>8</v>
      </c>
      <c r="C14" s="272">
        <f>'foglio deposito'!$K$60/$B$106*B14</f>
        <v>-9.7465231956067155E-4</v>
      </c>
      <c r="D14" s="280">
        <f>IF(C14&gt;'foglio deposito'!$K$59,2*'foglio deposito'!$F$67/'foglio deposito'!$K$59*(C14-C14^2/(2*'foglio deposito'!$K$59)),'foglio deposito'!$F$67)</f>
        <v>-12.035656039327998</v>
      </c>
      <c r="E14" s="273">
        <f>IF(C14&gt;'foglio deposito'!$F$103,2*'foglio deposito'!$D$104/(-'foglio deposito'!$F$103)*(C14^2/2-(-C14)^3/(-6*'foglio deposito'!$F$103)),2*'foglio deposito'!$D$104/(-'foglio deposito'!$F$103)*('foglio deposito'!$F$103^2/2-(-'foglio deposito'!$F$103)^3/(-6*'foglio deposito'!$F$103))+'foglio deposito'!$D$104*(ABS(C14)-ABS('foglio deposito'!$F$103)))</f>
        <v>5.4646699808468865E-3</v>
      </c>
      <c r="F14" s="273">
        <f>IF(ABS(C14)&lt;ABS('foglio deposito'!$F$103),-2*'foglio deposito'!$D$104/(-'foglio deposito'!$F$103)*(-C14^3/3-(C14)^4/(-8*'foglio deposito'!$F$103)),-(2*'foglio deposito'!$D$104/(-'foglio deposito'!$F$103)*(ABS('foglio deposito'!$F$103)^3/3-ABS('foglio deposito'!$F$103)^4/(-8*'foglio deposito'!$F$103))+'foglio deposito'!$D$104/2*(ABS(C14)^2-ABS('foglio deposito'!$F$103)^2)))</f>
        <v>-3.4729309294723955E-6</v>
      </c>
      <c r="G14" s="258">
        <f>E14/('foglio deposito'!$F$67*'foglio deposito'!$K$60)</f>
        <v>2.5896359856175503E-2</v>
      </c>
      <c r="H14" s="258">
        <f t="shared" si="2"/>
        <v>0.34794761776270822</v>
      </c>
      <c r="I14" s="279">
        <f t="shared" si="3"/>
        <v>-6.3552436682263807E-4</v>
      </c>
      <c r="J14" s="280">
        <f t="shared" si="1"/>
        <v>-4.1877778470955294</v>
      </c>
      <c r="K14" s="42"/>
      <c r="L14" s="37"/>
      <c r="M14" s="37"/>
      <c r="N14" s="37"/>
      <c r="O14" s="37"/>
      <c r="P14" s="37"/>
      <c r="Q14" s="37"/>
      <c r="R14" s="37"/>
      <c r="S14" s="37"/>
      <c r="T14" s="37"/>
    </row>
    <row r="15" spans="2:20" x14ac:dyDescent="0.25">
      <c r="B15" s="40">
        <f t="shared" si="0"/>
        <v>9</v>
      </c>
      <c r="C15" s="272">
        <f>'foglio deposito'!$K$60/$B$106*B15</f>
        <v>-1.0964838595057555E-3</v>
      </c>
      <c r="D15" s="280">
        <f>IF(C15&gt;'foglio deposito'!$K$59,2*'foglio deposito'!$F$67/'foglio deposito'!$K$59*(C15-C15^2/(2*'foglio deposito'!$K$59)),'foglio deposito'!$F$67)</f>
        <v>-13.052092747415482</v>
      </c>
      <c r="E15" s="273">
        <f>IF(C15&gt;'foglio deposito'!$F$103,2*'foglio deposito'!$D$104/(-'foglio deposito'!$F$103)*(C15^2/2-(-C15)^3/(-6*'foglio deposito'!$F$103)),2*'foglio deposito'!$D$104/(-'foglio deposito'!$F$103)*('foglio deposito'!$F$103^2/2-(-'foglio deposito'!$F$103)^3/(-6*'foglio deposito'!$F$103))+'foglio deposito'!$D$104*(ABS(C15)-ABS('foglio deposito'!$F$103)))</f>
        <v>6.7646094705772998E-3</v>
      </c>
      <c r="F15" s="273">
        <f>IF(ABS(C15)&lt;ABS('foglio deposito'!$F$103),-2*'foglio deposito'!$D$104/(-'foglio deposito'!$F$103)*(-C15^3/3-(C15)^4/(-8*'foglio deposito'!$F$103)),-(2*'foglio deposito'!$D$104/(-'foglio deposito'!$F$103)*(ABS('foglio deposito'!$F$103)^3/3-ABS('foglio deposito'!$F$103)^4/(-8*'foglio deposito'!$F$103))+'foglio deposito'!$D$104/2*(ABS(C15)^2-ABS('foglio deposito'!$F$103)^2)))</f>
        <v>-4.8201754382776278E-6</v>
      </c>
      <c r="G15" s="258">
        <f>E15/('foglio deposito'!$F$67*'foglio deposito'!$K$60)</f>
        <v>3.2056603921288271E-2</v>
      </c>
      <c r="H15" s="258">
        <f t="shared" si="2"/>
        <v>0.3501428928420699</v>
      </c>
      <c r="I15" s="279">
        <f t="shared" si="3"/>
        <v>-7.1255782898377253E-4</v>
      </c>
      <c r="J15" s="280">
        <f t="shared" si="1"/>
        <v>-4.5700975122230574</v>
      </c>
      <c r="K15" s="42"/>
      <c r="L15" s="37"/>
      <c r="M15" s="37"/>
      <c r="N15" s="37"/>
      <c r="O15" s="37"/>
      <c r="P15" s="37"/>
      <c r="Q15" s="37"/>
      <c r="R15" s="37"/>
      <c r="S15" s="37"/>
      <c r="T15" s="37"/>
    </row>
    <row r="16" spans="2:20" x14ac:dyDescent="0.25">
      <c r="B16" s="40">
        <f t="shared" si="0"/>
        <v>10</v>
      </c>
      <c r="C16" s="272">
        <f>'foglio deposito'!$K$60/$B$106*B16</f>
        <v>-1.2183153994508394E-3</v>
      </c>
      <c r="D16" s="280">
        <f>IF(C16&gt;'foglio deposito'!$K$59,2*'foglio deposito'!$F$67/'foglio deposito'!$K$59*(C16-C16^2/(2*'foglio deposito'!$K$59)),'foglio deposito'!$F$67)</f>
        <v>-13.960080500652186</v>
      </c>
      <c r="E16" s="273">
        <f>IF(C16&gt;'foglio deposito'!$F$103,2*'foglio deposito'!$D$104/(-'foglio deposito'!$F$103)*(C16^2/2-(-C16)^3/(-6*'foglio deposito'!$F$103)),2*'foglio deposito'!$D$104/(-'foglio deposito'!$F$103)*('foglio deposito'!$F$103^2/2-(-'foglio deposito'!$F$103)^3/(-6*'foglio deposito'!$F$103))+'foglio deposito'!$D$104*(ABS(C16)-ABS('foglio deposito'!$F$103)))</f>
        <v>8.1641925884509345E-3</v>
      </c>
      <c r="F16" s="273">
        <f>IF(ABS(C16)&lt;ABS('foglio deposito'!$F$103),-2*'foglio deposito'!$D$104/(-'foglio deposito'!$F$103)*(-C16^3/3-(C16)^4/(-8*'foglio deposito'!$F$103)),-(2*'foglio deposito'!$D$104/(-'foglio deposito'!$F$103)*(ABS('foglio deposito'!$F$103)^3/3-ABS('foglio deposito'!$F$103)^4/(-8*'foglio deposito'!$F$103))+'foglio deposito'!$D$104/2*(ABS(C16)^2-ABS('foglio deposito'!$F$103)^2)))</f>
        <v>-6.4410070548560608E-6</v>
      </c>
      <c r="G16" s="258">
        <f>E16/('foglio deposito'!$F$67*'foglio deposito'!$K$60)</f>
        <v>3.8689046172351131E-2</v>
      </c>
      <c r="H16" s="258">
        <f t="shared" si="2"/>
        <v>0.35243882828208684</v>
      </c>
      <c r="I16" s="279">
        <f t="shared" si="3"/>
        <v>-7.889337475903629E-4</v>
      </c>
      <c r="J16" s="280">
        <f t="shared" si="1"/>
        <v>-4.9200744143734649</v>
      </c>
      <c r="K16" s="42"/>
      <c r="L16" s="37"/>
      <c r="M16" s="37"/>
      <c r="N16" s="37"/>
      <c r="O16" s="37"/>
      <c r="P16" s="37"/>
      <c r="Q16" s="37"/>
      <c r="R16" s="37"/>
      <c r="S16" s="37"/>
      <c r="T16" s="37"/>
    </row>
    <row r="17" spans="2:20" x14ac:dyDescent="0.25">
      <c r="B17" s="40">
        <f t="shared" si="0"/>
        <v>11</v>
      </c>
      <c r="C17" s="272">
        <f>'foglio deposito'!$K$60/$B$106*B17</f>
        <v>-1.3401469393959234E-3</v>
      </c>
      <c r="D17" s="280">
        <f>IF(C17&gt;'foglio deposito'!$K$59,2*'foglio deposito'!$F$67/'foglio deposito'!$K$59*(C17-C17^2/(2*'foglio deposito'!$K$59)),'foglio deposito'!$F$67)</f>
        <v>-14.759619299038107</v>
      </c>
      <c r="E17" s="273">
        <f>IF(C17&gt;'foglio deposito'!$F$103,2*'foglio deposito'!$D$104/(-'foglio deposito'!$F$103)*(C17^2/2-(-C17)^3/(-6*'foglio deposito'!$F$103)),2*'foglio deposito'!$D$104/(-'foglio deposito'!$F$103)*('foglio deposito'!$F$103^2/2-(-'foglio deposito'!$F$103)^3/(-6*'foglio deposito'!$F$103))+'foglio deposito'!$D$104*(ABS(C17)-ABS('foglio deposito'!$F$103)))</f>
        <v>9.6521887067691266E-3</v>
      </c>
      <c r="F17" s="273">
        <f>IF(ABS(C17)&lt;ABS('foglio deposito'!$F$103),-2*'foglio deposito'!$D$104/(-'foglio deposito'!$F$103)*(-C17^3/3-(C17)^4/(-8*'foglio deposito'!$F$103)),-(2*'foglio deposito'!$D$104/(-'foglio deposito'!$F$103)*(ABS('foglio deposito'!$F$103)^3/3-ABS('foglio deposito'!$F$103)^4/(-8*'foglio deposito'!$F$103))+'foglio deposito'!$D$104/2*(ABS(C17)^2-ABS('foglio deposito'!$F$103)^2)))</f>
        <v>-8.3453386835281752E-6</v>
      </c>
      <c r="G17" s="258">
        <f>E17/('foglio deposito'!$F$67*'foglio deposito'!$K$60)</f>
        <v>4.5740466126276406E-2</v>
      </c>
      <c r="H17" s="258">
        <f t="shared" si="2"/>
        <v>0.354842509934857</v>
      </c>
      <c r="I17" s="279">
        <f t="shared" si="3"/>
        <v>-8.6460583573915719E-4</v>
      </c>
      <c r="J17" s="280">
        <f t="shared" si="1"/>
        <v>-5.2373403577536362</v>
      </c>
      <c r="K17" s="42"/>
      <c r="L17" s="37"/>
      <c r="M17" s="37"/>
      <c r="N17" s="37"/>
      <c r="O17" s="37"/>
      <c r="P17" s="37"/>
      <c r="Q17" s="37"/>
      <c r="R17" s="37"/>
      <c r="S17" s="37"/>
      <c r="T17" s="37"/>
    </row>
    <row r="18" spans="2:20" x14ac:dyDescent="0.25">
      <c r="B18" s="40">
        <f t="shared" si="0"/>
        <v>12</v>
      </c>
      <c r="C18" s="272">
        <f>'foglio deposito'!$K$60/$B$106*B18</f>
        <v>-1.4619784793410073E-3</v>
      </c>
      <c r="D18" s="280">
        <f>IF(C18&gt;'foglio deposito'!$K$59,2*'foglio deposito'!$F$67/'foglio deposito'!$K$59*(C18-C18^2/(2*'foglio deposito'!$K$59)),'foglio deposito'!$F$67)</f>
        <v>-15.450709142573249</v>
      </c>
      <c r="E18" s="273">
        <f>IF(C18&gt;'foglio deposito'!$F$103,2*'foglio deposito'!$D$104/(-'foglio deposito'!$F$103)*(C18^2/2-(-C18)^3/(-6*'foglio deposito'!$F$103)),2*'foglio deposito'!$D$104/(-'foglio deposito'!$F$103)*('foglio deposito'!$F$103^2/2-(-'foglio deposito'!$F$103)^3/(-6*'foglio deposito'!$F$103))+'foglio deposito'!$D$104*(ABS(C18)-ABS('foglio deposito'!$F$103)))</f>
        <v>1.12173671978332E-2</v>
      </c>
      <c r="F18" s="273">
        <f>IF(ABS(C18)&lt;ABS('foglio deposito'!$F$103),-2*'foglio deposito'!$D$104/(-'foglio deposito'!$F$103)*(-C18^3/3-(C18)^4/(-8*'foglio deposito'!$F$103)),-(2*'foglio deposito'!$D$104/(-'foglio deposito'!$F$103)*(ABS('foglio deposito'!$F$103)^3/3-ABS('foglio deposito'!$F$103)^4/(-8*'foglio deposito'!$F$103))+'foglio deposito'!$D$104/2*(ABS(C18)^2-ABS('foglio deposito'!$F$103)^2)))</f>
        <v>-1.0538978494613212E-5</v>
      </c>
      <c r="G18" s="258">
        <f>E18/('foglio deposito'!$F$67*'foglio deposito'!$K$60)</f>
        <v>5.3157643299976381E-2</v>
      </c>
      <c r="H18" s="258">
        <f t="shared" si="2"/>
        <v>0.35736170469841955</v>
      </c>
      <c r="I18" s="279">
        <f t="shared" si="3"/>
        <v>-9.3952335773130177E-4</v>
      </c>
      <c r="J18" s="280">
        <f t="shared" si="1"/>
        <v>-5.5214917579894323</v>
      </c>
      <c r="K18" s="42"/>
      <c r="L18" s="37"/>
      <c r="M18" s="37"/>
      <c r="N18" s="37"/>
      <c r="O18" s="37"/>
      <c r="P18" s="37"/>
      <c r="Q18" s="37"/>
      <c r="R18" s="37"/>
      <c r="S18" s="37"/>
      <c r="T18" s="37"/>
    </row>
    <row r="19" spans="2:20" x14ac:dyDescent="0.25">
      <c r="B19" s="40">
        <f t="shared" si="0"/>
        <v>13</v>
      </c>
      <c r="C19" s="272">
        <f>'foglio deposito'!$K$60/$B$106*B19</f>
        <v>-1.5838100192860913E-3</v>
      </c>
      <c r="D19" s="280">
        <f>IF(C19&gt;'foglio deposito'!$K$59,2*'foglio deposito'!$F$67/'foglio deposito'!$K$59*(C19-C19^2/(2*'foglio deposito'!$K$59)),'foglio deposito'!$F$67)</f>
        <v>-16.033350031257608</v>
      </c>
      <c r="E19" s="273">
        <f>IF(C19&gt;'foglio deposito'!$F$103,2*'foglio deposito'!$D$104/(-'foglio deposito'!$F$103)*(C19^2/2-(-C19)^3/(-6*'foglio deposito'!$F$103)),2*'foglio deposito'!$D$104/(-'foglio deposito'!$F$103)*('foglio deposito'!$F$103^2/2-(-'foglio deposito'!$F$103)^3/(-6*'foglio deposito'!$F$103))+'foglio deposito'!$D$104*(ABS(C19)-ABS('foglio deposito'!$F$103)))</f>
        <v>1.2848497433944492E-2</v>
      </c>
      <c r="F19" s="273">
        <f>IF(ABS(C19)&lt;ABS('foglio deposito'!$F$103),-2*'foglio deposito'!$D$104/(-'foglio deposito'!$F$103)*(-C19^3/3-(C19)^4/(-8*'foglio deposito'!$F$103)),-(2*'foglio deposito'!$D$104/(-'foglio deposito'!$F$103)*(ABS('foglio deposito'!$F$103)^3/3-ABS('foglio deposito'!$F$103)^4/(-8*'foglio deposito'!$F$103))+'foglio deposito'!$D$104/2*(ABS(C19)^2-ABS('foglio deposito'!$F$103)^2)))</f>
        <v>-1.3023629924429185E-5</v>
      </c>
      <c r="G19" s="258">
        <f>E19/('foglio deposito'!$F$67*'foglio deposito'!$K$60)</f>
        <v>6.0887357210363396E-2</v>
      </c>
      <c r="H19" s="258">
        <f t="shared" si="2"/>
        <v>0.36000494435333719</v>
      </c>
      <c r="I19" s="279">
        <f t="shared" si="3"/>
        <v>-1.0136305814267442E-3</v>
      </c>
      <c r="J19" s="280">
        <f t="shared" si="1"/>
        <v>-5.7720852858004728</v>
      </c>
      <c r="K19" s="42"/>
      <c r="L19" s="37"/>
      <c r="M19" s="37"/>
      <c r="N19" s="37"/>
      <c r="O19" s="37"/>
      <c r="P19" s="166"/>
      <c r="Q19" s="37"/>
      <c r="R19" s="37"/>
      <c r="S19" s="37"/>
      <c r="T19" s="37"/>
    </row>
    <row r="20" spans="2:20" x14ac:dyDescent="0.25">
      <c r="B20" s="40">
        <f t="shared" si="0"/>
        <v>14</v>
      </c>
      <c r="C20" s="272">
        <f>'foglio deposito'!$K$60/$B$106*B20</f>
        <v>-1.7056415592311752E-3</v>
      </c>
      <c r="D20" s="280">
        <f>IF(C20&gt;'foglio deposito'!$K$59,2*'foglio deposito'!$F$67/'foglio deposito'!$K$59*(C20-C20^2/(2*'foglio deposito'!$K$59)),'foglio deposito'!$F$67)</f>
        <v>-16.507541965091185</v>
      </c>
      <c r="E20" s="273">
        <f>IF(C20&gt;'foglio deposito'!$F$103,2*'foglio deposito'!$D$104/(-'foglio deposito'!$F$103)*(C20^2/2-(-C20)^3/(-6*'foglio deposito'!$F$103)),2*'foglio deposito'!$D$104/(-'foglio deposito'!$F$103)*('foglio deposito'!$F$103^2/2-(-'foglio deposito'!$F$103)^3/(-6*'foglio deposito'!$F$103))+'foglio deposito'!$D$104*(ABS(C20)-ABS('foglio deposito'!$F$103)))</f>
        <v>1.4534348787404323E-2</v>
      </c>
      <c r="F20" s="273">
        <f>IF(ABS(C20)&lt;ABS('foglio deposito'!$F$103),-2*'foglio deposito'!$D$104/(-'foglio deposito'!$F$103)*(-C20^3/3-(C20)^4/(-8*'foglio deposito'!$F$103)),-(2*'foglio deposito'!$D$104/(-'foglio deposito'!$F$103)*(ABS('foglio deposito'!$F$103)^3/3-ABS('foglio deposito'!$F$103)^4/(-8*'foglio deposito'!$F$103))+'foglio deposito'!$D$104/2*(ABS(C20)^2-ABS('foglio deposito'!$F$103)^2)))</f>
        <v>-1.5796891675292853E-5</v>
      </c>
      <c r="G20" s="258">
        <f>E20/('foglio deposito'!$F$67*'foglio deposito'!$K$60)</f>
        <v>6.8876387374349715E-2</v>
      </c>
      <c r="H20" s="258">
        <f t="shared" si="2"/>
        <v>0.36278162209618758</v>
      </c>
      <c r="I20" s="279">
        <f t="shared" si="3"/>
        <v>-1.0868661476586188E-3</v>
      </c>
      <c r="J20" s="280">
        <f t="shared" si="1"/>
        <v>-5.9886328509166686</v>
      </c>
      <c r="K20" s="42"/>
      <c r="L20" s="37"/>
      <c r="M20" s="37"/>
      <c r="N20" s="37"/>
      <c r="O20" s="37"/>
      <c r="P20" s="37"/>
      <c r="Q20" s="37"/>
      <c r="R20" s="37"/>
      <c r="S20" s="37"/>
      <c r="T20" s="37"/>
    </row>
    <row r="21" spans="2:20" x14ac:dyDescent="0.25">
      <c r="B21" s="40">
        <f t="shared" si="0"/>
        <v>15</v>
      </c>
      <c r="C21" s="272">
        <f>'foglio deposito'!$K$60/$B$106*B21</f>
        <v>-1.8274730991762593E-3</v>
      </c>
      <c r="D21" s="280">
        <f>IF(C21&gt;'foglio deposito'!$K$59,2*'foglio deposito'!$F$67/'foglio deposito'!$K$59*(C21-C21^2/(2*'foglio deposito'!$K$59)),'foglio deposito'!$F$67)</f>
        <v>-16.873284944073983</v>
      </c>
      <c r="E21" s="273">
        <f>IF(C21&gt;'foglio deposito'!$F$103,2*'foglio deposito'!$D$104/(-'foglio deposito'!$F$103)*(C21^2/2-(-C21)^3/(-6*'foglio deposito'!$F$103)),2*'foglio deposito'!$D$104/(-'foglio deposito'!$F$103)*('foglio deposito'!$F$103^2/2-(-'foglio deposito'!$F$103)^3/(-6*'foglio deposito'!$F$103))+'foglio deposito'!$D$104*(ABS(C21)-ABS('foglio deposito'!$F$103)))</f>
        <v>1.6263690630514034E-2</v>
      </c>
      <c r="F21" s="273">
        <f>IF(ABS(C21)&lt;ABS('foglio deposito'!$F$103),-2*'foglio deposito'!$D$104/(-'foglio deposito'!$F$103)*(-C21^3/3-(C21)^4/(-8*'foglio deposito'!$F$103)),-(2*'foglio deposito'!$D$104/(-'foglio deposito'!$F$103)*(ABS('foglio deposito'!$F$103)^3/3-ABS('foglio deposito'!$F$103)^4/(-8*'foglio deposito'!$F$103))+'foglio deposito'!$D$104/2*(ABS(C21)^2-ABS('foglio deposito'!$F$103)^2)))</f>
        <v>-1.8852257715519767E-5</v>
      </c>
      <c r="G21" s="258">
        <f>E21/('foglio deposito'!$F$67*'foglio deposito'!$K$60)</f>
        <v>7.7071513308847692E-2</v>
      </c>
      <c r="H21" s="258">
        <f t="shared" si="2"/>
        <v>0.3657021040714733</v>
      </c>
      <c r="I21" s="279">
        <f t="shared" si="3"/>
        <v>-1.1591623416734851E-3</v>
      </c>
      <c r="J21" s="280">
        <f t="shared" si="1"/>
        <v>-6.170595806645367</v>
      </c>
      <c r="K21" s="42"/>
      <c r="L21" s="37"/>
      <c r="M21" s="37"/>
      <c r="N21" s="37"/>
      <c r="O21" s="37"/>
      <c r="P21" s="37"/>
      <c r="Q21" s="37"/>
      <c r="R21" s="37"/>
      <c r="S21" s="37"/>
      <c r="T21" s="37"/>
    </row>
    <row r="22" spans="2:20" x14ac:dyDescent="0.25">
      <c r="B22" s="40">
        <f t="shared" si="0"/>
        <v>16</v>
      </c>
      <c r="C22" s="272">
        <f>'foglio deposito'!$K$60/$B$106*B22</f>
        <v>-1.9493046391213431E-3</v>
      </c>
      <c r="D22" s="280">
        <f>IF(C22&gt;'foglio deposito'!$K$59,2*'foglio deposito'!$F$67/'foglio deposito'!$K$59*(C22-C22^2/(2*'foglio deposito'!$K$59)),'foglio deposito'!$F$67)</f>
        <v>-17.130578968206002</v>
      </c>
      <c r="E22" s="273">
        <f>IF(C22&gt;'foglio deposito'!$F$103,2*'foglio deposito'!$D$104/(-'foglio deposito'!$F$103)*(C22^2/2-(-C22)^3/(-6*'foglio deposito'!$F$103)),2*'foglio deposito'!$D$104/(-'foglio deposito'!$F$103)*('foglio deposito'!$F$103^2/2-(-'foglio deposito'!$F$103)^3/(-6*'foglio deposito'!$F$103))+'foglio deposito'!$D$104*(ABS(C22)-ABS('foglio deposito'!$F$103)))</f>
        <v>1.8025292335574948E-2</v>
      </c>
      <c r="F22" s="273">
        <f>IF(ABS(C22)&lt;ABS('foglio deposito'!$F$103),-2*'foglio deposito'!$D$104/(-'foglio deposito'!$F$103)*(-C22^3/3-(C22)^4/(-8*'foglio deposito'!$F$103)),-(2*'foglio deposito'!$D$104/(-'foglio deposito'!$F$103)*(ABS('foglio deposito'!$F$103)^3/3-ABS('foglio deposito'!$F$103)^4/(-8*'foglio deposito'!$F$103))+'foglio deposito'!$D$104/2*(ABS(C22)^2-ABS('foglio deposito'!$F$103)^2)))</f>
        <v>-2.2179117279424208E-5</v>
      </c>
      <c r="G22" s="258">
        <f>E22/('foglio deposito'!$F$67*'foglio deposito'!$K$60)</f>
        <v>8.5419514530769597E-2</v>
      </c>
      <c r="H22" s="258">
        <f t="shared" si="2"/>
        <v>0.3687778586929118</v>
      </c>
      <c r="I22" s="279">
        <f t="shared" si="3"/>
        <v>-1.2304442483660151E-3</v>
      </c>
      <c r="J22" s="280">
        <f t="shared" si="1"/>
        <v>-6.3173782300648398</v>
      </c>
      <c r="K22" s="42"/>
      <c r="L22" s="37" t="s">
        <v>74</v>
      </c>
      <c r="M22" s="69"/>
      <c r="N22" s="37"/>
      <c r="O22" s="37"/>
      <c r="P22" s="51" t="str">
        <f>DATI!F17</f>
        <v>C25/30</v>
      </c>
      <c r="Q22" s="37"/>
      <c r="R22" s="37"/>
      <c r="S22" s="37"/>
      <c r="T22" s="37"/>
    </row>
    <row r="23" spans="2:20" x14ac:dyDescent="0.25">
      <c r="B23" s="40">
        <f t="shared" si="0"/>
        <v>17</v>
      </c>
      <c r="C23" s="272">
        <f>'foglio deposito'!$K$60/$B$106*B23</f>
        <v>-2.0711361790664269E-3</v>
      </c>
      <c r="D23" s="280">
        <f>IF(C23&gt;'foglio deposito'!$K$59,2*'foglio deposito'!$F$67/'foglio deposito'!$K$59*(C23-C23^2/(2*'foglio deposito'!$K$59)),'foglio deposito'!$F$67)</f>
        <v>-17.279424037487235</v>
      </c>
      <c r="E23" s="273">
        <f>IF(C23&gt;'foglio deposito'!$F$103,2*'foglio deposito'!$D$104/(-'foglio deposito'!$F$103)*(C23^2/2-(-C23)^3/(-6*'foglio deposito'!$F$103)),2*'foglio deposito'!$D$104/(-'foglio deposito'!$F$103)*('foglio deposito'!$F$103^2/2-(-'foglio deposito'!$F$103)^3/(-6*'foglio deposito'!$F$103))+'foglio deposito'!$D$104*(ABS(C23)-ABS('foglio deposito'!$F$103)))</f>
        <v>1.9807923274888395E-2</v>
      </c>
      <c r="F23" s="273">
        <f>IF(ABS(C23)&lt;ABS('foglio deposito'!$F$103),-2*'foglio deposito'!$D$104/(-'foglio deposito'!$F$103)*(-C23^3/3-(C23)^4/(-8*'foglio deposito'!$F$103)),-(2*'foglio deposito'!$D$104/(-'foglio deposito'!$F$103)*(ABS('foglio deposito'!$F$103)^3/3-ABS('foglio deposito'!$F$103)^4/(-8*'foglio deposito'!$F$103))+'foglio deposito'!$D$104/2*(ABS(C23)^2-ABS('foglio deposito'!$F$103)^2)))</f>
        <v>-2.5762754867319255E-5</v>
      </c>
      <c r="G23" s="258">
        <f>E23/('foglio deposito'!$F$67*'foglio deposito'!$K$60)</f>
        <v>9.3867170557027743E-2</v>
      </c>
      <c r="H23" s="258">
        <f t="shared" si="2"/>
        <v>0.37202160715482324</v>
      </c>
      <c r="I23" s="279">
        <f t="shared" si="3"/>
        <v>-1.300628769093635E-3</v>
      </c>
      <c r="J23" s="280">
        <f t="shared" si="1"/>
        <v>-6.4283191011356857</v>
      </c>
      <c r="K23" s="42"/>
      <c r="L23" s="37"/>
      <c r="M23" s="37"/>
      <c r="N23" s="37"/>
      <c r="O23" s="37"/>
      <c r="P23" s="37"/>
      <c r="Q23" s="37"/>
      <c r="R23" s="37"/>
      <c r="S23" s="111"/>
      <c r="T23" s="37"/>
    </row>
    <row r="24" spans="2:20" x14ac:dyDescent="0.25">
      <c r="B24" s="40">
        <f t="shared" si="0"/>
        <v>18</v>
      </c>
      <c r="C24" s="272">
        <f>'foglio deposito'!$K$60/$B$106*B24</f>
        <v>-2.192967719011511E-3</v>
      </c>
      <c r="D24" s="280">
        <f>IF(C24&gt;'foglio deposito'!$K$59,2*'foglio deposito'!$F$67/'foglio deposito'!$K$59*(C24-C24^2/(2*'foglio deposito'!$K$59)),'foglio deposito'!$F$67)</f>
        <v>-17.320701781544194</v>
      </c>
      <c r="E24" s="273">
        <f>IF(C24&gt;'foglio deposito'!$F$103,2*'foglio deposito'!$D$104/(-'foglio deposito'!$F$103)*(C24^2/2-(-C24)^3/(-6*'foglio deposito'!$F$103)),2*'foglio deposito'!$D$104/(-'foglio deposito'!$F$103)*('foglio deposito'!$F$103^2/2-(-'foglio deposito'!$F$103)^3/(-6*'foglio deposito'!$F$103))+'foglio deposito'!$D$104*(ABS(C24)-ABS('foglio deposito'!$F$103)))</f>
        <v>2.1600356701267268E-2</v>
      </c>
      <c r="F24" s="273">
        <f>IF(ABS(C24)&lt;ABS('foglio deposito'!$F$103),-2*'foglio deposito'!$D$104/(-'foglio deposito'!$F$103)*(-C24^3/3-(C24)^4/(-8*'foglio deposito'!$F$103)),-(2*'foglio deposito'!$D$104/(-'foglio deposito'!$F$103)*(ABS('foglio deposito'!$F$103)^3/3-ABS('foglio deposito'!$F$103)^4/(-8*'foglio deposito'!$F$103))+'foglio deposito'!$D$104/2*(ABS(C24)^2-ABS('foglio deposito'!$F$103)^2)))</f>
        <v>-2.958435874028257E-5</v>
      </c>
      <c r="G24" s="258">
        <f>E24/('foglio deposito'!$F$67*'foglio deposito'!$K$60)</f>
        <v>0.10236127929377371</v>
      </c>
      <c r="H24" s="258">
        <f t="shared" si="2"/>
        <v>0.37544743216704934</v>
      </c>
      <c r="I24" s="279">
        <f t="shared" si="3"/>
        <v>-1.3696236200834077E-3</v>
      </c>
      <c r="J24" s="280">
        <f t="shared" si="1"/>
        <v>-6.5030130072120045</v>
      </c>
      <c r="K24" s="37"/>
      <c r="L24" s="37" t="s">
        <v>63</v>
      </c>
      <c r="M24" s="37"/>
      <c r="N24" s="37"/>
      <c r="O24" s="164" t="str">
        <f>IF(DATI!F110="no","Rck","Rcck")</f>
        <v>Rcck</v>
      </c>
      <c r="P24" s="167">
        <f>IF(DATI!F110="no",DATI!F23,P26/0.83)</f>
        <v>31.302473099176257</v>
      </c>
      <c r="Q24" s="37"/>
      <c r="R24" s="37"/>
      <c r="S24" s="37"/>
      <c r="T24" s="37"/>
    </row>
    <row r="25" spans="2:20" x14ac:dyDescent="0.25">
      <c r="B25" s="40">
        <f t="shared" si="0"/>
        <v>19</v>
      </c>
      <c r="C25" s="272">
        <f>'foglio deposito'!$K$60/$B$106*B25</f>
        <v>-2.3147992589565951E-3</v>
      </c>
      <c r="D25" s="280">
        <f>IF(C25&gt;'foglio deposito'!$K$59,2*'foglio deposito'!$F$67/'foglio deposito'!$K$59*(C25-C25^2/(2*'foglio deposito'!$K$59)),'foglio deposito'!$F$67)</f>
        <v>-17.320701781544194</v>
      </c>
      <c r="E25" s="273">
        <f>IF(C25&gt;'foglio deposito'!$F$103,2*'foglio deposito'!$D$104/(-'foglio deposito'!$F$103)*(C25^2/2-(-C25)^3/(-6*'foglio deposito'!$F$103)),2*'foglio deposito'!$D$104/(-'foglio deposito'!$F$103)*('foglio deposito'!$F$103^2/2-(-'foglio deposito'!$F$103)^3/(-6*'foglio deposito'!$F$103))+'foglio deposito'!$D$104*(ABS(C25)-ABS('foglio deposito'!$F$103)))</f>
        <v>2.3394033306596094E-2</v>
      </c>
      <c r="F25" s="273">
        <f>IF(ABS(C25)&lt;ABS('foglio deposito'!$F$103),-2*'foglio deposito'!$D$104/(-'foglio deposito'!$F$103)*(-C25^3/3-(C25)^4/(-8*'foglio deposito'!$F$103)),-(2*'foglio deposito'!$D$104/(-'foglio deposito'!$F$103)*(ABS('foglio deposito'!$F$103)^3/3-ABS('foglio deposito'!$F$103)^4/(-8*'foglio deposito'!$F$103))+'foglio deposito'!$D$104/2*(ABS(C25)^2-ABS('foglio deposito'!$F$103)^2)))</f>
        <v>-3.3627096825610181E-5</v>
      </c>
      <c r="G25" s="258">
        <f>E25/('foglio deposito'!$F$67*'foglio deposito'!$K$60)</f>
        <v>0.11086127929377372</v>
      </c>
      <c r="H25" s="258">
        <f t="shared" si="2"/>
        <v>0.37902954733631866</v>
      </c>
      <c r="I25" s="279">
        <f t="shared" si="3"/>
        <v>-1.437421943659831E-3</v>
      </c>
      <c r="J25" s="280">
        <f t="shared" si="1"/>
        <v>-6.5650577558060643</v>
      </c>
      <c r="K25" s="37"/>
      <c r="L25" s="37" t="s">
        <v>64</v>
      </c>
      <c r="M25" s="37"/>
      <c r="N25" s="37"/>
      <c r="O25" s="164" t="str">
        <f>IF(DATI!F110="no","fcm","fccm")</f>
        <v>fccm</v>
      </c>
      <c r="P25" s="167">
        <f>IF(DATI!F110="si",P26+8,DATI!F24)</f>
        <v>33.981052672316295</v>
      </c>
      <c r="Q25" s="37"/>
      <c r="R25" s="37"/>
      <c r="S25" s="37"/>
      <c r="T25" s="37"/>
    </row>
    <row r="26" spans="2:20" x14ac:dyDescent="0.25">
      <c r="B26" s="40">
        <f t="shared" si="0"/>
        <v>20</v>
      </c>
      <c r="C26" s="272">
        <f>'foglio deposito'!$K$60/$B$106*B26</f>
        <v>-2.4366307989016787E-3</v>
      </c>
      <c r="D26" s="280">
        <f>IF(C26&gt;'foglio deposito'!$K$59,2*'foglio deposito'!$F$67/'foglio deposito'!$K$59*(C26-C26^2/(2*'foglio deposito'!$K$59)),'foglio deposito'!$F$67)</f>
        <v>-17.320701781544194</v>
      </c>
      <c r="E26" s="273">
        <f>IF(C26&gt;'foglio deposito'!$F$103,2*'foglio deposito'!$D$104/(-'foglio deposito'!$F$103)*(C26^2/2-(-C26)^3/(-6*'foglio deposito'!$F$103)),2*'foglio deposito'!$D$104/(-'foglio deposito'!$F$103)*('foglio deposito'!$F$103^2/2-(-'foglio deposito'!$F$103)^3/(-6*'foglio deposito'!$F$103))+'foglio deposito'!$D$104*(ABS(C26)-ABS('foglio deposito'!$F$103)))</f>
        <v>2.5187709911924913E-2</v>
      </c>
      <c r="F26" s="273">
        <f>IF(ABS(C26)&lt;ABS('foglio deposito'!$F$103),-2*'foglio deposito'!$D$104/(-'foglio deposito'!$F$103)*(-C26^3/3-(C26)^4/(-8*'foglio deposito'!$F$103)),-(2*'foglio deposito'!$D$104/(-'foglio deposito'!$F$103)*(ABS('foglio deposito'!$F$103)^3/3-ABS('foglio deposito'!$F$103)^4/(-8*'foglio deposito'!$F$103))+'foglio deposito'!$D$104/2*(ABS(C26)^2-ABS('foglio deposito'!$F$103)^2)))</f>
        <v>-3.788836129392845E-5</v>
      </c>
      <c r="G26" s="258">
        <f>E26/('foglio deposito'!$F$67*'foglio deposito'!$K$60)</f>
        <v>0.11936127929377369</v>
      </c>
      <c r="H26" s="258">
        <f t="shared" si="2"/>
        <v>0.38265574663226021</v>
      </c>
      <c r="I26" s="279">
        <f t="shared" si="3"/>
        <v>-1.5042400212807961E-3</v>
      </c>
      <c r="J26" s="280">
        <f t="shared" si="1"/>
        <v>-6.6278660724115133</v>
      </c>
      <c r="K26" s="37"/>
      <c r="L26" s="37" t="s">
        <v>65</v>
      </c>
      <c r="M26" s="37"/>
      <c r="N26" s="37"/>
      <c r="O26" s="164" t="str">
        <f>IF(DATI!F110="no","fck","fcck")</f>
        <v>fcck</v>
      </c>
      <c r="P26" s="167">
        <f>IF(DATI!F110="no",P24*0.83,-'foglio deposito'!F67*DATI!F34)</f>
        <v>25.981052672316292</v>
      </c>
      <c r="Q26" s="37"/>
      <c r="R26" s="37"/>
      <c r="S26" s="37"/>
      <c r="T26" s="37"/>
    </row>
    <row r="27" spans="2:20" x14ac:dyDescent="0.25">
      <c r="B27" s="40">
        <f t="shared" si="0"/>
        <v>21</v>
      </c>
      <c r="C27" s="272">
        <f>'foglio deposito'!$K$60/$B$106*B27</f>
        <v>-2.5584623388467628E-3</v>
      </c>
      <c r="D27" s="280">
        <f>IF(C27&gt;'foglio deposito'!$K$59,2*'foglio deposito'!$F$67/'foglio deposito'!$K$59*(C27-C27^2/(2*'foglio deposito'!$K$59)),'foglio deposito'!$F$67)</f>
        <v>-17.320701781544194</v>
      </c>
      <c r="E27" s="273">
        <f>IF(C27&gt;'foglio deposito'!$F$103,2*'foglio deposito'!$D$104/(-'foglio deposito'!$F$103)*(C27^2/2-(-C27)^3/(-6*'foglio deposito'!$F$103)),2*'foglio deposito'!$D$104/(-'foglio deposito'!$F$103)*('foglio deposito'!$F$103^2/2-(-'foglio deposito'!$F$103)^3/(-6*'foglio deposito'!$F$103))+'foglio deposito'!$D$104*(ABS(C27)-ABS('foglio deposito'!$F$103)))</f>
        <v>2.6981386517253739E-2</v>
      </c>
      <c r="F27" s="273">
        <f>IF(ABS(C27)&lt;ABS('foglio deposito'!$F$103),-2*'foglio deposito'!$D$104/(-'foglio deposito'!$F$103)*(-C27^3/3-(C27)^4/(-8*'foglio deposito'!$F$103)),-(2*'foglio deposito'!$D$104/(-'foglio deposito'!$F$103)*(ABS('foglio deposito'!$F$103)^3/3-ABS('foglio deposito'!$F$103)^4/(-8*'foglio deposito'!$F$103))+'foglio deposito'!$D$104/2*(ABS(C27)^2-ABS('foglio deposito'!$F$103)^2)))</f>
        <v>-4.2368152145237427E-5</v>
      </c>
      <c r="G27" s="258">
        <f>E27/('foglio deposito'!$F$67*'foglio deposito'!$K$60)</f>
        <v>0.12786127929377369</v>
      </c>
      <c r="H27" s="258">
        <f t="shared" si="2"/>
        <v>0.38624332109688275</v>
      </c>
      <c r="I27" s="279">
        <f t="shared" si="3"/>
        <v>-1.5702733481892911E-3</v>
      </c>
      <c r="J27" s="280">
        <f t="shared" si="1"/>
        <v>-6.6900053798323231</v>
      </c>
      <c r="K27" s="37"/>
      <c r="L27" s="37" t="s">
        <v>66</v>
      </c>
      <c r="M27" s="37"/>
      <c r="N27" s="37"/>
      <c r="O27" s="164" t="str">
        <f>IF(DATI!F110="no","fcd","fccd")</f>
        <v>fccd</v>
      </c>
      <c r="P27" s="167">
        <f>(0.83*P24)/DATI!F34*P34</f>
        <v>14.722596514312565</v>
      </c>
      <c r="Q27" s="37"/>
      <c r="R27" s="37"/>
      <c r="S27" s="37"/>
      <c r="T27" s="37"/>
    </row>
    <row r="28" spans="2:20" x14ac:dyDescent="0.25">
      <c r="B28" s="40">
        <f t="shared" si="0"/>
        <v>22</v>
      </c>
      <c r="C28" s="272">
        <f>'foglio deposito'!$K$60/$B$106*B28</f>
        <v>-2.6802938787918468E-3</v>
      </c>
      <c r="D28" s="280">
        <f>IF(C28&gt;'foglio deposito'!$K$59,2*'foglio deposito'!$F$67/'foglio deposito'!$K$59*(C28-C28^2/(2*'foglio deposito'!$K$59)),'foglio deposito'!$F$67)</f>
        <v>-17.320701781544194</v>
      </c>
      <c r="E28" s="273">
        <f>IF(C28&gt;'foglio deposito'!$F$103,2*'foglio deposito'!$D$104/(-'foglio deposito'!$F$103)*(C28^2/2-(-C28)^3/(-6*'foglio deposito'!$F$103)),2*'foglio deposito'!$D$104/(-'foglio deposito'!$F$103)*('foglio deposito'!$F$103^2/2-(-'foglio deposito'!$F$103)^3/(-6*'foglio deposito'!$F$103))+'foglio deposito'!$D$104*(ABS(C28)-ABS('foglio deposito'!$F$103)))</f>
        <v>2.8775063122582566E-2</v>
      </c>
      <c r="F28" s="273">
        <f>IF(ABS(C28)&lt;ABS('foglio deposito'!$F$103),-2*'foglio deposito'!$D$104/(-'foglio deposito'!$F$103)*(-C28^3/3-(C28)^4/(-8*'foglio deposito'!$F$103)),-(2*'foglio deposito'!$D$104/(-'foglio deposito'!$F$103)*(ABS('foglio deposito'!$F$103)^3/3-ABS('foglio deposito'!$F$103)^4/(-8*'foglio deposito'!$F$103))+'foglio deposito'!$D$104/2*(ABS(C28)^2-ABS('foglio deposito'!$F$103)^2)))</f>
        <v>-4.7066469379537076E-5</v>
      </c>
      <c r="G28" s="258">
        <f>E28/('foglio deposito'!$F$67*'foglio deposito'!$K$60)</f>
        <v>0.1363612792937737</v>
      </c>
      <c r="H28" s="258">
        <f t="shared" si="2"/>
        <v>0.38974278595060352</v>
      </c>
      <c r="I28" s="279">
        <f t="shared" si="3"/>
        <v>-1.6356686753051632E-3</v>
      </c>
      <c r="J28" s="280">
        <f t="shared" si="1"/>
        <v>-6.7506185669586163</v>
      </c>
      <c r="K28" s="37"/>
      <c r="L28" s="37" t="s">
        <v>67</v>
      </c>
      <c r="M28" s="37"/>
      <c r="N28" s="37"/>
      <c r="O28" s="165" t="str">
        <f>IF(DATI!F110="no","fctm","fcctm")</f>
        <v>fcctm</v>
      </c>
      <c r="P28" s="167">
        <f>0.3*P26^(2/3)</f>
        <v>2.6316355850042901</v>
      </c>
      <c r="Q28" s="37"/>
      <c r="R28" s="37"/>
      <c r="S28" s="37"/>
      <c r="T28" s="37"/>
    </row>
    <row r="29" spans="2:20" x14ac:dyDescent="0.25">
      <c r="B29" s="40">
        <f t="shared" si="0"/>
        <v>23</v>
      </c>
      <c r="C29" s="272">
        <f>'foglio deposito'!$K$60/$B$106*B29</f>
        <v>-2.8021254187369309E-3</v>
      </c>
      <c r="D29" s="280">
        <f>IF(C29&gt;'foglio deposito'!$K$59,2*'foglio deposito'!$F$67/'foglio deposito'!$K$59*(C29-C29^2/(2*'foglio deposito'!$K$59)),'foglio deposito'!$F$67)</f>
        <v>-17.320701781544194</v>
      </c>
      <c r="E29" s="273">
        <f>IF(C29&gt;'foglio deposito'!$F$103,2*'foglio deposito'!$D$104/(-'foglio deposito'!$F$103)*(C29^2/2-(-C29)^3/(-6*'foglio deposito'!$F$103)),2*'foglio deposito'!$D$104/(-'foglio deposito'!$F$103)*('foglio deposito'!$F$103^2/2-(-'foglio deposito'!$F$103)^3/(-6*'foglio deposito'!$F$103))+'foglio deposito'!$D$104*(ABS(C29)-ABS('foglio deposito'!$F$103)))</f>
        <v>3.0568739727911395E-2</v>
      </c>
      <c r="F29" s="273">
        <f>IF(ABS(C29)&lt;ABS('foglio deposito'!$F$103),-2*'foglio deposito'!$D$104/(-'foglio deposito'!$F$103)*(-C29^3/3-(C29)^4/(-8*'foglio deposito'!$F$103)),-(2*'foglio deposito'!$D$104/(-'foglio deposito'!$F$103)*(ABS('foglio deposito'!$F$103)^3/3-ABS('foglio deposito'!$F$103)^4/(-8*'foglio deposito'!$F$103))+'foglio deposito'!$D$104/2*(ABS(C29)^2-ABS('foglio deposito'!$F$103)^2)))</f>
        <v>-5.1983312996827411E-5</v>
      </c>
      <c r="G29" s="258">
        <f>E29/('foglio deposito'!$F$67*'foglio deposito'!$K$60)</f>
        <v>0.14486127929377371</v>
      </c>
      <c r="H29" s="258">
        <f t="shared" si="2"/>
        <v>0.39312555438637409</v>
      </c>
      <c r="I29" s="279">
        <f t="shared" si="3"/>
        <v>-1.7005383100358244E-3</v>
      </c>
      <c r="J29" s="280">
        <f t="shared" si="1"/>
        <v>-6.809210490230619</v>
      </c>
      <c r="K29" s="37"/>
      <c r="L29" s="37" t="s">
        <v>68</v>
      </c>
      <c r="M29" s="37"/>
      <c r="N29" s="37"/>
      <c r="O29" s="164" t="str">
        <f>IF(DATI!F110="no","fctk","fcctk")</f>
        <v>fcctk</v>
      </c>
      <c r="P29" s="167">
        <f>0.7*P28</f>
        <v>1.8421449095030029</v>
      </c>
      <c r="Q29" s="37"/>
      <c r="R29" s="37"/>
      <c r="S29" s="37"/>
      <c r="T29" s="37"/>
    </row>
    <row r="30" spans="2:20" x14ac:dyDescent="0.25">
      <c r="B30" s="40">
        <f t="shared" si="0"/>
        <v>24</v>
      </c>
      <c r="C30" s="272">
        <f>'foglio deposito'!$K$60/$B$106*B30</f>
        <v>-2.9239569586820145E-3</v>
      </c>
      <c r="D30" s="280">
        <f>IF(C30&gt;'foglio deposito'!$K$59,2*'foglio deposito'!$F$67/'foglio deposito'!$K$59*(C30-C30^2/(2*'foglio deposito'!$K$59)),'foglio deposito'!$F$67)</f>
        <v>-17.320701781544194</v>
      </c>
      <c r="E30" s="273">
        <f>IF(C30&gt;'foglio deposito'!$F$103,2*'foglio deposito'!$D$104/(-'foglio deposito'!$F$103)*(C30^2/2-(-C30)^3/(-6*'foglio deposito'!$F$103)),2*'foglio deposito'!$D$104/(-'foglio deposito'!$F$103)*('foglio deposito'!$F$103^2/2-(-'foglio deposito'!$F$103)^3/(-6*'foglio deposito'!$F$103))+'foglio deposito'!$D$104*(ABS(C30)-ABS('foglio deposito'!$F$103)))</f>
        <v>3.2362416333240218E-2</v>
      </c>
      <c r="F30" s="273">
        <f>IF(ABS(C30)&lt;ABS('foglio deposito'!$F$103),-2*'foglio deposito'!$D$104/(-'foglio deposito'!$F$103)*(-C30^3/3-(C30)^4/(-8*'foglio deposito'!$F$103)),-(2*'foglio deposito'!$D$104/(-'foglio deposito'!$F$103)*(ABS('foglio deposito'!$F$103)^3/3-ABS('foglio deposito'!$F$103)^4/(-8*'foglio deposito'!$F$103))+'foglio deposito'!$D$104/2*(ABS(C30)^2-ABS('foglio deposito'!$F$103)^2)))</f>
        <v>-5.7118682997108412E-5</v>
      </c>
      <c r="G30" s="258">
        <f>E30/('foglio deposito'!$F$67*'foglio deposito'!$K$60)</f>
        <v>0.15336127929377372</v>
      </c>
      <c r="H30" s="258">
        <f t="shared" si="2"/>
        <v>0.3963763193780786</v>
      </c>
      <c r="I30" s="279">
        <f t="shared" si="3"/>
        <v>-1.764969661379717E-3</v>
      </c>
      <c r="J30" s="280">
        <f t="shared" si="1"/>
        <v>-6.8655160212138169</v>
      </c>
      <c r="K30" s="37"/>
      <c r="L30" s="37" t="s">
        <v>69</v>
      </c>
      <c r="M30" s="37"/>
      <c r="N30" s="37"/>
      <c r="O30" s="164" t="str">
        <f>IF(DATI!F110="no","fctd","fcctd")</f>
        <v>fcctd</v>
      </c>
      <c r="P30" s="167">
        <f>P29/DATI!F34</f>
        <v>1.2280966063353354</v>
      </c>
      <c r="Q30" s="37"/>
      <c r="R30" s="37"/>
      <c r="S30" s="37"/>
      <c r="T30" s="37"/>
    </row>
    <row r="31" spans="2:20" x14ac:dyDescent="0.25">
      <c r="B31" s="40">
        <f t="shared" si="0"/>
        <v>25</v>
      </c>
      <c r="C31" s="272">
        <f>'foglio deposito'!$K$60/$B$106*B31</f>
        <v>-3.0457884986270986E-3</v>
      </c>
      <c r="D31" s="280">
        <f>IF(C31&gt;'foglio deposito'!$K$59,2*'foglio deposito'!$F$67/'foglio deposito'!$K$59*(C31-C31^2/(2*'foglio deposito'!$K$59)),'foglio deposito'!$F$67)</f>
        <v>-17.320701781544194</v>
      </c>
      <c r="E31" s="273">
        <f>IF(C31&gt;'foglio deposito'!$F$103,2*'foglio deposito'!$D$104/(-'foglio deposito'!$F$103)*(C31^2/2-(-C31)^3/(-6*'foglio deposito'!$F$103)),2*'foglio deposito'!$D$104/(-'foglio deposito'!$F$103)*('foglio deposito'!$F$103^2/2-(-'foglio deposito'!$F$103)^3/(-6*'foglio deposito'!$F$103))+'foglio deposito'!$D$104*(ABS(C31)-ABS('foglio deposito'!$F$103)))</f>
        <v>3.4156092938569041E-2</v>
      </c>
      <c r="F31" s="273">
        <f>IF(ABS(C31)&lt;ABS('foglio deposito'!$F$103),-2*'foglio deposito'!$D$104/(-'foglio deposito'!$F$103)*(-C31^3/3-(C31)^4/(-8*'foglio deposito'!$F$103)),-(2*'foglio deposito'!$D$104/(-'foglio deposito'!$F$103)*(ABS('foglio deposito'!$F$103)^3/3-ABS('foglio deposito'!$F$103)^4/(-8*'foglio deposito'!$F$103))+'foglio deposito'!$D$104/2*(ABS(C31)^2-ABS('foglio deposito'!$F$103)^2)))</f>
        <v>-6.2472579380380106E-5</v>
      </c>
      <c r="G31" s="258">
        <f>E31/('foglio deposito'!$F$67*'foglio deposito'!$K$60)</f>
        <v>0.1618612792937737</v>
      </c>
      <c r="H31" s="258">
        <f t="shared" si="2"/>
        <v>0.39948825128898291</v>
      </c>
      <c r="I31" s="279">
        <f t="shared" si="3"/>
        <v>-1.8290317775144622E-3</v>
      </c>
      <c r="J31" s="280">
        <f t="shared" si="1"/>
        <v>-6.9194168658070607</v>
      </c>
      <c r="K31" s="37"/>
      <c r="L31" s="37" t="s">
        <v>70</v>
      </c>
      <c r="M31" s="37"/>
      <c r="N31" s="37"/>
      <c r="O31" s="164" t="s">
        <v>397</v>
      </c>
      <c r="P31" s="167">
        <f>(2.25*P29)/DATI!F34</f>
        <v>2.7632173642545044</v>
      </c>
      <c r="Q31" s="37"/>
      <c r="R31" s="37"/>
      <c r="S31" s="37"/>
      <c r="T31" s="37"/>
    </row>
    <row r="32" spans="2:20" x14ac:dyDescent="0.25">
      <c r="B32" s="40">
        <f t="shared" si="0"/>
        <v>26</v>
      </c>
      <c r="C32" s="272">
        <f>'foglio deposito'!$K$60/$B$106*B32</f>
        <v>-3.1676200385721827E-3</v>
      </c>
      <c r="D32" s="280">
        <f>IF(C32&gt;'foglio deposito'!$K$59,2*'foglio deposito'!$F$67/'foglio deposito'!$K$59*(C32-C32^2/(2*'foglio deposito'!$K$59)),'foglio deposito'!$F$67)</f>
        <v>-17.320701781544194</v>
      </c>
      <c r="E32" s="273">
        <f>IF(C32&gt;'foglio deposito'!$F$103,2*'foglio deposito'!$D$104/(-'foglio deposito'!$F$103)*(C32^2/2-(-C32)^3/(-6*'foglio deposito'!$F$103)),2*'foglio deposito'!$D$104/(-'foglio deposito'!$F$103)*('foglio deposito'!$F$103^2/2-(-'foglio deposito'!$F$103)^3/(-6*'foglio deposito'!$F$103))+'foglio deposito'!$D$104*(ABS(C32)-ABS('foglio deposito'!$F$103)))</f>
        <v>3.5949769543897864E-2</v>
      </c>
      <c r="F32" s="273">
        <f>IF(ABS(C32)&lt;ABS('foglio deposito'!$F$103),-2*'foglio deposito'!$D$104/(-'foglio deposito'!$F$103)*(-C32^3/3-(C32)^4/(-8*'foglio deposito'!$F$103)),-(2*'foglio deposito'!$D$104/(-'foglio deposito'!$F$103)*(ABS('foglio deposito'!$F$103)^3/3-ABS('foglio deposito'!$F$103)^4/(-8*'foglio deposito'!$F$103))+'foglio deposito'!$D$104/2*(ABS(C32)^2-ABS('foglio deposito'!$F$103)^2)))</f>
        <v>-6.8045002146642486E-5</v>
      </c>
      <c r="G32" s="258">
        <f>E32/('foglio deposito'!$F$67*'foglio deposito'!$K$60)</f>
        <v>0.17036127929377368</v>
      </c>
      <c r="H32" s="258">
        <f t="shared" si="2"/>
        <v>0.40245992157539434</v>
      </c>
      <c r="I32" s="279">
        <f t="shared" si="3"/>
        <v>-1.8927799262677745E-3</v>
      </c>
      <c r="J32" s="280">
        <f t="shared" si="1"/>
        <v>-6.9708882806310699</v>
      </c>
      <c r="K32" s="37"/>
      <c r="L32" s="37" t="s">
        <v>71</v>
      </c>
      <c r="M32" s="37"/>
      <c r="N32" s="37"/>
      <c r="O32" s="164" t="str">
        <f>IF(DATI!F110="no","Ec","Ecc")</f>
        <v>Ecc</v>
      </c>
      <c r="P32" s="45">
        <f>22000*((0.83*P24+8)/10)^0.3</f>
        <v>31753.655543558612</v>
      </c>
      <c r="Q32" s="37"/>
      <c r="R32" s="37"/>
      <c r="S32" s="37"/>
      <c r="T32" s="37"/>
    </row>
    <row r="33" spans="2:20" x14ac:dyDescent="0.25">
      <c r="B33" s="40">
        <f t="shared" si="0"/>
        <v>27</v>
      </c>
      <c r="C33" s="272">
        <f>'foglio deposito'!$K$60/$B$106*B33</f>
        <v>-3.2894515785172663E-3</v>
      </c>
      <c r="D33" s="280">
        <f>IF(C33&gt;'foglio deposito'!$K$59,2*'foglio deposito'!$F$67/'foglio deposito'!$K$59*(C33-C33^2/(2*'foglio deposito'!$K$59)),'foglio deposito'!$F$67)</f>
        <v>-17.320701781544194</v>
      </c>
      <c r="E33" s="273">
        <f>IF(C33&gt;'foglio deposito'!$F$103,2*'foglio deposito'!$D$104/(-'foglio deposito'!$F$103)*(C33^2/2-(-C33)^3/(-6*'foglio deposito'!$F$103)),2*'foglio deposito'!$D$104/(-'foglio deposito'!$F$103)*('foglio deposito'!$F$103^2/2-(-'foglio deposito'!$F$103)^3/(-6*'foglio deposito'!$F$103))+'foglio deposito'!$D$104*(ABS(C33)-ABS('foglio deposito'!$F$103)))</f>
        <v>3.7743446149226687E-2</v>
      </c>
      <c r="F33" s="273">
        <f>IF(ABS(C33)&lt;ABS('foglio deposito'!$F$103),-2*'foglio deposito'!$D$104/(-'foglio deposito'!$F$103)*(-C33^3/3-(C33)^4/(-8*'foglio deposito'!$F$103)),-(2*'foglio deposito'!$D$104/(-'foglio deposito'!$F$103)*(ABS('foglio deposito'!$F$103)^3/3-ABS('foglio deposito'!$F$103)^4/(-8*'foglio deposito'!$F$103))+'foglio deposito'!$D$104/2*(ABS(C33)^2-ABS('foglio deposito'!$F$103)^2)))</f>
        <v>-7.3835951295895532E-5</v>
      </c>
      <c r="G33" s="258">
        <f>E33/('foglio deposito'!$F$67*'foglio deposito'!$K$60)</f>
        <v>0.17886127929377368</v>
      </c>
      <c r="H33" s="258">
        <f t="shared" si="2"/>
        <v>0.40529330715741085</v>
      </c>
      <c r="I33" s="279">
        <f t="shared" si="3"/>
        <v>-1.9562588695258378E-3</v>
      </c>
      <c r="J33" s="280">
        <f t="shared" si="1"/>
        <v>-7.0199645073293047</v>
      </c>
      <c r="K33" s="37"/>
      <c r="L33" s="37" t="s">
        <v>78</v>
      </c>
      <c r="M33" s="37"/>
      <c r="N33" s="37"/>
      <c r="O33" s="83"/>
      <c r="P33" s="46"/>
      <c r="Q33" s="37"/>
      <c r="R33" s="37"/>
      <c r="S33" s="37"/>
      <c r="T33" s="37"/>
    </row>
    <row r="34" spans="2:20" x14ac:dyDescent="0.25">
      <c r="B34" s="40">
        <f t="shared" si="0"/>
        <v>28</v>
      </c>
      <c r="C34" s="272">
        <f>'foglio deposito'!$K$60/$B$106*B34</f>
        <v>-3.4112831184623504E-3</v>
      </c>
      <c r="D34" s="280">
        <f>IF(C34&gt;'foglio deposito'!$K$59,2*'foglio deposito'!$F$67/'foglio deposito'!$K$59*(C34-C34^2/(2*'foglio deposito'!$K$59)),'foglio deposito'!$F$67)</f>
        <v>-17.320701781544194</v>
      </c>
      <c r="E34" s="273">
        <f>IF(C34&gt;'foglio deposito'!$F$103,2*'foglio deposito'!$D$104/(-'foglio deposito'!$F$103)*(C34^2/2-(-C34)^3/(-6*'foglio deposito'!$F$103)),2*'foglio deposito'!$D$104/(-'foglio deposito'!$F$103)*('foglio deposito'!$F$103^2/2-(-'foglio deposito'!$F$103)^3/(-6*'foglio deposito'!$F$103))+'foglio deposito'!$D$104*(ABS(C34)-ABS('foglio deposito'!$F$103)))</f>
        <v>3.9537122754555516E-2</v>
      </c>
      <c r="F34" s="273">
        <f>IF(ABS(C34)&lt;ABS('foglio deposito'!$F$103),-2*'foglio deposito'!$D$104/(-'foglio deposito'!$F$103)*(-C34^3/3-(C34)^4/(-8*'foglio deposito'!$F$103)),-(2*'foglio deposito'!$D$104/(-'foglio deposito'!$F$103)*(ABS('foglio deposito'!$F$103)^3/3-ABS('foglio deposito'!$F$103)^4/(-8*'foglio deposito'!$F$103))+'foglio deposito'!$D$104/2*(ABS(C34)^2-ABS('foglio deposito'!$F$103)^2)))</f>
        <v>-7.9845426828139258E-5</v>
      </c>
      <c r="G34" s="258">
        <f>E34/('foglio deposito'!$F$67*'foglio deposito'!$K$60)</f>
        <v>0.18736127929377369</v>
      </c>
      <c r="H34" s="258">
        <f t="shared" si="2"/>
        <v>0.40799248370405505</v>
      </c>
      <c r="I34" s="279">
        <f t="shared" si="3"/>
        <v>-2.019505246343182E-3</v>
      </c>
      <c r="J34" s="280">
        <f t="shared" si="1"/>
        <v>-7.0667161393494666</v>
      </c>
      <c r="K34" s="37"/>
      <c r="L34" s="37" t="s">
        <v>77</v>
      </c>
      <c r="M34" s="37"/>
      <c r="N34" s="37"/>
      <c r="O34" s="8" t="s">
        <v>4</v>
      </c>
      <c r="P34" s="51">
        <f>DATI!F33</f>
        <v>0.85</v>
      </c>
      <c r="Q34" s="37"/>
      <c r="R34" s="37"/>
      <c r="S34" s="37"/>
      <c r="T34" s="37"/>
    </row>
    <row r="35" spans="2:20" x14ac:dyDescent="0.25">
      <c r="B35" s="40">
        <f t="shared" si="0"/>
        <v>29</v>
      </c>
      <c r="C35" s="272">
        <f>'foglio deposito'!$K$60/$B$106*B35</f>
        <v>-3.5331146584074344E-3</v>
      </c>
      <c r="D35" s="280">
        <f>IF(C35&gt;'foglio deposito'!$K$59,2*'foglio deposito'!$F$67/'foglio deposito'!$K$59*(C35-C35^2/(2*'foglio deposito'!$K$59)),'foglio deposito'!$F$67)</f>
        <v>-17.320701781544194</v>
      </c>
      <c r="E35" s="273">
        <f>IF(C35&gt;'foglio deposito'!$F$103,2*'foglio deposito'!$D$104/(-'foglio deposito'!$F$103)*(C35^2/2-(-C35)^3/(-6*'foglio deposito'!$F$103)),2*'foglio deposito'!$D$104/(-'foglio deposito'!$F$103)*('foglio deposito'!$F$103^2/2-(-'foglio deposito'!$F$103)^3/(-6*'foglio deposito'!$F$103))+'foglio deposito'!$D$104*(ABS(C35)-ABS('foglio deposito'!$F$103)))</f>
        <v>4.1330799359884346E-2</v>
      </c>
      <c r="F35" s="273">
        <f>IF(ABS(C35)&lt;ABS('foglio deposito'!$F$103),-2*'foglio deposito'!$D$104/(-'foglio deposito'!$F$103)*(-C35^3/3-(C35)^4/(-8*'foglio deposito'!$F$103)),-(2*'foglio deposito'!$D$104/(-'foglio deposito'!$F$103)*(ABS('foglio deposito'!$F$103)^3/3-ABS('foglio deposito'!$F$103)^4/(-8*'foglio deposito'!$F$103))+'foglio deposito'!$D$104/2*(ABS(C35)^2-ABS('foglio deposito'!$F$103)^2)))</f>
        <v>-8.607342874337369E-5</v>
      </c>
      <c r="G35" s="258">
        <f>E35/('foglio deposito'!$F$67*'foglio deposito'!$K$60)</f>
        <v>0.19586127929377373</v>
      </c>
      <c r="H35" s="258">
        <f t="shared" si="2"/>
        <v>0.41056276490693577</v>
      </c>
      <c r="I35" s="279">
        <f t="shared" si="3"/>
        <v>-2.0825493355184541E-3</v>
      </c>
      <c r="J35" s="280">
        <f t="shared" si="1"/>
        <v>-7.1112352135592731</v>
      </c>
      <c r="K35" s="37"/>
      <c r="L35" s="37"/>
      <c r="M35" s="37"/>
      <c r="N35" s="37"/>
      <c r="O35" s="37"/>
      <c r="P35" s="37"/>
      <c r="Q35" s="37"/>
      <c r="R35" s="37"/>
      <c r="S35" s="37"/>
      <c r="T35" s="37"/>
    </row>
    <row r="36" spans="2:20" x14ac:dyDescent="0.25">
      <c r="B36" s="40">
        <f t="shared" si="0"/>
        <v>30</v>
      </c>
      <c r="C36" s="272">
        <f>'foglio deposito'!$K$60/$B$106*B36</f>
        <v>-3.6549461983525185E-3</v>
      </c>
      <c r="D36" s="280">
        <f>IF(C36&gt;'foglio deposito'!$K$59,2*'foglio deposito'!$F$67/'foglio deposito'!$K$59*(C36-C36^2/(2*'foglio deposito'!$K$59)),'foglio deposito'!$F$67)</f>
        <v>-17.320701781544194</v>
      </c>
      <c r="E36" s="273">
        <f>IF(C36&gt;'foglio deposito'!$F$103,2*'foglio deposito'!$D$104/(-'foglio deposito'!$F$103)*(C36^2/2-(-C36)^3/(-6*'foglio deposito'!$F$103)),2*'foglio deposito'!$D$104/(-'foglio deposito'!$F$103)*('foglio deposito'!$F$103^2/2-(-'foglio deposito'!$F$103)^3/(-6*'foglio deposito'!$F$103))+'foglio deposito'!$D$104*(ABS(C36)-ABS('foglio deposito'!$F$103)))</f>
        <v>4.3124475965213169E-2</v>
      </c>
      <c r="F36" s="273">
        <f>IF(ABS(C36)&lt;ABS('foglio deposito'!$F$103),-2*'foglio deposito'!$D$104/(-'foglio deposito'!$F$103)*(-C36^3/3-(C36)^4/(-8*'foglio deposito'!$F$103)),-(2*'foglio deposito'!$D$104/(-'foglio deposito'!$F$103)*(ABS('foglio deposito'!$F$103)^3/3-ABS('foglio deposito'!$F$103)^4/(-8*'foglio deposito'!$F$103))+'foglio deposito'!$D$104/2*(ABS(C36)^2-ABS('foglio deposito'!$F$103)^2)))</f>
        <v>-9.2519957041598802E-5</v>
      </c>
      <c r="G36" s="258">
        <f>E36/('foglio deposito'!$F$67*'foglio deposito'!$K$60)</f>
        <v>0.20436127929377371</v>
      </c>
      <c r="H36" s="258">
        <f t="shared" si="2"/>
        <v>0.41301013424704025</v>
      </c>
      <c r="I36" s="279">
        <f t="shared" si="3"/>
        <v>-2.1454163783052355E-3</v>
      </c>
      <c r="J36" s="280">
        <f t="shared" si="1"/>
        <v>-7.1536253680485169</v>
      </c>
      <c r="K36" s="37"/>
      <c r="L36" s="37" t="s">
        <v>320</v>
      </c>
      <c r="M36" s="37"/>
      <c r="N36" s="37"/>
      <c r="O36" s="8" t="str">
        <f>IF(DATI!F110="no","εc2","εcc2")</f>
        <v>εcc2</v>
      </c>
      <c r="P36" s="162">
        <f>IF(DATI!F110="no",DATI!F50,'CONFINAMENTO EC2'!F49)</f>
        <v>-2.177432938054785</v>
      </c>
      <c r="Q36" s="37"/>
      <c r="R36" s="37"/>
      <c r="S36" s="37"/>
      <c r="T36" s="37"/>
    </row>
    <row r="37" spans="2:20" ht="15.75" x14ac:dyDescent="0.25">
      <c r="B37" s="40">
        <f t="shared" si="0"/>
        <v>31</v>
      </c>
      <c r="C37" s="272">
        <f>'foglio deposito'!$K$60/$B$106*B37</f>
        <v>-3.7767777382976021E-3</v>
      </c>
      <c r="D37" s="280">
        <f>IF(C37&gt;'foglio deposito'!$K$59,2*'foglio deposito'!$F$67/'foglio deposito'!$K$59*(C37-C37^2/(2*'foglio deposito'!$K$59)),'foglio deposito'!$F$67)</f>
        <v>-17.320701781544194</v>
      </c>
      <c r="E37" s="273">
        <f>IF(C37&gt;'foglio deposito'!$F$103,2*'foglio deposito'!$D$104/(-'foglio deposito'!$F$103)*(C37^2/2-(-C37)^3/(-6*'foglio deposito'!$F$103)),2*'foglio deposito'!$D$104/(-'foglio deposito'!$F$103)*('foglio deposito'!$F$103^2/2-(-'foglio deposito'!$F$103)^3/(-6*'foglio deposito'!$F$103))+'foglio deposito'!$D$104*(ABS(C37)-ABS('foglio deposito'!$F$103)))</f>
        <v>4.4918152570541992E-2</v>
      </c>
      <c r="F37" s="273">
        <f>IF(ABS(C37)&lt;ABS('foglio deposito'!$F$103),-2*'foglio deposito'!$D$104/(-'foglio deposito'!$F$103)*(-C37^3/3-(C37)^4/(-8*'foglio deposito'!$F$103)),-(2*'foglio deposito'!$D$104/(-'foglio deposito'!$F$103)*(ABS('foglio deposito'!$F$103)^3/3-ABS('foglio deposito'!$F$103)^4/(-8*'foglio deposito'!$F$103))+'foglio deposito'!$D$104/2*(ABS(C37)^2-ABS('foglio deposito'!$F$103)^2)))</f>
        <v>-9.9185011722814552E-5</v>
      </c>
      <c r="G37" s="258">
        <f>E37/('foglio deposito'!$F$67*'foglio deposito'!$K$60)</f>
        <v>0.21286127929377371</v>
      </c>
      <c r="H37" s="258">
        <f t="shared" si="2"/>
        <v>0.41534087065277525</v>
      </c>
      <c r="I37" s="279">
        <f t="shared" si="3"/>
        <v>-2.2081275842110565E-3</v>
      </c>
      <c r="J37" s="280">
        <f t="shared" si="1"/>
        <v>-7.1939953582636411</v>
      </c>
      <c r="K37" s="37"/>
      <c r="L37" s="37" t="s">
        <v>80</v>
      </c>
      <c r="M37" s="37"/>
      <c r="N37" s="37"/>
      <c r="O37" s="7" t="str">
        <f>IF(DATI!F110="no","εcu","εccu")</f>
        <v>εccu</v>
      </c>
      <c r="P37" s="162">
        <f>IF(DATI!F110="no",DATI!F51,'CONFINAMENTO EC2'!F50)</f>
        <v>-12.183153994508395</v>
      </c>
      <c r="Q37" s="37"/>
      <c r="R37" s="37"/>
      <c r="S37" s="37"/>
      <c r="T37" s="37"/>
    </row>
    <row r="38" spans="2:20" ht="15.75" x14ac:dyDescent="0.25">
      <c r="B38" s="40">
        <f t="shared" si="0"/>
        <v>32</v>
      </c>
      <c r="C38" s="272">
        <f>'foglio deposito'!$K$60/$B$106*B38</f>
        <v>-3.8986092782426862E-3</v>
      </c>
      <c r="D38" s="280">
        <f>IF(C38&gt;'foglio deposito'!$K$59,2*'foglio deposito'!$F$67/'foglio deposito'!$K$59*(C38-C38^2/(2*'foglio deposito'!$K$59)),'foglio deposito'!$F$67)</f>
        <v>-17.320701781544194</v>
      </c>
      <c r="E38" s="273">
        <f>IF(C38&gt;'foglio deposito'!$F$103,2*'foglio deposito'!$D$104/(-'foglio deposito'!$F$103)*(C38^2/2-(-C38)^3/(-6*'foglio deposito'!$F$103)),2*'foglio deposito'!$D$104/(-'foglio deposito'!$F$103)*('foglio deposito'!$F$103^2/2-(-'foglio deposito'!$F$103)^3/(-6*'foglio deposito'!$F$103))+'foglio deposito'!$D$104*(ABS(C38)-ABS('foglio deposito'!$F$103)))</f>
        <v>4.6711829175870814E-2</v>
      </c>
      <c r="F38" s="273">
        <f>IF(ABS(C38)&lt;ABS('foglio deposito'!$F$103),-2*'foglio deposito'!$D$104/(-'foglio deposito'!$F$103)*(-C38^3/3-(C38)^4/(-8*'foglio deposito'!$F$103)),-(2*'foglio deposito'!$D$104/(-'foglio deposito'!$F$103)*(ABS('foglio deposito'!$F$103)^3/3-ABS('foglio deposito'!$F$103)^4/(-8*'foglio deposito'!$F$103))+'foglio deposito'!$D$104/2*(ABS(C38)^2-ABS('foglio deposito'!$F$103)^2)))</f>
        <v>-1.0606859278702102E-4</v>
      </c>
      <c r="G38" s="258">
        <f>E38/('foglio deposito'!$F$67*'foglio deposito'!$K$60)</f>
        <v>0.22136127929377369</v>
      </c>
      <c r="H38" s="258">
        <f t="shared" si="2"/>
        <v>0.41756130378592349</v>
      </c>
      <c r="I38" s="279">
        <f t="shared" si="3"/>
        <v>-2.2707009050677721E-3</v>
      </c>
      <c r="J38" s="280">
        <f t="shared" si="1"/>
        <v>-7.2324548183887618</v>
      </c>
      <c r="K38" s="37"/>
      <c r="L38" s="37" t="s">
        <v>196</v>
      </c>
      <c r="M38" s="37"/>
      <c r="N38" s="37"/>
      <c r="O38" s="7" t="str">
        <f>IF(DATI!F110="no","εctu","εcctu")</f>
        <v>εcctu</v>
      </c>
      <c r="P38" s="162">
        <f>DATI!F52</f>
        <v>3.8675755131583923E-2</v>
      </c>
      <c r="Q38" s="37"/>
      <c r="R38" s="37"/>
      <c r="S38" s="37"/>
      <c r="T38" s="37"/>
    </row>
    <row r="39" spans="2:20" x14ac:dyDescent="0.25">
      <c r="B39" s="40">
        <f t="shared" si="0"/>
        <v>33</v>
      </c>
      <c r="C39" s="272">
        <f>'foglio deposito'!$K$60/$B$106*B39</f>
        <v>-4.0204408181877703E-3</v>
      </c>
      <c r="D39" s="280">
        <f>IF(C39&gt;'foglio deposito'!$K$59,2*'foglio deposito'!$F$67/'foglio deposito'!$K$59*(C39-C39^2/(2*'foglio deposito'!$K$59)),'foglio deposito'!$F$67)</f>
        <v>-17.320701781544194</v>
      </c>
      <c r="E39" s="273">
        <f>IF(C39&gt;'foglio deposito'!$F$103,2*'foglio deposito'!$D$104/(-'foglio deposito'!$F$103)*(C39^2/2-(-C39)^3/(-6*'foglio deposito'!$F$103)),2*'foglio deposito'!$D$104/(-'foglio deposito'!$F$103)*('foglio deposito'!$F$103^2/2-(-'foglio deposito'!$F$103)^3/(-6*'foglio deposito'!$F$103))+'foglio deposito'!$D$104*(ABS(C39)-ABS('foglio deposito'!$F$103)))</f>
        <v>4.8505505781199637E-2</v>
      </c>
      <c r="F39" s="273">
        <f>IF(ABS(C39)&lt;ABS('foglio deposito'!$F$103),-2*'foglio deposito'!$D$104/(-'foglio deposito'!$F$103)*(-C39^3/3-(C39)^4/(-8*'foglio deposito'!$F$103)),-(2*'foglio deposito'!$D$104/(-'foglio deposito'!$F$103)*(ABS('foglio deposito'!$F$103)^3/3-ABS('foglio deposito'!$F$103)^4/(-8*'foglio deposito'!$F$103))+'foglio deposito'!$D$104/2*(ABS(C39)^2-ABS('foglio deposito'!$F$103)^2)))</f>
        <v>-1.1317070023421819E-4</v>
      </c>
      <c r="G39" s="258">
        <f>E39/('foglio deposito'!$F$67*'foglio deposito'!$K$60)</f>
        <v>0.22986127929377367</v>
      </c>
      <c r="H39" s="258">
        <f t="shared" si="2"/>
        <v>0.41967765653908484</v>
      </c>
      <c r="I39" s="279">
        <f t="shared" si="3"/>
        <v>-2.3331516373566461E-3</v>
      </c>
      <c r="J39" s="280">
        <f t="shared" si="1"/>
        <v>-7.2691115332908192</v>
      </c>
      <c r="K39" s="37"/>
      <c r="P39" s="37"/>
      <c r="Q39" s="37"/>
      <c r="R39" s="37"/>
      <c r="S39" s="37"/>
      <c r="T39" s="37"/>
    </row>
    <row r="40" spans="2:20" x14ac:dyDescent="0.25">
      <c r="B40" s="40">
        <f t="shared" si="0"/>
        <v>34</v>
      </c>
      <c r="C40" s="272">
        <f>'foglio deposito'!$K$60/$B$106*B40</f>
        <v>-4.1422723581328539E-3</v>
      </c>
      <c r="D40" s="280">
        <f>IF(C40&gt;'foglio deposito'!$K$59,2*'foglio deposito'!$F$67/'foglio deposito'!$K$59*(C40-C40^2/(2*'foglio deposito'!$K$59)),'foglio deposito'!$F$67)</f>
        <v>-17.320701781544194</v>
      </c>
      <c r="E40" s="273">
        <f>IF(C40&gt;'foglio deposito'!$F$103,2*'foglio deposito'!$D$104/(-'foglio deposito'!$F$103)*(C40^2/2-(-C40)^3/(-6*'foglio deposito'!$F$103)),2*'foglio deposito'!$D$104/(-'foglio deposito'!$F$103)*('foglio deposito'!$F$103^2/2-(-'foglio deposito'!$F$103)^3/(-6*'foglio deposito'!$F$103))+'foglio deposito'!$D$104*(ABS(C40)-ABS('foglio deposito'!$F$103)))</f>
        <v>5.029918238652846E-2</v>
      </c>
      <c r="F40" s="273">
        <f>IF(ABS(C40)&lt;ABS('foglio deposito'!$F$103),-2*'foglio deposito'!$D$104/(-'foglio deposito'!$F$103)*(-C40^3/3-(C40)^4/(-8*'foglio deposito'!$F$103)),-(2*'foglio deposito'!$D$104/(-'foglio deposito'!$F$103)*(ABS('foglio deposito'!$F$103)^3/3-ABS('foglio deposito'!$F$103)^4/(-8*'foglio deposito'!$F$103))+'foglio deposito'!$D$104/2*(ABS(C40)^2-ABS('foglio deposito'!$F$103)^2)))</f>
        <v>-1.2049133406440598E-4</v>
      </c>
      <c r="G40" s="258">
        <f>E40/('foglio deposito'!$F$67*'foglio deposito'!$K$60)</f>
        <v>0.23836127929377368</v>
      </c>
      <c r="H40" s="258">
        <f t="shared" si="2"/>
        <v>0.4216959464396034</v>
      </c>
      <c r="I40" s="279">
        <f t="shared" si="3"/>
        <v>-2.3954928956594125E-3</v>
      </c>
      <c r="J40" s="280">
        <f t="shared" si="1"/>
        <v>-7.304069730766404</v>
      </c>
      <c r="K40" s="37"/>
      <c r="P40" s="37"/>
      <c r="Q40" s="37"/>
      <c r="R40" s="37"/>
      <c r="S40" s="37"/>
      <c r="T40" s="37"/>
    </row>
    <row r="41" spans="2:20" x14ac:dyDescent="0.25">
      <c r="B41" s="40">
        <f t="shared" si="0"/>
        <v>35</v>
      </c>
      <c r="C41" s="272">
        <f>'foglio deposito'!$K$60/$B$106*B41</f>
        <v>-4.2641038980779384E-3</v>
      </c>
      <c r="D41" s="280">
        <f>IF(C41&gt;'foglio deposito'!$K$59,2*'foglio deposito'!$F$67/'foglio deposito'!$K$59*(C41-C41^2/(2*'foglio deposito'!$K$59)),'foglio deposito'!$F$67)</f>
        <v>-17.320701781544194</v>
      </c>
      <c r="E41" s="273">
        <f>IF(C41&gt;'foglio deposito'!$F$103,2*'foglio deposito'!$D$104/(-'foglio deposito'!$F$103)*(C41^2/2-(-C41)^3/(-6*'foglio deposito'!$F$103)),2*'foglio deposito'!$D$104/(-'foglio deposito'!$F$103)*('foglio deposito'!$F$103^2/2-(-'foglio deposito'!$F$103)^3/(-6*'foglio deposito'!$F$103))+'foglio deposito'!$D$104*(ABS(C41)-ABS('foglio deposito'!$F$103)))</f>
        <v>5.2092858991857297E-2</v>
      </c>
      <c r="F41" s="273">
        <f>IF(ABS(C41)&lt;ABS('foglio deposito'!$F$103),-2*'foglio deposito'!$D$104/(-'foglio deposito'!$F$103)*(-C41^3/3-(C41)^4/(-8*'foglio deposito'!$F$103)),-(2*'foglio deposito'!$D$104/(-'foglio deposito'!$F$103)*(ABS('foglio deposito'!$F$103)^3/3-ABS('foglio deposito'!$F$103)^4/(-8*'foglio deposito'!$F$103))+'foglio deposito'!$D$104/2*(ABS(C41)^2-ABS('foglio deposito'!$F$103)^2)))</f>
        <v>-1.2803049427758453E-4</v>
      </c>
      <c r="G41" s="258">
        <f>E41/('foglio deposito'!$F$67*'foglio deposito'!$K$60)</f>
        <v>0.24686127929377372</v>
      </c>
      <c r="H41" s="258">
        <f t="shared" si="2"/>
        <v>0.42362192689415035</v>
      </c>
      <c r="I41" s="279">
        <f t="shared" si="3"/>
        <v>-2.4577359882973046E-3</v>
      </c>
      <c r="J41" s="280">
        <f t="shared" si="1"/>
        <v>-7.3374290638566944</v>
      </c>
      <c r="K41" s="37"/>
      <c r="P41" s="37"/>
      <c r="Q41" s="37"/>
      <c r="R41" s="37"/>
      <c r="S41" s="37"/>
      <c r="T41" s="37"/>
    </row>
    <row r="42" spans="2:20" x14ac:dyDescent="0.25">
      <c r="B42" s="40">
        <f t="shared" si="0"/>
        <v>36</v>
      </c>
      <c r="C42" s="272">
        <f>'foglio deposito'!$K$60/$B$106*B42</f>
        <v>-4.385935438023022E-3</v>
      </c>
      <c r="D42" s="280">
        <f>IF(C42&gt;'foglio deposito'!$K$59,2*'foglio deposito'!$F$67/'foglio deposito'!$K$59*(C42-C42^2/(2*'foglio deposito'!$K$59)),'foglio deposito'!$F$67)</f>
        <v>-17.320701781544194</v>
      </c>
      <c r="E42" s="273">
        <f>IF(C42&gt;'foglio deposito'!$F$103,2*'foglio deposito'!$D$104/(-'foglio deposito'!$F$103)*(C42^2/2-(-C42)^3/(-6*'foglio deposito'!$F$103)),2*'foglio deposito'!$D$104/(-'foglio deposito'!$F$103)*('foglio deposito'!$F$103^2/2-(-'foglio deposito'!$F$103)^3/(-6*'foglio deposito'!$F$103))+'foglio deposito'!$D$104*(ABS(C42)-ABS('foglio deposito'!$F$103)))</f>
        <v>5.3886535597186119E-2</v>
      </c>
      <c r="F42" s="273">
        <f>IF(ABS(C42)&lt;ABS('foglio deposito'!$F$103),-2*'foglio deposito'!$D$104/(-'foglio deposito'!$F$103)*(-C42^3/3-(C42)^4/(-8*'foglio deposito'!$F$103)),-(2*'foglio deposito'!$D$104/(-'foglio deposito'!$F$103)*(ABS('foglio deposito'!$F$103)^3/3-ABS('foglio deposito'!$F$103)^4/(-8*'foglio deposito'!$F$103))+'foglio deposito'!$D$104/2*(ABS(C42)^2-ABS('foglio deposito'!$F$103)^2)))</f>
        <v>-1.3578818087375369E-4</v>
      </c>
      <c r="G42" s="258">
        <f>E42/('foglio deposito'!$F$67*'foglio deposito'!$K$60)</f>
        <v>0.25536127929377372</v>
      </c>
      <c r="H42" s="258">
        <f t="shared" si="2"/>
        <v>0.42546105533089984</v>
      </c>
      <c r="I42" s="279">
        <f t="shared" si="3"/>
        <v>-2.5198907179485547E-3</v>
      </c>
      <c r="J42" s="280">
        <f t="shared" si="1"/>
        <v>-7.3692840590475903</v>
      </c>
      <c r="K42" s="37"/>
      <c r="P42" s="37"/>
      <c r="Q42" s="37"/>
      <c r="R42" s="37"/>
      <c r="S42" s="37"/>
      <c r="T42" s="37"/>
    </row>
    <row r="43" spans="2:20" x14ac:dyDescent="0.25">
      <c r="B43" s="40">
        <f t="shared" si="0"/>
        <v>37</v>
      </c>
      <c r="C43" s="272">
        <f>'foglio deposito'!$K$60/$B$106*B43</f>
        <v>-4.5077669779681057E-3</v>
      </c>
      <c r="D43" s="280">
        <f>IF(C43&gt;'foglio deposito'!$K$59,2*'foglio deposito'!$F$67/'foglio deposito'!$K$59*(C43-C43^2/(2*'foglio deposito'!$K$59)),'foglio deposito'!$F$67)</f>
        <v>-17.320701781544194</v>
      </c>
      <c r="E43" s="273">
        <f>IF(C43&gt;'foglio deposito'!$F$103,2*'foglio deposito'!$D$104/(-'foglio deposito'!$F$103)*(C43^2/2-(-C43)^3/(-6*'foglio deposito'!$F$103)),2*'foglio deposito'!$D$104/(-'foglio deposito'!$F$103)*('foglio deposito'!$F$103^2/2-(-'foglio deposito'!$F$103)^3/(-6*'foglio deposito'!$F$103))+'foglio deposito'!$D$104*(ABS(C43)-ABS('foglio deposito'!$F$103)))</f>
        <v>5.5680212202514935E-2</v>
      </c>
      <c r="F43" s="273">
        <f>IF(ABS(C43)&lt;ABS('foglio deposito'!$F$103),-2*'foglio deposito'!$D$104/(-'foglio deposito'!$F$103)*(-C43^3/3-(C43)^4/(-8*'foglio deposito'!$F$103)),-(2*'foglio deposito'!$D$104/(-'foglio deposito'!$F$103)*(ABS('foglio deposito'!$F$103)^3/3-ABS('foglio deposito'!$F$103)^4/(-8*'foglio deposito'!$F$103))+'foglio deposito'!$D$104/2*(ABS(C43)^2-ABS('foglio deposito'!$F$103)^2)))</f>
        <v>-1.4376439385291353E-4</v>
      </c>
      <c r="G43" s="258">
        <f>E43/('foglio deposito'!$F$67*'foglio deposito'!$K$60)</f>
        <v>0.26386127929377368</v>
      </c>
      <c r="H43" s="258">
        <f t="shared" si="2"/>
        <v>0.4272184793976701</v>
      </c>
      <c r="I43" s="279">
        <f t="shared" si="3"/>
        <v>-2.5819656241615409E-3</v>
      </c>
      <c r="J43" s="280">
        <f t="shared" si="1"/>
        <v>-7.3997238772118266</v>
      </c>
      <c r="K43" s="37"/>
      <c r="P43" s="37"/>
      <c r="Q43" s="37"/>
      <c r="R43" s="37"/>
      <c r="S43" s="37"/>
      <c r="T43" s="37"/>
    </row>
    <row r="44" spans="2:20" x14ac:dyDescent="0.25">
      <c r="B44" s="40">
        <f t="shared" si="0"/>
        <v>38</v>
      </c>
      <c r="C44" s="272">
        <f>'foglio deposito'!$K$60/$B$106*B44</f>
        <v>-4.6295985179131902E-3</v>
      </c>
      <c r="D44" s="280">
        <f>IF(C44&gt;'foglio deposito'!$K$59,2*'foglio deposito'!$F$67/'foglio deposito'!$K$59*(C44-C44^2/(2*'foglio deposito'!$K$59)),'foglio deposito'!$F$67)</f>
        <v>-17.320701781544194</v>
      </c>
      <c r="E44" s="273">
        <f>IF(C44&gt;'foglio deposito'!$F$103,2*'foglio deposito'!$D$104/(-'foglio deposito'!$F$103)*(C44^2/2-(-C44)^3/(-6*'foglio deposito'!$F$103)),2*'foglio deposito'!$D$104/(-'foglio deposito'!$F$103)*('foglio deposito'!$F$103^2/2-(-'foglio deposito'!$F$103)^3/(-6*'foglio deposito'!$F$103))+'foglio deposito'!$D$104*(ABS(C44)-ABS('foglio deposito'!$F$103)))</f>
        <v>5.7473888807843772E-2</v>
      </c>
      <c r="F44" s="273">
        <f>IF(ABS(C44)&lt;ABS('foglio deposito'!$F$103),-2*'foglio deposito'!$D$104/(-'foglio deposito'!$F$103)*(-C44^3/3-(C44)^4/(-8*'foglio deposito'!$F$103)),-(2*'foglio deposito'!$D$104/(-'foglio deposito'!$F$103)*(ABS('foglio deposito'!$F$103)^3/3-ABS('foglio deposito'!$F$103)^4/(-8*'foglio deposito'!$F$103))+'foglio deposito'!$D$104/2*(ABS(C44)^2-ABS('foglio deposito'!$F$103)^2)))</f>
        <v>-1.519591332150641E-4</v>
      </c>
      <c r="G44" s="258">
        <f>E44/('foglio deposito'!$F$67*'foglio deposito'!$K$60)</f>
        <v>0.27236127929377374</v>
      </c>
      <c r="H44" s="258">
        <f t="shared" si="2"/>
        <v>0.42889903514812666</v>
      </c>
      <c r="I44" s="279">
        <f t="shared" si="3"/>
        <v>-2.6439681804570256E-3</v>
      </c>
      <c r="J44" s="280">
        <f t="shared" si="1"/>
        <v>-7.4288322821927437</v>
      </c>
      <c r="K44" s="37"/>
      <c r="P44" s="37"/>
      <c r="Q44" s="37"/>
      <c r="R44" s="37"/>
      <c r="S44" s="37"/>
      <c r="T44" s="37"/>
    </row>
    <row r="45" spans="2:20" x14ac:dyDescent="0.25">
      <c r="B45" s="40">
        <f t="shared" si="0"/>
        <v>39</v>
      </c>
      <c r="C45" s="272">
        <f>'foglio deposito'!$K$60/$B$106*B45</f>
        <v>-4.7514300578582738E-3</v>
      </c>
      <c r="D45" s="280">
        <f>IF(C45&gt;'foglio deposito'!$K$59,2*'foglio deposito'!$F$67/'foglio deposito'!$K$59*(C45-C45^2/(2*'foglio deposito'!$K$59)),'foglio deposito'!$F$67)</f>
        <v>-17.320701781544194</v>
      </c>
      <c r="E45" s="273">
        <f>IF(C45&gt;'foglio deposito'!$F$103,2*'foglio deposito'!$D$104/(-'foglio deposito'!$F$103)*(C45^2/2-(-C45)^3/(-6*'foglio deposito'!$F$103)),2*'foglio deposito'!$D$104/(-'foglio deposito'!$F$103)*('foglio deposito'!$F$103^2/2-(-'foglio deposito'!$F$103)^3/(-6*'foglio deposito'!$F$103))+'foglio deposito'!$D$104*(ABS(C45)-ABS('foglio deposito'!$F$103)))</f>
        <v>5.9267565413172588E-2</v>
      </c>
      <c r="F45" s="273">
        <f>IF(ABS(C45)&lt;ABS('foglio deposito'!$F$103),-2*'foglio deposito'!$D$104/(-'foglio deposito'!$F$103)*(-C45^3/3-(C45)^4/(-8*'foglio deposito'!$F$103)),-(2*'foglio deposito'!$D$104/(-'foglio deposito'!$F$103)*(ABS('foglio deposito'!$F$103)^3/3-ABS('foglio deposito'!$F$103)^4/(-8*'foglio deposito'!$F$103))+'foglio deposito'!$D$104/2*(ABS(C45)^2-ABS('foglio deposito'!$F$103)^2)))</f>
        <v>-1.603723989602053E-4</v>
      </c>
      <c r="G45" s="258">
        <f>E45/('foglio deposito'!$F$67*'foglio deposito'!$K$60)</f>
        <v>0.28086127929377369</v>
      </c>
      <c r="H45" s="258">
        <f t="shared" si="2"/>
        <v>0.43050725303964099</v>
      </c>
      <c r="I45" s="279">
        <f t="shared" si="3"/>
        <v>-2.7059049556397256E-3</v>
      </c>
      <c r="J45" s="280">
        <f t="shared" si="1"/>
        <v>-7.4566877446914068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2:20" x14ac:dyDescent="0.25">
      <c r="B46" s="40">
        <f t="shared" si="0"/>
        <v>40</v>
      </c>
      <c r="C46" s="272">
        <f>'foglio deposito'!$K$60/$B$106*B46</f>
        <v>-4.8732615978033574E-3</v>
      </c>
      <c r="D46" s="280">
        <f>IF(C46&gt;'foglio deposito'!$K$59,2*'foglio deposito'!$F$67/'foglio deposito'!$K$59*(C46-C46^2/(2*'foglio deposito'!$K$59)),'foglio deposito'!$F$67)</f>
        <v>-17.320701781544194</v>
      </c>
      <c r="E46" s="273">
        <f>IF(C46&gt;'foglio deposito'!$F$103,2*'foglio deposito'!$D$104/(-'foglio deposito'!$F$103)*(C46^2/2-(-C46)^3/(-6*'foglio deposito'!$F$103)),2*'foglio deposito'!$D$104/(-'foglio deposito'!$F$103)*('foglio deposito'!$F$103^2/2-(-'foglio deposito'!$F$103)^3/(-6*'foglio deposito'!$F$103))+'foglio deposito'!$D$104*(ABS(C46)-ABS('foglio deposito'!$F$103)))</f>
        <v>6.106124201850141E-2</v>
      </c>
      <c r="F46" s="273">
        <f>IF(ABS(C46)&lt;ABS('foglio deposito'!$F$103),-2*'foglio deposito'!$D$104/(-'foglio deposito'!$F$103)*(-C46^3/3-(C46)^4/(-8*'foglio deposito'!$F$103)),-(2*'foglio deposito'!$D$104/(-'foglio deposito'!$F$103)*(ABS('foglio deposito'!$F$103)^3/3-ABS('foglio deposito'!$F$103)^4/(-8*'foglio deposito'!$F$103))+'foglio deposito'!$D$104/2*(ABS(C46)^2-ABS('foglio deposito'!$F$103)^2)))</f>
        <v>-1.6900419108833721E-4</v>
      </c>
      <c r="G46" s="258">
        <f>E46/('foglio deposito'!$F$67*'foglio deposito'!$K$60)</f>
        <v>0.2893612792937737</v>
      </c>
      <c r="H46" s="258">
        <f t="shared" si="2"/>
        <v>0.43204736886559403</v>
      </c>
      <c r="I46" s="279">
        <f t="shared" si="3"/>
        <v>-2.7677817466786763E-3</v>
      </c>
      <c r="J46" s="280">
        <f t="shared" si="1"/>
        <v>-7.483363631621776</v>
      </c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2:20" x14ac:dyDescent="0.25">
      <c r="B47" s="40">
        <f t="shared" si="0"/>
        <v>41</v>
      </c>
      <c r="C47" s="272">
        <f>'foglio deposito'!$K$60/$B$106*B47</f>
        <v>-4.9950931377484419E-3</v>
      </c>
      <c r="D47" s="280">
        <f>IF(C47&gt;'foglio deposito'!$K$59,2*'foglio deposito'!$F$67/'foglio deposito'!$K$59*(C47-C47^2/(2*'foglio deposito'!$K$59)),'foglio deposito'!$F$67)</f>
        <v>-17.320701781544194</v>
      </c>
      <c r="E47" s="273">
        <f>IF(C47&gt;'foglio deposito'!$F$103,2*'foglio deposito'!$D$104/(-'foglio deposito'!$F$103)*(C47^2/2-(-C47)^3/(-6*'foglio deposito'!$F$103)),2*'foglio deposito'!$D$104/(-'foglio deposito'!$F$103)*('foglio deposito'!$F$103^2/2-(-'foglio deposito'!$F$103)^3/(-6*'foglio deposito'!$F$103))+'foglio deposito'!$D$104*(ABS(C47)-ABS('foglio deposito'!$F$103)))</f>
        <v>6.2854918623830247E-2</v>
      </c>
      <c r="F47" s="273">
        <f>IF(ABS(C47)&lt;ABS('foglio deposito'!$F$103),-2*'foglio deposito'!$D$104/(-'foglio deposito'!$F$103)*(-C47^3/3-(C47)^4/(-8*'foglio deposito'!$F$103)),-(2*'foglio deposito'!$D$104/(-'foglio deposito'!$F$103)*(ABS('foglio deposito'!$F$103)^3/3-ABS('foglio deposito'!$F$103)^4/(-8*'foglio deposito'!$F$103))+'foglio deposito'!$D$104/2*(ABS(C47)^2-ABS('foglio deposito'!$F$103)^2)))</f>
        <v>-1.7785450959945982E-4</v>
      </c>
      <c r="G47" s="258">
        <f>E47/('foglio deposito'!$F$67*'foglio deposito'!$K$60)</f>
        <v>0.29786127929377371</v>
      </c>
      <c r="H47" s="258">
        <f t="shared" si="2"/>
        <v>0.4335233376426717</v>
      </c>
      <c r="I47" s="279">
        <f t="shared" si="3"/>
        <v>-2.8296036888357319E-3</v>
      </c>
      <c r="J47" s="280">
        <f t="shared" si="1"/>
        <v>-7.508928446648409</v>
      </c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2:20" x14ac:dyDescent="0.25">
      <c r="B48" s="40">
        <f t="shared" si="0"/>
        <v>42</v>
      </c>
      <c r="C48" s="272">
        <f>'foglio deposito'!$K$60/$B$106*B48</f>
        <v>-5.1169246776935256E-3</v>
      </c>
      <c r="D48" s="280">
        <f>IF(C48&gt;'foglio deposito'!$K$59,2*'foglio deposito'!$F$67/'foglio deposito'!$K$59*(C48-C48^2/(2*'foglio deposito'!$K$59)),'foglio deposito'!$F$67)</f>
        <v>-17.320701781544194</v>
      </c>
      <c r="E48" s="273">
        <f>IF(C48&gt;'foglio deposito'!$F$103,2*'foglio deposito'!$D$104/(-'foglio deposito'!$F$103)*(C48^2/2-(-C48)^3/(-6*'foglio deposito'!$F$103)),2*'foglio deposito'!$D$104/(-'foglio deposito'!$F$103)*('foglio deposito'!$F$103^2/2-(-'foglio deposito'!$F$103)^3/(-6*'foglio deposito'!$F$103))+'foglio deposito'!$D$104*(ABS(C48)-ABS('foglio deposito'!$F$103)))</f>
        <v>6.4648595229159056E-2</v>
      </c>
      <c r="F48" s="273">
        <f>IF(ABS(C48)&lt;ABS('foglio deposito'!$F$103),-2*'foglio deposito'!$D$104/(-'foglio deposito'!$F$103)*(-C48^3/3-(C48)^4/(-8*'foglio deposito'!$F$103)),-(2*'foglio deposito'!$D$104/(-'foglio deposito'!$F$103)*(ABS('foglio deposito'!$F$103)^3/3-ABS('foglio deposito'!$F$103)^4/(-8*'foglio deposito'!$F$103))+'foglio deposito'!$D$104/2*(ABS(C48)^2-ABS('foglio deposito'!$F$103)^2)))</f>
        <v>-1.8692335449357309E-4</v>
      </c>
      <c r="G48" s="258">
        <f>E48/('foglio deposito'!$F$67*'foglio deposito'!$K$60)</f>
        <v>0.30636127929377366</v>
      </c>
      <c r="H48" s="258">
        <f t="shared" si="2"/>
        <v>0.43493884909709779</v>
      </c>
      <c r="I48" s="279">
        <f t="shared" si="3"/>
        <v>-2.8913753474609657E-3</v>
      </c>
      <c r="J48" s="280">
        <f t="shared" si="1"/>
        <v>-7.5334460984188834</v>
      </c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2:20" x14ac:dyDescent="0.25">
      <c r="B49" s="40">
        <f t="shared" si="0"/>
        <v>43</v>
      </c>
      <c r="C49" s="272">
        <f>'foglio deposito'!$K$60/$B$106*B49</f>
        <v>-5.2387562176386092E-3</v>
      </c>
      <c r="D49" s="280">
        <f>IF(C49&gt;'foglio deposito'!$K$59,2*'foglio deposito'!$F$67/'foglio deposito'!$K$59*(C49-C49^2/(2*'foglio deposito'!$K$59)),'foglio deposito'!$F$67)</f>
        <v>-17.320701781544194</v>
      </c>
      <c r="E49" s="273">
        <f>IF(C49&gt;'foglio deposito'!$F$103,2*'foglio deposito'!$D$104/(-'foglio deposito'!$F$103)*(C49^2/2-(-C49)^3/(-6*'foglio deposito'!$F$103)),2*'foglio deposito'!$D$104/(-'foglio deposito'!$F$103)*('foglio deposito'!$F$103^2/2-(-'foglio deposito'!$F$103)^3/(-6*'foglio deposito'!$F$103))+'foglio deposito'!$D$104*(ABS(C49)-ABS('foglio deposito'!$F$103)))</f>
        <v>6.6442271834487893E-2</v>
      </c>
      <c r="F49" s="273">
        <f>IF(ABS(C49)&lt;ABS('foglio deposito'!$F$103),-2*'foglio deposito'!$D$104/(-'foglio deposito'!$F$103)*(-C49^3/3-(C49)^4/(-8*'foglio deposito'!$F$103)),-(2*'foglio deposito'!$D$104/(-'foglio deposito'!$F$103)*(ABS('foglio deposito'!$F$103)^3/3-ABS('foglio deposito'!$F$103)^4/(-8*'foglio deposito'!$F$103))+'foglio deposito'!$D$104/2*(ABS(C49)^2-ABS('foglio deposito'!$F$103)^2)))</f>
        <v>-1.9621072577067706E-4</v>
      </c>
      <c r="G49" s="258">
        <f>E49/('foglio deposito'!$F$67*'foglio deposito'!$K$60)</f>
        <v>0.31486127929377372</v>
      </c>
      <c r="H49" s="258">
        <f t="shared" si="2"/>
        <v>0.43629734382820318</v>
      </c>
      <c r="I49" s="279">
        <f t="shared" si="3"/>
        <v>-2.9531007949194E-3</v>
      </c>
      <c r="J49" s="280">
        <f t="shared" si="1"/>
        <v>-7.5569761805281583</v>
      </c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2:20" x14ac:dyDescent="0.25">
      <c r="B50" s="40">
        <f t="shared" si="0"/>
        <v>44</v>
      </c>
      <c r="C50" s="272">
        <f>'foglio deposito'!$K$60/$B$106*B50</f>
        <v>-5.3605877575836937E-3</v>
      </c>
      <c r="D50" s="280">
        <f>IF(C50&gt;'foglio deposito'!$K$59,2*'foglio deposito'!$F$67/'foglio deposito'!$K$59*(C50-C50^2/(2*'foglio deposito'!$K$59)),'foglio deposito'!$F$67)</f>
        <v>-17.320701781544194</v>
      </c>
      <c r="E50" s="273">
        <f>IF(C50&gt;'foglio deposito'!$F$103,2*'foglio deposito'!$D$104/(-'foglio deposito'!$F$103)*(C50^2/2-(-C50)^3/(-6*'foglio deposito'!$F$103)),2*'foglio deposito'!$D$104/(-'foglio deposito'!$F$103)*('foglio deposito'!$F$103^2/2-(-'foglio deposito'!$F$103)^3/(-6*'foglio deposito'!$F$103))+'foglio deposito'!$D$104*(ABS(C50)-ABS('foglio deposito'!$F$103)))</f>
        <v>6.8235948439816715E-2</v>
      </c>
      <c r="F50" s="273">
        <f>IF(ABS(C50)&lt;ABS('foglio deposito'!$F$103),-2*'foglio deposito'!$D$104/(-'foglio deposito'!$F$103)*(-C50^3/3-(C50)^4/(-8*'foglio deposito'!$F$103)),-(2*'foglio deposito'!$D$104/(-'foglio deposito'!$F$103)*(ABS('foglio deposito'!$F$103)^3/3-ABS('foglio deposito'!$F$103)^4/(-8*'foglio deposito'!$F$103))+'foglio deposito'!$D$104/2*(ABS(C50)^2-ABS('foglio deposito'!$F$103)^2)))</f>
        <v>-2.0571662343077174E-4</v>
      </c>
      <c r="G50" s="258">
        <f>E50/('foglio deposito'!$F$67*'foglio deposito'!$K$60)</f>
        <v>0.32336127929377367</v>
      </c>
      <c r="H50" s="258">
        <f t="shared" si="2"/>
        <v>0.4376020295311942</v>
      </c>
      <c r="I50" s="279">
        <f t="shared" si="3"/>
        <v>-3.0147836753849962E-3</v>
      </c>
      <c r="J50" s="280">
        <f t="shared" si="1"/>
        <v>-7.5795742525083103</v>
      </c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2:20" x14ac:dyDescent="0.25">
      <c r="B51" s="40">
        <f t="shared" si="0"/>
        <v>45</v>
      </c>
      <c r="C51" s="272">
        <f>'foglio deposito'!$K$60/$B$106*B51</f>
        <v>-5.4824192975287773E-3</v>
      </c>
      <c r="D51" s="280">
        <f>IF(C51&gt;'foglio deposito'!$K$59,2*'foglio deposito'!$F$67/'foglio deposito'!$K$59*(C51-C51^2/(2*'foglio deposito'!$K$59)),'foglio deposito'!$F$67)</f>
        <v>-17.320701781544194</v>
      </c>
      <c r="E51" s="273">
        <f>IF(C51&gt;'foglio deposito'!$F$103,2*'foglio deposito'!$D$104/(-'foglio deposito'!$F$103)*(C51^2/2-(-C51)^3/(-6*'foglio deposito'!$F$103)),2*'foglio deposito'!$D$104/(-'foglio deposito'!$F$103)*('foglio deposito'!$F$103^2/2-(-'foglio deposito'!$F$103)^3/(-6*'foglio deposito'!$F$103))+'foglio deposito'!$D$104*(ABS(C51)-ABS('foglio deposito'!$F$103)))</f>
        <v>7.0029625045145538E-2</v>
      </c>
      <c r="F51" s="273">
        <f>IF(ABS(C51)&lt;ABS('foglio deposito'!$F$103),-2*'foglio deposito'!$D$104/(-'foglio deposito'!$F$103)*(-C51^3/3-(C51)^4/(-8*'foglio deposito'!$F$103)),-(2*'foglio deposito'!$D$104/(-'foglio deposito'!$F$103)*(ABS('foglio deposito'!$F$103)^3/3-ABS('foglio deposito'!$F$103)^4/(-8*'foglio deposito'!$F$103))+'foglio deposito'!$D$104/2*(ABS(C51)^2-ABS('foglio deposito'!$F$103)^2)))</f>
        <v>-2.1544104747385701E-4</v>
      </c>
      <c r="G51" s="258">
        <f>E51/('foglio deposito'!$F$67*'foglio deposito'!$K$60)</f>
        <v>0.33186127929377368</v>
      </c>
      <c r="H51" s="258">
        <f t="shared" si="2"/>
        <v>0.43885589687314042</v>
      </c>
      <c r="I51" s="279">
        <f t="shared" si="3"/>
        <v>-3.0764272596771731E-3</v>
      </c>
      <c r="J51" s="280">
        <f t="shared" si="1"/>
        <v>-7.6012921148117787</v>
      </c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2:20" x14ac:dyDescent="0.25">
      <c r="B52" s="40">
        <f t="shared" si="0"/>
        <v>46</v>
      </c>
      <c r="C52" s="272">
        <f>'foglio deposito'!$K$60/$B$106*B52</f>
        <v>-5.6042508374738618E-3</v>
      </c>
      <c r="D52" s="280">
        <f>IF(C52&gt;'foglio deposito'!$K$59,2*'foglio deposito'!$F$67/'foglio deposito'!$K$59*(C52-C52^2/(2*'foglio deposito'!$K$59)),'foglio deposito'!$F$67)</f>
        <v>-17.320701781544194</v>
      </c>
      <c r="E52" s="273">
        <f>IF(C52&gt;'foglio deposito'!$F$103,2*'foglio deposito'!$D$104/(-'foglio deposito'!$F$103)*(C52^2/2-(-C52)^3/(-6*'foglio deposito'!$F$103)),2*'foglio deposito'!$D$104/(-'foglio deposito'!$F$103)*('foglio deposito'!$F$103^2/2-(-'foglio deposito'!$F$103)^3/(-6*'foglio deposito'!$F$103))+'foglio deposito'!$D$104*(ABS(C52)-ABS('foglio deposito'!$F$103)))</f>
        <v>7.1823301650474375E-2</v>
      </c>
      <c r="F52" s="273">
        <f>IF(ABS(C52)&lt;ABS('foglio deposito'!$F$103),-2*'foglio deposito'!$D$104/(-'foglio deposito'!$F$103)*(-C52^3/3-(C52)^4/(-8*'foglio deposito'!$F$103)),-(2*'foglio deposito'!$D$104/(-'foglio deposito'!$F$103)*(ABS('foglio deposito'!$F$103)^3/3-ABS('foglio deposito'!$F$103)^4/(-8*'foglio deposito'!$F$103))+'foglio deposito'!$D$104/2*(ABS(C52)^2-ABS('foglio deposito'!$F$103)^2)))</f>
        <v>-2.2538399789993305E-4</v>
      </c>
      <c r="G52" s="258">
        <f>E52/('foglio deposito'!$F$67*'foglio deposito'!$K$60)</f>
        <v>0.34036127929377374</v>
      </c>
      <c r="H52" s="258">
        <f t="shared" si="2"/>
        <v>0.44006173476434252</v>
      </c>
      <c r="I52" s="279">
        <f t="shared" si="3"/>
        <v>-3.1380344918805949E-3</v>
      </c>
      <c r="J52" s="280">
        <f t="shared" si="1"/>
        <v>-7.6221780733221758</v>
      </c>
      <c r="K52" s="37"/>
      <c r="L52" s="37"/>
      <c r="M52" s="37"/>
      <c r="N52" s="37"/>
      <c r="O52" s="37"/>
      <c r="P52" s="37"/>
      <c r="Q52" s="37"/>
      <c r="R52" s="37"/>
      <c r="S52" s="37"/>
      <c r="T52" s="37"/>
    </row>
    <row r="53" spans="2:20" x14ac:dyDescent="0.25">
      <c r="B53" s="40">
        <f t="shared" si="0"/>
        <v>47</v>
      </c>
      <c r="C53" s="272">
        <f>'foglio deposito'!$K$60/$B$106*B53</f>
        <v>-5.7260823774189454E-3</v>
      </c>
      <c r="D53" s="280">
        <f>IF(C53&gt;'foglio deposito'!$K$59,2*'foglio deposito'!$F$67/'foglio deposito'!$K$59*(C53-C53^2/(2*'foglio deposito'!$K$59)),'foglio deposito'!$F$67)</f>
        <v>-17.320701781544194</v>
      </c>
      <c r="E53" s="273">
        <f>IF(C53&gt;'foglio deposito'!$F$103,2*'foglio deposito'!$D$104/(-'foglio deposito'!$F$103)*(C53^2/2-(-C53)^3/(-6*'foglio deposito'!$F$103)),2*'foglio deposito'!$D$104/(-'foglio deposito'!$F$103)*('foglio deposito'!$F$103^2/2-(-'foglio deposito'!$F$103)^3/(-6*'foglio deposito'!$F$103))+'foglio deposito'!$D$104*(ABS(C53)-ABS('foglio deposito'!$F$103)))</f>
        <v>7.3616978255803184E-2</v>
      </c>
      <c r="F53" s="273">
        <f>IF(ABS(C53)&lt;ABS('foglio deposito'!$F$103),-2*'foglio deposito'!$D$104/(-'foglio deposito'!$F$103)*(-C53^3/3-(C53)^4/(-8*'foglio deposito'!$F$103)),-(2*'foglio deposito'!$D$104/(-'foglio deposito'!$F$103)*(ABS('foglio deposito'!$F$103)^3/3-ABS('foglio deposito'!$F$103)^4/(-8*'foglio deposito'!$F$103))+'foglio deposito'!$D$104/2*(ABS(C53)^2-ABS('foglio deposito'!$F$103)^2)))</f>
        <v>-2.3554547470899974E-4</v>
      </c>
      <c r="G53" s="258">
        <f>E53/('foglio deposito'!$F$67*'foglio deposito'!$K$60)</f>
        <v>0.34886127929377364</v>
      </c>
      <c r="H53" s="258">
        <f t="shared" si="2"/>
        <v>0.44122214487039202</v>
      </c>
      <c r="I53" s="279">
        <f t="shared" si="3"/>
        <v>-3.1996080291496047E-3</v>
      </c>
      <c r="J53" s="280">
        <f t="shared" si="1"/>
        <v>-7.64227719071335</v>
      </c>
      <c r="K53" s="37"/>
      <c r="L53" s="37"/>
      <c r="M53" s="37"/>
      <c r="N53" s="37"/>
      <c r="O53" s="37"/>
      <c r="P53" s="37"/>
      <c r="Q53" s="37"/>
      <c r="R53" s="37"/>
      <c r="S53" s="37"/>
      <c r="T53" s="37"/>
    </row>
    <row r="54" spans="2:20" x14ac:dyDescent="0.25">
      <c r="B54" s="40">
        <f t="shared" si="0"/>
        <v>48</v>
      </c>
      <c r="C54" s="272">
        <f>'foglio deposito'!$K$60/$B$106*B54</f>
        <v>-5.8479139173640291E-3</v>
      </c>
      <c r="D54" s="280">
        <f>IF(C54&gt;'foglio deposito'!$K$59,2*'foglio deposito'!$F$67/'foglio deposito'!$K$59*(C54-C54^2/(2*'foglio deposito'!$K$59)),'foglio deposito'!$F$67)</f>
        <v>-17.320701781544194</v>
      </c>
      <c r="E54" s="273">
        <f>IF(C54&gt;'foglio deposito'!$F$103,2*'foglio deposito'!$D$104/(-'foglio deposito'!$F$103)*(C54^2/2-(-C54)^3/(-6*'foglio deposito'!$F$103)),2*'foglio deposito'!$D$104/(-'foglio deposito'!$F$103)*('foglio deposito'!$F$103^2/2-(-'foglio deposito'!$F$103)^3/(-6*'foglio deposito'!$F$103))+'foglio deposito'!$D$104*(ABS(C54)-ABS('foglio deposito'!$F$103)))</f>
        <v>7.541065486113202E-2</v>
      </c>
      <c r="F54" s="273">
        <f>IF(ABS(C54)&lt;ABS('foglio deposito'!$F$103),-2*'foglio deposito'!$D$104/(-'foglio deposito'!$F$103)*(-C54^3/3-(C54)^4/(-8*'foglio deposito'!$F$103)),-(2*'foglio deposito'!$D$104/(-'foglio deposito'!$F$103)*(ABS('foglio deposito'!$F$103)^3/3-ABS('foglio deposito'!$F$103)^4/(-8*'foglio deposito'!$F$103))+'foglio deposito'!$D$104/2*(ABS(C54)^2-ABS('foglio deposito'!$F$103)^2)))</f>
        <v>-2.4592547790105703E-4</v>
      </c>
      <c r="G54" s="258">
        <f>E54/('foglio deposito'!$F$67*'foglio deposito'!$K$60)</f>
        <v>0.3573612792937737</v>
      </c>
      <c r="H54" s="258">
        <f t="shared" si="2"/>
        <v>0.44233955528161439</v>
      </c>
      <c r="I54" s="279">
        <f t="shared" si="3"/>
        <v>-3.2611502758320607E-3</v>
      </c>
      <c r="J54" s="280">
        <f t="shared" si="1"/>
        <v>-7.6616315232137246</v>
      </c>
      <c r="K54" s="37"/>
      <c r="L54" s="37"/>
      <c r="M54" s="37"/>
      <c r="N54" s="37"/>
      <c r="O54" s="37"/>
      <c r="P54" s="37"/>
      <c r="Q54" s="37"/>
      <c r="R54" s="37"/>
      <c r="S54" s="37"/>
      <c r="T54" s="37"/>
    </row>
    <row r="55" spans="2:20" x14ac:dyDescent="0.25">
      <c r="B55" s="40">
        <f t="shared" si="0"/>
        <v>49</v>
      </c>
      <c r="C55" s="272">
        <f>'foglio deposito'!$K$60/$B$106*B55</f>
        <v>-5.9697454573091136E-3</v>
      </c>
      <c r="D55" s="280">
        <f>IF(C55&gt;'foglio deposito'!$K$59,2*'foglio deposito'!$F$67/'foglio deposito'!$K$59*(C55-C55^2/(2*'foglio deposito'!$K$59)),'foglio deposito'!$F$67)</f>
        <v>-17.320701781544194</v>
      </c>
      <c r="E55" s="273">
        <f>IF(C55&gt;'foglio deposito'!$F$103,2*'foglio deposito'!$D$104/(-'foglio deposito'!$F$103)*(C55^2/2-(-C55)^3/(-6*'foglio deposito'!$F$103)),2*'foglio deposito'!$D$104/(-'foglio deposito'!$F$103)*('foglio deposito'!$F$103^2/2-(-'foglio deposito'!$F$103)^3/(-6*'foglio deposito'!$F$103))+'foglio deposito'!$D$104*(ABS(C55)-ABS('foglio deposito'!$F$103)))</f>
        <v>7.7204331466460843E-2</v>
      </c>
      <c r="F55" s="273">
        <f>IF(ABS(C55)&lt;ABS('foglio deposito'!$F$103),-2*'foglio deposito'!$D$104/(-'foglio deposito'!$F$103)*(-C55^3/3-(C55)^4/(-8*'foglio deposito'!$F$103)),-(2*'foglio deposito'!$D$104/(-'foglio deposito'!$F$103)*(ABS('foglio deposito'!$F$103)^3/3-ABS('foglio deposito'!$F$103)^4/(-8*'foglio deposito'!$F$103))+'foglio deposito'!$D$104/2*(ABS(C55)^2-ABS('foglio deposito'!$F$103)^2)))</f>
        <v>-2.5652400747610513E-4</v>
      </c>
      <c r="G55" s="258">
        <f>E55/('foglio deposito'!$F$67*'foglio deposito'!$K$60)</f>
        <v>0.36586127929377371</v>
      </c>
      <c r="H55" s="258">
        <f t="shared" si="2"/>
        <v>0.44341623330551094</v>
      </c>
      <c r="I55" s="279">
        <f t="shared" si="3"/>
        <v>-3.3226634128364217E-3</v>
      </c>
      <c r="J55" s="280">
        <f t="shared" si="1"/>
        <v>-7.6802803421803798</v>
      </c>
      <c r="K55" s="37"/>
      <c r="L55" s="37"/>
      <c r="M55" s="37"/>
      <c r="N55" s="37"/>
      <c r="O55" s="37"/>
      <c r="P55" s="37"/>
      <c r="Q55" s="37"/>
      <c r="R55" s="37"/>
      <c r="S55" s="37"/>
      <c r="T55" s="37"/>
    </row>
    <row r="56" spans="2:20" x14ac:dyDescent="0.25">
      <c r="B56" s="40">
        <f t="shared" si="0"/>
        <v>50</v>
      </c>
      <c r="C56" s="272">
        <f>'foglio deposito'!$K$60/$B$106*B56</f>
        <v>-6.0915769972541972E-3</v>
      </c>
      <c r="D56" s="280">
        <f>IF(C56&gt;'foglio deposito'!$K$59,2*'foglio deposito'!$F$67/'foglio deposito'!$K$59*(C56-C56^2/(2*'foglio deposito'!$K$59)),'foglio deposito'!$F$67)</f>
        <v>-17.320701781544194</v>
      </c>
      <c r="E56" s="273">
        <f>IF(C56&gt;'foglio deposito'!$F$103,2*'foglio deposito'!$D$104/(-'foglio deposito'!$F$103)*(C56^2/2-(-C56)^3/(-6*'foglio deposito'!$F$103)),2*'foglio deposito'!$D$104/(-'foglio deposito'!$F$103)*('foglio deposito'!$F$103^2/2-(-'foglio deposito'!$F$103)^3/(-6*'foglio deposito'!$F$103))+'foglio deposito'!$D$104*(ABS(C56)-ABS('foglio deposito'!$F$103)))</f>
        <v>7.8998008071789666E-2</v>
      </c>
      <c r="F56" s="273">
        <f>IF(ABS(C56)&lt;ABS('foglio deposito'!$F$103),-2*'foglio deposito'!$D$104/(-'foglio deposito'!$F$103)*(-C56^3/3-(C56)^4/(-8*'foglio deposito'!$F$103)),-(2*'foglio deposito'!$D$104/(-'foglio deposito'!$F$103)*(ABS('foglio deposito'!$F$103)^3/3-ABS('foglio deposito'!$F$103)^4/(-8*'foglio deposito'!$F$103))+'foglio deposito'!$D$104/2*(ABS(C56)^2-ABS('foglio deposito'!$F$103)^2)))</f>
        <v>-2.6734106343414383E-4</v>
      </c>
      <c r="G56" s="258">
        <f>E56/('foglio deposito'!$F$67*'foglio deposito'!$K$60)</f>
        <v>0.37436127929377372</v>
      </c>
      <c r="H56" s="258">
        <f t="shared" si="2"/>
        <v>0.44445429738087716</v>
      </c>
      <c r="I56" s="279">
        <f t="shared" si="3"/>
        <v>-3.3841494229980692E-3</v>
      </c>
      <c r="J56" s="280">
        <f t="shared" si="1"/>
        <v>-7.6982603404599326</v>
      </c>
      <c r="K56" s="37"/>
      <c r="L56" s="37"/>
      <c r="M56" s="37"/>
      <c r="N56" s="37"/>
      <c r="O56" s="37"/>
      <c r="P56" s="37"/>
      <c r="Q56" s="37"/>
      <c r="R56" s="37"/>
      <c r="S56" s="37"/>
      <c r="T56" s="37"/>
    </row>
    <row r="57" spans="2:20" x14ac:dyDescent="0.25">
      <c r="B57" s="40">
        <f t="shared" si="0"/>
        <v>51</v>
      </c>
      <c r="C57" s="272">
        <f>'foglio deposito'!$K$60/$B$106*B57</f>
        <v>-6.2134085371992808E-3</v>
      </c>
      <c r="D57" s="280">
        <f>IF(C57&gt;'foglio deposito'!$K$59,2*'foglio deposito'!$F$67/'foglio deposito'!$K$59*(C57-C57^2/(2*'foglio deposito'!$K$59)),'foglio deposito'!$F$67)</f>
        <v>-17.320701781544194</v>
      </c>
      <c r="E57" s="273">
        <f>IF(C57&gt;'foglio deposito'!$F$103,2*'foglio deposito'!$D$104/(-'foglio deposito'!$F$103)*(C57^2/2-(-C57)^3/(-6*'foglio deposito'!$F$103)),2*'foglio deposito'!$D$104/(-'foglio deposito'!$F$103)*('foglio deposito'!$F$103^2/2-(-'foglio deposito'!$F$103)^3/(-6*'foglio deposito'!$F$103))+'foglio deposito'!$D$104*(ABS(C57)-ABS('foglio deposito'!$F$103)))</f>
        <v>8.0791684677118475E-2</v>
      </c>
      <c r="F57" s="273">
        <f>IF(ABS(C57)&lt;ABS('foglio deposito'!$F$103),-2*'foglio deposito'!$D$104/(-'foglio deposito'!$F$103)*(-C57^3/3-(C57)^4/(-8*'foglio deposito'!$F$103)),-(2*'foglio deposito'!$D$104/(-'foglio deposito'!$F$103)*(ABS('foglio deposito'!$F$103)^3/3-ABS('foglio deposito'!$F$103)^4/(-8*'foglio deposito'!$F$103))+'foglio deposito'!$D$104/2*(ABS(C57)^2-ABS('foglio deposito'!$F$103)^2)))</f>
        <v>-2.7837664577517324E-4</v>
      </c>
      <c r="G57" s="258">
        <f>E57/('foglio deposito'!$F$67*'foglio deposito'!$K$60)</f>
        <v>0.38286127929377362</v>
      </c>
      <c r="H57" s="258">
        <f t="shared" si="2"/>
        <v>0.44545572813407885</v>
      </c>
      <c r="I57" s="279">
        <f t="shared" si="3"/>
        <v>-3.4456101130666736E-3</v>
      </c>
      <c r="J57" s="280">
        <f t="shared" si="1"/>
        <v>-7.7156058238910061</v>
      </c>
      <c r="K57" s="37"/>
      <c r="L57" s="37"/>
      <c r="M57" s="37"/>
      <c r="N57" s="37"/>
      <c r="O57" s="37"/>
      <c r="P57" s="37"/>
      <c r="Q57" s="37"/>
      <c r="R57" s="37"/>
      <c r="S57" s="37"/>
      <c r="T57" s="37"/>
    </row>
    <row r="58" spans="2:20" x14ac:dyDescent="0.25">
      <c r="B58" s="40">
        <f t="shared" si="0"/>
        <v>52</v>
      </c>
      <c r="C58" s="272">
        <f>'foglio deposito'!$K$60/$B$106*B58</f>
        <v>-6.3352400771443653E-3</v>
      </c>
      <c r="D58" s="280">
        <f>IF(C58&gt;'foglio deposito'!$K$59,2*'foglio deposito'!$F$67/'foglio deposito'!$K$59*(C58-C58^2/(2*'foglio deposito'!$K$59)),'foglio deposito'!$F$67)</f>
        <v>-17.320701781544194</v>
      </c>
      <c r="E58" s="273">
        <f>IF(C58&gt;'foglio deposito'!$F$103,2*'foglio deposito'!$D$104/(-'foglio deposito'!$F$103)*(C58^2/2-(-C58)^3/(-6*'foglio deposito'!$F$103)),2*'foglio deposito'!$D$104/(-'foglio deposito'!$F$103)*('foglio deposito'!$F$103^2/2-(-'foglio deposito'!$F$103)^3/(-6*'foglio deposito'!$F$103))+'foglio deposito'!$D$104*(ABS(C58)-ABS('foglio deposito'!$F$103)))</f>
        <v>8.2585361282447312E-2</v>
      </c>
      <c r="F58" s="273">
        <f>IF(ABS(C58)&lt;ABS('foglio deposito'!$F$103),-2*'foglio deposito'!$D$104/(-'foglio deposito'!$F$103)*(-C58^3/3-(C58)^4/(-8*'foglio deposito'!$F$103)),-(2*'foglio deposito'!$D$104/(-'foglio deposito'!$F$103)*(ABS('foglio deposito'!$F$103)^3/3-ABS('foglio deposito'!$F$103)^4/(-8*'foglio deposito'!$F$103))+'foglio deposito'!$D$104/2*(ABS(C58)^2-ABS('foglio deposito'!$F$103)^2)))</f>
        <v>-2.8963075449919335E-4</v>
      </c>
      <c r="G58" s="258">
        <f>E58/('foglio deposito'!$F$67*'foglio deposito'!$K$60)</f>
        <v>0.39136127929377368</v>
      </c>
      <c r="H58" s="258">
        <f t="shared" si="2"/>
        <v>0.44642237861188017</v>
      </c>
      <c r="I58" s="279">
        <f t="shared" si="3"/>
        <v>-3.5070471328282663E-3</v>
      </c>
      <c r="J58" s="280">
        <f t="shared" si="1"/>
        <v>-7.7323488885439895</v>
      </c>
      <c r="K58" s="37"/>
      <c r="L58" s="37"/>
      <c r="M58" s="37"/>
      <c r="N58" s="37"/>
      <c r="O58" s="37"/>
      <c r="P58" s="37"/>
      <c r="Q58" s="37"/>
      <c r="R58" s="37"/>
      <c r="S58" s="37"/>
      <c r="T58" s="37"/>
    </row>
    <row r="59" spans="2:20" x14ac:dyDescent="0.25">
      <c r="B59" s="40">
        <f t="shared" si="0"/>
        <v>53</v>
      </c>
      <c r="C59" s="272">
        <f>'foglio deposito'!$K$60/$B$106*B59</f>
        <v>-6.457071617089449E-3</v>
      </c>
      <c r="D59" s="280">
        <f>IF(C59&gt;'foglio deposito'!$K$59,2*'foglio deposito'!$F$67/'foglio deposito'!$K$59*(C59-C59^2/(2*'foglio deposito'!$K$59)),'foglio deposito'!$F$67)</f>
        <v>-17.320701781544194</v>
      </c>
      <c r="E59" s="273">
        <f>IF(C59&gt;'foglio deposito'!$F$103,2*'foglio deposito'!$D$104/(-'foglio deposito'!$F$103)*(C59^2/2-(-C59)^3/(-6*'foglio deposito'!$F$103)),2*'foglio deposito'!$D$104/(-'foglio deposito'!$F$103)*('foglio deposito'!$F$103^2/2-(-'foglio deposito'!$F$103)^3/(-6*'foglio deposito'!$F$103))+'foglio deposito'!$D$104*(ABS(C59)-ABS('foglio deposito'!$F$103)))</f>
        <v>8.4379037887776148E-2</v>
      </c>
      <c r="F59" s="273">
        <f>IF(ABS(C59)&lt;ABS('foglio deposito'!$F$103),-2*'foglio deposito'!$D$104/(-'foglio deposito'!$F$103)*(-C59^3/3-(C59)^4/(-8*'foglio deposito'!$F$103)),-(2*'foglio deposito'!$D$104/(-'foglio deposito'!$F$103)*(ABS('foglio deposito'!$F$103)^3/3-ABS('foglio deposito'!$F$103)^4/(-8*'foglio deposito'!$F$103))+'foglio deposito'!$D$104/2*(ABS(C59)^2-ABS('foglio deposito'!$F$103)^2)))</f>
        <v>-3.0110338960620412E-4</v>
      </c>
      <c r="G59" s="258">
        <f>E59/('foglio deposito'!$F$67*'foglio deposito'!$K$60)</f>
        <v>0.39986127929377374</v>
      </c>
      <c r="H59" s="258">
        <f t="shared" si="2"/>
        <v>0.44735598373354934</v>
      </c>
      <c r="I59" s="279">
        <f t="shared" si="3"/>
        <v>-3.5684619917884185E-3</v>
      </c>
      <c r="J59" s="280">
        <f t="shared" si="1"/>
        <v>-7.748519584438144</v>
      </c>
      <c r="K59" s="42"/>
      <c r="L59" s="37"/>
      <c r="M59" s="37"/>
      <c r="N59" s="37"/>
      <c r="O59" s="37"/>
      <c r="P59" s="37"/>
      <c r="Q59" s="37"/>
      <c r="R59" s="37"/>
      <c r="S59" s="37"/>
      <c r="T59" s="37"/>
    </row>
    <row r="60" spans="2:20" x14ac:dyDescent="0.25">
      <c r="B60" s="40">
        <f t="shared" si="0"/>
        <v>54</v>
      </c>
      <c r="C60" s="272">
        <f>'foglio deposito'!$K$60/$B$106*B60</f>
        <v>-6.5789031570345326E-3</v>
      </c>
      <c r="D60" s="280">
        <f>IF(C60&gt;'foglio deposito'!$K$59,2*'foglio deposito'!$F$67/'foglio deposito'!$K$59*(C60-C60^2/(2*'foglio deposito'!$K$59)),'foglio deposito'!$F$67)</f>
        <v>-17.320701781544194</v>
      </c>
      <c r="E60" s="273">
        <f>IF(C60&gt;'foglio deposito'!$F$103,2*'foglio deposito'!$D$104/(-'foglio deposito'!$F$103)*(C60^2/2-(-C60)^3/(-6*'foglio deposito'!$F$103)),2*'foglio deposito'!$D$104/(-'foglio deposito'!$F$103)*('foglio deposito'!$F$103^2/2-(-'foglio deposito'!$F$103)^3/(-6*'foglio deposito'!$F$103))+'foglio deposito'!$D$104*(ABS(C60)-ABS('foglio deposito'!$F$103)))</f>
        <v>8.6172714493104957E-2</v>
      </c>
      <c r="F60" s="273">
        <f>IF(ABS(C60)&lt;ABS('foglio deposito'!$F$103),-2*'foglio deposito'!$D$104/(-'foglio deposito'!$F$103)*(-C60^3/3-(C60)^4/(-8*'foglio deposito'!$F$103)),-(2*'foglio deposito'!$D$104/(-'foglio deposito'!$F$103)*(ABS('foglio deposito'!$F$103)^3/3-ABS('foglio deposito'!$F$103)^4/(-8*'foglio deposito'!$F$103))+'foglio deposito'!$D$104/2*(ABS(C60)^2-ABS('foglio deposito'!$F$103)^2)))</f>
        <v>-3.1279455109620548E-4</v>
      </c>
      <c r="G60" s="258">
        <f>E60/('foglio deposito'!$F$67*'foglio deposito'!$K$60)</f>
        <v>0.40836127929377364</v>
      </c>
      <c r="H60" s="258">
        <f t="shared" si="2"/>
        <v>0.44825816900943205</v>
      </c>
      <c r="I60" s="279">
        <f t="shared" si="3"/>
        <v>-3.6298560737718609E-3</v>
      </c>
      <c r="J60" s="280">
        <f t="shared" si="1"/>
        <v>-7.7641460665534083</v>
      </c>
      <c r="K60" s="42"/>
      <c r="L60" s="37"/>
      <c r="M60" s="37"/>
      <c r="N60" s="37"/>
      <c r="O60" s="37"/>
      <c r="P60" s="37"/>
      <c r="Q60" s="37"/>
      <c r="R60" s="37"/>
      <c r="S60" s="37"/>
      <c r="T60" s="37"/>
    </row>
    <row r="61" spans="2:20" x14ac:dyDescent="0.25">
      <c r="B61" s="40">
        <f t="shared" si="0"/>
        <v>55</v>
      </c>
      <c r="C61" s="272">
        <f>'foglio deposito'!$K$60/$B$106*B61</f>
        <v>-6.7007346969796171E-3</v>
      </c>
      <c r="D61" s="280">
        <f>IF(C61&gt;'foglio deposito'!$K$59,2*'foglio deposito'!$F$67/'foglio deposito'!$K$59*(C61-C61^2/(2*'foglio deposito'!$K$59)),'foglio deposito'!$F$67)</f>
        <v>-17.320701781544194</v>
      </c>
      <c r="E61" s="273">
        <f>IF(C61&gt;'foglio deposito'!$F$103,2*'foglio deposito'!$D$104/(-'foglio deposito'!$F$103)*(C61^2/2-(-C61)^3/(-6*'foglio deposito'!$F$103)),2*'foglio deposito'!$D$104/(-'foglio deposito'!$F$103)*('foglio deposito'!$F$103^2/2-(-'foglio deposito'!$F$103)^3/(-6*'foglio deposito'!$F$103))+'foglio deposito'!$D$104*(ABS(C61)-ABS('foglio deposito'!$F$103)))</f>
        <v>8.7966391098433794E-2</v>
      </c>
      <c r="F61" s="273">
        <f>IF(ABS(C61)&lt;ABS('foglio deposito'!$F$103),-2*'foglio deposito'!$D$104/(-'foglio deposito'!$F$103)*(-C61^3/3-(C61)^4/(-8*'foglio deposito'!$F$103)),-(2*'foglio deposito'!$D$104/(-'foglio deposito'!$F$103)*(ABS('foglio deposito'!$F$103)^3/3-ABS('foglio deposito'!$F$103)^4/(-8*'foglio deposito'!$F$103))+'foglio deposito'!$D$104/2*(ABS(C61)^2-ABS('foglio deposito'!$F$103)^2)))</f>
        <v>-3.2470423896919772E-4</v>
      </c>
      <c r="G61" s="258">
        <f>E61/('foglio deposito'!$F$67*'foglio deposito'!$K$60)</f>
        <v>0.4168612792937737</v>
      </c>
      <c r="H61" s="258">
        <f t="shared" si="2"/>
        <v>0.44913045857497114</v>
      </c>
      <c r="I61" s="279">
        <f t="shared" si="3"/>
        <v>-3.6912306497359415E-3</v>
      </c>
      <c r="J61" s="280">
        <f t="shared" si="1"/>
        <v>-7.7792547339852636</v>
      </c>
      <c r="K61" s="42"/>
      <c r="L61" s="37"/>
      <c r="M61" s="37"/>
      <c r="N61" s="37"/>
      <c r="O61" s="37"/>
      <c r="P61" s="37"/>
      <c r="Q61" s="37"/>
      <c r="R61" s="37"/>
      <c r="S61" s="37"/>
      <c r="T61" s="37"/>
    </row>
    <row r="62" spans="2:20" x14ac:dyDescent="0.25">
      <c r="B62" s="40">
        <f t="shared" si="0"/>
        <v>56</v>
      </c>
      <c r="C62" s="272">
        <f>'foglio deposito'!$K$60/$B$106*B62</f>
        <v>-6.8225662369247007E-3</v>
      </c>
      <c r="D62" s="280">
        <f>IF(C62&gt;'foglio deposito'!$K$59,2*'foglio deposito'!$F$67/'foglio deposito'!$K$59*(C62-C62^2/(2*'foglio deposito'!$K$59)),'foglio deposito'!$F$67)</f>
        <v>-17.320701781544194</v>
      </c>
      <c r="E62" s="273">
        <f>IF(C62&gt;'foglio deposito'!$F$103,2*'foglio deposito'!$D$104/(-'foglio deposito'!$F$103)*(C62^2/2-(-C62)^3/(-6*'foglio deposito'!$F$103)),2*'foglio deposito'!$D$104/(-'foglio deposito'!$F$103)*('foglio deposito'!$F$103^2/2-(-'foglio deposito'!$F$103)^3/(-6*'foglio deposito'!$F$103))+'foglio deposito'!$D$104*(ABS(C62)-ABS('foglio deposito'!$F$103)))</f>
        <v>8.9760067703762603E-2</v>
      </c>
      <c r="F62" s="273">
        <f>IF(ABS(C62)&lt;ABS('foglio deposito'!$F$103),-2*'foglio deposito'!$D$104/(-'foglio deposito'!$F$103)*(-C62^3/3-(C62)^4/(-8*'foglio deposito'!$F$103)),-(2*'foglio deposito'!$D$104/(-'foglio deposito'!$F$103)*(ABS('foglio deposito'!$F$103)^3/3-ABS('foglio deposito'!$F$103)^4/(-8*'foglio deposito'!$F$103))+'foglio deposito'!$D$104/2*(ABS(C62)^2-ABS('foglio deposito'!$F$103)^2)))</f>
        <v>-3.3683245322518044E-4</v>
      </c>
      <c r="G62" s="258">
        <f>E62/('foglio deposito'!$F$67*'foglio deposito'!$K$60)</f>
        <v>0.42536127929377365</v>
      </c>
      <c r="H62" s="258">
        <f t="shared" si="2"/>
        <v>0.44997428258911687</v>
      </c>
      <c r="I62" s="279">
        <f t="shared" si="3"/>
        <v>-3.7525868890477781E-3</v>
      </c>
      <c r="J62" s="280">
        <f t="shared" si="1"/>
        <v>-7.7938703580903876</v>
      </c>
      <c r="K62" s="42"/>
      <c r="Q62" s="37"/>
      <c r="R62" s="37"/>
      <c r="S62" s="37"/>
      <c r="T62" s="37"/>
    </row>
    <row r="63" spans="2:20" x14ac:dyDescent="0.25">
      <c r="B63" s="40">
        <f t="shared" si="0"/>
        <v>57</v>
      </c>
      <c r="C63" s="272">
        <f>'foglio deposito'!$K$60/$B$106*B63</f>
        <v>-6.9443977768697844E-3</v>
      </c>
      <c r="D63" s="280">
        <f>IF(C63&gt;'foglio deposito'!$K$59,2*'foglio deposito'!$F$67/'foglio deposito'!$K$59*(C63-C63^2/(2*'foglio deposito'!$K$59)),'foglio deposito'!$F$67)</f>
        <v>-17.320701781544194</v>
      </c>
      <c r="E63" s="273">
        <f>IF(C63&gt;'foglio deposito'!$F$103,2*'foglio deposito'!$D$104/(-'foglio deposito'!$F$103)*(C63^2/2-(-C63)^3/(-6*'foglio deposito'!$F$103)),2*'foglio deposito'!$D$104/(-'foglio deposito'!$F$103)*('foglio deposito'!$F$103^2/2-(-'foglio deposito'!$F$103)^3/(-6*'foglio deposito'!$F$103))+'foglio deposito'!$D$104*(ABS(C63)-ABS('foglio deposito'!$F$103)))</f>
        <v>9.1553744309091439E-2</v>
      </c>
      <c r="F63" s="273">
        <f>IF(ABS(C63)&lt;ABS('foglio deposito'!$F$103),-2*'foglio deposito'!$D$104/(-'foglio deposito'!$F$103)*(-C63^3/3-(C63)^4/(-8*'foglio deposito'!$F$103)),-(2*'foglio deposito'!$D$104/(-'foglio deposito'!$F$103)*(ABS('foglio deposito'!$F$103)^3/3-ABS('foglio deposito'!$F$103)^4/(-8*'foglio deposito'!$F$103))+'foglio deposito'!$D$104/2*(ABS(C63)^2-ABS('foglio deposito'!$F$103)^2)))</f>
        <v>-3.4917919386415392E-4</v>
      </c>
      <c r="G63" s="258">
        <f>E63/('foglio deposito'!$F$67*'foglio deposito'!$K$60)</f>
        <v>0.43386127929377366</v>
      </c>
      <c r="H63" s="258">
        <f t="shared" si="2"/>
        <v>0.45079098404484885</v>
      </c>
      <c r="I63" s="279">
        <f t="shared" si="3"/>
        <v>-3.8139258694357939E-3</v>
      </c>
      <c r="J63" s="280">
        <f t="shared" si="1"/>
        <v>-7.808016200449674</v>
      </c>
      <c r="K63" s="42"/>
      <c r="Q63" s="37"/>
      <c r="R63" s="37"/>
      <c r="S63" s="37"/>
      <c r="T63" s="37"/>
    </row>
    <row r="64" spans="2:20" x14ac:dyDescent="0.25">
      <c r="B64" s="40">
        <f t="shared" si="0"/>
        <v>58</v>
      </c>
      <c r="C64" s="272">
        <f>'foglio deposito'!$K$60/$B$106*B64</f>
        <v>-7.0662293168148689E-3</v>
      </c>
      <c r="D64" s="280">
        <f>IF(C64&gt;'foglio deposito'!$K$59,2*'foglio deposito'!$F$67/'foglio deposito'!$K$59*(C64-C64^2/(2*'foglio deposito'!$K$59)),'foglio deposito'!$F$67)</f>
        <v>-17.320701781544194</v>
      </c>
      <c r="E64" s="273">
        <f>IF(C64&gt;'foglio deposito'!$F$103,2*'foglio deposito'!$D$104/(-'foglio deposito'!$F$103)*(C64^2/2-(-C64)^3/(-6*'foglio deposito'!$F$103)),2*'foglio deposito'!$D$104/(-'foglio deposito'!$F$103)*('foglio deposito'!$F$103^2/2-(-'foglio deposito'!$F$103)^3/(-6*'foglio deposito'!$F$103))+'foglio deposito'!$D$104*(ABS(C64)-ABS('foglio deposito'!$F$103)))</f>
        <v>9.3347420914420276E-2</v>
      </c>
      <c r="F64" s="273">
        <f>IF(ABS(C64)&lt;ABS('foglio deposito'!$F$103),-2*'foglio deposito'!$D$104/(-'foglio deposito'!$F$103)*(-C64^3/3-(C64)^4/(-8*'foglio deposito'!$F$103)),-(2*'foglio deposito'!$D$104/(-'foglio deposito'!$F$103)*(ABS('foglio deposito'!$F$103)^3/3-ABS('foglio deposito'!$F$103)^4/(-8*'foglio deposito'!$F$103))+'foglio deposito'!$D$104/2*(ABS(C64)^2-ABS('foglio deposito'!$F$103)^2)))</f>
        <v>-3.6174446088611817E-4</v>
      </c>
      <c r="G64" s="258">
        <f>E64/('foglio deposito'!$F$67*'foglio deposito'!$K$60)</f>
        <v>0.44236127929377372</v>
      </c>
      <c r="H64" s="258">
        <f t="shared" si="2"/>
        <v>0.45158182503752697</v>
      </c>
      <c r="I64" s="279">
        <f t="shared" si="3"/>
        <v>-3.8752485857939329E-3</v>
      </c>
      <c r="J64" s="280">
        <f t="shared" si="1"/>
        <v>-7.821714121440472</v>
      </c>
      <c r="K64" s="42"/>
      <c r="Q64" s="37"/>
      <c r="R64" s="37"/>
      <c r="S64" s="37"/>
      <c r="T64" s="37"/>
    </row>
    <row r="65" spans="2:20" x14ac:dyDescent="0.25">
      <c r="B65" s="40">
        <f t="shared" si="0"/>
        <v>59</v>
      </c>
      <c r="C65" s="272">
        <f>'foglio deposito'!$K$60/$B$106*B65</f>
        <v>-7.1880608567599525E-3</v>
      </c>
      <c r="D65" s="280">
        <f>IF(C65&gt;'foglio deposito'!$K$59,2*'foglio deposito'!$F$67/'foglio deposito'!$K$59*(C65-C65^2/(2*'foglio deposito'!$K$59)),'foglio deposito'!$F$67)</f>
        <v>-17.320701781544194</v>
      </c>
      <c r="E65" s="273">
        <f>IF(C65&gt;'foglio deposito'!$F$103,2*'foglio deposito'!$D$104/(-'foglio deposito'!$F$103)*(C65^2/2-(-C65)^3/(-6*'foglio deposito'!$F$103)),2*'foglio deposito'!$D$104/(-'foglio deposito'!$F$103)*('foglio deposito'!$F$103^2/2-(-'foglio deposito'!$F$103)^3/(-6*'foglio deposito'!$F$103))+'foglio deposito'!$D$104*(ABS(C65)-ABS('foglio deposito'!$F$103)))</f>
        <v>9.5141097519749085E-2</v>
      </c>
      <c r="F65" s="273">
        <f>IF(ABS(C65)&lt;ABS('foglio deposito'!$F$103),-2*'foglio deposito'!$D$104/(-'foglio deposito'!$F$103)*(-C65^3/3-(C65)^4/(-8*'foglio deposito'!$F$103)),-(2*'foglio deposito'!$D$104/(-'foglio deposito'!$F$103)*(ABS('foglio deposito'!$F$103)^3/3-ABS('foglio deposito'!$F$103)^4/(-8*'foglio deposito'!$F$103))+'foglio deposito'!$D$104/2*(ABS(C65)^2-ABS('foglio deposito'!$F$103)^2)))</f>
        <v>-3.7452825429107301E-4</v>
      </c>
      <c r="G65" s="258">
        <f>E65/('foglio deposito'!$F$67*'foglio deposito'!$K$60)</f>
        <v>0.45086127929377368</v>
      </c>
      <c r="H65" s="258">
        <f t="shared" si="2"/>
        <v>0.452347992534333</v>
      </c>
      <c r="I65" s="279">
        <f t="shared" si="3"/>
        <v>-3.9365559579899699E-3</v>
      </c>
      <c r="J65" s="280">
        <f t="shared" si="1"/>
        <v>-7.8349846801673619</v>
      </c>
      <c r="K65" s="42"/>
      <c r="Q65" s="37"/>
      <c r="R65" s="37"/>
      <c r="S65" s="37"/>
      <c r="T65" s="37"/>
    </row>
    <row r="66" spans="2:20" x14ac:dyDescent="0.25">
      <c r="B66" s="40">
        <f t="shared" si="0"/>
        <v>60</v>
      </c>
      <c r="C66" s="272">
        <f>'foglio deposito'!$K$60/$B$106*B66</f>
        <v>-7.309892396705037E-3</v>
      </c>
      <c r="D66" s="280">
        <f>IF(C66&gt;'foglio deposito'!$K$59,2*'foglio deposito'!$F$67/'foglio deposito'!$K$59*(C66-C66^2/(2*'foglio deposito'!$K$59)),'foglio deposito'!$F$67)</f>
        <v>-17.320701781544194</v>
      </c>
      <c r="E66" s="273">
        <f>IF(C66&gt;'foglio deposito'!$F$103,2*'foglio deposito'!$D$104/(-'foglio deposito'!$F$103)*(C66^2/2-(-C66)^3/(-6*'foglio deposito'!$F$103)),2*'foglio deposito'!$D$104/(-'foglio deposito'!$F$103)*('foglio deposito'!$F$103^2/2-(-'foglio deposito'!$F$103)^3/(-6*'foglio deposito'!$F$103))+'foglio deposito'!$D$104*(ABS(C66)-ABS('foglio deposito'!$F$103)))</f>
        <v>9.6934774125077922E-2</v>
      </c>
      <c r="F66" s="273">
        <f>IF(ABS(C66)&lt;ABS('foglio deposito'!$F$103),-2*'foglio deposito'!$D$104/(-'foglio deposito'!$F$103)*(-C66^3/3-(C66)^4/(-8*'foglio deposito'!$F$103)),-(2*'foglio deposito'!$D$104/(-'foglio deposito'!$F$103)*(ABS('foglio deposito'!$F$103)^3/3-ABS('foglio deposito'!$F$103)^4/(-8*'foglio deposito'!$F$103))+'foglio deposito'!$D$104/2*(ABS(C66)^2-ABS('foglio deposito'!$F$103)^2)))</f>
        <v>-3.8753057407901867E-4</v>
      </c>
      <c r="G66" s="258">
        <f>E66/('foglio deposito'!$F$67*'foglio deposito'!$K$60)</f>
        <v>0.45936127929377374</v>
      </c>
      <c r="H66" s="258">
        <f t="shared" si="2"/>
        <v>0.4530906036853618</v>
      </c>
      <c r="I66" s="279">
        <f t="shared" si="3"/>
        <v>-3.9978488378069159E-3</v>
      </c>
      <c r="J66" s="280">
        <f t="shared" si="1"/>
        <v>-7.8478472264539807</v>
      </c>
      <c r="K66" s="42"/>
      <c r="Q66" s="37"/>
      <c r="R66" s="37"/>
      <c r="S66" s="37"/>
      <c r="T66" s="37"/>
    </row>
    <row r="67" spans="2:20" x14ac:dyDescent="0.25">
      <c r="B67" s="40">
        <f t="shared" si="0"/>
        <v>61</v>
      </c>
      <c r="C67" s="272">
        <f>'foglio deposito'!$K$60/$B$106*B67</f>
        <v>-7.4317239366501206E-3</v>
      </c>
      <c r="D67" s="280">
        <f>IF(C67&gt;'foglio deposito'!$K$59,2*'foglio deposito'!$F$67/'foglio deposito'!$K$59*(C67-C67^2/(2*'foglio deposito'!$K$59)),'foglio deposito'!$F$67)</f>
        <v>-17.320701781544194</v>
      </c>
      <c r="E67" s="273">
        <f>IF(C67&gt;'foglio deposito'!$F$103,2*'foglio deposito'!$D$104/(-'foglio deposito'!$F$103)*(C67^2/2-(-C67)^3/(-6*'foglio deposito'!$F$103)),2*'foglio deposito'!$D$104/(-'foglio deposito'!$F$103)*('foglio deposito'!$F$103^2/2-(-'foglio deposito'!$F$103)^3/(-6*'foglio deposito'!$F$103))+'foglio deposito'!$D$104*(ABS(C67)-ABS('foglio deposito'!$F$103)))</f>
        <v>9.872845073040673E-2</v>
      </c>
      <c r="F67" s="273">
        <f>IF(ABS(C67)&lt;ABS('foglio deposito'!$F$103),-2*'foglio deposito'!$D$104/(-'foglio deposito'!$F$103)*(-C67^3/3-(C67)^4/(-8*'foglio deposito'!$F$103)),-(2*'foglio deposito'!$D$104/(-'foglio deposito'!$F$103)*(ABS('foglio deposito'!$F$103)^3/3-ABS('foglio deposito'!$F$103)^4/(-8*'foglio deposito'!$F$103))+'foglio deposito'!$D$104/2*(ABS(C67)^2-ABS('foglio deposito'!$F$103)^2)))</f>
        <v>-4.0075142024995482E-4</v>
      </c>
      <c r="G67" s="258">
        <f>E67/('foglio deposito'!$F$67*'foglio deposito'!$K$60)</f>
        <v>0.46786127929377364</v>
      </c>
      <c r="H67" s="258">
        <f t="shared" si="2"/>
        <v>0.45381071071412404</v>
      </c>
      <c r="I67" s="279">
        <f t="shared" si="3"/>
        <v>-4.0591280151277614E-3</v>
      </c>
      <c r="J67" s="280">
        <f t="shared" si="1"/>
        <v>-7.8603199855499657</v>
      </c>
      <c r="K67" s="42"/>
      <c r="Q67" s="37"/>
      <c r="R67" s="37"/>
      <c r="S67" s="37"/>
      <c r="T67" s="37"/>
    </row>
    <row r="68" spans="2:20" x14ac:dyDescent="0.25">
      <c r="B68" s="40">
        <f t="shared" si="0"/>
        <v>62</v>
      </c>
      <c r="C68" s="272">
        <f>'foglio deposito'!$K$60/$B$106*B68</f>
        <v>-7.5535554765952043E-3</v>
      </c>
      <c r="D68" s="280">
        <f>IF(C68&gt;'foglio deposito'!$K$59,2*'foglio deposito'!$F$67/'foglio deposito'!$K$59*(C68-C68^2/(2*'foglio deposito'!$K$59)),'foglio deposito'!$F$67)</f>
        <v>-17.320701781544194</v>
      </c>
      <c r="E68" s="273">
        <f>IF(C68&gt;'foglio deposito'!$F$103,2*'foglio deposito'!$D$104/(-'foglio deposito'!$F$103)*(C68^2/2-(-C68)^3/(-6*'foglio deposito'!$F$103)),2*'foglio deposito'!$D$104/(-'foglio deposito'!$F$103)*('foglio deposito'!$F$103^2/2-(-'foglio deposito'!$F$103)^3/(-6*'foglio deposito'!$F$103))+'foglio deposito'!$D$104*(ABS(C68)-ABS('foglio deposito'!$F$103)))</f>
        <v>0.10052212733573557</v>
      </c>
      <c r="F68" s="273">
        <f>IF(ABS(C68)&lt;ABS('foglio deposito'!$F$103),-2*'foglio deposito'!$D$104/(-'foglio deposito'!$F$103)*(-C68^3/3-(C68)^4/(-8*'foglio deposito'!$F$103)),-(2*'foglio deposito'!$D$104/(-'foglio deposito'!$F$103)*(ABS('foglio deposito'!$F$103)^3/3-ABS('foglio deposito'!$F$103)^4/(-8*'foglio deposito'!$F$103))+'foglio deposito'!$D$104/2*(ABS(C68)^2-ABS('foglio deposito'!$F$103)^2)))</f>
        <v>-4.1419079280388162E-4</v>
      </c>
      <c r="G68" s="258">
        <f>E68/('foglio deposito'!$F$67*'foglio deposito'!$K$60)</f>
        <v>0.4763612792937737</v>
      </c>
      <c r="H68" s="258">
        <f t="shared" si="2"/>
        <v>0.45450930542243706</v>
      </c>
      <c r="I68" s="279">
        <f t="shared" si="3"/>
        <v>-4.1203942234580727E-3</v>
      </c>
      <c r="J68" s="280">
        <f t="shared" si="1"/>
        <v>-7.8724201361588202</v>
      </c>
      <c r="K68" s="42"/>
      <c r="Q68" s="37"/>
      <c r="R68" s="37"/>
      <c r="S68" s="37"/>
      <c r="T68" s="37"/>
    </row>
    <row r="69" spans="2:20" x14ac:dyDescent="0.25">
      <c r="B69" s="40">
        <f t="shared" si="0"/>
        <v>63</v>
      </c>
      <c r="C69" s="272">
        <f>'foglio deposito'!$K$60/$B$106*B69</f>
        <v>-7.6753870165402888E-3</v>
      </c>
      <c r="D69" s="280">
        <f>IF(C69&gt;'foglio deposito'!$K$59,2*'foglio deposito'!$F$67/'foglio deposito'!$K$59*(C69-C69^2/(2*'foglio deposito'!$K$59)),'foglio deposito'!$F$67)</f>
        <v>-17.320701781544194</v>
      </c>
      <c r="E69" s="273">
        <f>IF(C69&gt;'foglio deposito'!$F$103,2*'foglio deposito'!$D$104/(-'foglio deposito'!$F$103)*(C69^2/2-(-C69)^3/(-6*'foglio deposito'!$F$103)),2*'foglio deposito'!$D$104/(-'foglio deposito'!$F$103)*('foglio deposito'!$F$103^2/2-(-'foglio deposito'!$F$103)^3/(-6*'foglio deposito'!$F$103))+'foglio deposito'!$D$104*(ABS(C69)-ABS('foglio deposito'!$F$103)))</f>
        <v>0.1023158039410644</v>
      </c>
      <c r="F69" s="273">
        <f>IF(ABS(C69)&lt;ABS('foglio deposito'!$F$103),-2*'foglio deposito'!$D$104/(-'foglio deposito'!$F$103)*(-C69^3/3-(C69)^4/(-8*'foglio deposito'!$F$103)),-(2*'foglio deposito'!$D$104/(-'foglio deposito'!$F$103)*(ABS('foglio deposito'!$F$103)^3/3-ABS('foglio deposito'!$F$103)^4/(-8*'foglio deposito'!$F$103))+'foglio deposito'!$D$104/2*(ABS(C69)^2-ABS('foglio deposito'!$F$103)^2)))</f>
        <v>-4.2784869174079934E-4</v>
      </c>
      <c r="G69" s="258">
        <f>E69/('foglio deposito'!$F$67*'foglio deposito'!$K$60)</f>
        <v>0.48486127929377376</v>
      </c>
      <c r="H69" s="258">
        <f t="shared" si="2"/>
        <v>0.45518732334195766</v>
      </c>
      <c r="I69" s="279">
        <f t="shared" si="3"/>
        <v>-4.1816481448677008E-3</v>
      </c>
      <c r="J69" s="280">
        <f t="shared" si="1"/>
        <v>-7.884163882345379</v>
      </c>
      <c r="K69" s="42"/>
      <c r="Q69" s="37"/>
      <c r="R69" s="37"/>
      <c r="S69" s="37"/>
      <c r="T69" s="37"/>
    </row>
    <row r="70" spans="2:20" x14ac:dyDescent="0.25">
      <c r="B70" s="40">
        <f t="shared" si="0"/>
        <v>64</v>
      </c>
      <c r="C70" s="272">
        <f>'foglio deposito'!$K$60/$B$106*B70</f>
        <v>-7.7972185564853724E-3</v>
      </c>
      <c r="D70" s="280">
        <f>IF(C70&gt;'foglio deposito'!$K$59,2*'foglio deposito'!$F$67/'foglio deposito'!$K$59*(C70-C70^2/(2*'foglio deposito'!$K$59)),'foglio deposito'!$F$67)</f>
        <v>-17.320701781544194</v>
      </c>
      <c r="E70" s="273">
        <f>IF(C70&gt;'foglio deposito'!$F$103,2*'foglio deposito'!$D$104/(-'foglio deposito'!$F$103)*(C70^2/2-(-C70)^3/(-6*'foglio deposito'!$F$103)),2*'foglio deposito'!$D$104/(-'foglio deposito'!$F$103)*('foglio deposito'!$F$103^2/2-(-'foglio deposito'!$F$103)^3/(-6*'foglio deposito'!$F$103))+'foglio deposito'!$D$104*(ABS(C70)-ABS('foglio deposito'!$F$103)))</f>
        <v>0.10410948054639321</v>
      </c>
      <c r="F70" s="273">
        <f>IF(ABS(C70)&lt;ABS('foglio deposito'!$F$103),-2*'foglio deposito'!$D$104/(-'foglio deposito'!$F$103)*(-C70^3/3-(C70)^4/(-8*'foglio deposito'!$F$103)),-(2*'foglio deposito'!$D$104/(-'foglio deposito'!$F$103)*(ABS('foglio deposito'!$F$103)^3/3-ABS('foglio deposito'!$F$103)^4/(-8*'foglio deposito'!$F$103))+'foglio deposito'!$D$104/2*(ABS(C70)^2-ABS('foglio deposito'!$F$103)^2)))</f>
        <v>-4.4172511706070755E-4</v>
      </c>
      <c r="G70" s="258">
        <f>E70/('foglio deposito'!$F$67*'foglio deposito'!$K$60)</f>
        <v>0.49336127929377366</v>
      </c>
      <c r="H70" s="258">
        <f t="shared" si="2"/>
        <v>0.45584564756202806</v>
      </c>
      <c r="I70" s="279">
        <f t="shared" si="3"/>
        <v>-4.2428904144216359E-3</v>
      </c>
      <c r="J70" s="280">
        <f t="shared" si="1"/>
        <v>-7.8955665198367866</v>
      </c>
      <c r="K70" s="42"/>
      <c r="Q70" s="37"/>
      <c r="R70" s="37"/>
      <c r="S70" s="37"/>
      <c r="T70" s="37"/>
    </row>
    <row r="71" spans="2:20" x14ac:dyDescent="0.25">
      <c r="B71" s="40">
        <f t="shared" ref="B71:B106" si="4">B70+1</f>
        <v>65</v>
      </c>
      <c r="C71" s="272">
        <f>'foglio deposito'!$K$60/$B$106*B71</f>
        <v>-7.919050096430456E-3</v>
      </c>
      <c r="D71" s="280">
        <f>IF(C71&gt;'foglio deposito'!$K$59,2*'foglio deposito'!$F$67/'foglio deposito'!$K$59*(C71-C71^2/(2*'foglio deposito'!$K$59)),'foglio deposito'!$F$67)</f>
        <v>-17.320701781544194</v>
      </c>
      <c r="E71" s="273">
        <f>IF(C71&gt;'foglio deposito'!$F$103,2*'foglio deposito'!$D$104/(-'foglio deposito'!$F$103)*(C71^2/2-(-C71)^3/(-6*'foglio deposito'!$F$103)),2*'foglio deposito'!$D$104/(-'foglio deposito'!$F$103)*('foglio deposito'!$F$103^2/2-(-'foglio deposito'!$F$103)^3/(-6*'foglio deposito'!$F$103))+'foglio deposito'!$D$104*(ABS(C71)-ABS('foglio deposito'!$F$103)))</f>
        <v>0.10590315715172202</v>
      </c>
      <c r="F71" s="273">
        <f>IF(ABS(C71)&lt;ABS('foglio deposito'!$F$103),-2*'foglio deposito'!$D$104/(-'foglio deposito'!$F$103)*(-C71^3/3-(C71)^4/(-8*'foglio deposito'!$F$103)),-(2*'foglio deposito'!$D$104/(-'foglio deposito'!$F$103)*(ABS('foglio deposito'!$F$103)^3/3-ABS('foglio deposito'!$F$103)^4/(-8*'foglio deposito'!$F$103))+'foglio deposito'!$D$104/2*(ABS(C71)^2-ABS('foglio deposito'!$F$103)^2)))</f>
        <v>-4.5582006876360642E-4</v>
      </c>
      <c r="G71" s="258">
        <f>E71/('foglio deposito'!$F$67*'foglio deposito'!$K$60)</f>
        <v>0.50186127929377355</v>
      </c>
      <c r="H71" s="258">
        <f t="shared" si="2"/>
        <v>0.45648511226103827</v>
      </c>
      <c r="I71" s="279">
        <f t="shared" ref="I71:I106" si="5">F71/E71</f>
        <v>-4.3041216241606131E-3</v>
      </c>
      <c r="J71" s="280">
        <f t="shared" ref="J71:J106" si="6">D71*H71</f>
        <v>-7.9066424971881668</v>
      </c>
      <c r="K71" s="42"/>
      <c r="L71" s="37"/>
      <c r="M71" s="37"/>
      <c r="N71" s="37"/>
      <c r="O71" s="37"/>
      <c r="P71" s="37"/>
      <c r="Q71" s="37"/>
      <c r="R71" s="37"/>
      <c r="S71" s="37"/>
      <c r="T71" s="37"/>
    </row>
    <row r="72" spans="2:20" x14ac:dyDescent="0.25">
      <c r="B72" s="40">
        <f t="shared" si="4"/>
        <v>66</v>
      </c>
      <c r="C72" s="272">
        <f>'foglio deposito'!$K$60/$B$106*B72</f>
        <v>-8.0408816363755405E-3</v>
      </c>
      <c r="D72" s="280">
        <f>IF(C72&gt;'foglio deposito'!$K$59,2*'foglio deposito'!$F$67/'foglio deposito'!$K$59*(C72-C72^2/(2*'foglio deposito'!$K$59)),'foglio deposito'!$F$67)</f>
        <v>-17.320701781544194</v>
      </c>
      <c r="E72" s="273">
        <f>IF(C72&gt;'foglio deposito'!$F$103,2*'foglio deposito'!$D$104/(-'foglio deposito'!$F$103)*(C72^2/2-(-C72)^3/(-6*'foglio deposito'!$F$103)),2*'foglio deposito'!$D$104/(-'foglio deposito'!$F$103)*('foglio deposito'!$F$103^2/2-(-'foglio deposito'!$F$103)^3/(-6*'foglio deposito'!$F$103))+'foglio deposito'!$D$104*(ABS(C72)-ABS('foglio deposito'!$F$103)))</f>
        <v>0.10769683375705086</v>
      </c>
      <c r="F72" s="273">
        <f>IF(ABS(C72)&lt;ABS('foglio deposito'!$F$103),-2*'foglio deposito'!$D$104/(-'foglio deposito'!$F$103)*(-C72^3/3-(C72)^4/(-8*'foglio deposito'!$F$103)),-(2*'foglio deposito'!$D$104/(-'foglio deposito'!$F$103)*(ABS('foglio deposito'!$F$103)^3/3-ABS('foglio deposito'!$F$103)^4/(-8*'foglio deposito'!$F$103))+'foglio deposito'!$D$104/2*(ABS(C72)^2-ABS('foglio deposito'!$F$103)^2)))</f>
        <v>-4.701335468494961E-4</v>
      </c>
      <c r="G72" s="258">
        <f>E72/('foglio deposito'!$F$67*'foglio deposito'!$K$60)</f>
        <v>0.51036127929377362</v>
      </c>
      <c r="H72" s="258">
        <f t="shared" ref="H72:H106" si="7">1-(F72/E72)/C72</f>
        <v>0.45710650596622648</v>
      </c>
      <c r="I72" s="279">
        <f t="shared" si="5"/>
        <v>-4.3653423266839233E-3</v>
      </c>
      <c r="J72" s="280">
        <f t="shared" si="6"/>
        <v>-7.9174054722446607</v>
      </c>
      <c r="K72" s="42"/>
      <c r="L72" s="37"/>
      <c r="M72" s="37"/>
      <c r="N72" s="37"/>
      <c r="O72" s="37"/>
      <c r="P72" s="37"/>
      <c r="Q72" s="37"/>
      <c r="R72" s="37"/>
      <c r="S72" s="37"/>
      <c r="T72" s="37"/>
    </row>
    <row r="73" spans="2:20" x14ac:dyDescent="0.25">
      <c r="B73" s="40">
        <f t="shared" si="4"/>
        <v>67</v>
      </c>
      <c r="C73" s="272">
        <f>'foglio deposito'!$K$60/$B$106*B73</f>
        <v>-8.162713176320625E-3</v>
      </c>
      <c r="D73" s="280">
        <f>IF(C73&gt;'foglio deposito'!$K$59,2*'foglio deposito'!$F$67/'foglio deposito'!$K$59*(C73-C73^2/(2*'foglio deposito'!$K$59)),'foglio deposito'!$F$67)</f>
        <v>-17.320701781544194</v>
      </c>
      <c r="E73" s="273">
        <f>IF(C73&gt;'foglio deposito'!$F$103,2*'foglio deposito'!$D$104/(-'foglio deposito'!$F$103)*(C73^2/2-(-C73)^3/(-6*'foglio deposito'!$F$103)),2*'foglio deposito'!$D$104/(-'foglio deposito'!$F$103)*('foglio deposito'!$F$103^2/2-(-'foglio deposito'!$F$103)^3/(-6*'foglio deposito'!$F$103))+'foglio deposito'!$D$104*(ABS(C73)-ABS('foglio deposito'!$F$103)))</f>
        <v>0.10949051036237969</v>
      </c>
      <c r="F73" s="273">
        <f>IF(ABS(C73)&lt;ABS('foglio deposito'!$F$103),-2*'foglio deposito'!$D$104/(-'foglio deposito'!$F$103)*(-C73^3/3-(C73)^4/(-8*'foglio deposito'!$F$103)),-(2*'foglio deposito'!$D$104/(-'foglio deposito'!$F$103)*(ABS('foglio deposito'!$F$103)^3/3-ABS('foglio deposito'!$F$103)^4/(-8*'foglio deposito'!$F$103))+'foglio deposito'!$D$104/2*(ABS(C73)^2-ABS('foglio deposito'!$F$103)^2)))</f>
        <v>-4.8466555131837643E-4</v>
      </c>
      <c r="G73" s="258">
        <f>E73/('foglio deposito'!$F$67*'foglio deposito'!$K$60)</f>
        <v>0.51886127929377368</v>
      </c>
      <c r="H73" s="258">
        <f t="shared" si="7"/>
        <v>0.45771057456469921</v>
      </c>
      <c r="I73" s="279">
        <f t="shared" si="5"/>
        <v>-4.4265530383800706E-3</v>
      </c>
      <c r="J73" s="280">
        <f t="shared" si="6"/>
        <v>-7.9278683642944028</v>
      </c>
      <c r="K73" s="42"/>
      <c r="L73" s="37"/>
      <c r="M73" s="37"/>
      <c r="N73" s="37"/>
      <c r="O73" s="37"/>
      <c r="P73" s="37"/>
      <c r="Q73" s="37"/>
      <c r="R73" s="37"/>
      <c r="S73" s="37"/>
      <c r="T73" s="37"/>
    </row>
    <row r="74" spans="2:20" x14ac:dyDescent="0.25">
      <c r="B74" s="40">
        <f t="shared" si="4"/>
        <v>68</v>
      </c>
      <c r="C74" s="272">
        <f>'foglio deposito'!$K$60/$B$106*B74</f>
        <v>-8.2845447162657078E-3</v>
      </c>
      <c r="D74" s="280">
        <f>IF(C74&gt;'foglio deposito'!$K$59,2*'foglio deposito'!$F$67/'foglio deposito'!$K$59*(C74-C74^2/(2*'foglio deposito'!$K$59)),'foglio deposito'!$F$67)</f>
        <v>-17.320701781544194</v>
      </c>
      <c r="E74" s="273">
        <f>IF(C74&gt;'foglio deposito'!$F$103,2*'foglio deposito'!$D$104/(-'foglio deposito'!$F$103)*(C74^2/2-(-C74)^3/(-6*'foglio deposito'!$F$103)),2*'foglio deposito'!$D$104/(-'foglio deposito'!$F$103)*('foglio deposito'!$F$103^2/2-(-'foglio deposito'!$F$103)^3/(-6*'foglio deposito'!$F$103))+'foglio deposito'!$D$104*(ABS(C74)-ABS('foglio deposito'!$F$103)))</f>
        <v>0.1112841869677085</v>
      </c>
      <c r="F74" s="273">
        <f>IF(ABS(C74)&lt;ABS('foglio deposito'!$F$103),-2*'foglio deposito'!$D$104/(-'foglio deposito'!$F$103)*(-C74^3/3-(C74)^4/(-8*'foglio deposito'!$F$103)),-(2*'foglio deposito'!$D$104/(-'foglio deposito'!$F$103)*(ABS('foglio deposito'!$F$103)^3/3-ABS('foglio deposito'!$F$103)^4/(-8*'foglio deposito'!$F$103))+'foglio deposito'!$D$104/2*(ABS(C74)^2-ABS('foglio deposito'!$F$103)^2)))</f>
        <v>-4.9941608217024731E-4</v>
      </c>
      <c r="G74" s="258">
        <f>E74/('foglio deposito'!$F$67*'foglio deposito'!$K$60)</f>
        <v>0.52736127929377363</v>
      </c>
      <c r="H74" s="258">
        <f t="shared" si="7"/>
        <v>0.45829802408648623</v>
      </c>
      <c r="I74" s="279">
        <f t="shared" si="5"/>
        <v>-4.4877542423449939E-3</v>
      </c>
      <c r="J74" s="280">
        <f t="shared" si="6"/>
        <v>-7.938043402272986</v>
      </c>
      <c r="K74" s="42"/>
      <c r="L74" s="37"/>
      <c r="M74" s="37"/>
      <c r="N74" s="37"/>
      <c r="O74" s="37"/>
      <c r="P74" s="37"/>
      <c r="Q74" s="37"/>
      <c r="R74" s="37"/>
      <c r="S74" s="37"/>
      <c r="T74" s="37"/>
    </row>
    <row r="75" spans="2:20" x14ac:dyDescent="0.25">
      <c r="B75" s="40">
        <f t="shared" si="4"/>
        <v>69</v>
      </c>
      <c r="C75" s="272">
        <f>'foglio deposito'!$K$60/$B$106*B75</f>
        <v>-8.4063762562107923E-3</v>
      </c>
      <c r="D75" s="280">
        <f>IF(C75&gt;'foglio deposito'!$K$59,2*'foglio deposito'!$F$67/'foglio deposito'!$K$59*(C75-C75^2/(2*'foglio deposito'!$K$59)),'foglio deposito'!$F$67)</f>
        <v>-17.320701781544194</v>
      </c>
      <c r="E75" s="273">
        <f>IF(C75&gt;'foglio deposito'!$F$103,2*'foglio deposito'!$D$104/(-'foglio deposito'!$F$103)*(C75^2/2-(-C75)^3/(-6*'foglio deposito'!$F$103)),2*'foglio deposito'!$D$104/(-'foglio deposito'!$F$103)*('foglio deposito'!$F$103^2/2-(-'foglio deposito'!$F$103)^3/(-6*'foglio deposito'!$F$103))+'foglio deposito'!$D$104*(ABS(C75)-ABS('foglio deposito'!$F$103)))</f>
        <v>0.11307786357303734</v>
      </c>
      <c r="F75" s="273">
        <f>IF(ABS(C75)&lt;ABS('foglio deposito'!$F$103),-2*'foglio deposito'!$D$104/(-'foglio deposito'!$F$103)*(-C75^3/3-(C75)^4/(-8*'foglio deposito'!$F$103)),-(2*'foglio deposito'!$D$104/(-'foglio deposito'!$F$103)*(ABS('foglio deposito'!$F$103)^3/3-ABS('foglio deposito'!$F$103)^4/(-8*'foglio deposito'!$F$103))+'foglio deposito'!$D$104/2*(ABS(C75)^2-ABS('foglio deposito'!$F$103)^2)))</f>
        <v>-5.14385139405109E-4</v>
      </c>
      <c r="G75" s="258">
        <f>E75/('foglio deposito'!$F$67*'foglio deposito'!$K$60)</f>
        <v>0.5358612792937737</v>
      </c>
      <c r="H75" s="258">
        <f t="shared" si="7"/>
        <v>0.45886952327862962</v>
      </c>
      <c r="I75" s="279">
        <f t="shared" si="5"/>
        <v>-4.5489463910225545E-3</v>
      </c>
      <c r="J75" s="280">
        <f t="shared" si="6"/>
        <v>-7.9479421693484955</v>
      </c>
      <c r="K75" s="42"/>
      <c r="L75" s="37"/>
      <c r="M75" s="37"/>
      <c r="N75" s="37"/>
      <c r="O75" s="37"/>
      <c r="P75" s="37"/>
      <c r="Q75" s="37"/>
      <c r="R75" s="37"/>
      <c r="S75" s="37"/>
      <c r="T75" s="37"/>
    </row>
    <row r="76" spans="2:20" x14ac:dyDescent="0.25">
      <c r="B76" s="40">
        <f t="shared" si="4"/>
        <v>70</v>
      </c>
      <c r="C76" s="272">
        <f>'foglio deposito'!$K$60/$B$106*B76</f>
        <v>-8.5282077961558768E-3</v>
      </c>
      <c r="D76" s="280">
        <f>IF(C76&gt;'foglio deposito'!$K$59,2*'foglio deposito'!$F$67/'foglio deposito'!$K$59*(C76-C76^2/(2*'foglio deposito'!$K$59)),'foglio deposito'!$F$67)</f>
        <v>-17.320701781544194</v>
      </c>
      <c r="E76" s="273">
        <f>IF(C76&gt;'foglio deposito'!$F$103,2*'foglio deposito'!$D$104/(-'foglio deposito'!$F$103)*(C76^2/2-(-C76)^3/(-6*'foglio deposito'!$F$103)),2*'foglio deposito'!$D$104/(-'foglio deposito'!$F$103)*('foglio deposito'!$F$103^2/2-(-'foglio deposito'!$F$103)^3/(-6*'foglio deposito'!$F$103))+'foglio deposito'!$D$104*(ABS(C76)-ABS('foglio deposito'!$F$103)))</f>
        <v>0.11487154017836618</v>
      </c>
      <c r="F76" s="273">
        <f>IF(ABS(C76)&lt;ABS('foglio deposito'!$F$103),-2*'foglio deposito'!$D$104/(-'foglio deposito'!$F$103)*(-C76^3/3-(C76)^4/(-8*'foglio deposito'!$F$103)),-(2*'foglio deposito'!$D$104/(-'foglio deposito'!$F$103)*(ABS('foglio deposito'!$F$103)^3/3-ABS('foglio deposito'!$F$103)^4/(-8*'foglio deposito'!$F$103))+'foglio deposito'!$D$104/2*(ABS(C76)^2-ABS('foglio deposito'!$F$103)^2)))</f>
        <v>-5.2957272302296145E-4</v>
      </c>
      <c r="G76" s="258">
        <f>E76/('foglio deposito'!$F$67*'foglio deposito'!$K$60)</f>
        <v>0.54436127929377376</v>
      </c>
      <c r="H76" s="258">
        <f t="shared" si="7"/>
        <v>0.4594257059876431</v>
      </c>
      <c r="I76" s="279">
        <f t="shared" si="5"/>
        <v>-4.6101299085976408E-3</v>
      </c>
      <c r="J76" s="280">
        <f t="shared" si="6"/>
        <v>-7.9575756441873686</v>
      </c>
      <c r="K76" s="42"/>
      <c r="L76" s="37"/>
      <c r="M76" s="37"/>
      <c r="N76" s="37"/>
      <c r="O76" s="37"/>
      <c r="P76" s="37"/>
      <c r="Q76" s="37"/>
      <c r="R76" s="37"/>
      <c r="S76" s="37"/>
      <c r="T76" s="37"/>
    </row>
    <row r="77" spans="2:20" x14ac:dyDescent="0.25">
      <c r="B77" s="40">
        <f t="shared" si="4"/>
        <v>71</v>
      </c>
      <c r="C77" s="272">
        <f>'foglio deposito'!$K$60/$B$106*B77</f>
        <v>-8.6500393361009596E-3</v>
      </c>
      <c r="D77" s="280">
        <f>IF(C77&gt;'foglio deposito'!$K$59,2*'foglio deposito'!$F$67/'foglio deposito'!$K$59*(C77-C77^2/(2*'foglio deposito'!$K$59)),'foglio deposito'!$F$67)</f>
        <v>-17.320701781544194</v>
      </c>
      <c r="E77" s="273">
        <f>IF(C77&gt;'foglio deposito'!$F$103,2*'foglio deposito'!$D$104/(-'foglio deposito'!$F$103)*(C77^2/2-(-C77)^3/(-6*'foglio deposito'!$F$103)),2*'foglio deposito'!$D$104/(-'foglio deposito'!$F$103)*('foglio deposito'!$F$103^2/2-(-'foglio deposito'!$F$103)^3/(-6*'foglio deposito'!$F$103))+'foglio deposito'!$D$104*(ABS(C77)-ABS('foglio deposito'!$F$103)))</f>
        <v>0.11666521678369499</v>
      </c>
      <c r="F77" s="273">
        <f>IF(ABS(C77)&lt;ABS('foglio deposito'!$F$103),-2*'foglio deposito'!$D$104/(-'foglio deposito'!$F$103)*(-C77^3/3-(C77)^4/(-8*'foglio deposito'!$F$103)),-(2*'foglio deposito'!$D$104/(-'foglio deposito'!$F$103)*(ABS('foglio deposito'!$F$103)^3/3-ABS('foglio deposito'!$F$103)^4/(-8*'foglio deposito'!$F$103))+'foglio deposito'!$D$104/2*(ABS(C77)^2-ABS('foglio deposito'!$F$103)^2)))</f>
        <v>-5.4497883302380434E-4</v>
      </c>
      <c r="G77" s="258">
        <f>E77/('foglio deposito'!$F$67*'foglio deposito'!$K$60)</f>
        <v>0.55286127929377371</v>
      </c>
      <c r="H77" s="258">
        <f t="shared" si="7"/>
        <v>0.45996717336615955</v>
      </c>
      <c r="I77" s="279">
        <f t="shared" si="5"/>
        <v>-4.6713051931685096E-3</v>
      </c>
      <c r="J77" s="280">
        <f t="shared" si="6"/>
        <v>-7.9669542391750872</v>
      </c>
      <c r="K77" s="42"/>
      <c r="L77" s="37"/>
      <c r="M77" s="37"/>
      <c r="N77" s="37"/>
      <c r="O77" s="37"/>
      <c r="P77" s="37"/>
      <c r="Q77" s="37"/>
      <c r="R77" s="37"/>
      <c r="S77" s="37"/>
      <c r="T77" s="37"/>
    </row>
    <row r="78" spans="2:20" x14ac:dyDescent="0.25">
      <c r="B78" s="40">
        <f t="shared" si="4"/>
        <v>72</v>
      </c>
      <c r="C78" s="272">
        <f>'foglio deposito'!$K$60/$B$106*B78</f>
        <v>-8.7718708760460441E-3</v>
      </c>
      <c r="D78" s="280">
        <f>IF(C78&gt;'foglio deposito'!$K$59,2*'foglio deposito'!$F$67/'foglio deposito'!$K$59*(C78-C78^2/(2*'foglio deposito'!$K$59)),'foglio deposito'!$F$67)</f>
        <v>-17.320701781544194</v>
      </c>
      <c r="E78" s="273">
        <f>IF(C78&gt;'foglio deposito'!$F$103,2*'foglio deposito'!$D$104/(-'foglio deposito'!$F$103)*(C78^2/2-(-C78)^3/(-6*'foglio deposito'!$F$103)),2*'foglio deposito'!$D$104/(-'foglio deposito'!$F$103)*('foglio deposito'!$F$103^2/2-(-'foglio deposito'!$F$103)^3/(-6*'foglio deposito'!$F$103))+'foglio deposito'!$D$104*(ABS(C78)-ABS('foglio deposito'!$F$103)))</f>
        <v>0.11845889338902382</v>
      </c>
      <c r="F78" s="273">
        <f>IF(ABS(C78)&lt;ABS('foglio deposito'!$F$103),-2*'foglio deposito'!$D$104/(-'foglio deposito'!$F$103)*(-C78^3/3-(C78)^4/(-8*'foglio deposito'!$F$103)),-(2*'foglio deposito'!$D$104/(-'foglio deposito'!$F$103)*(ABS('foglio deposito'!$F$103)^3/3-ABS('foglio deposito'!$F$103)^4/(-8*'foglio deposito'!$F$103))+'foglio deposito'!$D$104/2*(ABS(C78)^2-ABS('foglio deposito'!$F$103)^2)))</f>
        <v>-5.606034694076381E-4</v>
      </c>
      <c r="G78" s="258">
        <f>E78/('foglio deposito'!$F$67*'foglio deposito'!$K$60)</f>
        <v>0.56136127929377377</v>
      </c>
      <c r="H78" s="258">
        <f t="shared" si="7"/>
        <v>0.46049449591818836</v>
      </c>
      <c r="I78" s="279">
        <f t="shared" si="5"/>
        <v>-4.7324726187217836E-3</v>
      </c>
      <c r="J78" s="280">
        <f t="shared" si="6"/>
        <v>-7.9760878358414606</v>
      </c>
      <c r="K78" s="42"/>
      <c r="L78" s="37"/>
      <c r="M78" s="37"/>
      <c r="N78" s="37"/>
      <c r="O78" s="37"/>
      <c r="P78" s="37"/>
      <c r="Q78" s="37"/>
      <c r="R78" s="37"/>
      <c r="S78" s="37"/>
      <c r="T78" s="37"/>
    </row>
    <row r="79" spans="2:20" x14ac:dyDescent="0.25">
      <c r="B79" s="40">
        <f t="shared" si="4"/>
        <v>73</v>
      </c>
      <c r="C79" s="272">
        <f>'foglio deposito'!$K$60/$B$106*B79</f>
        <v>-8.8937024159911286E-3</v>
      </c>
      <c r="D79" s="280">
        <f>IF(C79&gt;'foglio deposito'!$K$59,2*'foglio deposito'!$F$67/'foglio deposito'!$K$59*(C79-C79^2/(2*'foglio deposito'!$K$59)),'foglio deposito'!$F$67)</f>
        <v>-17.320701781544194</v>
      </c>
      <c r="E79" s="273">
        <f>IF(C79&gt;'foglio deposito'!$F$103,2*'foglio deposito'!$D$104/(-'foglio deposito'!$F$103)*(C79^2/2-(-C79)^3/(-6*'foglio deposito'!$F$103)),2*'foglio deposito'!$D$104/(-'foglio deposito'!$F$103)*('foglio deposito'!$F$103^2/2-(-'foglio deposito'!$F$103)^3/(-6*'foglio deposito'!$F$103))+'foglio deposito'!$D$104*(ABS(C79)-ABS('foglio deposito'!$F$103)))</f>
        <v>0.12025256999435266</v>
      </c>
      <c r="F79" s="273">
        <f>IF(ABS(C79)&lt;ABS('foglio deposito'!$F$103),-2*'foglio deposito'!$D$104/(-'foglio deposito'!$F$103)*(-C79^3/3-(C79)^4/(-8*'foglio deposito'!$F$103)),-(2*'foglio deposito'!$D$104/(-'foglio deposito'!$F$103)*(ABS('foglio deposito'!$F$103)^3/3-ABS('foglio deposito'!$F$103)^4/(-8*'foglio deposito'!$F$103))+'foglio deposito'!$D$104/2*(ABS(C79)^2-ABS('foglio deposito'!$F$103)^2)))</f>
        <v>-5.7644663217446251E-4</v>
      </c>
      <c r="G79" s="258">
        <f>E79/('foglio deposito'!$F$67*'foglio deposito'!$K$60)</f>
        <v>0.56986127929377373</v>
      </c>
      <c r="H79" s="258">
        <f t="shared" si="7"/>
        <v>0.46100821539614478</v>
      </c>
      <c r="I79" s="279">
        <f t="shared" si="5"/>
        <v>-4.7936325369306769E-3</v>
      </c>
      <c r="J79" s="280">
        <f t="shared" si="6"/>
        <v>-7.9849858177185142</v>
      </c>
      <c r="K79" s="42"/>
      <c r="L79" s="37"/>
      <c r="M79" s="37"/>
      <c r="N79" s="37"/>
      <c r="O79" s="37"/>
      <c r="P79" s="37"/>
      <c r="Q79" s="37"/>
      <c r="R79" s="37"/>
      <c r="S79" s="37"/>
      <c r="T79" s="37"/>
    </row>
    <row r="80" spans="2:20" x14ac:dyDescent="0.25">
      <c r="B80" s="40">
        <f t="shared" si="4"/>
        <v>74</v>
      </c>
      <c r="C80" s="272">
        <f>'foglio deposito'!$K$60/$B$106*B80</f>
        <v>-9.0155339559362113E-3</v>
      </c>
      <c r="D80" s="280">
        <f>IF(C80&gt;'foglio deposito'!$K$59,2*'foglio deposito'!$F$67/'foglio deposito'!$K$59*(C80-C80^2/(2*'foglio deposito'!$K$59)),'foglio deposito'!$F$67)</f>
        <v>-17.320701781544194</v>
      </c>
      <c r="E80" s="273">
        <f>IF(C80&gt;'foglio deposito'!$F$103,2*'foglio deposito'!$D$104/(-'foglio deposito'!$F$103)*(C80^2/2-(-C80)^3/(-6*'foglio deposito'!$F$103)),2*'foglio deposito'!$D$104/(-'foglio deposito'!$F$103)*('foglio deposito'!$F$103^2/2-(-'foglio deposito'!$F$103)^3/(-6*'foglio deposito'!$F$103))+'foglio deposito'!$D$104*(ABS(C80)-ABS('foglio deposito'!$F$103)))</f>
        <v>0.12204624659968147</v>
      </c>
      <c r="F80" s="273">
        <f>IF(ABS(C80)&lt;ABS('foglio deposito'!$F$103),-2*'foglio deposito'!$D$104/(-'foglio deposito'!$F$103)*(-C80^3/3-(C80)^4/(-8*'foglio deposito'!$F$103)),-(2*'foglio deposito'!$D$104/(-'foglio deposito'!$F$103)*(ABS('foglio deposito'!$F$103)^3/3-ABS('foglio deposito'!$F$103)^4/(-8*'foglio deposito'!$F$103))+'foglio deposito'!$D$104/2*(ABS(C80)^2-ABS('foglio deposito'!$F$103)^2)))</f>
        <v>-5.9250832132427746E-4</v>
      </c>
      <c r="G80" s="258">
        <f>E80/('foglio deposito'!$F$67*'foglio deposito'!$K$60)</f>
        <v>0.57836127929377368</v>
      </c>
      <c r="H80" s="258">
        <f t="shared" si="7"/>
        <v>0.46150884656165359</v>
      </c>
      <c r="I80" s="279">
        <f t="shared" si="5"/>
        <v>-4.8547852787946683E-3</v>
      </c>
      <c r="J80" s="280">
        <f t="shared" si="6"/>
        <v>-7.9936571008388393</v>
      </c>
      <c r="K80" s="42"/>
      <c r="L80" s="37"/>
      <c r="M80" s="37"/>
      <c r="N80" s="37"/>
      <c r="O80" s="37"/>
      <c r="P80" s="37"/>
      <c r="Q80" s="37"/>
      <c r="R80" s="37"/>
      <c r="S80" s="37"/>
      <c r="T80" s="37"/>
    </row>
    <row r="81" spans="2:20" x14ac:dyDescent="0.25">
      <c r="B81" s="40">
        <f t="shared" si="4"/>
        <v>75</v>
      </c>
      <c r="C81" s="272">
        <f>'foglio deposito'!$K$60/$B$106*B81</f>
        <v>-9.1373654958812958E-3</v>
      </c>
      <c r="D81" s="280">
        <f>IF(C81&gt;'foglio deposito'!$K$59,2*'foglio deposito'!$F$67/'foglio deposito'!$K$59*(C81-C81^2/(2*'foglio deposito'!$K$59)),'foglio deposito'!$F$67)</f>
        <v>-17.320701781544194</v>
      </c>
      <c r="E81" s="273">
        <f>IF(C81&gt;'foglio deposito'!$F$103,2*'foglio deposito'!$D$104/(-'foglio deposito'!$F$103)*(C81^2/2-(-C81)^3/(-6*'foglio deposito'!$F$103)),2*'foglio deposito'!$D$104/(-'foglio deposito'!$F$103)*('foglio deposito'!$F$103^2/2-(-'foglio deposito'!$F$103)^3/(-6*'foglio deposito'!$F$103))+'foglio deposito'!$D$104*(ABS(C81)-ABS('foglio deposito'!$F$103)))</f>
        <v>0.12383992320501028</v>
      </c>
      <c r="F81" s="273">
        <f>IF(ABS(C81)&lt;ABS('foglio deposito'!$F$103),-2*'foglio deposito'!$D$104/(-'foglio deposito'!$F$103)*(-C81^3/3-(C81)^4/(-8*'foglio deposito'!$F$103)),-(2*'foglio deposito'!$D$104/(-'foglio deposito'!$F$103)*(ABS('foglio deposito'!$F$103)^3/3-ABS('foglio deposito'!$F$103)^4/(-8*'foglio deposito'!$F$103))+'foglio deposito'!$D$104/2*(ABS(C81)^2-ABS('foglio deposito'!$F$103)^2)))</f>
        <v>-6.0878853685708328E-4</v>
      </c>
      <c r="G81" s="258">
        <f>E81/('foglio deposito'!$F$67*'foglio deposito'!$K$60)</f>
        <v>0.58686127929377363</v>
      </c>
      <c r="H81" s="258">
        <f t="shared" si="7"/>
        <v>0.46199687882108342</v>
      </c>
      <c r="I81" s="279">
        <f t="shared" si="5"/>
        <v>-4.9159311561366758E-3</v>
      </c>
      <c r="J81" s="280">
        <f t="shared" si="6"/>
        <v>-8.0021101620641968</v>
      </c>
      <c r="K81" s="42"/>
      <c r="L81" s="37"/>
      <c r="M81" s="37"/>
      <c r="N81" s="37"/>
      <c r="O81" s="37"/>
      <c r="P81" s="37"/>
      <c r="Q81" s="37"/>
      <c r="R81" s="37"/>
      <c r="S81" s="37"/>
      <c r="T81" s="37"/>
    </row>
    <row r="82" spans="2:20" x14ac:dyDescent="0.25">
      <c r="B82" s="40">
        <f t="shared" si="4"/>
        <v>76</v>
      </c>
      <c r="C82" s="272">
        <f>'foglio deposito'!$K$60/$B$106*B82</f>
        <v>-9.2591970358263803E-3</v>
      </c>
      <c r="D82" s="280">
        <f>IF(C82&gt;'foglio deposito'!$K$59,2*'foglio deposito'!$F$67/'foglio deposito'!$K$59*(C82-C82^2/(2*'foglio deposito'!$K$59)),'foglio deposito'!$F$67)</f>
        <v>-17.320701781544194</v>
      </c>
      <c r="E82" s="273">
        <f>IF(C82&gt;'foglio deposito'!$F$103,2*'foglio deposito'!$D$104/(-'foglio deposito'!$F$103)*(C82^2/2-(-C82)^3/(-6*'foglio deposito'!$F$103)),2*'foglio deposito'!$D$104/(-'foglio deposito'!$F$103)*('foglio deposito'!$F$103^2/2-(-'foglio deposito'!$F$103)^3/(-6*'foglio deposito'!$F$103))+'foglio deposito'!$D$104*(ABS(C82)-ABS('foglio deposito'!$F$103)))</f>
        <v>0.12563359981033911</v>
      </c>
      <c r="F82" s="273">
        <f>IF(ABS(C82)&lt;ABS('foglio deposito'!$F$103),-2*'foglio deposito'!$D$104/(-'foglio deposito'!$F$103)*(-C82^3/3-(C82)^4/(-8*'foglio deposito'!$F$103)),-(2*'foglio deposito'!$D$104/(-'foglio deposito'!$F$103)*(ABS('foglio deposito'!$F$103)^3/3-ABS('foglio deposito'!$F$103)^4/(-8*'foglio deposito'!$F$103))+'foglio deposito'!$D$104/2*(ABS(C82)^2-ABS('foglio deposito'!$F$103)^2)))</f>
        <v>-6.2528727877287987E-4</v>
      </c>
      <c r="G82" s="258">
        <f>E82/('foglio deposito'!$F$67*'foglio deposito'!$K$60)</f>
        <v>0.59536127929377369</v>
      </c>
      <c r="H82" s="258">
        <f t="shared" si="7"/>
        <v>0.4624727777458113</v>
      </c>
      <c r="I82" s="279">
        <f t="shared" si="5"/>
        <v>-4.9770704629719716E-3</v>
      </c>
      <c r="J82" s="280">
        <f t="shared" si="6"/>
        <v>-8.0103530654175668</v>
      </c>
      <c r="K82" s="42"/>
      <c r="L82" s="37"/>
      <c r="M82" s="37"/>
      <c r="N82" s="37"/>
      <c r="O82" s="37"/>
      <c r="P82" s="37"/>
      <c r="Q82" s="37"/>
      <c r="R82" s="37"/>
      <c r="S82" s="37"/>
      <c r="T82" s="37"/>
    </row>
    <row r="83" spans="2:20" x14ac:dyDescent="0.25">
      <c r="B83" s="40">
        <f t="shared" si="4"/>
        <v>77</v>
      </c>
      <c r="C83" s="272">
        <f>'foglio deposito'!$K$60/$B$106*B83</f>
        <v>-9.3810285757714631E-3</v>
      </c>
      <c r="D83" s="280">
        <f>IF(C83&gt;'foglio deposito'!$K$59,2*'foglio deposito'!$F$67/'foglio deposito'!$K$59*(C83-C83^2/(2*'foglio deposito'!$K$59)),'foglio deposito'!$F$67)</f>
        <v>-17.320701781544194</v>
      </c>
      <c r="E83" s="273">
        <f>IF(C83&gt;'foglio deposito'!$F$103,2*'foglio deposito'!$D$104/(-'foglio deposito'!$F$103)*(C83^2/2-(-C83)^3/(-6*'foglio deposito'!$F$103)),2*'foglio deposito'!$D$104/(-'foglio deposito'!$F$103)*('foglio deposito'!$F$103^2/2-(-'foglio deposito'!$F$103)^3/(-6*'foglio deposito'!$F$103))+'foglio deposito'!$D$104*(ABS(C83)-ABS('foglio deposito'!$F$103)))</f>
        <v>0.12742727641566792</v>
      </c>
      <c r="F83" s="273">
        <f>IF(ABS(C83)&lt;ABS('foglio deposito'!$F$103),-2*'foglio deposito'!$D$104/(-'foglio deposito'!$F$103)*(-C83^3/3-(C83)^4/(-8*'foglio deposito'!$F$103)),-(2*'foglio deposito'!$D$104/(-'foglio deposito'!$F$103)*(ABS('foglio deposito'!$F$103)^3/3-ABS('foglio deposito'!$F$103)^4/(-8*'foglio deposito'!$F$103))+'foglio deposito'!$D$104/2*(ABS(C83)^2-ABS('foglio deposito'!$F$103)^2)))</f>
        <v>-6.4200454707166678E-4</v>
      </c>
      <c r="G83" s="258">
        <f>E83/('foglio deposito'!$F$67*'foglio deposito'!$K$60)</f>
        <v>0.60386127929377365</v>
      </c>
      <c r="H83" s="258">
        <f t="shared" si="7"/>
        <v>0.46293698648634851</v>
      </c>
      <c r="I83" s="279">
        <f t="shared" si="5"/>
        <v>-5.0382034767614998E-3</v>
      </c>
      <c r="J83" s="280">
        <f t="shared" si="6"/>
        <v>-8.0183934865767981</v>
      </c>
      <c r="K83" s="42"/>
      <c r="L83" s="37"/>
      <c r="M83" s="37"/>
      <c r="N83" s="37"/>
      <c r="O83" s="37"/>
      <c r="P83" s="37"/>
      <c r="Q83" s="37"/>
      <c r="R83" s="37"/>
      <c r="S83" s="37"/>
      <c r="T83" s="37"/>
    </row>
    <row r="84" spans="2:20" x14ac:dyDescent="0.25">
      <c r="B84" s="40">
        <f t="shared" si="4"/>
        <v>78</v>
      </c>
      <c r="C84" s="272">
        <f>'foglio deposito'!$K$60/$B$106*B84</f>
        <v>-9.5028601157165476E-3</v>
      </c>
      <c r="D84" s="280">
        <f>IF(C84&gt;'foglio deposito'!$K$59,2*'foglio deposito'!$F$67/'foglio deposito'!$K$59*(C84-C84^2/(2*'foglio deposito'!$K$59)),'foglio deposito'!$F$67)</f>
        <v>-17.320701781544194</v>
      </c>
      <c r="E84" s="273">
        <f>IF(C84&gt;'foglio deposito'!$F$103,2*'foglio deposito'!$D$104/(-'foglio deposito'!$F$103)*(C84^2/2-(-C84)^3/(-6*'foglio deposito'!$F$103)),2*'foglio deposito'!$D$104/(-'foglio deposito'!$F$103)*('foglio deposito'!$F$103^2/2-(-'foglio deposito'!$F$103)^3/(-6*'foglio deposito'!$F$103))+'foglio deposito'!$D$104*(ABS(C84)-ABS('foglio deposito'!$F$103)))</f>
        <v>0.12922095302099676</v>
      </c>
      <c r="F84" s="273">
        <f>IF(ABS(C84)&lt;ABS('foglio deposito'!$F$103),-2*'foglio deposito'!$D$104/(-'foglio deposito'!$F$103)*(-C84^3/3-(C84)^4/(-8*'foglio deposito'!$F$103)),-(2*'foglio deposito'!$D$104/(-'foglio deposito'!$F$103)*(ABS('foglio deposito'!$F$103)^3/3-ABS('foglio deposito'!$F$103)^4/(-8*'foglio deposito'!$F$103))+'foglio deposito'!$D$104/2*(ABS(C84)^2-ABS('foglio deposito'!$F$103)^2)))</f>
        <v>-6.5894034175344467E-4</v>
      </c>
      <c r="G84" s="258">
        <f>E84/('foglio deposito'!$F$67*'foglio deposito'!$K$60)</f>
        <v>0.61236127929377371</v>
      </c>
      <c r="H84" s="258">
        <f t="shared" si="7"/>
        <v>0.46338992708867222</v>
      </c>
      <c r="I84" s="279">
        <f t="shared" si="5"/>
        <v>-5.0993304595608052E-3</v>
      </c>
      <c r="J84" s="280">
        <f t="shared" si="6"/>
        <v>-8.0262387356743989</v>
      </c>
      <c r="K84" s="42"/>
      <c r="L84" s="37"/>
      <c r="M84" s="37"/>
      <c r="N84" s="37"/>
      <c r="O84" s="37"/>
      <c r="P84" s="37"/>
      <c r="Q84" s="37"/>
      <c r="R84" s="37"/>
      <c r="S84" s="37"/>
      <c r="T84" s="37"/>
    </row>
    <row r="85" spans="2:20" x14ac:dyDescent="0.25">
      <c r="B85" s="40">
        <f t="shared" si="4"/>
        <v>79</v>
      </c>
      <c r="C85" s="272">
        <f>'foglio deposito'!$K$60/$B$106*B85</f>
        <v>-9.6246916556616321E-3</v>
      </c>
      <c r="D85" s="280">
        <f>IF(C85&gt;'foglio deposito'!$K$59,2*'foglio deposito'!$F$67/'foglio deposito'!$K$59*(C85-C85^2/(2*'foglio deposito'!$K$59)),'foglio deposito'!$F$67)</f>
        <v>-17.320701781544194</v>
      </c>
      <c r="E85" s="273">
        <f>IF(C85&gt;'foglio deposito'!$F$103,2*'foglio deposito'!$D$104/(-'foglio deposito'!$F$103)*(C85^2/2-(-C85)^3/(-6*'foglio deposito'!$F$103)),2*'foglio deposito'!$D$104/(-'foglio deposito'!$F$103)*('foglio deposito'!$F$103^2/2-(-'foglio deposito'!$F$103)^3/(-6*'foglio deposito'!$F$103))+'foglio deposito'!$D$104*(ABS(C85)-ABS('foglio deposito'!$F$103)))</f>
        <v>0.1310146296263256</v>
      </c>
      <c r="F85" s="273">
        <f>IF(ABS(C85)&lt;ABS('foglio deposito'!$F$103),-2*'foglio deposito'!$D$104/(-'foglio deposito'!$F$103)*(-C85^3/3-(C85)^4/(-8*'foglio deposito'!$F$103)),-(2*'foglio deposito'!$D$104/(-'foglio deposito'!$F$103)*(ABS('foglio deposito'!$F$103)^3/3-ABS('foglio deposito'!$F$103)^4/(-8*'foglio deposito'!$F$103))+'foglio deposito'!$D$104/2*(ABS(C85)^2-ABS('foglio deposito'!$F$103)^2)))</f>
        <v>-6.7609466281821321E-4</v>
      </c>
      <c r="G85" s="258">
        <f>E85/('foglio deposito'!$F$67*'foglio deposito'!$K$60)</f>
        <v>0.62086127929377377</v>
      </c>
      <c r="H85" s="258">
        <f t="shared" si="7"/>
        <v>0.46383200172038841</v>
      </c>
      <c r="I85" s="279">
        <f t="shared" si="5"/>
        <v>-5.1604516590745778E-3</v>
      </c>
      <c r="J85" s="280">
        <f t="shared" si="6"/>
        <v>-8.0338957785355412</v>
      </c>
      <c r="K85" s="42"/>
      <c r="L85" s="37"/>
      <c r="M85" s="37"/>
      <c r="N85" s="37"/>
      <c r="O85" s="37"/>
      <c r="P85" s="37"/>
      <c r="Q85" s="37"/>
      <c r="R85" s="37"/>
      <c r="S85" s="37"/>
      <c r="T85" s="37"/>
    </row>
    <row r="86" spans="2:20" x14ac:dyDescent="0.25">
      <c r="B86" s="40">
        <f t="shared" si="4"/>
        <v>80</v>
      </c>
      <c r="C86" s="272">
        <f>'foglio deposito'!$K$60/$B$106*B86</f>
        <v>-9.7465231956067148E-3</v>
      </c>
      <c r="D86" s="280">
        <f>IF(C86&gt;'foglio deposito'!$K$59,2*'foglio deposito'!$F$67/'foglio deposito'!$K$59*(C86-C86^2/(2*'foglio deposito'!$K$59)),'foglio deposito'!$F$67)</f>
        <v>-17.320701781544194</v>
      </c>
      <c r="E86" s="273">
        <f>IF(C86&gt;'foglio deposito'!$F$103,2*'foglio deposito'!$D$104/(-'foglio deposito'!$F$103)*(C86^2/2-(-C86)^3/(-6*'foglio deposito'!$F$103)),2*'foglio deposito'!$D$104/(-'foglio deposito'!$F$103)*('foglio deposito'!$F$103^2/2-(-'foglio deposito'!$F$103)^3/(-6*'foglio deposito'!$F$103))+'foglio deposito'!$D$104*(ABS(C86)-ABS('foglio deposito'!$F$103)))</f>
        <v>0.1328083062316544</v>
      </c>
      <c r="F86" s="273">
        <f>IF(ABS(C86)&lt;ABS('foglio deposito'!$F$103),-2*'foglio deposito'!$D$104/(-'foglio deposito'!$F$103)*(-C86^3/3-(C86)^4/(-8*'foglio deposito'!$F$103)),-(2*'foglio deposito'!$D$104/(-'foglio deposito'!$F$103)*(ABS('foglio deposito'!$F$103)^3/3-ABS('foglio deposito'!$F$103)^4/(-8*'foglio deposito'!$F$103))+'foglio deposito'!$D$104/2*(ABS(C86)^2-ABS('foglio deposito'!$F$103)^2)))</f>
        <v>-6.9346751026597218E-4</v>
      </c>
      <c r="G86" s="258">
        <f>E86/('foglio deposito'!$F$67*'foglio deposito'!$K$60)</f>
        <v>0.62936127929377361</v>
      </c>
      <c r="H86" s="258">
        <f t="shared" si="7"/>
        <v>0.46426359381370053</v>
      </c>
      <c r="I86" s="279">
        <f t="shared" si="5"/>
        <v>-5.2215673096257485E-3</v>
      </c>
      <c r="J86" s="280">
        <f t="shared" si="6"/>
        <v>-8.0413712564750721</v>
      </c>
      <c r="K86" s="37"/>
      <c r="L86" s="37"/>
      <c r="M86" s="37"/>
      <c r="N86" s="37"/>
      <c r="O86" s="37"/>
      <c r="P86" s="37"/>
      <c r="Q86" s="37"/>
      <c r="R86" s="37"/>
      <c r="S86" s="37"/>
      <c r="T86" s="37"/>
    </row>
    <row r="87" spans="2:20" x14ac:dyDescent="0.25">
      <c r="B87" s="40">
        <f t="shared" si="4"/>
        <v>81</v>
      </c>
      <c r="C87" s="272">
        <f>'foglio deposito'!$K$60/$B$106*B87</f>
        <v>-9.8683547355517993E-3</v>
      </c>
      <c r="D87" s="280">
        <f>IF(C87&gt;'foglio deposito'!$K$59,2*'foglio deposito'!$F$67/'foglio deposito'!$K$59*(C87-C87^2/(2*'foglio deposito'!$K$59)),'foglio deposito'!$F$67)</f>
        <v>-17.320701781544194</v>
      </c>
      <c r="E87" s="273">
        <f>IF(C87&gt;'foglio deposito'!$F$103,2*'foglio deposito'!$D$104/(-'foglio deposito'!$F$103)*(C87^2/2-(-C87)^3/(-6*'foglio deposito'!$F$103)),2*'foglio deposito'!$D$104/(-'foglio deposito'!$F$103)*('foglio deposito'!$F$103^2/2-(-'foglio deposito'!$F$103)^3/(-6*'foglio deposito'!$F$103))+'foglio deposito'!$D$104*(ABS(C87)-ABS('foglio deposito'!$F$103)))</f>
        <v>0.13460198283698324</v>
      </c>
      <c r="F87" s="273">
        <f>IF(ABS(C87)&lt;ABS('foglio deposito'!$F$103),-2*'foglio deposito'!$D$104/(-'foglio deposito'!$F$103)*(-C87^3/3-(C87)^4/(-8*'foglio deposito'!$F$103)),-(2*'foglio deposito'!$D$104/(-'foglio deposito'!$F$103)*(ABS('foglio deposito'!$F$103)^3/3-ABS('foglio deposito'!$F$103)^4/(-8*'foglio deposito'!$F$103))+'foglio deposito'!$D$104/2*(ABS(C87)^2-ABS('foglio deposito'!$F$103)^2)))</f>
        <v>-7.1105888409672214E-4</v>
      </c>
      <c r="G87" s="258">
        <f>E87/('foglio deposito'!$F$67*'foglio deposito'!$K$60)</f>
        <v>0.63786127929377368</v>
      </c>
      <c r="H87" s="258">
        <f t="shared" si="7"/>
        <v>0.4646850691315646</v>
      </c>
      <c r="I87" s="279">
        <f t="shared" si="5"/>
        <v>-5.2826776330471082E-3</v>
      </c>
      <c r="J87" s="280">
        <f t="shared" si="6"/>
        <v>-8.0486715047640782</v>
      </c>
      <c r="K87" s="37"/>
      <c r="L87" s="37"/>
      <c r="M87" s="37"/>
      <c r="N87" s="37"/>
      <c r="O87" s="37"/>
      <c r="P87" s="37"/>
      <c r="Q87" s="37"/>
      <c r="R87" s="37"/>
      <c r="S87" s="37"/>
      <c r="T87" s="37"/>
    </row>
    <row r="88" spans="2:20" x14ac:dyDescent="0.25">
      <c r="B88" s="40">
        <f t="shared" si="4"/>
        <v>82</v>
      </c>
      <c r="C88" s="272">
        <f>'foglio deposito'!$K$60/$B$106*B88</f>
        <v>-9.9901862754968838E-3</v>
      </c>
      <c r="D88" s="280">
        <f>IF(C88&gt;'foglio deposito'!$K$59,2*'foglio deposito'!$F$67/'foglio deposito'!$K$59*(C88-C88^2/(2*'foglio deposito'!$K$59)),'foglio deposito'!$F$67)</f>
        <v>-17.320701781544194</v>
      </c>
      <c r="E88" s="273">
        <f>IF(C88&gt;'foglio deposito'!$F$103,2*'foglio deposito'!$D$104/(-'foglio deposito'!$F$103)*(C88^2/2-(-C88)^3/(-6*'foglio deposito'!$F$103)),2*'foglio deposito'!$D$104/(-'foglio deposito'!$F$103)*('foglio deposito'!$F$103^2/2-(-'foglio deposito'!$F$103)^3/(-6*'foglio deposito'!$F$103))+'foglio deposito'!$D$104*(ABS(C88)-ABS('foglio deposito'!$F$103)))</f>
        <v>0.13639565944231208</v>
      </c>
      <c r="F88" s="273">
        <f>IF(ABS(C88)&lt;ABS('foglio deposito'!$F$103),-2*'foglio deposito'!$D$104/(-'foglio deposito'!$F$103)*(-C88^3/3-(C88)^4/(-8*'foglio deposito'!$F$103)),-(2*'foglio deposito'!$D$104/(-'foglio deposito'!$F$103)*(ABS('foglio deposito'!$F$103)^3/3-ABS('foglio deposito'!$F$103)^4/(-8*'foglio deposito'!$F$103))+'foglio deposito'!$D$104/2*(ABS(C88)^2-ABS('foglio deposito'!$F$103)^2)))</f>
        <v>-7.2886878431046274E-4</v>
      </c>
      <c r="G88" s="258">
        <f>E88/('foglio deposito'!$F$67*'foglio deposito'!$K$60)</f>
        <v>0.64636127929377374</v>
      </c>
      <c r="H88" s="258">
        <f t="shared" si="7"/>
        <v>0.46509677676287609</v>
      </c>
      <c r="I88" s="279">
        <f t="shared" si="5"/>
        <v>-5.3437828395025613E-3</v>
      </c>
      <c r="J88" s="280">
        <f t="shared" si="6"/>
        <v>-8.0558025698672111</v>
      </c>
      <c r="K88" s="37"/>
      <c r="L88" s="37"/>
      <c r="M88" s="37"/>
      <c r="N88" s="37"/>
      <c r="O88" s="37"/>
      <c r="P88" s="37"/>
      <c r="Q88" s="37"/>
      <c r="R88" s="37"/>
      <c r="S88" s="37"/>
      <c r="T88" s="37"/>
    </row>
    <row r="89" spans="2:20" x14ac:dyDescent="0.25">
      <c r="B89" s="40">
        <f t="shared" si="4"/>
        <v>83</v>
      </c>
      <c r="C89" s="272">
        <f>'foglio deposito'!$K$60/$B$106*B89</f>
        <v>-1.0112017815441967E-2</v>
      </c>
      <c r="D89" s="280">
        <f>IF(C89&gt;'foglio deposito'!$K$59,2*'foglio deposito'!$F$67/'foglio deposito'!$K$59*(C89-C89^2/(2*'foglio deposito'!$K$59)),'foglio deposito'!$F$67)</f>
        <v>-17.320701781544194</v>
      </c>
      <c r="E89" s="273">
        <f>IF(C89&gt;'foglio deposito'!$F$103,2*'foglio deposito'!$D$104/(-'foglio deposito'!$F$103)*(C89^2/2-(-C89)^3/(-6*'foglio deposito'!$F$103)),2*'foglio deposito'!$D$104/(-'foglio deposito'!$F$103)*('foglio deposito'!$F$103^2/2-(-'foglio deposito'!$F$103)^3/(-6*'foglio deposito'!$F$103))+'foglio deposito'!$D$104*(ABS(C89)-ABS('foglio deposito'!$F$103)))</f>
        <v>0.13818933604764089</v>
      </c>
      <c r="F89" s="273">
        <f>IF(ABS(C89)&lt;ABS('foglio deposito'!$F$103),-2*'foglio deposito'!$D$104/(-'foglio deposito'!$F$103)*(-C89^3/3-(C89)^4/(-8*'foglio deposito'!$F$103)),-(2*'foglio deposito'!$D$104/(-'foglio deposito'!$F$103)*(ABS('foglio deposito'!$F$103)^3/3-ABS('foglio deposito'!$F$103)^4/(-8*'foglio deposito'!$F$103))+'foglio deposito'!$D$104/2*(ABS(C89)^2-ABS('foglio deposito'!$F$103)^2)))</f>
        <v>-7.4689721090719367E-4</v>
      </c>
      <c r="G89" s="258">
        <f>E89/('foglio deposito'!$F$67*'foglio deposito'!$K$60)</f>
        <v>0.65486127929377369</v>
      </c>
      <c r="H89" s="258">
        <f t="shared" si="7"/>
        <v>0.46549905005203995</v>
      </c>
      <c r="I89" s="279">
        <f t="shared" si="5"/>
        <v>-5.4048831282444273E-3</v>
      </c>
      <c r="J89" s="280">
        <f t="shared" si="6"/>
        <v>-8.062770225543499</v>
      </c>
      <c r="K89" s="37"/>
      <c r="L89" s="37"/>
      <c r="M89" s="37"/>
      <c r="N89" s="37"/>
      <c r="O89" s="37"/>
      <c r="P89" s="37"/>
      <c r="Q89" s="37"/>
      <c r="R89" s="37"/>
      <c r="S89" s="37"/>
      <c r="T89" s="37"/>
    </row>
    <row r="90" spans="2:20" x14ac:dyDescent="0.25">
      <c r="B90" s="40">
        <f t="shared" si="4"/>
        <v>84</v>
      </c>
      <c r="C90" s="272">
        <f>'foglio deposito'!$K$60/$B$106*B90</f>
        <v>-1.0233849355387051E-2</v>
      </c>
      <c r="D90" s="280">
        <f>IF(C90&gt;'foglio deposito'!$K$59,2*'foglio deposito'!$F$67/'foglio deposito'!$K$59*(C90-C90^2/(2*'foglio deposito'!$K$59)),'foglio deposito'!$F$67)</f>
        <v>-17.320701781544194</v>
      </c>
      <c r="E90" s="273">
        <f>IF(C90&gt;'foglio deposito'!$F$103,2*'foglio deposito'!$D$104/(-'foglio deposito'!$F$103)*(C90^2/2-(-C90)^3/(-6*'foglio deposito'!$F$103)),2*'foglio deposito'!$D$104/(-'foglio deposito'!$F$103)*('foglio deposito'!$F$103^2/2-(-'foglio deposito'!$F$103)^3/(-6*'foglio deposito'!$F$103))+'foglio deposito'!$D$104*(ABS(C90)-ABS('foglio deposito'!$F$103)))</f>
        <v>0.1399830126529697</v>
      </c>
      <c r="F90" s="273">
        <f>IF(ABS(C90)&lt;ABS('foglio deposito'!$F$103),-2*'foglio deposito'!$D$104/(-'foglio deposito'!$F$103)*(-C90^3/3-(C90)^4/(-8*'foglio deposito'!$F$103)),-(2*'foglio deposito'!$D$104/(-'foglio deposito'!$F$103)*(ABS('foglio deposito'!$F$103)^3/3-ABS('foglio deposito'!$F$103)^4/(-8*'foglio deposito'!$F$103))+'foglio deposito'!$D$104/2*(ABS(C90)^2-ABS('foglio deposito'!$F$103)^2)))</f>
        <v>-7.651441638869158E-4</v>
      </c>
      <c r="G90" s="258">
        <f>E90/('foglio deposito'!$F$67*'foglio deposito'!$K$60)</f>
        <v>0.66336127929377364</v>
      </c>
      <c r="H90" s="258">
        <f t="shared" si="7"/>
        <v>0.46589220746783166</v>
      </c>
      <c r="I90" s="279">
        <f t="shared" si="5"/>
        <v>-5.4659786883125318E-3</v>
      </c>
      <c r="J90" s="280">
        <f t="shared" si="6"/>
        <v>-8.0695799878956294</v>
      </c>
      <c r="K90" s="37"/>
      <c r="L90" s="37"/>
      <c r="M90" s="37"/>
      <c r="N90" s="37"/>
      <c r="O90" s="37"/>
      <c r="P90" s="37"/>
      <c r="Q90" s="37"/>
      <c r="R90" s="37"/>
      <c r="S90" s="37"/>
      <c r="T90" s="37"/>
    </row>
    <row r="91" spans="2:20" x14ac:dyDescent="0.25">
      <c r="B91" s="40">
        <f t="shared" si="4"/>
        <v>85</v>
      </c>
      <c r="C91" s="272">
        <f>'foglio deposito'!$K$60/$B$106*B91</f>
        <v>-1.0355680895332136E-2</v>
      </c>
      <c r="D91" s="280">
        <f>IF(C91&gt;'foglio deposito'!$K$59,2*'foglio deposito'!$F$67/'foglio deposito'!$K$59*(C91-C91^2/(2*'foglio deposito'!$K$59)),'foglio deposito'!$F$67)</f>
        <v>-17.320701781544194</v>
      </c>
      <c r="E91" s="273">
        <f>IF(C91&gt;'foglio deposito'!$F$103,2*'foglio deposito'!$D$104/(-'foglio deposito'!$F$103)*(C91^2/2-(-C91)^3/(-6*'foglio deposito'!$F$103)),2*'foglio deposito'!$D$104/(-'foglio deposito'!$F$103)*('foglio deposito'!$F$103^2/2-(-'foglio deposito'!$F$103)^3/(-6*'foglio deposito'!$F$103))+'foglio deposito'!$D$104*(ABS(C91)-ABS('foglio deposito'!$F$103)))</f>
        <v>0.14177668925829853</v>
      </c>
      <c r="F91" s="273">
        <f>IF(ABS(C91)&lt;ABS('foglio deposito'!$F$103),-2*'foglio deposito'!$D$104/(-'foglio deposito'!$F$103)*(-C91^3/3-(C91)^4/(-8*'foglio deposito'!$F$103)),-(2*'foglio deposito'!$D$104/(-'foglio deposito'!$F$103)*(ABS('foglio deposito'!$F$103)^3/3-ABS('foglio deposito'!$F$103)^4/(-8*'foglio deposito'!$F$103))+'foglio deposito'!$D$104/2*(ABS(C91)^2-ABS('foglio deposito'!$F$103)^2)))</f>
        <v>-7.8360964324962837E-4</v>
      </c>
      <c r="G91" s="258">
        <f>E91/('foglio deposito'!$F$67*'foglio deposito'!$K$60)</f>
        <v>0.67186127929377371</v>
      </c>
      <c r="H91" s="258">
        <f t="shared" si="7"/>
        <v>0.46627655341605345</v>
      </c>
      <c r="I91" s="279">
        <f t="shared" si="5"/>
        <v>-5.5270696991801972E-3</v>
      </c>
      <c r="J91" s="280">
        <f t="shared" si="6"/>
        <v>-8.0762371294457242</v>
      </c>
      <c r="K91" s="37"/>
      <c r="L91" s="37"/>
      <c r="M91" s="37"/>
      <c r="N91" s="37"/>
      <c r="O91" s="37"/>
      <c r="P91" s="37"/>
      <c r="Q91" s="37"/>
      <c r="R91" s="37"/>
      <c r="S91" s="37"/>
      <c r="T91" s="37"/>
    </row>
    <row r="92" spans="2:20" x14ac:dyDescent="0.25">
      <c r="B92" s="40">
        <f t="shared" si="4"/>
        <v>86</v>
      </c>
      <c r="C92" s="272">
        <f>'foglio deposito'!$K$60/$B$106*B92</f>
        <v>-1.0477512435277218E-2</v>
      </c>
      <c r="D92" s="280">
        <f>IF(C92&gt;'foglio deposito'!$K$59,2*'foglio deposito'!$F$67/'foglio deposito'!$K$59*(C92-C92^2/(2*'foglio deposito'!$K$59)),'foglio deposito'!$F$67)</f>
        <v>-17.320701781544194</v>
      </c>
      <c r="E92" s="273">
        <f>IF(C92&gt;'foglio deposito'!$F$103,2*'foglio deposito'!$D$104/(-'foglio deposito'!$F$103)*(C92^2/2-(-C92)^3/(-6*'foglio deposito'!$F$103)),2*'foglio deposito'!$D$104/(-'foglio deposito'!$F$103)*('foglio deposito'!$F$103^2/2-(-'foglio deposito'!$F$103)^3/(-6*'foglio deposito'!$F$103))+'foglio deposito'!$D$104*(ABS(C92)-ABS('foglio deposito'!$F$103)))</f>
        <v>0.14357036586362734</v>
      </c>
      <c r="F92" s="273">
        <f>IF(ABS(C92)&lt;ABS('foglio deposito'!$F$103),-2*'foglio deposito'!$D$104/(-'foglio deposito'!$F$103)*(-C92^3/3-(C92)^4/(-8*'foglio deposito'!$F$103)),-(2*'foglio deposito'!$D$104/(-'foglio deposito'!$F$103)*(ABS('foglio deposito'!$F$103)^3/3-ABS('foglio deposito'!$F$103)^4/(-8*'foglio deposito'!$F$103))+'foglio deposito'!$D$104/2*(ABS(C92)^2-ABS('foglio deposito'!$F$103)^2)))</f>
        <v>-8.0229364899533147E-4</v>
      </c>
      <c r="G92" s="258">
        <f>E92/('foglio deposito'!$F$67*'foglio deposito'!$K$60)</f>
        <v>0.68036127929377355</v>
      </c>
      <c r="H92" s="258">
        <f t="shared" si="7"/>
        <v>0.46665237900011114</v>
      </c>
      <c r="I92" s="279">
        <f t="shared" si="5"/>
        <v>-5.588156331351856E-3</v>
      </c>
      <c r="J92" s="280">
        <f t="shared" si="6"/>
        <v>-8.0827466923090618</v>
      </c>
      <c r="K92" s="37"/>
      <c r="L92" s="37"/>
      <c r="M92" s="37"/>
      <c r="N92" s="37"/>
      <c r="O92" s="37"/>
      <c r="P92" s="37"/>
      <c r="Q92" s="37"/>
      <c r="R92" s="37"/>
      <c r="S92" s="37"/>
      <c r="T92" s="37"/>
    </row>
    <row r="93" spans="2:20" x14ac:dyDescent="0.25">
      <c r="B93" s="40">
        <f t="shared" si="4"/>
        <v>87</v>
      </c>
      <c r="C93" s="272">
        <f>'foglio deposito'!$K$60/$B$106*B93</f>
        <v>-1.0599343975222303E-2</v>
      </c>
      <c r="D93" s="280">
        <f>IF(C93&gt;'foglio deposito'!$K$59,2*'foglio deposito'!$F$67/'foglio deposito'!$K$59*(C93-C93^2/(2*'foglio deposito'!$K$59)),'foglio deposito'!$F$67)</f>
        <v>-17.320701781544194</v>
      </c>
      <c r="E93" s="273">
        <f>IF(C93&gt;'foglio deposito'!$F$103,2*'foglio deposito'!$D$104/(-'foglio deposito'!$F$103)*(C93^2/2-(-C93)^3/(-6*'foglio deposito'!$F$103)),2*'foglio deposito'!$D$104/(-'foglio deposito'!$F$103)*('foglio deposito'!$F$103^2/2-(-'foglio deposito'!$F$103)^3/(-6*'foglio deposito'!$F$103))+'foglio deposito'!$D$104*(ABS(C93)-ABS('foglio deposito'!$F$103)))</f>
        <v>0.14536404246895618</v>
      </c>
      <c r="F93" s="273">
        <f>IF(ABS(C93)&lt;ABS('foglio deposito'!$F$103),-2*'foglio deposito'!$D$104/(-'foglio deposito'!$F$103)*(-C93^3/3-(C93)^4/(-8*'foglio deposito'!$F$103)),-(2*'foglio deposito'!$D$104/(-'foglio deposito'!$F$103)*(ABS('foglio deposito'!$F$103)^3/3-ABS('foglio deposito'!$F$103)^4/(-8*'foglio deposito'!$F$103))+'foglio deposito'!$D$104/2*(ABS(C93)^2-ABS('foglio deposito'!$F$103)^2)))</f>
        <v>-8.2119618112402556E-4</v>
      </c>
      <c r="G93" s="258">
        <f>E93/('foglio deposito'!$F$67*'foglio deposito'!$K$60)</f>
        <v>0.68886127929377361</v>
      </c>
      <c r="H93" s="258">
        <f t="shared" si="7"/>
        <v>0.46701996273331636</v>
      </c>
      <c r="I93" s="279">
        <f t="shared" si="5"/>
        <v>-5.6492387469163812E-3</v>
      </c>
      <c r="J93" s="280">
        <f t="shared" si="6"/>
        <v>-8.0891135005316563</v>
      </c>
      <c r="K93" s="37"/>
      <c r="L93" s="37"/>
      <c r="M93" s="37"/>
      <c r="N93" s="37"/>
      <c r="O93" s="37"/>
      <c r="P93" s="37"/>
      <c r="Q93" s="37"/>
      <c r="R93" s="37"/>
      <c r="S93" s="37"/>
      <c r="T93" s="37"/>
    </row>
    <row r="94" spans="2:20" x14ac:dyDescent="0.25">
      <c r="B94" s="40">
        <f t="shared" si="4"/>
        <v>88</v>
      </c>
      <c r="C94" s="272">
        <f>'foglio deposito'!$K$60/$B$106*B94</f>
        <v>-1.0721175515167387E-2</v>
      </c>
      <c r="D94" s="280">
        <f>IF(C94&gt;'foglio deposito'!$K$59,2*'foglio deposito'!$F$67/'foglio deposito'!$K$59*(C94-C94^2/(2*'foglio deposito'!$K$59)),'foglio deposito'!$F$67)</f>
        <v>-17.320701781544194</v>
      </c>
      <c r="E94" s="273">
        <f>IF(C94&gt;'foglio deposito'!$F$103,2*'foglio deposito'!$D$104/(-'foglio deposito'!$F$103)*(C94^2/2-(-C94)^3/(-6*'foglio deposito'!$F$103)),2*'foglio deposito'!$D$104/(-'foglio deposito'!$F$103)*('foglio deposito'!$F$103^2/2-(-'foglio deposito'!$F$103)^3/(-6*'foglio deposito'!$F$103))+'foglio deposito'!$D$104*(ABS(C94)-ABS('foglio deposito'!$F$103)))</f>
        <v>0.14715771907428501</v>
      </c>
      <c r="F94" s="273">
        <f>IF(ABS(C94)&lt;ABS('foglio deposito'!$F$103),-2*'foglio deposito'!$D$104/(-'foglio deposito'!$F$103)*(-C94^3/3-(C94)^4/(-8*'foglio deposito'!$F$103)),-(2*'foglio deposito'!$D$104/(-'foglio deposito'!$F$103)*(ABS('foglio deposito'!$F$103)^3/3-ABS('foglio deposito'!$F$103)^4/(-8*'foglio deposito'!$F$103))+'foglio deposito'!$D$104/2*(ABS(C94)^2-ABS('foglio deposito'!$F$103)^2)))</f>
        <v>-8.4031723963571019E-4</v>
      </c>
      <c r="G94" s="258">
        <f>E94/('foglio deposito'!$F$67*'foglio deposito'!$K$60)</f>
        <v>0.69736127929377367</v>
      </c>
      <c r="H94" s="258">
        <f t="shared" si="7"/>
        <v>0.46737957120639384</v>
      </c>
      <c r="I94" s="279">
        <f t="shared" si="5"/>
        <v>-5.710317100059965E-3</v>
      </c>
      <c r="J94" s="280">
        <f t="shared" si="6"/>
        <v>-8.0953421716519482</v>
      </c>
      <c r="K94" s="37"/>
      <c r="L94" s="37"/>
      <c r="M94" s="37"/>
      <c r="N94" s="37"/>
      <c r="O94" s="37"/>
      <c r="P94" s="37"/>
      <c r="Q94" s="37"/>
      <c r="R94" s="37"/>
      <c r="S94" s="37"/>
      <c r="T94" s="37"/>
    </row>
    <row r="95" spans="2:20" x14ac:dyDescent="0.25">
      <c r="B95" s="40">
        <f t="shared" si="4"/>
        <v>89</v>
      </c>
      <c r="C95" s="272">
        <f>'foglio deposito'!$K$60/$B$106*B95</f>
        <v>-1.084300705511247E-2</v>
      </c>
      <c r="D95" s="280">
        <f>IF(C95&gt;'foglio deposito'!$K$59,2*'foglio deposito'!$F$67/'foglio deposito'!$K$59*(C95-C95^2/(2*'foglio deposito'!$K$59)),'foglio deposito'!$F$67)</f>
        <v>-17.320701781544194</v>
      </c>
      <c r="E95" s="273">
        <f>IF(C95&gt;'foglio deposito'!$F$103,2*'foglio deposito'!$D$104/(-'foglio deposito'!$F$103)*(C95^2/2-(-C95)^3/(-6*'foglio deposito'!$F$103)),2*'foglio deposito'!$D$104/(-'foglio deposito'!$F$103)*('foglio deposito'!$F$103^2/2-(-'foglio deposito'!$F$103)^3/(-6*'foglio deposito'!$F$103))+'foglio deposito'!$D$104*(ABS(C95)-ABS('foglio deposito'!$F$103)))</f>
        <v>0.14895139567961382</v>
      </c>
      <c r="F95" s="273">
        <f>IF(ABS(C95)&lt;ABS('foglio deposito'!$F$103),-2*'foglio deposito'!$D$104/(-'foglio deposito'!$F$103)*(-C95^3/3-(C95)^4/(-8*'foglio deposito'!$F$103)),-(2*'foglio deposito'!$D$104/(-'foglio deposito'!$F$103)*(ABS('foglio deposito'!$F$103)^3/3-ABS('foglio deposito'!$F$103)^4/(-8*'foglio deposito'!$F$103))+'foglio deposito'!$D$104/2*(ABS(C95)^2-ABS('foglio deposito'!$F$103)^2)))</f>
        <v>-8.5965682453038525E-4</v>
      </c>
      <c r="G95" s="258">
        <f>E95/('foglio deposito'!$F$67*'foglio deposito'!$K$60)</f>
        <v>0.70586127929377362</v>
      </c>
      <c r="H95" s="258">
        <f t="shared" si="7"/>
        <v>0.46773145971340679</v>
      </c>
      <c r="I95" s="279">
        <f t="shared" si="5"/>
        <v>-5.7713915375419466E-3</v>
      </c>
      <c r="J95" s="280">
        <f t="shared" si="6"/>
        <v>-8.1014371275422725</v>
      </c>
      <c r="K95" s="37"/>
      <c r="L95" s="37"/>
      <c r="M95" s="37"/>
      <c r="N95" s="37"/>
      <c r="O95" s="37"/>
      <c r="P95" s="37"/>
      <c r="Q95" s="37"/>
      <c r="R95" s="37"/>
      <c r="S95" s="37"/>
      <c r="T95" s="37"/>
    </row>
    <row r="96" spans="2:20" x14ac:dyDescent="0.25">
      <c r="B96" s="40">
        <f t="shared" si="4"/>
        <v>90</v>
      </c>
      <c r="C96" s="272">
        <f>'foglio deposito'!$K$60/$B$106*B96</f>
        <v>-1.0964838595057555E-2</v>
      </c>
      <c r="D96" s="280">
        <f>IF(C96&gt;'foglio deposito'!$K$59,2*'foglio deposito'!$F$67/'foglio deposito'!$K$59*(C96-C96^2/(2*'foglio deposito'!$K$59)),'foglio deposito'!$F$67)</f>
        <v>-17.320701781544194</v>
      </c>
      <c r="E96" s="273">
        <f>IF(C96&gt;'foglio deposito'!$F$103,2*'foglio deposito'!$D$104/(-'foglio deposito'!$F$103)*(C96^2/2-(-C96)^3/(-6*'foglio deposito'!$F$103)),2*'foglio deposito'!$D$104/(-'foglio deposito'!$F$103)*('foglio deposito'!$F$103^2/2-(-'foglio deposito'!$F$103)^3/(-6*'foglio deposito'!$F$103))+'foglio deposito'!$D$104*(ABS(C96)-ABS('foglio deposito'!$F$103)))</f>
        <v>0.15074507228494266</v>
      </c>
      <c r="F96" s="273">
        <f>IF(ABS(C96)&lt;ABS('foglio deposito'!$F$103),-2*'foglio deposito'!$D$104/(-'foglio deposito'!$F$103)*(-C96^3/3-(C96)^4/(-8*'foglio deposito'!$F$103)),-(2*'foglio deposito'!$D$104/(-'foglio deposito'!$F$103)*(ABS('foglio deposito'!$F$103)^3/3-ABS('foglio deposito'!$F$103)^4/(-8*'foglio deposito'!$F$103))+'foglio deposito'!$D$104/2*(ABS(C96)^2-ABS('foglio deposito'!$F$103)^2)))</f>
        <v>-8.792149358080514E-4</v>
      </c>
      <c r="G96" s="258">
        <f>E96/('foglio deposito'!$F$67*'foglio deposito'!$K$60)</f>
        <v>0.71436127929377369</v>
      </c>
      <c r="H96" s="258">
        <f t="shared" si="7"/>
        <v>0.4680758728390525</v>
      </c>
      <c r="I96" s="279">
        <f t="shared" si="5"/>
        <v>-5.8324621991366595E-3</v>
      </c>
      <c r="J96" s="280">
        <f t="shared" si="6"/>
        <v>-8.10740260458123</v>
      </c>
      <c r="K96" s="37"/>
      <c r="L96" s="37"/>
      <c r="M96" s="37"/>
      <c r="N96" s="37"/>
      <c r="O96" s="37"/>
      <c r="P96" s="37"/>
      <c r="Q96" s="37"/>
      <c r="R96" s="37"/>
      <c r="S96" s="37"/>
      <c r="T96" s="37"/>
    </row>
    <row r="97" spans="2:20" x14ac:dyDescent="0.25">
      <c r="B97" s="40">
        <f t="shared" si="4"/>
        <v>91</v>
      </c>
      <c r="C97" s="272">
        <f>'foglio deposito'!$K$60/$B$106*B97</f>
        <v>-1.1086670135002639E-2</v>
      </c>
      <c r="D97" s="280">
        <f>IF(C97&gt;'foglio deposito'!$K$59,2*'foglio deposito'!$F$67/'foglio deposito'!$K$59*(C97-C97^2/(2*'foglio deposito'!$K$59)),'foglio deposito'!$F$67)</f>
        <v>-17.320701781544194</v>
      </c>
      <c r="E97" s="273">
        <f>IF(C97&gt;'foglio deposito'!$F$103,2*'foglio deposito'!$D$104/(-'foglio deposito'!$F$103)*(C97^2/2-(-C97)^3/(-6*'foglio deposito'!$F$103)),2*'foglio deposito'!$D$104/(-'foglio deposito'!$F$103)*('foglio deposito'!$F$103^2/2-(-'foglio deposito'!$F$103)^3/(-6*'foglio deposito'!$F$103))+'foglio deposito'!$D$104*(ABS(C97)-ABS('foglio deposito'!$F$103)))</f>
        <v>0.1525387488902715</v>
      </c>
      <c r="F97" s="273">
        <f>IF(ABS(C97)&lt;ABS('foglio deposito'!$F$103),-2*'foglio deposito'!$D$104/(-'foglio deposito'!$F$103)*(-C97^3/3-(C97)^4/(-8*'foglio deposito'!$F$103)),-(2*'foglio deposito'!$D$104/(-'foglio deposito'!$F$103)*(ABS('foglio deposito'!$F$103)^3/3-ABS('foglio deposito'!$F$103)^4/(-8*'foglio deposito'!$F$103))+'foglio deposito'!$D$104/2*(ABS(C97)^2-ABS('foglio deposito'!$F$103)^2)))</f>
        <v>-8.9899157346870809E-4</v>
      </c>
      <c r="G97" s="258">
        <f>E97/('foglio deposito'!$F$67*'foglio deposito'!$K$60)</f>
        <v>0.72286127929377375</v>
      </c>
      <c r="H97" s="258">
        <f t="shared" si="7"/>
        <v>0.46841304501004677</v>
      </c>
      <c r="I97" s="279">
        <f t="shared" si="5"/>
        <v>-5.8935292180441069E-3</v>
      </c>
      <c r="J97" s="280">
        <f t="shared" si="6"/>
        <v>-8.1132426632040584</v>
      </c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2:20" x14ac:dyDescent="0.25">
      <c r="B98" s="40">
        <f t="shared" si="4"/>
        <v>92</v>
      </c>
      <c r="C98" s="272">
        <f>'foglio deposito'!$K$60/$B$106*B98</f>
        <v>-1.1208501674947724E-2</v>
      </c>
      <c r="D98" s="280">
        <f>IF(C98&gt;'foglio deposito'!$K$59,2*'foglio deposito'!$F$67/'foglio deposito'!$K$59*(C98-C98^2/(2*'foglio deposito'!$K$59)),'foglio deposito'!$F$67)</f>
        <v>-17.320701781544194</v>
      </c>
      <c r="E98" s="273">
        <f>IF(C98&gt;'foglio deposito'!$F$103,2*'foglio deposito'!$D$104/(-'foglio deposito'!$F$103)*(C98^2/2-(-C98)^3/(-6*'foglio deposito'!$F$103)),2*'foglio deposito'!$D$104/(-'foglio deposito'!$F$103)*('foglio deposito'!$F$103^2/2-(-'foglio deposito'!$F$103)^3/(-6*'foglio deposito'!$F$103))+'foglio deposito'!$D$104*(ABS(C98)-ABS('foglio deposito'!$F$103)))</f>
        <v>0.15433242549560033</v>
      </c>
      <c r="F98" s="273">
        <f>IF(ABS(C98)&lt;ABS('foglio deposito'!$F$103),-2*'foglio deposito'!$D$104/(-'foglio deposito'!$F$103)*(-C98^3/3-(C98)^4/(-8*'foglio deposito'!$F$103)),-(2*'foglio deposito'!$D$104/(-'foglio deposito'!$F$103)*(ABS('foglio deposito'!$F$103)^3/3-ABS('foglio deposito'!$F$103)^4/(-8*'foglio deposito'!$F$103))+'foglio deposito'!$D$104/2*(ABS(C98)^2-ABS('foglio deposito'!$F$103)^2)))</f>
        <v>-9.1898673751235555E-4</v>
      </c>
      <c r="G98" s="258">
        <f>E98/('foglio deposito'!$F$67*'foglio deposito'!$K$60)</f>
        <v>0.73136127929377381</v>
      </c>
      <c r="H98" s="258">
        <f t="shared" si="7"/>
        <v>0.46874320101310274</v>
      </c>
      <c r="I98" s="279">
        <f t="shared" si="5"/>
        <v>-5.9545927212720038E-3</v>
      </c>
      <c r="J98" s="280">
        <f t="shared" si="6"/>
        <v>-8.1189611968743769</v>
      </c>
      <c r="K98" s="37"/>
      <c r="L98" s="37"/>
      <c r="M98" s="37"/>
      <c r="N98" s="37"/>
      <c r="O98" s="37"/>
      <c r="P98" s="37"/>
      <c r="Q98" s="37"/>
      <c r="R98" s="37"/>
      <c r="S98" s="37"/>
      <c r="T98" s="37"/>
    </row>
    <row r="99" spans="2:20" x14ac:dyDescent="0.25">
      <c r="B99" s="40">
        <f t="shared" si="4"/>
        <v>93</v>
      </c>
      <c r="C99" s="272">
        <f>'foglio deposito'!$K$60/$B$106*B99</f>
        <v>-1.1330333214892806E-2</v>
      </c>
      <c r="D99" s="280">
        <f>IF(C99&gt;'foglio deposito'!$K$59,2*'foglio deposito'!$F$67/'foglio deposito'!$K$59*(C99-C99^2/(2*'foglio deposito'!$K$59)),'foglio deposito'!$F$67)</f>
        <v>-17.320701781544194</v>
      </c>
      <c r="E99" s="273">
        <f>IF(C99&gt;'foglio deposito'!$F$103,2*'foglio deposito'!$D$104/(-'foglio deposito'!$F$103)*(C99^2/2-(-C99)^3/(-6*'foglio deposito'!$F$103)),2*'foglio deposito'!$D$104/(-'foglio deposito'!$F$103)*('foglio deposito'!$F$103^2/2-(-'foglio deposito'!$F$103)^3/(-6*'foglio deposito'!$F$103))+'foglio deposito'!$D$104*(ABS(C99)-ABS('foglio deposito'!$F$103)))</f>
        <v>0.15612610210092914</v>
      </c>
      <c r="F99" s="273">
        <f>IF(ABS(C99)&lt;ABS('foglio deposito'!$F$103),-2*'foglio deposito'!$D$104/(-'foglio deposito'!$F$103)*(-C99^3/3-(C99)^4/(-8*'foglio deposito'!$F$103)),-(2*'foglio deposito'!$D$104/(-'foglio deposito'!$F$103)*(ABS('foglio deposito'!$F$103)^3/3-ABS('foglio deposito'!$F$103)^4/(-8*'foglio deposito'!$F$103))+'foglio deposito'!$D$104/2*(ABS(C99)^2-ABS('foglio deposito'!$F$103)^2)))</f>
        <v>-9.3920042793899344E-4</v>
      </c>
      <c r="G99" s="258">
        <f>E99/('foglio deposito'!$F$67*'foglio deposito'!$K$60)</f>
        <v>0.73986127929377365</v>
      </c>
      <c r="H99" s="258">
        <f t="shared" si="7"/>
        <v>0.46906655648181705</v>
      </c>
      <c r="I99" s="279">
        <f t="shared" si="5"/>
        <v>-6.0156528299914816E-3</v>
      </c>
      <c r="J99" s="280">
        <f t="shared" si="6"/>
        <v>-8.1245619405174097</v>
      </c>
      <c r="K99" s="37"/>
      <c r="L99" s="37"/>
      <c r="M99" s="37"/>
      <c r="N99" s="37"/>
      <c r="O99" s="37"/>
      <c r="P99" s="37"/>
      <c r="Q99" s="37"/>
      <c r="R99" s="37"/>
      <c r="S99" s="37"/>
      <c r="T99" s="37"/>
    </row>
    <row r="100" spans="2:20" x14ac:dyDescent="0.25">
      <c r="B100" s="40">
        <f t="shared" si="4"/>
        <v>94</v>
      </c>
      <c r="C100" s="272">
        <f>'foglio deposito'!$K$60/$B$106*B100</f>
        <v>-1.1452164754837891E-2</v>
      </c>
      <c r="D100" s="280">
        <f>IF(C100&gt;'foglio deposito'!$K$59,2*'foglio deposito'!$F$67/'foglio deposito'!$K$59*(C100-C100^2/(2*'foglio deposito'!$K$59)),'foglio deposito'!$F$67)</f>
        <v>-17.320701781544194</v>
      </c>
      <c r="E100" s="273">
        <f>IF(C100&gt;'foglio deposito'!$F$103,2*'foglio deposito'!$D$104/(-'foglio deposito'!$F$103)*(C100^2/2-(-C100)^3/(-6*'foglio deposito'!$F$103)),2*'foglio deposito'!$D$104/(-'foglio deposito'!$F$103)*('foglio deposito'!$F$103^2/2-(-'foglio deposito'!$F$103)^3/(-6*'foglio deposito'!$F$103))+'foglio deposito'!$D$104*(ABS(C100)-ABS('foglio deposito'!$F$103)))</f>
        <v>0.15791977870625798</v>
      </c>
      <c r="F100" s="273">
        <f>IF(ABS(C100)&lt;ABS('foglio deposito'!$F$103),-2*'foglio deposito'!$D$104/(-'foglio deposito'!$F$103)*(-C100^3/3-(C100)^4/(-8*'foglio deposito'!$F$103)),-(2*'foglio deposito'!$D$104/(-'foglio deposito'!$F$103)*(ABS('foglio deposito'!$F$103)^3/3-ABS('foglio deposito'!$F$103)^4/(-8*'foglio deposito'!$F$103))+'foglio deposito'!$D$104/2*(ABS(C100)^2-ABS('foglio deposito'!$F$103)^2)))</f>
        <v>-9.5963264474862231E-4</v>
      </c>
      <c r="G100" s="258">
        <f>E100/('foglio deposito'!$F$67*'foglio deposito'!$K$60)</f>
        <v>0.74836127929377372</v>
      </c>
      <c r="H100" s="258">
        <f t="shared" si="7"/>
        <v>0.46938331835459413</v>
      </c>
      <c r="I100" s="279">
        <f t="shared" si="5"/>
        <v>-6.0767096598685543E-3</v>
      </c>
      <c r="J100" s="280">
        <f t="shared" si="6"/>
        <v>-8.1300484784515437</v>
      </c>
      <c r="K100" s="37"/>
      <c r="L100" s="37"/>
      <c r="M100" s="37"/>
      <c r="N100" s="37"/>
      <c r="O100" s="37"/>
      <c r="P100" s="37"/>
      <c r="Q100" s="37"/>
      <c r="R100" s="37"/>
      <c r="S100" s="37"/>
      <c r="T100" s="37"/>
    </row>
    <row r="101" spans="2:20" x14ac:dyDescent="0.25">
      <c r="B101" s="40">
        <f t="shared" si="4"/>
        <v>95</v>
      </c>
      <c r="C101" s="272">
        <f>'foglio deposito'!$K$60/$B$106*B101</f>
        <v>-1.1573996294782975E-2</v>
      </c>
      <c r="D101" s="280">
        <f>IF(C101&gt;'foglio deposito'!$K$59,2*'foglio deposito'!$F$67/'foglio deposito'!$K$59*(C101-C101^2/(2*'foglio deposito'!$K$59)),'foglio deposito'!$F$67)</f>
        <v>-17.320701781544194</v>
      </c>
      <c r="E101" s="273">
        <f>IF(C101&gt;'foglio deposito'!$F$103,2*'foglio deposito'!$D$104/(-'foglio deposito'!$F$103)*(C101^2/2-(-C101)^3/(-6*'foglio deposito'!$F$103)),2*'foglio deposito'!$D$104/(-'foglio deposito'!$F$103)*('foglio deposito'!$F$103^2/2-(-'foglio deposito'!$F$103)^3/(-6*'foglio deposito'!$F$103))+'foglio deposito'!$D$104*(ABS(C101)-ABS('foglio deposito'!$F$103)))</f>
        <v>0.15971345531158682</v>
      </c>
      <c r="F101" s="273">
        <f>IF(ABS(C101)&lt;ABS('foglio deposito'!$F$103),-2*'foglio deposito'!$D$104/(-'foglio deposito'!$F$103)*(-C101^3/3-(C101)^4/(-8*'foglio deposito'!$F$103)),-(2*'foglio deposito'!$D$104/(-'foglio deposito'!$F$103)*(ABS('foglio deposito'!$F$103)^3/3-ABS('foglio deposito'!$F$103)^4/(-8*'foglio deposito'!$F$103))+'foglio deposito'!$D$104/2*(ABS(C101)^2-ABS('foglio deposito'!$F$103)^2)))</f>
        <v>-9.8028338794124161E-4</v>
      </c>
      <c r="G101" s="258">
        <f>E101/('foglio deposito'!$F$67*'foglio deposito'!$K$60)</f>
        <v>0.75686127929377378</v>
      </c>
      <c r="H101" s="258">
        <f t="shared" si="7"/>
        <v>0.46969368530557931</v>
      </c>
      <c r="I101" s="279">
        <f t="shared" si="5"/>
        <v>-6.1377633213732397E-3</v>
      </c>
      <c r="J101" s="280">
        <f t="shared" si="6"/>
        <v>-8.135424251852406</v>
      </c>
      <c r="K101" s="37"/>
      <c r="L101" s="37"/>
      <c r="M101" s="37"/>
      <c r="N101" s="37"/>
      <c r="O101" s="37"/>
      <c r="P101" s="37"/>
      <c r="Q101" s="37"/>
      <c r="R101" s="37"/>
      <c r="S101" s="37"/>
      <c r="T101" s="37"/>
    </row>
    <row r="102" spans="2:20" x14ac:dyDescent="0.25">
      <c r="B102" s="40">
        <f t="shared" si="4"/>
        <v>96</v>
      </c>
      <c r="C102" s="272">
        <f>'foglio deposito'!$K$60/$B$106*B102</f>
        <v>-1.1695827834728058E-2</v>
      </c>
      <c r="D102" s="280">
        <f>IF(C102&gt;'foglio deposito'!$K$59,2*'foglio deposito'!$F$67/'foglio deposito'!$K$59*(C102-C102^2/(2*'foglio deposito'!$K$59)),'foglio deposito'!$F$67)</f>
        <v>-17.320701781544194</v>
      </c>
      <c r="E102" s="273">
        <f>IF(C102&gt;'foglio deposito'!$F$103,2*'foglio deposito'!$D$104/(-'foglio deposito'!$F$103)*(C102^2/2-(-C102)^3/(-6*'foglio deposito'!$F$103)),2*'foglio deposito'!$D$104/(-'foglio deposito'!$F$103)*('foglio deposito'!$F$103^2/2-(-'foglio deposito'!$F$103)^3/(-6*'foglio deposito'!$F$103))+'foglio deposito'!$D$104*(ABS(C102)-ABS('foglio deposito'!$F$103)))</f>
        <v>0.1615071319169156</v>
      </c>
      <c r="F102" s="273">
        <f>IF(ABS(C102)&lt;ABS('foglio deposito'!$F$103),-2*'foglio deposito'!$D$104/(-'foglio deposito'!$F$103)*(-C102^3/3-(C102)^4/(-8*'foglio deposito'!$F$103)),-(2*'foglio deposito'!$D$104/(-'foglio deposito'!$F$103)*(ABS('foglio deposito'!$F$103)^3/3-ABS('foglio deposito'!$F$103)^4/(-8*'foglio deposito'!$F$103))+'foglio deposito'!$D$104/2*(ABS(C102)^2-ABS('foglio deposito'!$F$103)^2)))</f>
        <v>-1.0011526575168517E-3</v>
      </c>
      <c r="G102" s="258">
        <f>E102/('foglio deposito'!$F$67*'foglio deposito'!$K$60)</f>
        <v>0.76536127929377362</v>
      </c>
      <c r="H102" s="258">
        <f t="shared" si="7"/>
        <v>0.46999784815041845</v>
      </c>
      <c r="I102" s="279">
        <f t="shared" si="5"/>
        <v>-6.1988139200681025E-3</v>
      </c>
      <c r="J102" s="280">
        <f t="shared" si="6"/>
        <v>-8.1406925657808902</v>
      </c>
      <c r="K102" s="37"/>
      <c r="L102" s="37"/>
      <c r="M102" s="37"/>
      <c r="N102" s="111"/>
      <c r="O102" s="37"/>
      <c r="P102" s="37"/>
      <c r="Q102" s="37"/>
      <c r="R102" s="37"/>
      <c r="S102" s="37"/>
      <c r="T102" s="37"/>
    </row>
    <row r="103" spans="2:20" x14ac:dyDescent="0.25">
      <c r="B103" s="40">
        <f t="shared" si="4"/>
        <v>97</v>
      </c>
      <c r="C103" s="272">
        <f>'foglio deposito'!$K$60/$B$106*B103</f>
        <v>-1.1817659374673143E-2</v>
      </c>
      <c r="D103" s="280">
        <f>IF(C103&gt;'foglio deposito'!$K$59,2*'foglio deposito'!$F$67/'foglio deposito'!$K$59*(C103-C103^2/(2*'foglio deposito'!$K$59)),'foglio deposito'!$F$67)</f>
        <v>-17.320701781544194</v>
      </c>
      <c r="E103" s="273">
        <f>IF(C103&gt;'foglio deposito'!$F$103,2*'foglio deposito'!$D$104/(-'foglio deposito'!$F$103)*(C103^2/2-(-C103)^3/(-6*'foglio deposito'!$F$103)),2*'foglio deposito'!$D$104/(-'foglio deposito'!$F$103)*('foglio deposito'!$F$103^2/2-(-'foglio deposito'!$F$103)^3/(-6*'foglio deposito'!$F$103))+'foglio deposito'!$D$104*(ABS(C103)-ABS('foglio deposito'!$F$103)))</f>
        <v>0.16330080852224443</v>
      </c>
      <c r="F103" s="273">
        <f>IF(ABS(C103)&lt;ABS('foglio deposito'!$F$103),-2*'foglio deposito'!$D$104/(-'foglio deposito'!$F$103)*(-C103^3/3-(C103)^4/(-8*'foglio deposito'!$F$103)),-(2*'foglio deposito'!$D$104/(-'foglio deposito'!$F$103)*(ABS('foglio deposito'!$F$103)^3/3-ABS('foglio deposito'!$F$103)^4/(-8*'foglio deposito'!$F$103))+'foglio deposito'!$D$104/2*(ABS(C103)^2-ABS('foglio deposito'!$F$103)^2)))</f>
        <v>-1.0222404534754525E-3</v>
      </c>
      <c r="G103" s="258">
        <f>E103/('foglio deposito'!$F$67*'foglio deposito'!$K$60)</f>
        <v>0.77386127929377369</v>
      </c>
      <c r="H103" s="258">
        <f t="shared" si="7"/>
        <v>0.4702959902285313</v>
      </c>
      <c r="I103" s="279">
        <f t="shared" si="5"/>
        <v>-6.2598615568777508E-3</v>
      </c>
      <c r="J103" s="280">
        <f t="shared" si="6"/>
        <v>-8.145856595804414</v>
      </c>
      <c r="K103" s="37"/>
      <c r="L103" s="37"/>
      <c r="M103" s="37"/>
      <c r="N103" s="37"/>
      <c r="O103" s="37"/>
      <c r="P103" s="37"/>
      <c r="Q103" s="37"/>
      <c r="R103" s="37"/>
      <c r="S103" s="37"/>
      <c r="T103" s="37"/>
    </row>
    <row r="104" spans="2:20" x14ac:dyDescent="0.25">
      <c r="B104" s="40">
        <f t="shared" si="4"/>
        <v>98</v>
      </c>
      <c r="C104" s="272">
        <f>'foglio deposito'!$K$60/$B$106*B104</f>
        <v>-1.1939490914618227E-2</v>
      </c>
      <c r="D104" s="280">
        <f>IF(C104&gt;'foglio deposito'!$K$59,2*'foglio deposito'!$F$67/'foglio deposito'!$K$59*(C104-C104^2/(2*'foglio deposito'!$K$59)),'foglio deposito'!$F$67)</f>
        <v>-17.320701781544194</v>
      </c>
      <c r="E104" s="273">
        <f>IF(C104&gt;'foglio deposito'!$F$103,2*'foglio deposito'!$D$104/(-'foglio deposito'!$F$103)*(C104^2/2-(-C104)^3/(-6*'foglio deposito'!$F$103)),2*'foglio deposito'!$D$104/(-'foglio deposito'!$F$103)*('foglio deposito'!$F$103^2/2-(-'foglio deposito'!$F$103)^3/(-6*'foglio deposito'!$F$103))+'foglio deposito'!$D$104*(ABS(C104)-ABS('foglio deposito'!$F$103)))</f>
        <v>0.16509448512757327</v>
      </c>
      <c r="F104" s="273">
        <f>IF(ABS(C104)&lt;ABS('foglio deposito'!$F$103),-2*'foglio deposito'!$D$104/(-'foglio deposito'!$F$103)*(-C104^3/3-(C104)^4/(-8*'foglio deposito'!$F$103)),-(2*'foglio deposito'!$D$104/(-'foglio deposito'!$F$103)*(ABS('foglio deposito'!$F$103)^3/3-ABS('foglio deposito'!$F$103)^4/(-8*'foglio deposito'!$F$103))+'foglio deposito'!$D$104/2*(ABS(C104)^2-ABS('foglio deposito'!$F$103)^2)))</f>
        <v>-1.0435467758170441E-3</v>
      </c>
      <c r="G104" s="258">
        <f>E104/('foglio deposito'!$F$67*'foglio deposito'!$K$60)</f>
        <v>0.78236127929377375</v>
      </c>
      <c r="H104" s="258">
        <f t="shared" si="7"/>
        <v>0.47058828776344719</v>
      </c>
      <c r="I104" s="279">
        <f t="shared" si="5"/>
        <v>-6.320906328340801E-3</v>
      </c>
      <c r="J104" s="280">
        <f t="shared" si="6"/>
        <v>-8.150919394238171</v>
      </c>
      <c r="K104" s="37"/>
      <c r="L104" s="37"/>
      <c r="M104" s="37"/>
      <c r="N104" s="37"/>
      <c r="O104" s="37"/>
      <c r="P104" s="37"/>
      <c r="Q104" s="37"/>
      <c r="R104" s="37"/>
      <c r="S104" s="37"/>
      <c r="T104" s="37"/>
    </row>
    <row r="105" spans="2:20" x14ac:dyDescent="0.25">
      <c r="B105" s="40">
        <f t="shared" si="4"/>
        <v>99</v>
      </c>
      <c r="C105" s="272">
        <f>'foglio deposito'!$K$60/$B$106*B105</f>
        <v>-1.206132245456331E-2</v>
      </c>
      <c r="D105" s="280">
        <f>IF(C105&gt;'foglio deposito'!$K$59,2*'foglio deposito'!$F$67/'foglio deposito'!$K$59*(C105-C105^2/(2*'foglio deposito'!$K$59)),'foglio deposito'!$F$67)</f>
        <v>-17.320701781544194</v>
      </c>
      <c r="E105" s="273">
        <f>IF(C105&gt;'foglio deposito'!$F$103,2*'foglio deposito'!$D$104/(-'foglio deposito'!$F$103)*(C105^2/2-(-C105)^3/(-6*'foglio deposito'!$F$103)),2*'foglio deposito'!$D$104/(-'foglio deposito'!$F$103)*('foglio deposito'!$F$103^2/2-(-'foglio deposito'!$F$103)^3/(-6*'foglio deposito'!$F$103))+'foglio deposito'!$D$104*(ABS(C105)-ABS('foglio deposito'!$F$103)))</f>
        <v>0.16688816173290208</v>
      </c>
      <c r="F105" s="273">
        <f>IF(ABS(C105)&lt;ABS('foglio deposito'!$F$103),-2*'foglio deposito'!$D$104/(-'foglio deposito'!$F$103)*(-C105^3/3-(C105)^4/(-8*'foglio deposito'!$F$103)),-(2*'foglio deposito'!$D$104/(-'foglio deposito'!$F$103)*(ABS('foglio deposito'!$F$103)^3/3-ABS('foglio deposito'!$F$103)^4/(-8*'foglio deposito'!$F$103))+'foglio deposito'!$D$104/2*(ABS(C105)^2-ABS('foglio deposito'!$F$103)^2)))</f>
        <v>-1.0650716245416258E-3</v>
      </c>
      <c r="G105" s="258">
        <f>E105/('foglio deposito'!$F$67*'foglio deposito'!$K$60)</f>
        <v>0.79086127929377359</v>
      </c>
      <c r="H105" s="258">
        <f t="shared" si="7"/>
        <v>0.47087491020265371</v>
      </c>
      <c r="I105" s="279">
        <f t="shared" si="5"/>
        <v>-6.3819483268455612E-3</v>
      </c>
      <c r="J105" s="280">
        <f t="shared" si="6"/>
        <v>-8.1558838960315665</v>
      </c>
      <c r="K105" s="37"/>
      <c r="L105" s="37"/>
      <c r="M105" s="37"/>
      <c r="N105" s="37"/>
      <c r="O105" s="37"/>
      <c r="P105" s="37"/>
      <c r="Q105" s="37"/>
      <c r="R105" s="37"/>
      <c r="S105" s="37"/>
      <c r="T105" s="37"/>
    </row>
    <row r="106" spans="2:20" x14ac:dyDescent="0.25">
      <c r="B106" s="40">
        <f t="shared" si="4"/>
        <v>100</v>
      </c>
      <c r="C106" s="272">
        <f>'foglio deposito'!$K$60/$B$106*B106</f>
        <v>-1.2183153994508394E-2</v>
      </c>
      <c r="D106" s="280">
        <f>IF(C106&gt;'foglio deposito'!$K$59,2*'foglio deposito'!$F$67/'foglio deposito'!$K$59*(C106-C106^2/(2*'foglio deposito'!$K$59)),'foglio deposito'!$F$67)</f>
        <v>-17.320701781544194</v>
      </c>
      <c r="E106" s="273">
        <f>IF(C106&gt;'foglio deposito'!$F$103,2*'foglio deposito'!$D$104/(-'foglio deposito'!$F$103)*(C106^2/2-(-C106)^3/(-6*'foglio deposito'!$F$103)),2*'foglio deposito'!$D$104/(-'foglio deposito'!$F$103)*('foglio deposito'!$F$103^2/2-(-'foglio deposito'!$F$103)^3/(-6*'foglio deposito'!$F$103))+'foglio deposito'!$D$104*(ABS(C106)-ABS('foglio deposito'!$F$103)))</f>
        <v>0.16868183833823092</v>
      </c>
      <c r="F106" s="273">
        <f>IF(ABS(C106)&lt;ABS('foglio deposito'!$F$103),-2*'foglio deposito'!$D$104/(-'foglio deposito'!$F$103)*(-C106^3/3-(C106)^4/(-8*'foglio deposito'!$F$103)),-(2*'foglio deposito'!$D$104/(-'foglio deposito'!$F$103)*(ABS('foglio deposito'!$F$103)^3/3-ABS('foglio deposito'!$F$103)^4/(-8*'foglio deposito'!$F$103))+'foglio deposito'!$D$104/2*(ABS(C106)^2-ABS('foglio deposito'!$F$103)^2)))</f>
        <v>-1.0868149996491987E-3</v>
      </c>
      <c r="G106" s="258">
        <f>E106/('foglio deposito'!$F$67*'foglio deposito'!$K$60)</f>
        <v>0.79936127929377365</v>
      </c>
      <c r="H106" s="258">
        <f t="shared" si="7"/>
        <v>0.4711560205382852</v>
      </c>
      <c r="I106" s="279">
        <f t="shared" si="5"/>
        <v>-6.4429876408507065E-3</v>
      </c>
      <c r="J106" s="280">
        <f t="shared" si="6"/>
        <v>-8.1607529243227503</v>
      </c>
      <c r="K106" s="37"/>
      <c r="L106" s="37"/>
      <c r="M106" s="37"/>
      <c r="N106" s="37"/>
      <c r="O106" s="37"/>
      <c r="P106" s="37"/>
      <c r="Q106" s="37"/>
      <c r="R106" s="37"/>
      <c r="S106" s="37"/>
      <c r="T106" s="37"/>
    </row>
    <row r="107" spans="2:20" x14ac:dyDescent="0.25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</row>
  </sheetData>
  <sheetProtection password="C2CA" sheet="1" objects="1" scenarios="1" selectLockedCells="1" selectUnlockedCells="1"/>
  <mergeCells count="4">
    <mergeCell ref="E4:F4"/>
    <mergeCell ref="K4:L4"/>
    <mergeCell ref="I2:K2"/>
    <mergeCell ref="B2:H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showGridLines="0" showRowColHeaders="0" workbookViewId="0">
      <selection activeCell="F16" sqref="F16"/>
    </sheetView>
  </sheetViews>
  <sheetFormatPr defaultRowHeight="15" x14ac:dyDescent="0.25"/>
  <cols>
    <col min="1" max="1" width="4.5703125" customWidth="1"/>
    <col min="4" max="4" width="14.28515625" customWidth="1"/>
    <col min="6" max="6" width="17.42578125" customWidth="1"/>
    <col min="7" max="7" width="4.42578125" customWidth="1"/>
  </cols>
  <sheetData>
    <row r="2" spans="2:8" ht="18.75" x14ac:dyDescent="0.3">
      <c r="B2" s="306" t="s">
        <v>396</v>
      </c>
      <c r="C2" s="306"/>
      <c r="D2" s="306"/>
      <c r="E2" s="306"/>
      <c r="F2" s="306"/>
      <c r="G2" s="306"/>
      <c r="H2" s="306"/>
    </row>
    <row r="3" spans="2:8" ht="12" customHeight="1" x14ac:dyDescent="0.3">
      <c r="B3" s="274"/>
      <c r="C3" s="274"/>
      <c r="D3" s="274"/>
      <c r="E3" s="274"/>
      <c r="F3" s="274"/>
      <c r="G3" s="274"/>
      <c r="H3" s="274"/>
    </row>
    <row r="5" spans="2:8" x14ac:dyDescent="0.25">
      <c r="B5" s="37" t="s">
        <v>76</v>
      </c>
      <c r="C5" s="37"/>
      <c r="D5" s="37"/>
      <c r="E5" s="37"/>
      <c r="F5" s="51" t="str">
        <f>DATI!F38</f>
        <v>Fe B450C</v>
      </c>
    </row>
    <row r="6" spans="2:8" x14ac:dyDescent="0.25">
      <c r="B6" s="37"/>
      <c r="C6" s="37"/>
      <c r="D6" s="37"/>
      <c r="E6" s="37"/>
      <c r="F6" s="157"/>
    </row>
    <row r="7" spans="2:8" x14ac:dyDescent="0.25">
      <c r="B7" s="37" t="s">
        <v>108</v>
      </c>
      <c r="C7" s="37"/>
      <c r="D7" s="37"/>
      <c r="E7" s="164" t="s">
        <v>197</v>
      </c>
      <c r="F7" s="53">
        <f>DATI!F40</f>
        <v>540</v>
      </c>
    </row>
    <row r="8" spans="2:8" x14ac:dyDescent="0.25">
      <c r="B8" s="37" t="s">
        <v>107</v>
      </c>
      <c r="C8" s="30"/>
      <c r="D8" s="46"/>
      <c r="E8" s="164" t="s">
        <v>198</v>
      </c>
      <c r="F8" s="53">
        <f>DATI!F41</f>
        <v>450</v>
      </c>
    </row>
    <row r="9" spans="2:8" x14ac:dyDescent="0.25">
      <c r="B9" s="37" t="s">
        <v>195</v>
      </c>
      <c r="C9" s="37"/>
      <c r="D9" s="37"/>
      <c r="E9" s="164" t="s">
        <v>199</v>
      </c>
      <c r="F9" s="53">
        <f>DATI!F42</f>
        <v>391.304347826087</v>
      </c>
    </row>
    <row r="10" spans="2:8" x14ac:dyDescent="0.25">
      <c r="B10" s="37" t="s">
        <v>71</v>
      </c>
      <c r="C10" s="37"/>
      <c r="D10" s="37"/>
      <c r="E10" s="164" t="s">
        <v>200</v>
      </c>
      <c r="F10" s="45">
        <f>DATI!F43</f>
        <v>210000</v>
      </c>
    </row>
    <row r="11" spans="2:8" x14ac:dyDescent="0.25">
      <c r="B11" s="37"/>
      <c r="C11" s="37"/>
      <c r="D11" s="37"/>
      <c r="E11" s="37"/>
      <c r="F11" s="37"/>
    </row>
    <row r="12" spans="2:8" ht="15.75" x14ac:dyDescent="0.25">
      <c r="B12" s="37" t="s">
        <v>81</v>
      </c>
      <c r="C12" s="37"/>
      <c r="D12" s="37"/>
      <c r="E12" s="7" t="s">
        <v>9</v>
      </c>
      <c r="F12" s="168">
        <f>DATI!F56</f>
        <v>1.87</v>
      </c>
    </row>
    <row r="13" spans="2:8" ht="15.75" x14ac:dyDescent="0.25">
      <c r="B13" s="37" t="s">
        <v>394</v>
      </c>
      <c r="E13" s="7" t="s">
        <v>395</v>
      </c>
      <c r="F13" s="168">
        <f>F14/0.9</f>
        <v>75</v>
      </c>
    </row>
    <row r="14" spans="2:8" ht="15.75" x14ac:dyDescent="0.25">
      <c r="B14" s="37" t="s">
        <v>82</v>
      </c>
      <c r="C14" s="37"/>
      <c r="D14" s="37"/>
      <c r="E14" s="7" t="s">
        <v>19</v>
      </c>
      <c r="F14" s="168">
        <f>DATI!F57</f>
        <v>67.5</v>
      </c>
    </row>
    <row r="16" spans="2:8" x14ac:dyDescent="0.25">
      <c r="B16" s="37" t="s">
        <v>392</v>
      </c>
      <c r="E16" s="1" t="s">
        <v>393</v>
      </c>
      <c r="F16" s="31">
        <f>F7/F8</f>
        <v>1.2</v>
      </c>
    </row>
  </sheetData>
  <sheetProtection password="C2CA" sheet="1" objects="1" scenarios="1" selectLockedCells="1" selectUnlockedCells="1"/>
  <mergeCells count="1">
    <mergeCell ref="B2:H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6"/>
  <sheetViews>
    <sheetView showGridLines="0" showRowColHeaders="0" zoomScale="90" zoomScaleNormal="90" workbookViewId="0">
      <selection activeCell="H40" sqref="H40"/>
    </sheetView>
  </sheetViews>
  <sheetFormatPr defaultRowHeight="15" x14ac:dyDescent="0.25"/>
  <cols>
    <col min="1" max="1" width="2.5703125" customWidth="1"/>
    <col min="2" max="3" width="11.5703125" customWidth="1"/>
    <col min="4" max="4" width="34" customWidth="1"/>
    <col min="5" max="5" width="10.85546875" customWidth="1"/>
    <col min="6" max="6" width="14" customWidth="1"/>
    <col min="7" max="7" width="28.7109375" customWidth="1"/>
    <col min="8" max="8" width="26.5703125" customWidth="1"/>
    <col min="9" max="16" width="11.5703125" customWidth="1"/>
  </cols>
  <sheetData>
    <row r="2" spans="2:16" ht="15.75" x14ac:dyDescent="0.25">
      <c r="B2" s="147" t="s">
        <v>310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2:16" ht="12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21" x14ac:dyDescent="0.35">
      <c r="B4" s="146" t="s">
        <v>159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2:16" x14ac:dyDescent="0.25">
      <c r="B5" s="37"/>
      <c r="C5" s="37"/>
      <c r="D5" s="37"/>
      <c r="E5" s="37"/>
      <c r="F5" s="37"/>
      <c r="G5" s="114"/>
      <c r="H5" s="37"/>
      <c r="I5" s="37"/>
      <c r="J5" s="37"/>
      <c r="K5" s="37"/>
      <c r="L5" s="37"/>
      <c r="M5" s="37"/>
      <c r="N5" s="37"/>
      <c r="O5" s="37"/>
      <c r="P5" s="37"/>
    </row>
    <row r="6" spans="2:16" ht="18.75" x14ac:dyDescent="0.25">
      <c r="B6" s="158" t="s">
        <v>158</v>
      </c>
      <c r="C6" s="142"/>
      <c r="D6" s="142"/>
      <c r="E6" s="142"/>
      <c r="F6" s="37"/>
      <c r="G6" s="37"/>
      <c r="H6" s="37"/>
      <c r="K6" s="143"/>
      <c r="P6" s="144"/>
    </row>
    <row r="7" spans="2:16" ht="15.75" x14ac:dyDescent="0.25">
      <c r="B7" s="130"/>
      <c r="C7" s="130"/>
      <c r="D7" s="130"/>
      <c r="E7" s="130"/>
      <c r="F7" s="37"/>
      <c r="G7" s="37"/>
      <c r="H7" s="37"/>
      <c r="K7" s="130"/>
      <c r="P7" s="130"/>
    </row>
    <row r="8" spans="2:16" ht="15.75" x14ac:dyDescent="0.25">
      <c r="B8" s="37" t="s">
        <v>170</v>
      </c>
      <c r="C8" s="37"/>
      <c r="D8" s="131"/>
      <c r="E8" s="131" t="s">
        <v>160</v>
      </c>
      <c r="F8" s="137">
        <f>'foglio deposito'!C48-2*(DATI!F8)</f>
        <v>246</v>
      </c>
      <c r="G8" s="37"/>
      <c r="H8" s="37"/>
      <c r="K8" s="130"/>
      <c r="P8" s="130"/>
    </row>
    <row r="9" spans="2:16" ht="15.75" x14ac:dyDescent="0.25">
      <c r="B9" s="37" t="s">
        <v>169</v>
      </c>
      <c r="C9" s="37"/>
      <c r="D9" s="131"/>
      <c r="E9" s="139" t="s">
        <v>153</v>
      </c>
      <c r="F9" s="137">
        <f>'foglio deposito'!C50-2*(DATI!F8)</f>
        <v>446</v>
      </c>
      <c r="G9" s="37"/>
      <c r="H9" s="37"/>
      <c r="K9" s="130"/>
      <c r="P9" s="130"/>
    </row>
    <row r="10" spans="2:16" ht="15.75" x14ac:dyDescent="0.25">
      <c r="B10" s="130"/>
      <c r="C10" s="130"/>
      <c r="D10" s="130"/>
      <c r="E10" s="130"/>
      <c r="F10" s="37"/>
      <c r="G10" s="37"/>
      <c r="H10" s="37"/>
      <c r="K10" s="130"/>
      <c r="P10" s="130"/>
    </row>
    <row r="11" spans="2:16" ht="18.75" x14ac:dyDescent="0.25">
      <c r="B11" s="158" t="s">
        <v>157</v>
      </c>
      <c r="C11" s="143"/>
      <c r="D11" s="143"/>
      <c r="E11" s="143"/>
      <c r="F11" s="143"/>
      <c r="G11" s="37"/>
      <c r="H11" s="37"/>
      <c r="K11" s="130"/>
      <c r="P11" s="130"/>
    </row>
    <row r="12" spans="2:16" ht="15.75" x14ac:dyDescent="0.25">
      <c r="B12" s="130"/>
      <c r="C12" s="130"/>
      <c r="D12" s="130"/>
      <c r="E12" s="130"/>
      <c r="F12" s="130"/>
      <c r="G12" s="37"/>
      <c r="H12" s="37"/>
      <c r="K12" s="130"/>
      <c r="P12" s="130"/>
    </row>
    <row r="13" spans="2:16" ht="15.75" x14ac:dyDescent="0.25">
      <c r="B13" s="148" t="s">
        <v>155</v>
      </c>
      <c r="C13" s="130"/>
      <c r="D13" s="130"/>
      <c r="E13" s="130"/>
      <c r="F13" s="130"/>
      <c r="G13" s="37"/>
      <c r="H13" s="37"/>
      <c r="K13" s="130"/>
      <c r="P13" s="130"/>
    </row>
    <row r="14" spans="2:16" ht="10.5" customHeight="1" x14ac:dyDescent="0.25">
      <c r="B14" s="148"/>
      <c r="C14" s="130"/>
      <c r="D14" s="130"/>
      <c r="E14" s="130"/>
      <c r="F14" s="130"/>
      <c r="G14" s="37"/>
      <c r="H14" s="37"/>
      <c r="K14" s="130"/>
      <c r="P14" s="130"/>
    </row>
    <row r="15" spans="2:16" ht="15.75" x14ac:dyDescent="0.25">
      <c r="B15" s="149" t="s">
        <v>151</v>
      </c>
      <c r="C15" s="130"/>
      <c r="D15" s="37"/>
      <c r="E15" s="37"/>
      <c r="F15" s="137">
        <f>2*'foglio deposito'!P46+2*'foglio deposito'!P47</f>
        <v>1384</v>
      </c>
      <c r="G15" s="37"/>
      <c r="H15" s="37"/>
      <c r="K15" s="130"/>
      <c r="P15" s="130"/>
    </row>
    <row r="16" spans="2:16" ht="15.75" x14ac:dyDescent="0.25">
      <c r="B16" s="130"/>
      <c r="C16" s="130"/>
      <c r="D16" s="130"/>
      <c r="E16" s="130"/>
      <c r="F16" s="130"/>
      <c r="G16" s="37"/>
      <c r="H16" s="37"/>
      <c r="K16" s="130"/>
      <c r="P16" s="130"/>
    </row>
    <row r="17" spans="2:16" ht="15.75" x14ac:dyDescent="0.25">
      <c r="B17" s="148" t="s">
        <v>171</v>
      </c>
      <c r="C17" s="130"/>
      <c r="D17" s="130"/>
      <c r="E17" s="130"/>
      <c r="F17" s="130"/>
      <c r="G17" s="37"/>
      <c r="H17" s="37"/>
      <c r="K17" s="130"/>
      <c r="P17" s="130"/>
    </row>
    <row r="18" spans="2:16" ht="9" customHeight="1" x14ac:dyDescent="0.25">
      <c r="B18" s="148"/>
      <c r="C18" s="130"/>
      <c r="D18" s="130"/>
      <c r="E18" s="130"/>
      <c r="F18" s="130"/>
      <c r="G18" s="37"/>
      <c r="H18" s="37"/>
      <c r="K18" s="130"/>
      <c r="P18" s="130"/>
    </row>
    <row r="19" spans="2:16" ht="15.75" x14ac:dyDescent="0.25">
      <c r="B19" s="150" t="s">
        <v>150</v>
      </c>
      <c r="C19" s="37"/>
      <c r="D19" s="37"/>
      <c r="E19" s="37"/>
      <c r="F19" s="137">
        <f>IF('foglio deposito'!M49=0,0,('foglio deposito'!M49*F8))</f>
        <v>0</v>
      </c>
      <c r="G19" s="37"/>
      <c r="H19" s="37"/>
      <c r="K19" s="130"/>
      <c r="P19" s="130"/>
    </row>
    <row r="20" spans="2:16" ht="15.75" x14ac:dyDescent="0.25">
      <c r="B20" s="150" t="s">
        <v>149</v>
      </c>
      <c r="C20" s="130"/>
      <c r="D20" s="37"/>
      <c r="E20" s="37"/>
      <c r="F20" s="137">
        <f>IF('foglio deposito'!M50=0,0,('foglio deposito'!M50*F9))</f>
        <v>0</v>
      </c>
      <c r="G20" s="37"/>
      <c r="H20" s="37"/>
      <c r="K20" s="130"/>
      <c r="P20" s="130"/>
    </row>
    <row r="21" spans="2:16" ht="15.75" x14ac:dyDescent="0.25">
      <c r="B21" s="150" t="s">
        <v>148</v>
      </c>
      <c r="C21" s="130"/>
      <c r="D21" s="37"/>
      <c r="E21" s="37"/>
      <c r="F21" s="137">
        <f>F19+F20</f>
        <v>0</v>
      </c>
      <c r="G21" s="37"/>
      <c r="H21" s="37"/>
      <c r="K21" s="130"/>
      <c r="L21" s="130"/>
      <c r="M21" s="130"/>
      <c r="N21" s="130"/>
      <c r="O21" s="130"/>
      <c r="P21" s="130"/>
    </row>
    <row r="22" spans="2:16" ht="15.75" x14ac:dyDescent="0.25">
      <c r="B22" s="150"/>
      <c r="C22" s="130"/>
      <c r="D22" s="37"/>
      <c r="E22" s="37"/>
      <c r="F22" s="58"/>
      <c r="G22" s="37"/>
      <c r="H22" s="37"/>
      <c r="K22" s="130"/>
      <c r="L22" s="130"/>
      <c r="M22" s="130"/>
      <c r="N22" s="130"/>
      <c r="O22" s="130"/>
      <c r="P22" s="130"/>
    </row>
    <row r="23" spans="2:16" ht="15.75" x14ac:dyDescent="0.25">
      <c r="B23" s="148" t="s">
        <v>140</v>
      </c>
      <c r="C23" s="130"/>
      <c r="D23" s="131"/>
      <c r="E23" s="130"/>
      <c r="F23" s="137">
        <f>F15+F21</f>
        <v>1384</v>
      </c>
      <c r="G23" s="37"/>
      <c r="H23" s="37"/>
      <c r="K23" s="130"/>
      <c r="L23" s="130"/>
      <c r="M23" s="130"/>
      <c r="N23" s="130"/>
      <c r="O23" s="130"/>
      <c r="P23" s="130"/>
    </row>
    <row r="24" spans="2:16" ht="15.75" x14ac:dyDescent="0.25">
      <c r="B24" s="148"/>
      <c r="C24" s="130"/>
      <c r="D24" s="131"/>
      <c r="E24" s="130"/>
      <c r="F24" s="58"/>
      <c r="G24" s="37"/>
      <c r="H24" s="37"/>
      <c r="K24" s="130"/>
      <c r="L24" s="130"/>
      <c r="M24" s="130"/>
      <c r="N24" s="130"/>
      <c r="O24" s="130"/>
      <c r="P24" s="130"/>
    </row>
    <row r="25" spans="2:16" ht="15.75" x14ac:dyDescent="0.25">
      <c r="B25" s="148" t="s">
        <v>146</v>
      </c>
      <c r="C25" s="37"/>
      <c r="D25" s="37"/>
      <c r="E25" s="37"/>
      <c r="F25" s="154">
        <f>F15*'foglio deposito'!R63</f>
        <v>69567.427721092376</v>
      </c>
      <c r="G25" s="131"/>
      <c r="H25" s="37"/>
      <c r="K25" s="130"/>
      <c r="L25" s="130"/>
      <c r="M25" s="130"/>
      <c r="N25" s="130"/>
      <c r="O25" s="130"/>
      <c r="P25" s="130"/>
    </row>
    <row r="26" spans="2:16" ht="15.75" x14ac:dyDescent="0.25">
      <c r="B26" s="130"/>
      <c r="C26" s="130"/>
      <c r="D26" s="130"/>
      <c r="E26" s="130"/>
      <c r="F26" s="130"/>
      <c r="G26" s="37"/>
      <c r="H26" s="37"/>
      <c r="K26" s="130"/>
      <c r="L26" s="130"/>
      <c r="M26" s="130"/>
      <c r="N26" s="130"/>
      <c r="O26" s="130"/>
      <c r="P26" s="130"/>
    </row>
    <row r="27" spans="2:16" ht="15.75" x14ac:dyDescent="0.25">
      <c r="B27" s="148" t="s">
        <v>144</v>
      </c>
      <c r="C27" s="130"/>
      <c r="D27" s="130"/>
      <c r="E27" s="130"/>
      <c r="F27" s="130"/>
      <c r="G27" s="37"/>
      <c r="H27" s="37"/>
      <c r="K27" s="130"/>
      <c r="L27" s="130"/>
      <c r="M27" s="130"/>
      <c r="N27" s="130"/>
      <c r="O27" s="130"/>
      <c r="P27" s="130"/>
    </row>
    <row r="28" spans="2:16" ht="13.5" customHeight="1" x14ac:dyDescent="0.25">
      <c r="B28" s="148"/>
      <c r="C28" s="130"/>
      <c r="D28" s="130"/>
      <c r="E28" s="130"/>
      <c r="F28" s="130"/>
      <c r="G28" s="37"/>
      <c r="H28" s="37"/>
      <c r="K28" s="130"/>
      <c r="L28" s="130"/>
      <c r="M28" s="130"/>
      <c r="N28" s="130"/>
      <c r="O28" s="130"/>
      <c r="P28" s="130"/>
    </row>
    <row r="29" spans="2:16" ht="15.75" x14ac:dyDescent="0.25">
      <c r="B29" s="149" t="s">
        <v>143</v>
      </c>
      <c r="C29" s="37"/>
      <c r="D29" s="37"/>
      <c r="E29" s="37"/>
      <c r="F29" s="154">
        <f>F19*'foglio deposito'!R64</f>
        <v>0</v>
      </c>
      <c r="G29" s="131"/>
      <c r="H29" s="37"/>
      <c r="K29" s="130"/>
      <c r="L29" s="130"/>
      <c r="M29" s="130"/>
      <c r="N29" s="130"/>
      <c r="O29" s="130"/>
      <c r="P29" s="130"/>
    </row>
    <row r="30" spans="2:16" ht="15.75" x14ac:dyDescent="0.25">
      <c r="B30" s="149" t="s">
        <v>142</v>
      </c>
      <c r="C30" s="130"/>
      <c r="D30" s="37"/>
      <c r="E30" s="37"/>
      <c r="F30" s="154">
        <f>F20*'foglio deposito'!R65</f>
        <v>0</v>
      </c>
      <c r="G30" s="131"/>
      <c r="H30" s="37"/>
      <c r="K30" s="130"/>
      <c r="L30" s="130"/>
      <c r="M30" s="130"/>
      <c r="N30" s="130"/>
      <c r="O30" s="130"/>
      <c r="P30" s="130"/>
    </row>
    <row r="31" spans="2:16" ht="15.75" x14ac:dyDescent="0.25">
      <c r="B31" s="149" t="s">
        <v>141</v>
      </c>
      <c r="C31" s="130"/>
      <c r="D31" s="37"/>
      <c r="E31" s="37"/>
      <c r="F31" s="154">
        <f>F29+F30</f>
        <v>0</v>
      </c>
      <c r="G31" s="131"/>
      <c r="H31" s="37"/>
      <c r="K31" s="130"/>
      <c r="L31" s="130"/>
      <c r="M31" s="130"/>
      <c r="N31" s="130"/>
      <c r="O31" s="130"/>
      <c r="P31" s="130"/>
    </row>
    <row r="32" spans="2:16" ht="15.75" x14ac:dyDescent="0.25">
      <c r="B32" s="130"/>
      <c r="C32" s="130"/>
      <c r="D32" s="131"/>
      <c r="E32" s="130"/>
      <c r="F32" s="130"/>
      <c r="G32" s="130"/>
      <c r="H32" s="130"/>
      <c r="I32" s="130"/>
      <c r="J32" s="130"/>
      <c r="K32" s="130"/>
      <c r="L32" s="130"/>
      <c r="M32" s="140"/>
      <c r="N32" s="132"/>
      <c r="O32" s="133"/>
      <c r="P32" s="141"/>
    </row>
    <row r="33" spans="2:16" ht="15.75" x14ac:dyDescent="0.25">
      <c r="B33" s="148" t="s">
        <v>139</v>
      </c>
      <c r="C33" s="130"/>
      <c r="D33" s="130"/>
      <c r="E33" s="130"/>
      <c r="F33" s="154">
        <f>F31+F25</f>
        <v>69567.427721092376</v>
      </c>
      <c r="G33" s="131"/>
      <c r="H33" s="130"/>
      <c r="I33" s="130"/>
      <c r="J33" s="130"/>
      <c r="K33" s="130"/>
      <c r="L33" s="130"/>
      <c r="M33" s="140"/>
      <c r="N33" s="132"/>
      <c r="O33" s="133"/>
      <c r="P33" s="141"/>
    </row>
    <row r="34" spans="2:16" ht="18.75" x14ac:dyDescent="0.3">
      <c r="B34" s="37"/>
      <c r="C34" s="37"/>
      <c r="D34" s="37"/>
      <c r="E34" s="37"/>
      <c r="F34" s="130"/>
      <c r="G34" s="113"/>
      <c r="H34" s="37"/>
      <c r="I34" s="37"/>
      <c r="J34" s="37"/>
      <c r="K34" s="37"/>
      <c r="L34" s="37"/>
      <c r="M34" s="112"/>
      <c r="N34" s="111"/>
      <c r="O34" s="25"/>
      <c r="P34" s="110"/>
    </row>
    <row r="35" spans="2:16" ht="15.75" x14ac:dyDescent="0.25">
      <c r="B35" s="37" t="s">
        <v>179</v>
      </c>
      <c r="C35" s="37"/>
      <c r="D35" s="37"/>
      <c r="E35" s="139" t="s">
        <v>138</v>
      </c>
      <c r="F35" s="151">
        <f>(F33*DATI!F42)/('CONFINAMENTO EC2'!F8*'CONFINAMENTO EC2'!F9*DATI!F97*DATI!F26*DATI!F33)</f>
        <v>0.14653534571544077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</row>
    <row r="36" spans="2:16" x14ac:dyDescent="0.25">
      <c r="B36" s="37"/>
      <c r="C36" s="37"/>
      <c r="D36" s="37"/>
      <c r="E36" s="37"/>
      <c r="F36" s="37"/>
      <c r="G36" s="37"/>
      <c r="H36" s="37"/>
      <c r="P36" s="42"/>
    </row>
    <row r="37" spans="2:16" ht="18.75" x14ac:dyDescent="0.25">
      <c r="B37" s="158" t="s">
        <v>156</v>
      </c>
      <c r="C37" s="144"/>
      <c r="D37" s="144"/>
      <c r="E37" s="144"/>
      <c r="F37" s="37"/>
      <c r="G37" s="37"/>
      <c r="H37" s="37"/>
      <c r="P37" s="42"/>
    </row>
    <row r="38" spans="2:16" ht="15.75" x14ac:dyDescent="0.25">
      <c r="B38" s="130"/>
      <c r="C38" s="130"/>
      <c r="D38" s="130"/>
      <c r="E38" s="130"/>
      <c r="F38" s="37"/>
      <c r="G38" s="37"/>
      <c r="H38" s="37"/>
      <c r="P38" s="42"/>
    </row>
    <row r="39" spans="2:16" ht="15.75" x14ac:dyDescent="0.25">
      <c r="B39" s="130" t="s">
        <v>190</v>
      </c>
      <c r="C39" s="37"/>
      <c r="D39" s="37"/>
      <c r="E39" s="37"/>
      <c r="F39" s="137">
        <f>(DATI!F4-2*(DATI!F64+DATI!F95+DATI!F8/2))/(DATI!E64-1)</f>
        <v>108.5</v>
      </c>
      <c r="G39" s="131"/>
      <c r="H39" s="37"/>
      <c r="P39" s="42"/>
    </row>
    <row r="40" spans="2:16" ht="15.75" x14ac:dyDescent="0.25">
      <c r="B40" s="130" t="s">
        <v>191</v>
      </c>
      <c r="C40" s="37"/>
      <c r="D40" s="37"/>
      <c r="E40" s="37"/>
      <c r="F40" s="137">
        <f>(DATI!F5-2*(DATI!F70+DATI!F95+DATI!F8/2))/('foglio deposito'!H3+1)</f>
        <v>139</v>
      </c>
      <c r="G40" s="131"/>
      <c r="H40" s="37"/>
      <c r="P40" s="42"/>
    </row>
    <row r="41" spans="2:16" ht="15.75" x14ac:dyDescent="0.25">
      <c r="B41" s="130"/>
      <c r="C41" s="37"/>
      <c r="D41" s="37"/>
      <c r="E41" s="37"/>
      <c r="F41" s="152"/>
      <c r="G41" s="131"/>
      <c r="H41" s="37"/>
      <c r="P41" s="42"/>
    </row>
    <row r="42" spans="2:16" ht="15.75" x14ac:dyDescent="0.25">
      <c r="B42" s="130" t="s">
        <v>182</v>
      </c>
      <c r="C42" s="37"/>
      <c r="D42" s="37"/>
      <c r="E42" s="131" t="s">
        <v>147</v>
      </c>
      <c r="F42" s="151">
        <f>1-'foglio deposito'!F59*F39^2/(6*F8*F9)-'foglio deposito'!F61*F40^2/(6*F8*F9)</f>
        <v>0.90553413661939308</v>
      </c>
      <c r="G42" s="131"/>
      <c r="H42" s="37"/>
    </row>
    <row r="43" spans="2:16" ht="15.75" x14ac:dyDescent="0.25">
      <c r="B43" s="130" t="s">
        <v>181</v>
      </c>
      <c r="C43" s="37"/>
      <c r="D43" s="37"/>
      <c r="E43" s="131" t="s">
        <v>145</v>
      </c>
      <c r="F43" s="151">
        <f>IF(DATI!F95=0,0,(1-DATI!F97/(2*'CONFINAMENTO EC2'!F8))*(1-DATI!F97/(2*'CONFINAMENTO EC2'!F9)))</f>
        <v>0.65438040030624522</v>
      </c>
      <c r="G43" s="130"/>
      <c r="H43" s="37"/>
    </row>
    <row r="44" spans="2:16" ht="9" customHeight="1" x14ac:dyDescent="0.25">
      <c r="B44" s="37"/>
      <c r="C44" s="37"/>
      <c r="D44" s="37"/>
      <c r="E44" s="37"/>
      <c r="F44" s="37"/>
      <c r="G44" s="131"/>
      <c r="H44" s="37"/>
    </row>
    <row r="45" spans="2:16" ht="15.75" x14ac:dyDescent="0.25">
      <c r="B45" s="130" t="s">
        <v>180</v>
      </c>
      <c r="C45" s="37"/>
      <c r="D45" s="37"/>
      <c r="E45" s="131" t="s">
        <v>4</v>
      </c>
      <c r="F45" s="151">
        <f>F42*F43</f>
        <v>0.59256379081196864</v>
      </c>
      <c r="G45" s="131"/>
      <c r="H45" s="37"/>
    </row>
    <row r="46" spans="2:16" x14ac:dyDescent="0.25">
      <c r="B46" s="37"/>
      <c r="C46" s="37"/>
      <c r="D46" s="37"/>
      <c r="E46" s="37"/>
      <c r="F46" s="37"/>
      <c r="G46" s="37"/>
      <c r="H46" s="37"/>
    </row>
    <row r="47" spans="2:16" ht="18.75" x14ac:dyDescent="0.25">
      <c r="B47" s="158" t="s">
        <v>193</v>
      </c>
      <c r="C47" s="37"/>
      <c r="D47" s="37"/>
      <c r="E47" s="37"/>
      <c r="F47" s="37"/>
      <c r="G47" s="37"/>
      <c r="H47" s="37"/>
    </row>
    <row r="48" spans="2:16" x14ac:dyDescent="0.25">
      <c r="B48" s="37"/>
      <c r="C48" s="37"/>
      <c r="D48" s="37"/>
      <c r="E48" s="37"/>
      <c r="F48" s="37"/>
      <c r="G48" s="37"/>
      <c r="H48" s="37"/>
    </row>
    <row r="49" spans="2:8" ht="18.75" x14ac:dyDescent="0.25">
      <c r="B49" s="130" t="s">
        <v>315</v>
      </c>
      <c r="C49" s="37"/>
      <c r="D49" s="37"/>
      <c r="E49" s="220" t="s">
        <v>319</v>
      </c>
      <c r="F49" s="168">
        <f>DATI!F50*('CONFINAMENTO EC2'!F57/DATI!F25)^2</f>
        <v>-2.177432938054785</v>
      </c>
      <c r="G49" s="37"/>
      <c r="H49" s="37"/>
    </row>
    <row r="50" spans="2:8" ht="15" customHeight="1" x14ac:dyDescent="0.25">
      <c r="B50" s="130" t="s">
        <v>192</v>
      </c>
      <c r="C50" s="37"/>
      <c r="D50" s="37"/>
      <c r="E50" s="220" t="s">
        <v>312</v>
      </c>
      <c r="F50" s="168">
        <f>'foglio deposito'!D12+DATI!F51</f>
        <v>-12.183153994508395</v>
      </c>
      <c r="G50" s="37"/>
      <c r="H50" s="37"/>
    </row>
    <row r="51" spans="2:8" x14ac:dyDescent="0.25">
      <c r="B51" s="37"/>
      <c r="C51" s="155"/>
      <c r="D51" s="114"/>
      <c r="E51" s="82"/>
      <c r="F51" s="37"/>
      <c r="G51" s="37"/>
      <c r="H51" s="37"/>
    </row>
    <row r="52" spans="2:8" x14ac:dyDescent="0.25">
      <c r="B52" s="37"/>
      <c r="C52" s="155"/>
      <c r="D52" s="114"/>
      <c r="E52" s="82"/>
      <c r="F52" s="37"/>
      <c r="G52" s="37"/>
      <c r="H52" s="37"/>
    </row>
    <row r="53" spans="2:8" x14ac:dyDescent="0.25">
      <c r="B53" s="37"/>
      <c r="C53" s="37"/>
      <c r="D53" s="37"/>
      <c r="E53" s="37"/>
      <c r="F53" s="37"/>
      <c r="G53" s="37"/>
      <c r="H53" s="37"/>
    </row>
    <row r="54" spans="2:8" ht="18.75" x14ac:dyDescent="0.25">
      <c r="B54" s="158" t="s">
        <v>313</v>
      </c>
      <c r="C54" s="37"/>
      <c r="D54" s="37"/>
      <c r="E54" s="37"/>
      <c r="F54" s="37"/>
      <c r="G54" s="37"/>
      <c r="H54" s="37"/>
    </row>
    <row r="55" spans="2:8" x14ac:dyDescent="0.25">
      <c r="B55" s="37"/>
      <c r="C55" s="37"/>
      <c r="D55" s="37"/>
      <c r="E55" s="37"/>
      <c r="F55" s="37"/>
      <c r="G55" s="37"/>
      <c r="H55" s="37"/>
    </row>
    <row r="56" spans="2:8" x14ac:dyDescent="0.25">
      <c r="B56" s="37" t="s">
        <v>309</v>
      </c>
      <c r="C56" s="37"/>
      <c r="D56" s="37"/>
      <c r="E56" s="54" t="s">
        <v>314</v>
      </c>
      <c r="F56" s="167">
        <f>0.1*F45*F35*DATI!F25</f>
        <v>0.21621053446325902</v>
      </c>
      <c r="G56" s="37"/>
    </row>
    <row r="57" spans="2:8" x14ac:dyDescent="0.25">
      <c r="B57" s="37" t="s">
        <v>311</v>
      </c>
      <c r="C57" s="37"/>
      <c r="D57" s="37"/>
      <c r="E57" s="43" t="s">
        <v>318</v>
      </c>
      <c r="F57" s="167">
        <f>IF(F56&gt;0.5,DATI!F25*(1.125+2.5*'CONFINAMENTO EC2'!F56/DATI!F25),DATI!F25*(1+5*'CONFINAMENTO EC2'!F56/DATI!F25))</f>
        <v>25.981052672316292</v>
      </c>
      <c r="G57" s="37"/>
    </row>
    <row r="58" spans="2:8" x14ac:dyDescent="0.25">
      <c r="B58" s="37"/>
      <c r="C58" s="37"/>
      <c r="D58" s="37"/>
      <c r="E58" s="37"/>
      <c r="F58" s="37"/>
      <c r="G58" s="37"/>
    </row>
    <row r="59" spans="2:8" x14ac:dyDescent="0.25">
      <c r="B59" s="37"/>
      <c r="C59" s="37"/>
      <c r="D59" s="37"/>
      <c r="E59" s="37"/>
      <c r="F59" s="37"/>
      <c r="G59" s="37"/>
    </row>
    <row r="60" spans="2:8" x14ac:dyDescent="0.25">
      <c r="B60" s="37"/>
      <c r="C60" s="37"/>
      <c r="D60" s="37"/>
      <c r="E60" s="37"/>
      <c r="F60" s="37"/>
      <c r="G60" s="37"/>
    </row>
    <row r="61" spans="2:8" x14ac:dyDescent="0.25">
      <c r="B61" s="37"/>
      <c r="C61" s="37"/>
      <c r="D61" s="37"/>
      <c r="E61" s="37"/>
      <c r="F61" s="37"/>
      <c r="G61" s="37"/>
    </row>
    <row r="62" spans="2:8" x14ac:dyDescent="0.25">
      <c r="B62" s="37"/>
      <c r="C62" s="37"/>
      <c r="D62" s="37"/>
      <c r="E62" s="37"/>
      <c r="F62" s="37"/>
      <c r="G62" s="37"/>
    </row>
    <row r="63" spans="2:8" x14ac:dyDescent="0.25">
      <c r="B63" s="37"/>
      <c r="C63" s="37"/>
      <c r="D63" s="37"/>
      <c r="E63" s="37"/>
      <c r="F63" s="37"/>
      <c r="G63" s="37"/>
    </row>
    <row r="64" spans="2:8" x14ac:dyDescent="0.25">
      <c r="B64" s="37"/>
      <c r="C64" s="37"/>
      <c r="D64" s="37"/>
      <c r="E64" s="37"/>
      <c r="F64" s="37"/>
      <c r="G64" s="37"/>
    </row>
    <row r="65" spans="2:7" x14ac:dyDescent="0.25">
      <c r="B65" s="37"/>
      <c r="C65" s="37"/>
      <c r="D65" s="37"/>
      <c r="E65" s="37"/>
      <c r="F65" s="37"/>
      <c r="G65" s="37"/>
    </row>
    <row r="66" spans="2:7" x14ac:dyDescent="0.25">
      <c r="B66" s="37"/>
      <c r="C66" s="37"/>
      <c r="D66" s="37"/>
      <c r="E66" s="37"/>
      <c r="F66" s="37"/>
      <c r="G66" s="37"/>
    </row>
  </sheetData>
  <sheetProtection password="C2CA" sheet="1" objects="1" scenarios="1" selectLockedCells="1" selectUnlockedCells="1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6628" r:id="rId3">
          <objectPr defaultSize="0" autoPict="0" r:id="rId4">
            <anchor moveWithCells="1" sizeWithCells="1">
              <from>
                <xdr:col>1</xdr:col>
                <xdr:colOff>38100</xdr:colOff>
                <xdr:row>50</xdr:row>
                <xdr:rowOff>85725</xdr:rowOff>
              </from>
              <to>
                <xdr:col>3</xdr:col>
                <xdr:colOff>514350</xdr:colOff>
                <xdr:row>52</xdr:row>
                <xdr:rowOff>9525</xdr:rowOff>
              </to>
            </anchor>
          </objectPr>
        </oleObject>
      </mc:Choice>
      <mc:Fallback>
        <oleObject progId="Equation.3" shapeId="26628" r:id="rId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showGridLines="0" showRowColHeaders="0" zoomScale="90" zoomScaleNormal="90" workbookViewId="0">
      <selection activeCell="B1" sqref="B1"/>
    </sheetView>
  </sheetViews>
  <sheetFormatPr defaultRowHeight="15" x14ac:dyDescent="0.25"/>
  <cols>
    <col min="1" max="1" width="3.42578125" customWidth="1"/>
    <col min="2" max="9" width="13.7109375" customWidth="1"/>
    <col min="10" max="11" width="11.42578125" customWidth="1"/>
  </cols>
  <sheetData>
    <row r="1" spans="1:14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8.75" x14ac:dyDescent="0.3">
      <c r="A2" s="37"/>
      <c r="B2" s="186" t="s">
        <v>303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8.75" x14ac:dyDescent="0.3">
      <c r="A3" s="37"/>
      <c r="B3" s="18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7.25" x14ac:dyDescent="0.3">
      <c r="A4" s="37"/>
      <c r="B4" s="196" t="s">
        <v>245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17.25" x14ac:dyDescent="0.3">
      <c r="A5" s="37"/>
      <c r="B5" s="19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7.25" x14ac:dyDescent="0.3">
      <c r="A6" s="37"/>
      <c r="B6" s="198" t="s">
        <v>234</v>
      </c>
      <c r="C6" s="199"/>
      <c r="D6" s="199"/>
      <c r="E6" s="199"/>
      <c r="F6" s="37"/>
      <c r="G6" s="37"/>
      <c r="H6" s="37"/>
      <c r="I6" s="188" t="str">
        <f>IF(DATI!F4&gt;=200,"verificato","N.V.!")</f>
        <v>verificato</v>
      </c>
      <c r="J6" s="37"/>
      <c r="K6" s="37"/>
      <c r="L6" s="37"/>
      <c r="M6" s="37"/>
      <c r="N6" s="37"/>
    </row>
    <row r="7" spans="1:14" ht="15.75" x14ac:dyDescent="0.25">
      <c r="A7" s="37"/>
      <c r="B7" s="14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ht="15.75" x14ac:dyDescent="0.25">
      <c r="A8" s="37"/>
      <c r="B8" s="195" t="s">
        <v>235</v>
      </c>
      <c r="C8" s="37"/>
      <c r="D8" s="37"/>
      <c r="E8" s="37"/>
      <c r="F8" s="37"/>
      <c r="G8" s="37"/>
      <c r="H8" s="37"/>
      <c r="I8" s="188" t="str">
        <f>IF('foglio deposito'!G73&lt;200,"NON VERIFICATO",IF('foglio deposito'!G73/'foglio deposito'!G74&gt;=0.25,"verificato","N.V.!"))</f>
        <v>verificato</v>
      </c>
      <c r="J8" s="37"/>
      <c r="K8" s="37"/>
      <c r="L8" s="37"/>
      <c r="M8" s="37"/>
      <c r="N8" s="37"/>
    </row>
    <row r="9" spans="1:14" ht="15.75" x14ac:dyDescent="0.25">
      <c r="A9" s="37"/>
      <c r="B9" s="195"/>
      <c r="C9" s="37"/>
      <c r="D9" s="37"/>
      <c r="E9" s="37"/>
      <c r="F9" s="37"/>
      <c r="G9" s="37"/>
      <c r="H9" s="37"/>
      <c r="I9" s="79"/>
      <c r="J9" s="37"/>
      <c r="K9" s="37"/>
      <c r="L9" s="37"/>
      <c r="M9" s="37"/>
      <c r="N9" s="37"/>
    </row>
    <row r="10" spans="1:14" ht="15.75" x14ac:dyDescent="0.25">
      <c r="A10" s="37"/>
      <c r="B10" s="195" t="s">
        <v>236</v>
      </c>
      <c r="C10" s="37"/>
      <c r="D10" s="37"/>
      <c r="E10" s="37"/>
      <c r="F10" s="37"/>
      <c r="G10" s="37"/>
      <c r="H10" s="37"/>
      <c r="I10" s="79"/>
      <c r="J10" s="37"/>
      <c r="K10" s="37"/>
      <c r="L10" s="37"/>
      <c r="M10" s="37"/>
      <c r="N10" s="37"/>
    </row>
    <row r="11" spans="1:14" ht="15.75" x14ac:dyDescent="0.25">
      <c r="A11" s="37"/>
      <c r="B11" s="195" t="s">
        <v>238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15.75" x14ac:dyDescent="0.25">
      <c r="A12" s="37"/>
      <c r="B12" s="195" t="s">
        <v>237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ht="15.75" x14ac:dyDescent="0.25">
      <c r="A13" s="37"/>
      <c r="B13" s="195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14" ht="15.75" x14ac:dyDescent="0.25">
      <c r="A14" s="37"/>
      <c r="B14" s="195" t="s">
        <v>239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ht="15.75" x14ac:dyDescent="0.25">
      <c r="A15" s="37"/>
      <c r="B15" s="200" t="s">
        <v>240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4" ht="15.75" x14ac:dyDescent="0.25">
      <c r="A16" s="37"/>
      <c r="B16" s="195" t="s">
        <v>241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1:14" ht="15.75" x14ac:dyDescent="0.25">
      <c r="A17" s="37"/>
      <c r="B17" s="195" t="s">
        <v>242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15.75" x14ac:dyDescent="0.25">
      <c r="A18" s="37"/>
      <c r="B18" s="19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ht="15.75" x14ac:dyDescent="0.25">
      <c r="A19" s="37"/>
      <c r="B19" s="74" t="s">
        <v>307</v>
      </c>
      <c r="C19" s="58">
        <f>IF(DATI!B114='foglio deposito'!N59,1.5*DATI!F5,DATI!F5)</f>
        <v>500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14" ht="15.75" x14ac:dyDescent="0.25">
      <c r="A20" s="37"/>
      <c r="B20" s="19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ht="17.25" x14ac:dyDescent="0.3">
      <c r="A21" s="37"/>
      <c r="B21" s="196" t="s">
        <v>244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ht="15.75" x14ac:dyDescent="0.25">
      <c r="A23" s="37"/>
      <c r="B23" s="147" t="s">
        <v>215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ht="15.75" x14ac:dyDescent="0.25">
      <c r="A24" s="37"/>
      <c r="B24" s="14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x14ac:dyDescent="0.25">
      <c r="A25" s="37"/>
      <c r="B25" s="190" t="s">
        <v>218</v>
      </c>
      <c r="C25" s="37"/>
      <c r="D25" s="37"/>
      <c r="E25" s="37"/>
      <c r="F25" s="237">
        <f>0.26*(DATI!F27/DATI!F41)*DATI!F4*DATI!F7</f>
        <v>201.75035381210105</v>
      </c>
      <c r="G25" s="37" t="s">
        <v>270</v>
      </c>
      <c r="H25" s="237">
        <f>0.0013*DATI!F4*DATI!F7</f>
        <v>177.45</v>
      </c>
      <c r="I25" s="191" t="str">
        <f>IF(F25&gt;=H25,IF(DATI!F73&gt;=F25,"verificato","N.V.!"),"N.V.!")</f>
        <v>verificato</v>
      </c>
      <c r="J25" s="37"/>
      <c r="K25" s="37"/>
      <c r="L25" s="37"/>
      <c r="M25" s="37"/>
      <c r="N25" s="37"/>
    </row>
    <row r="26" spans="1:14" ht="15.75" x14ac:dyDescent="0.25">
      <c r="A26" s="37"/>
      <c r="B26" s="189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37"/>
      <c r="B27" s="190" t="s">
        <v>217</v>
      </c>
      <c r="C27" s="37"/>
      <c r="D27" s="37"/>
      <c r="E27" s="37"/>
      <c r="F27" s="37"/>
      <c r="G27" s="37"/>
      <c r="H27" s="237">
        <f>0.04*DATI!F4*DATI!F5</f>
        <v>6000</v>
      </c>
      <c r="I27" s="191" t="str">
        <f>IF(DATI!F73&gt;'LIMITAZIONI TRAVI NTC08'!H27,"N.V!","verificato")</f>
        <v>verificato</v>
      </c>
      <c r="J27" s="37"/>
      <c r="K27" s="37"/>
      <c r="L27" s="37"/>
      <c r="M27" s="37"/>
      <c r="N27" s="37"/>
    </row>
    <row r="28" spans="1:14" x14ac:dyDescent="0.25">
      <c r="A28" s="37"/>
      <c r="B28" s="190"/>
      <c r="C28" s="37"/>
      <c r="D28" s="37"/>
      <c r="E28" s="37"/>
      <c r="F28" s="37"/>
      <c r="G28" s="37"/>
      <c r="H28" s="237"/>
      <c r="I28" s="192"/>
      <c r="J28" s="37"/>
      <c r="K28" s="37"/>
      <c r="L28" s="37"/>
      <c r="M28" s="37"/>
      <c r="N28" s="37"/>
    </row>
    <row r="29" spans="1:14" ht="17.25" x14ac:dyDescent="0.25">
      <c r="A29" s="37"/>
      <c r="B29" s="204" t="str">
        <f>IF(DATI!$F$10="pilastro","","As,tot")</f>
        <v/>
      </c>
      <c r="C29" s="206">
        <f>DATI!F89</f>
        <v>3141.5926535897934</v>
      </c>
      <c r="D29" s="37"/>
      <c r="E29" s="37"/>
      <c r="F29" s="37"/>
      <c r="G29" s="37"/>
      <c r="H29" s="237"/>
      <c r="I29" s="192"/>
      <c r="J29" s="37"/>
      <c r="K29" s="37"/>
      <c r="L29" s="37"/>
      <c r="M29" s="37"/>
      <c r="N29" s="37"/>
    </row>
    <row r="30" spans="1:14" x14ac:dyDescent="0.25">
      <c r="A30" s="37"/>
      <c r="B30" s="40" t="s">
        <v>274</v>
      </c>
      <c r="C30" s="206">
        <f>DATI!F4*DATI!F5</f>
        <v>150000</v>
      </c>
      <c r="D30" s="37"/>
      <c r="E30" s="37"/>
      <c r="F30" s="37"/>
      <c r="G30" s="37"/>
      <c r="H30" s="237"/>
      <c r="I30" s="192"/>
      <c r="J30" s="37"/>
      <c r="K30" s="37"/>
      <c r="L30" s="37"/>
      <c r="M30" s="37"/>
      <c r="N30" s="37"/>
    </row>
    <row r="31" spans="1:14" x14ac:dyDescent="0.25">
      <c r="A31" s="37"/>
      <c r="B31" s="190"/>
      <c r="C31" s="37"/>
      <c r="D31" s="37"/>
      <c r="E31" s="37"/>
      <c r="F31" s="37"/>
      <c r="G31" s="37"/>
      <c r="H31" s="237"/>
      <c r="I31" s="192"/>
      <c r="J31" s="37"/>
      <c r="K31" s="37"/>
      <c r="L31" s="37"/>
      <c r="M31" s="37"/>
      <c r="N31" s="37"/>
    </row>
    <row r="32" spans="1:14" ht="15.75" x14ac:dyDescent="0.25">
      <c r="A32" s="37"/>
      <c r="B32" s="147" t="s">
        <v>216</v>
      </c>
      <c r="C32" s="37"/>
      <c r="D32" s="37"/>
      <c r="E32" s="37"/>
      <c r="F32" s="37"/>
      <c r="G32" s="37"/>
      <c r="H32" s="237"/>
      <c r="I32" s="192"/>
      <c r="J32" s="37"/>
      <c r="K32" s="37"/>
      <c r="L32" s="37"/>
      <c r="M32" s="37"/>
      <c r="N32" s="37"/>
    </row>
    <row r="33" spans="1:14" ht="15.75" x14ac:dyDescent="0.25">
      <c r="A33" s="37"/>
      <c r="B33" s="147"/>
      <c r="C33" s="37"/>
      <c r="D33" s="37"/>
      <c r="E33" s="37"/>
      <c r="F33" s="37"/>
      <c r="G33" s="37"/>
      <c r="H33" s="237"/>
      <c r="I33" s="192"/>
      <c r="J33" s="37"/>
      <c r="K33" s="37"/>
      <c r="L33" s="37"/>
      <c r="M33" s="37"/>
      <c r="N33" s="37"/>
    </row>
    <row r="34" spans="1:14" x14ac:dyDescent="0.25">
      <c r="A34" s="37"/>
      <c r="B34" s="316" t="s">
        <v>209</v>
      </c>
      <c r="C34" s="316"/>
      <c r="D34" s="316"/>
      <c r="E34" s="316"/>
      <c r="F34" s="37"/>
      <c r="G34" s="37"/>
      <c r="H34" s="237"/>
      <c r="I34" s="192"/>
      <c r="J34" s="37"/>
      <c r="K34" s="37"/>
      <c r="L34" s="37"/>
      <c r="M34" s="37"/>
      <c r="N34" s="37"/>
    </row>
    <row r="35" spans="1:14" ht="15.75" x14ac:dyDescent="0.25">
      <c r="A35" s="37"/>
      <c r="B35" s="147"/>
      <c r="C35" s="37"/>
      <c r="D35" s="37"/>
      <c r="E35" s="37"/>
      <c r="F35" s="37"/>
      <c r="G35" s="37"/>
      <c r="H35" s="237"/>
      <c r="I35" s="192"/>
      <c r="J35" s="37"/>
      <c r="K35" s="37"/>
      <c r="L35" s="37"/>
      <c r="M35" s="37"/>
      <c r="N35" s="37"/>
    </row>
    <row r="36" spans="1:14" ht="15.75" x14ac:dyDescent="0.25">
      <c r="A36" s="37"/>
      <c r="B36" s="194" t="s">
        <v>321</v>
      </c>
      <c r="C36" s="194"/>
      <c r="D36" s="37"/>
      <c r="E36" s="237">
        <f>1.5*DATI!F4</f>
        <v>450</v>
      </c>
      <c r="F36" s="238" t="s">
        <v>219</v>
      </c>
      <c r="G36" s="237">
        <f>(DATI!F103+DATI!F102)*1000/DATI!F97</f>
        <v>1675.5160819145563</v>
      </c>
      <c r="H36" s="237"/>
      <c r="I36" s="191" t="str">
        <f>IF(E36&gt;'LIMITAZIONI TRAVI NTC08'!G36,"N.V!","verificato")</f>
        <v>verificato</v>
      </c>
      <c r="J36" s="37"/>
      <c r="K36" s="37"/>
      <c r="L36" s="37"/>
      <c r="M36" s="37"/>
      <c r="N36" s="37"/>
    </row>
    <row r="37" spans="1:14" ht="15.75" x14ac:dyDescent="0.25">
      <c r="A37" s="37"/>
      <c r="B37" s="147"/>
      <c r="C37" s="37"/>
      <c r="D37" s="37"/>
      <c r="E37" s="37"/>
      <c r="F37" s="239"/>
      <c r="G37" s="37"/>
      <c r="H37" s="237"/>
      <c r="I37" s="192"/>
      <c r="J37" s="37"/>
      <c r="K37" s="37"/>
      <c r="L37" s="37"/>
      <c r="M37" s="37"/>
      <c r="N37" s="37"/>
    </row>
    <row r="38" spans="1:14" ht="15.75" x14ac:dyDescent="0.25">
      <c r="A38" s="37"/>
      <c r="B38" s="317" t="s">
        <v>221</v>
      </c>
      <c r="C38" s="317"/>
      <c r="D38" s="37"/>
      <c r="E38" s="58">
        <f>0.8*DATI!F7</f>
        <v>364</v>
      </c>
      <c r="F38" s="208" t="s">
        <v>220</v>
      </c>
      <c r="G38" s="58">
        <f>DATI!F97</f>
        <v>120</v>
      </c>
      <c r="H38" s="237"/>
      <c r="I38" s="191" t="str">
        <f>IF(G38&gt;'LIMITAZIONI TRAVI NTC08'!E38,"N.V!","verificato")</f>
        <v>verificato</v>
      </c>
      <c r="J38" s="37"/>
      <c r="K38" s="37"/>
      <c r="L38" s="37"/>
      <c r="M38" s="37"/>
      <c r="N38" s="37"/>
    </row>
    <row r="39" spans="1:14" ht="15.75" x14ac:dyDescent="0.25">
      <c r="A39" s="37"/>
      <c r="B39" s="147"/>
      <c r="C39" s="37"/>
      <c r="D39" s="37"/>
      <c r="E39" s="37"/>
      <c r="F39" s="208"/>
      <c r="G39" s="37"/>
      <c r="H39" s="237"/>
      <c r="I39" s="192"/>
      <c r="J39" s="37"/>
      <c r="K39" s="37"/>
      <c r="L39" s="37"/>
      <c r="M39" s="37"/>
      <c r="N39" s="37"/>
    </row>
    <row r="40" spans="1:14" ht="15.75" x14ac:dyDescent="0.25">
      <c r="A40" s="37"/>
      <c r="B40" s="193" t="s">
        <v>222</v>
      </c>
      <c r="C40" s="193"/>
      <c r="D40" s="37"/>
      <c r="E40" s="58">
        <f>333</f>
        <v>333</v>
      </c>
      <c r="F40" s="208" t="s">
        <v>220</v>
      </c>
      <c r="G40" s="58">
        <f>DATI!F97</f>
        <v>120</v>
      </c>
      <c r="H40" s="237"/>
      <c r="I40" s="191" t="str">
        <f>IF(G40&gt;'LIMITAZIONI TRAVI NTC08'!E40,"N.V!","verificato")</f>
        <v>verificato</v>
      </c>
      <c r="J40" s="37"/>
      <c r="K40" s="37"/>
      <c r="L40" s="37"/>
      <c r="M40" s="37"/>
      <c r="N40" s="37"/>
    </row>
    <row r="41" spans="1:14" x14ac:dyDescent="0.25">
      <c r="A41" s="37"/>
      <c r="B41" s="190"/>
      <c r="C41" s="37"/>
      <c r="D41" s="37"/>
      <c r="E41" s="37"/>
      <c r="F41" s="37"/>
      <c r="G41" s="37"/>
      <c r="H41" s="237"/>
      <c r="I41" s="192"/>
      <c r="J41" s="37"/>
      <c r="K41" s="37"/>
      <c r="L41" s="37"/>
      <c r="M41" s="37"/>
      <c r="N41" s="37"/>
    </row>
    <row r="42" spans="1:14" x14ac:dyDescent="0.25">
      <c r="A42" s="37"/>
      <c r="B42" s="190" t="s">
        <v>233</v>
      </c>
      <c r="C42" s="37"/>
      <c r="D42" s="37"/>
      <c r="E42" s="37"/>
      <c r="F42" s="37"/>
      <c r="G42" s="37"/>
      <c r="H42" s="237"/>
      <c r="I42" s="192"/>
      <c r="J42" s="37"/>
      <c r="K42" s="37"/>
      <c r="L42" s="37"/>
      <c r="M42" s="37"/>
      <c r="N42" s="37"/>
    </row>
    <row r="43" spans="1:14" x14ac:dyDescent="0.25">
      <c r="A43" s="37"/>
      <c r="B43" s="190"/>
      <c r="C43" s="37"/>
      <c r="D43" s="37"/>
      <c r="E43" s="37"/>
      <c r="F43" s="37"/>
      <c r="G43" s="37"/>
      <c r="H43" s="237"/>
      <c r="I43" s="192"/>
      <c r="J43" s="37"/>
      <c r="K43" s="37"/>
      <c r="L43" s="37"/>
      <c r="M43" s="37"/>
      <c r="N43" s="37"/>
    </row>
    <row r="44" spans="1:14" ht="17.25" x14ac:dyDescent="0.3">
      <c r="A44" s="37"/>
      <c r="B44" s="196" t="s">
        <v>243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ht="17.25" x14ac:dyDescent="0.3">
      <c r="A45" s="37"/>
      <c r="B45" s="196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ht="15.75" x14ac:dyDescent="0.25">
      <c r="A46" s="37"/>
      <c r="B46" s="147" t="s">
        <v>215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ht="15.75" x14ac:dyDescent="0.25">
      <c r="A47" s="37"/>
      <c r="B47" s="14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ht="15.75" x14ac:dyDescent="0.25">
      <c r="A48" s="37"/>
      <c r="B48" s="195" t="s">
        <v>224</v>
      </c>
      <c r="C48" s="175"/>
      <c r="D48" s="175"/>
      <c r="E48" s="174"/>
      <c r="F48" s="174"/>
      <c r="G48" s="37"/>
      <c r="H48" s="37"/>
      <c r="I48" s="37"/>
      <c r="J48" s="37"/>
      <c r="K48" s="37"/>
      <c r="L48" s="37"/>
      <c r="M48" s="37"/>
      <c r="N48" s="37"/>
    </row>
    <row r="49" spans="1:14" ht="15.75" x14ac:dyDescent="0.25">
      <c r="A49" s="37"/>
      <c r="B49" s="195" t="s">
        <v>223</v>
      </c>
      <c r="C49" s="175"/>
      <c r="D49" s="175"/>
      <c r="E49" s="174"/>
      <c r="F49" s="174"/>
      <c r="G49" s="37"/>
      <c r="H49" s="37"/>
      <c r="I49" s="188" t="str">
        <f>IF(DATI!F64&gt;=14,IF(DATI!F65&gt;=14,"verificato","N.V.!"),)</f>
        <v>verificato</v>
      </c>
      <c r="J49" s="37"/>
      <c r="K49" s="37"/>
      <c r="L49" s="37"/>
      <c r="M49" s="37"/>
      <c r="N49" s="37"/>
    </row>
    <row r="50" spans="1:14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ht="15.75" x14ac:dyDescent="0.25">
      <c r="A51" s="37"/>
      <c r="B51" s="195" t="s">
        <v>225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x14ac:dyDescent="0.25">
      <c r="A53" s="37"/>
      <c r="B53" s="37"/>
      <c r="C53" s="37"/>
      <c r="D53" s="37"/>
      <c r="E53" s="37"/>
      <c r="F53" s="37"/>
      <c r="G53" s="37"/>
      <c r="H53" s="318" t="s">
        <v>106</v>
      </c>
      <c r="I53" s="319"/>
      <c r="J53" s="37"/>
      <c r="K53" s="37"/>
      <c r="L53" s="37"/>
      <c r="M53" s="37"/>
      <c r="N53" s="37"/>
    </row>
    <row r="54" spans="1:14" x14ac:dyDescent="0.25">
      <c r="A54" s="37"/>
      <c r="B54" s="37"/>
      <c r="C54" s="37"/>
      <c r="D54" s="37"/>
      <c r="E54" s="37"/>
      <c r="F54" s="307" t="str">
        <f>IF(DATI!$F$10="pilastro","","1,4 / fyk ≤ ρ ≤ ρcomp + 3,5 / fyk")</f>
        <v/>
      </c>
      <c r="G54" s="322"/>
      <c r="H54" s="307" t="str">
        <f>IF(DATI!$F$10="pilastro",""," ρcomp ≥ 0,5 ρ")</f>
        <v/>
      </c>
      <c r="I54" s="308"/>
      <c r="J54" s="37"/>
      <c r="K54" s="37"/>
      <c r="L54" s="37"/>
      <c r="M54" s="37"/>
      <c r="N54" s="37"/>
    </row>
    <row r="55" spans="1:14" x14ac:dyDescent="0.25">
      <c r="A55" s="37"/>
      <c r="B55" s="37"/>
      <c r="C55" s="37"/>
      <c r="D55" s="37"/>
      <c r="E55" s="37"/>
      <c r="F55" s="309"/>
      <c r="G55" s="323"/>
      <c r="H55" s="309"/>
      <c r="I55" s="310"/>
      <c r="J55" s="37"/>
      <c r="K55" s="37"/>
      <c r="L55" s="37"/>
      <c r="M55" s="37"/>
      <c r="N55" s="37"/>
    </row>
    <row r="56" spans="1:14" x14ac:dyDescent="0.25">
      <c r="A56" s="37"/>
      <c r="B56" s="73" t="s">
        <v>88</v>
      </c>
      <c r="C56" s="72"/>
      <c r="D56" s="170" t="s">
        <v>46</v>
      </c>
      <c r="E56" s="171">
        <f>DATI!F77</f>
        <v>6.2831853071795857E-3</v>
      </c>
      <c r="F56" s="324" t="str">
        <f>IF('LIMITAZIONI TRAVI NTC08'!E56&gt;=(1.4/'foglio deposito'!$K$14),IF('LIMITAZIONI TRAVI NTC08'!E56&lt;=('LIMITAZIONI TRAVI NTC08'!E57+3.5/'foglio deposito'!K14),"verificato","NON VERIFICATO"),"NON VERIFICATO")</f>
        <v>verificato</v>
      </c>
      <c r="G56" s="325"/>
      <c r="H56" s="320" t="str">
        <f>IF('LIMITAZIONI TRAVI NTC08'!E57&gt;=0.5*'LIMITAZIONI TRAVI NTC08'!E56,"verificato","NON VERIFICATO")</f>
        <v>verificato</v>
      </c>
      <c r="I56" s="321"/>
      <c r="J56" s="173"/>
      <c r="K56" s="173"/>
      <c r="L56" s="37"/>
      <c r="M56" s="37"/>
      <c r="N56" s="37"/>
    </row>
    <row r="57" spans="1:14" x14ac:dyDescent="0.25">
      <c r="A57" s="37"/>
      <c r="B57" s="73" t="s">
        <v>111</v>
      </c>
      <c r="C57" s="72"/>
      <c r="D57" s="170" t="str">
        <f>IF(DATI!$F$10="pilastro","","ρcomp")</f>
        <v/>
      </c>
      <c r="E57" s="172">
        <f>DATI!F78</f>
        <v>6.2831853071795857E-3</v>
      </c>
      <c r="F57" s="326"/>
      <c r="G57" s="327"/>
      <c r="H57" s="320"/>
      <c r="I57" s="321"/>
      <c r="J57" s="37"/>
      <c r="K57" s="37"/>
      <c r="L57" s="37"/>
      <c r="M57" s="37"/>
      <c r="N57" s="37"/>
    </row>
    <row r="58" spans="1:14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.75" x14ac:dyDescent="0.25">
      <c r="A59" s="37"/>
      <c r="B59" s="147" t="s">
        <v>216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ht="15.75" x14ac:dyDescent="0.25">
      <c r="A60" s="37"/>
      <c r="B60" s="14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</row>
    <row r="61" spans="1:14" x14ac:dyDescent="0.25">
      <c r="A61" s="37"/>
      <c r="B61" s="316" t="s">
        <v>291</v>
      </c>
      <c r="C61" s="316"/>
      <c r="D61" s="316"/>
      <c r="E61" s="316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5">
      <c r="A62" s="37"/>
      <c r="B62" s="210"/>
      <c r="C62" s="210"/>
      <c r="D62" s="210"/>
      <c r="E62" s="210"/>
      <c r="F62" s="37"/>
      <c r="G62" s="37"/>
      <c r="H62" s="37"/>
      <c r="I62" s="37"/>
      <c r="J62" s="37"/>
      <c r="K62" s="37"/>
      <c r="L62" s="37"/>
      <c r="M62" s="37"/>
      <c r="N62" s="37"/>
    </row>
    <row r="63" spans="1:14" ht="15.75" x14ac:dyDescent="0.25">
      <c r="A63" s="37"/>
      <c r="B63" s="328" t="s">
        <v>277</v>
      </c>
      <c r="C63" s="329"/>
      <c r="D63" s="236">
        <f>DATI!F95</f>
        <v>8</v>
      </c>
      <c r="E63" s="198" t="str">
        <f>DATI!B114</f>
        <v>Classe di duttilità bassa CD"B"</v>
      </c>
      <c r="F63" s="37"/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</row>
    <row r="65" spans="1:14" x14ac:dyDescent="0.25">
      <c r="A65" s="37"/>
      <c r="B65" s="37" t="s">
        <v>232</v>
      </c>
      <c r="C65" s="37"/>
      <c r="D65" s="37"/>
      <c r="E65" s="37"/>
      <c r="F65" s="37"/>
      <c r="G65" s="37"/>
      <c r="H65" s="37"/>
      <c r="I65" s="188" t="str">
        <f>IF(DATI!F95&gt;=6,"verificato","N.V.!")</f>
        <v>verificato</v>
      </c>
      <c r="J65" s="37"/>
      <c r="K65" s="37"/>
      <c r="L65" s="37"/>
      <c r="M65" s="37"/>
      <c r="N65" s="37"/>
    </row>
    <row r="66" spans="1:14" x14ac:dyDescent="0.25">
      <c r="A66" s="37"/>
      <c r="B66" s="37"/>
      <c r="C66" s="37"/>
      <c r="D66" s="37"/>
      <c r="E66" s="37"/>
      <c r="F66" s="37"/>
      <c r="G66" s="37"/>
      <c r="H66" s="37"/>
      <c r="I66" s="79"/>
      <c r="J66" s="37"/>
      <c r="K66" s="37"/>
      <c r="L66" s="37"/>
      <c r="M66" s="37"/>
      <c r="N66" s="37"/>
    </row>
    <row r="67" spans="1:14" x14ac:dyDescent="0.25">
      <c r="A67" s="37"/>
      <c r="B67" s="37" t="s">
        <v>295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</row>
    <row r="68" spans="1:14" x14ac:dyDescent="0.25">
      <c r="A68" s="37"/>
      <c r="B68" s="37" t="s">
        <v>226</v>
      </c>
      <c r="C68" s="37"/>
      <c r="D68" s="37"/>
      <c r="E68" s="37"/>
      <c r="F68" s="37"/>
      <c r="G68" s="37"/>
      <c r="H68" s="37"/>
      <c r="I68" s="37"/>
      <c r="J68" s="181"/>
      <c r="K68" s="182"/>
      <c r="L68" s="37"/>
      <c r="M68" s="37"/>
      <c r="N68" s="37"/>
    </row>
    <row r="69" spans="1:14" x14ac:dyDescent="0.25">
      <c r="A69" s="37"/>
      <c r="B69" s="240" t="s">
        <v>227</v>
      </c>
      <c r="C69" s="37"/>
      <c r="D69" s="37"/>
      <c r="E69" s="37"/>
      <c r="F69" s="37"/>
      <c r="G69" s="37"/>
      <c r="H69" s="37"/>
      <c r="I69" s="37"/>
      <c r="J69" s="184"/>
      <c r="K69" s="184"/>
      <c r="L69" s="37"/>
      <c r="M69" s="37"/>
      <c r="N69" s="37"/>
    </row>
    <row r="70" spans="1:14" x14ac:dyDescent="0.25">
      <c r="A70" s="37"/>
      <c r="B70" s="197" t="s">
        <v>228</v>
      </c>
      <c r="C70" s="37"/>
      <c r="D70" s="37"/>
      <c r="E70" s="37"/>
      <c r="F70" s="37"/>
      <c r="G70" s="37"/>
      <c r="H70" s="37"/>
      <c r="I70" s="37"/>
      <c r="J70" s="181"/>
      <c r="K70" s="182"/>
      <c r="L70" s="37"/>
      <c r="M70" s="37"/>
      <c r="N70" s="37"/>
    </row>
    <row r="71" spans="1:14" x14ac:dyDescent="0.25">
      <c r="A71" s="37"/>
      <c r="B71" s="197" t="s">
        <v>231</v>
      </c>
      <c r="C71" s="37"/>
      <c r="D71" s="79"/>
      <c r="E71" s="79"/>
      <c r="F71" s="79"/>
      <c r="G71" s="184"/>
      <c r="H71" s="37"/>
      <c r="I71" s="37"/>
      <c r="J71" s="37"/>
      <c r="K71" s="37"/>
      <c r="L71" s="37"/>
      <c r="M71" s="37"/>
      <c r="N71" s="37"/>
    </row>
    <row r="72" spans="1:14" x14ac:dyDescent="0.25">
      <c r="A72" s="37"/>
      <c r="B72" s="37"/>
      <c r="C72" s="37"/>
      <c r="D72" s="79"/>
      <c r="E72" s="79"/>
      <c r="F72" s="79"/>
      <c r="G72" s="184"/>
      <c r="H72" s="37"/>
      <c r="I72" s="37"/>
      <c r="J72" s="37"/>
      <c r="K72" s="37"/>
      <c r="L72" s="37"/>
      <c r="M72" s="37"/>
      <c r="N72" s="37"/>
    </row>
    <row r="73" spans="1:14" x14ac:dyDescent="0.25">
      <c r="A73" s="37"/>
      <c r="B73" s="37"/>
      <c r="C73" s="40" t="s">
        <v>229</v>
      </c>
      <c r="D73" s="40" t="s">
        <v>230</v>
      </c>
      <c r="E73" s="37"/>
      <c r="F73" s="37"/>
      <c r="G73" s="184"/>
      <c r="H73" s="37"/>
      <c r="I73" s="37"/>
      <c r="J73" s="37"/>
      <c r="K73" s="37"/>
      <c r="L73" s="37"/>
      <c r="M73" s="37"/>
      <c r="N73" s="37"/>
    </row>
    <row r="74" spans="1:14" x14ac:dyDescent="0.25">
      <c r="A74" s="37"/>
      <c r="B74" s="37"/>
      <c r="C74" s="137">
        <f>1/4*DATI!F7</f>
        <v>113.75</v>
      </c>
      <c r="D74" s="137">
        <f>1/4*DATI!F7</f>
        <v>113.75</v>
      </c>
      <c r="E74" s="311" t="s">
        <v>207</v>
      </c>
      <c r="F74" s="312"/>
      <c r="G74" s="184"/>
      <c r="H74" s="37"/>
      <c r="I74" s="37"/>
      <c r="J74" s="37"/>
      <c r="K74" s="37"/>
      <c r="L74" s="37"/>
      <c r="M74" s="37"/>
      <c r="N74" s="37"/>
    </row>
    <row r="75" spans="1:14" x14ac:dyDescent="0.25">
      <c r="A75" s="37"/>
      <c r="B75" s="37"/>
      <c r="C75" s="137">
        <v>176</v>
      </c>
      <c r="D75" s="137">
        <v>225</v>
      </c>
      <c r="E75" s="313"/>
      <c r="F75" s="314"/>
      <c r="G75" s="37"/>
      <c r="H75" s="37"/>
      <c r="I75" s="37"/>
      <c r="J75" s="37"/>
      <c r="K75" s="37"/>
      <c r="L75" s="37"/>
      <c r="M75" s="37"/>
      <c r="N75" s="37"/>
    </row>
    <row r="76" spans="1:14" x14ac:dyDescent="0.25">
      <c r="A76" s="37"/>
      <c r="B76" s="37"/>
      <c r="C76" s="137">
        <f>6*MINA(DATI!F64,DATI!F65)</f>
        <v>120</v>
      </c>
      <c r="D76" s="137">
        <f>8*MINA(DATI!F64,DATI!F65)</f>
        <v>160</v>
      </c>
      <c r="E76" s="315" t="str">
        <f>IF(E63='foglio deposito'!N59,IF(DATI!F97&lt;='LIMITAZIONI TRAVI NTC08'!C78,"verificato","N.V!"),IF(DATI!F97&lt;='LIMITAZIONI TRAVI NTC08'!D78,"verificato","N.V!"))</f>
        <v>N.V!</v>
      </c>
      <c r="F76" s="315"/>
      <c r="G76" s="184"/>
      <c r="H76" s="37"/>
      <c r="I76" s="37"/>
      <c r="J76" s="37"/>
      <c r="K76" s="37"/>
      <c r="L76" s="37"/>
      <c r="M76" s="37"/>
      <c r="N76" s="37"/>
    </row>
    <row r="77" spans="1:14" x14ac:dyDescent="0.25">
      <c r="A77" s="37"/>
      <c r="B77" s="37"/>
      <c r="C77" s="137">
        <f>24*DATI!F95</f>
        <v>192</v>
      </c>
      <c r="D77" s="137">
        <f>24*DATI!F95</f>
        <v>192</v>
      </c>
      <c r="E77" s="315"/>
      <c r="F77" s="315"/>
      <c r="G77" s="184"/>
      <c r="H77" s="37"/>
      <c r="I77" s="37"/>
      <c r="J77" s="37"/>
      <c r="K77" s="37"/>
      <c r="L77" s="37"/>
      <c r="M77" s="37"/>
      <c r="N77" s="37"/>
    </row>
    <row r="78" spans="1:14" x14ac:dyDescent="0.25">
      <c r="A78" s="37"/>
      <c r="B78" s="239" t="s">
        <v>248</v>
      </c>
      <c r="C78" s="58">
        <f>MINA(C74:C77)</f>
        <v>113.75</v>
      </c>
      <c r="D78" s="58">
        <f>MINA(D74:D77)</f>
        <v>113.75</v>
      </c>
      <c r="E78" s="37"/>
      <c r="F78" s="37"/>
      <c r="G78" s="184"/>
      <c r="H78" s="37"/>
      <c r="I78" s="37"/>
      <c r="J78" s="37"/>
      <c r="K78" s="37"/>
      <c r="L78" s="37"/>
      <c r="M78" s="37"/>
      <c r="N78" s="37"/>
    </row>
    <row r="79" spans="1:14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14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</row>
    <row r="81" spans="1:14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</row>
    <row r="82" spans="1:14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</row>
    <row r="83" spans="1:14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</row>
    <row r="84" spans="1:14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</row>
    <row r="85" spans="1:14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</row>
    <row r="86" spans="1:14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1:14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</row>
    <row r="88" spans="1:14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</row>
    <row r="89" spans="1:14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</row>
    <row r="90" spans="1:14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</row>
    <row r="91" spans="1:14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</sheetData>
  <sheetProtection password="C2CA" sheet="1" objects="1" scenarios="1" selectLockedCells="1" selectUnlockedCells="1"/>
  <mergeCells count="11">
    <mergeCell ref="H54:I55"/>
    <mergeCell ref="E74:F75"/>
    <mergeCell ref="E76:F77"/>
    <mergeCell ref="B34:E34"/>
    <mergeCell ref="B38:C38"/>
    <mergeCell ref="H53:I53"/>
    <mergeCell ref="H56:I57"/>
    <mergeCell ref="B61:E61"/>
    <mergeCell ref="F54:G55"/>
    <mergeCell ref="F56:G57"/>
    <mergeCell ref="B63:C63"/>
  </mergeCells>
  <conditionalFormatting sqref="F56 H56:I57 I8:I10">
    <cfRule type="cellIs" dxfId="19" priority="16" operator="equal">
      <formula>"verificato"</formula>
    </cfRule>
  </conditionalFormatting>
  <conditionalFormatting sqref="E76">
    <cfRule type="cellIs" dxfId="18" priority="13" operator="equal">
      <formula>"verificato"</formula>
    </cfRule>
  </conditionalFormatting>
  <conditionalFormatting sqref="I49">
    <cfRule type="cellIs" dxfId="17" priority="12" operator="equal">
      <formula>"verificato"</formula>
    </cfRule>
  </conditionalFormatting>
  <conditionalFormatting sqref="I25">
    <cfRule type="cellIs" dxfId="16" priority="11" operator="equal">
      <formula>"verificato"</formula>
    </cfRule>
  </conditionalFormatting>
  <conditionalFormatting sqref="I27:I43">
    <cfRule type="cellIs" dxfId="15" priority="10" operator="equal">
      <formula>"verificato"</formula>
    </cfRule>
  </conditionalFormatting>
  <conditionalFormatting sqref="I65:I66">
    <cfRule type="cellIs" dxfId="14" priority="9" operator="equal">
      <formula>"verificato"</formula>
    </cfRule>
  </conditionalFormatting>
  <conditionalFormatting sqref="I6">
    <cfRule type="cellIs" dxfId="13" priority="8" operator="equal">
      <formula>"verificato"</formula>
    </cfRule>
  </conditionalFormatting>
  <pageMargins left="0.7" right="0.7" top="0.75" bottom="0.75" header="0.3" footer="0.3"/>
  <pageSetup paperSize="9" scale="77" fitToHeight="0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D890DBE-629C-42DB-B4FE-CEFC55ABFAAD}">
            <xm:f>IF(DATI!$F$10="pilastro",TRUE,FALSE)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B2:I78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115"/>
  <sheetViews>
    <sheetView showGridLines="0" showRowColHeaders="0" zoomScale="90" zoomScaleNormal="90" workbookViewId="0">
      <selection activeCell="B2" sqref="B2"/>
    </sheetView>
  </sheetViews>
  <sheetFormatPr defaultRowHeight="15" x14ac:dyDescent="0.25"/>
  <cols>
    <col min="1" max="1" width="5.42578125" customWidth="1"/>
    <col min="2" max="11" width="14.28515625" customWidth="1"/>
  </cols>
  <sheetData>
    <row r="2" spans="1:11" ht="18.75" x14ac:dyDescent="0.3">
      <c r="A2" s="37"/>
      <c r="B2" s="186" t="s">
        <v>128</v>
      </c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7.25" x14ac:dyDescent="0.3">
      <c r="A4" s="37"/>
      <c r="B4" s="196" t="s">
        <v>246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37"/>
      <c r="B5" s="37"/>
      <c r="C5" s="199"/>
      <c r="D5" s="199"/>
      <c r="E5" s="199"/>
      <c r="F5" s="37"/>
      <c r="G5" s="37"/>
      <c r="H5" s="37"/>
      <c r="I5" s="79"/>
      <c r="J5" s="37"/>
      <c r="K5" s="37"/>
    </row>
    <row r="6" spans="1:11" ht="17.25" x14ac:dyDescent="0.3">
      <c r="A6" s="37"/>
      <c r="B6" s="198" t="s">
        <v>247</v>
      </c>
      <c r="C6" s="199"/>
      <c r="D6" s="199"/>
      <c r="E6" s="199"/>
      <c r="F6" s="37"/>
      <c r="G6" s="37"/>
      <c r="H6" s="37"/>
      <c r="I6" s="188" t="str">
        <f>IF(MINA(DATI!F4:F5)&gt;=250,"verificato","N.V.!")</f>
        <v>verificato</v>
      </c>
      <c r="J6" s="37"/>
      <c r="K6" s="37"/>
    </row>
    <row r="7" spans="1:11" ht="15.75" x14ac:dyDescent="0.25">
      <c r="A7" s="37"/>
      <c r="B7" s="198"/>
      <c r="C7" s="199"/>
      <c r="D7" s="199"/>
      <c r="E7" s="199"/>
      <c r="F7" s="37"/>
      <c r="G7" s="37"/>
      <c r="H7" s="37"/>
      <c r="I7" s="79"/>
      <c r="J7" s="37"/>
      <c r="K7" s="37"/>
    </row>
    <row r="8" spans="1:11" x14ac:dyDescent="0.25">
      <c r="A8" s="37"/>
      <c r="B8" s="37" t="s">
        <v>260</v>
      </c>
      <c r="C8" s="199"/>
      <c r="D8" s="199"/>
      <c r="E8" s="199"/>
      <c r="F8" s="37"/>
      <c r="G8" s="37"/>
      <c r="H8" s="37"/>
      <c r="I8" s="79"/>
      <c r="J8" s="37"/>
      <c r="K8" s="37"/>
    </row>
    <row r="9" spans="1:11" x14ac:dyDescent="0.25">
      <c r="A9" s="37"/>
      <c r="B9" s="37" t="s">
        <v>258</v>
      </c>
      <c r="C9" s="199"/>
      <c r="D9" s="199"/>
      <c r="E9" s="199"/>
      <c r="F9" s="37"/>
      <c r="G9" s="37"/>
      <c r="H9" s="37"/>
      <c r="I9" s="79"/>
      <c r="J9" s="37"/>
      <c r="K9" s="37"/>
    </row>
    <row r="10" spans="1:11" x14ac:dyDescent="0.25">
      <c r="A10" s="37"/>
      <c r="B10" s="37" t="s">
        <v>259</v>
      </c>
      <c r="C10" s="199"/>
      <c r="D10" s="199"/>
      <c r="E10" s="199"/>
      <c r="F10" s="37"/>
      <c r="G10" s="37"/>
      <c r="H10" s="37"/>
      <c r="I10" s="79"/>
      <c r="J10" s="37"/>
      <c r="K10" s="37"/>
    </row>
    <row r="11" spans="1:11" x14ac:dyDescent="0.25">
      <c r="A11" s="37"/>
      <c r="B11" s="37"/>
      <c r="C11" s="199"/>
      <c r="D11" s="199"/>
      <c r="E11" s="199"/>
      <c r="F11" s="37"/>
      <c r="G11" s="37"/>
      <c r="H11" s="37"/>
      <c r="I11" s="79"/>
      <c r="J11" s="37"/>
      <c r="K11" s="37"/>
    </row>
    <row r="12" spans="1:11" x14ac:dyDescent="0.25">
      <c r="A12" s="37"/>
      <c r="B12" s="8" t="s">
        <v>257</v>
      </c>
      <c r="C12" s="111">
        <f>'foglio deposito'!F3*DATI!F123/(DATI!F124*DATI!F125)</f>
        <v>2.5000000000000001E-2</v>
      </c>
      <c r="D12" s="199"/>
      <c r="E12" s="199"/>
      <c r="F12" s="37"/>
      <c r="G12" s="37"/>
      <c r="H12" s="37"/>
      <c r="I12" s="79"/>
      <c r="J12" s="37"/>
      <c r="K12" s="37"/>
    </row>
    <row r="13" spans="1:11" ht="15.75" x14ac:dyDescent="0.25">
      <c r="A13" s="37"/>
      <c r="B13" s="198"/>
      <c r="C13" s="199"/>
      <c r="D13" s="199"/>
      <c r="E13" s="199"/>
      <c r="F13" s="37"/>
      <c r="G13" s="37"/>
      <c r="H13" s="37"/>
      <c r="I13" s="79"/>
      <c r="J13" s="37"/>
      <c r="K13" s="37"/>
    </row>
    <row r="14" spans="1:11" ht="15.75" x14ac:dyDescent="0.25">
      <c r="A14" s="37"/>
      <c r="B14" s="203" t="s">
        <v>261</v>
      </c>
      <c r="C14" s="58">
        <f>1/10*DATI!F125/2</f>
        <v>150</v>
      </c>
      <c r="D14" s="199"/>
      <c r="E14" s="199"/>
      <c r="F14" s="37"/>
      <c r="G14" s="37"/>
      <c r="H14" s="37"/>
      <c r="I14" s="188" t="str">
        <f>IF(DATI!F4&gt;='LIMITAZIONE PILASTRI NTC08'!C14,"verificato","N.V.!")</f>
        <v>verificato</v>
      </c>
      <c r="J14" s="37"/>
      <c r="K14" s="37"/>
    </row>
    <row r="15" spans="1:11" ht="15.75" x14ac:dyDescent="0.25">
      <c r="A15" s="37"/>
      <c r="B15" s="198"/>
      <c r="C15" s="199"/>
      <c r="D15" s="199"/>
      <c r="E15" s="199"/>
      <c r="F15" s="37"/>
      <c r="G15" s="37"/>
      <c r="H15" s="37"/>
      <c r="I15" s="79"/>
      <c r="J15" s="37"/>
      <c r="K15" s="37"/>
    </row>
    <row r="16" spans="1:11" ht="15.75" x14ac:dyDescent="0.25">
      <c r="A16" s="37"/>
      <c r="B16" s="198" t="s">
        <v>262</v>
      </c>
      <c r="C16" s="199"/>
      <c r="D16" s="199"/>
      <c r="E16" s="199"/>
      <c r="F16" s="37"/>
      <c r="G16" s="37"/>
      <c r="H16" s="37"/>
      <c r="I16" s="79"/>
      <c r="J16" s="37"/>
      <c r="K16" s="37"/>
    </row>
    <row r="17" spans="1:11" ht="15.75" x14ac:dyDescent="0.25">
      <c r="A17" s="37"/>
      <c r="B17" s="198" t="s">
        <v>256</v>
      </c>
      <c r="C17" s="199"/>
      <c r="D17" s="199"/>
      <c r="E17" s="199"/>
      <c r="F17" s="37"/>
      <c r="G17" s="37"/>
      <c r="H17" s="37"/>
      <c r="I17" s="79"/>
      <c r="J17" s="37"/>
      <c r="K17" s="37"/>
    </row>
    <row r="18" spans="1:11" ht="15.75" x14ac:dyDescent="0.25">
      <c r="A18" s="37"/>
      <c r="B18" s="198" t="s">
        <v>255</v>
      </c>
      <c r="C18" s="199"/>
      <c r="D18" s="199"/>
      <c r="E18" s="199"/>
      <c r="F18" s="37"/>
      <c r="G18" s="37"/>
      <c r="H18" s="37"/>
      <c r="I18" s="79"/>
      <c r="J18" s="37"/>
      <c r="K18" s="37"/>
    </row>
    <row r="19" spans="1:11" ht="15.75" x14ac:dyDescent="0.25">
      <c r="A19" s="37"/>
      <c r="B19" s="198"/>
      <c r="C19" s="199"/>
      <c r="D19" s="199"/>
      <c r="E19" s="199"/>
      <c r="F19" s="37"/>
      <c r="G19" s="37"/>
      <c r="H19" s="37"/>
      <c r="I19" s="79"/>
      <c r="J19" s="37"/>
      <c r="K19" s="37"/>
    </row>
    <row r="20" spans="1:11" ht="15.75" x14ac:dyDescent="0.25">
      <c r="A20" s="37"/>
      <c r="B20" s="198" t="s">
        <v>263</v>
      </c>
      <c r="C20" s="199"/>
      <c r="D20" s="199"/>
      <c r="E20" s="199"/>
      <c r="F20" s="37"/>
      <c r="G20" s="37"/>
      <c r="H20" s="37"/>
      <c r="I20" s="79"/>
      <c r="J20" s="37"/>
      <c r="K20" s="37"/>
    </row>
    <row r="21" spans="1:11" ht="15.75" x14ac:dyDescent="0.25">
      <c r="A21" s="37"/>
      <c r="B21" s="198" t="s">
        <v>264</v>
      </c>
      <c r="C21" s="199"/>
      <c r="D21" s="199"/>
      <c r="E21" s="199"/>
      <c r="F21" s="37"/>
      <c r="G21" s="37"/>
      <c r="H21" s="37"/>
      <c r="I21" s="79"/>
      <c r="J21" s="37"/>
      <c r="K21" s="37"/>
    </row>
    <row r="22" spans="1:11" x14ac:dyDescent="0.25">
      <c r="A22" s="37"/>
      <c r="B22" s="37" t="s">
        <v>265</v>
      </c>
      <c r="C22" s="199"/>
      <c r="D22" s="199"/>
      <c r="E22" s="199"/>
      <c r="F22" s="37"/>
      <c r="G22" s="37"/>
      <c r="H22" s="37"/>
      <c r="I22" s="79"/>
      <c r="J22" s="37"/>
      <c r="K22" s="37"/>
    </row>
    <row r="23" spans="1:11" x14ac:dyDescent="0.25">
      <c r="A23" s="37"/>
      <c r="B23" s="37"/>
      <c r="C23" s="199"/>
      <c r="D23" s="199"/>
      <c r="E23" s="199"/>
      <c r="F23" s="37"/>
      <c r="G23" s="37"/>
      <c r="H23" s="37"/>
      <c r="I23" s="79"/>
      <c r="J23" s="37"/>
      <c r="K23" s="37"/>
    </row>
    <row r="24" spans="1:11" ht="15.75" x14ac:dyDescent="0.25">
      <c r="A24" s="37"/>
      <c r="B24" s="198" t="s">
        <v>268</v>
      </c>
      <c r="C24" s="58">
        <f>1/6*(DATI!F11)</f>
        <v>466.66666666666663</v>
      </c>
      <c r="D24" s="199"/>
      <c r="E24" s="199"/>
      <c r="F24" s="37"/>
      <c r="G24" s="37"/>
      <c r="H24" s="37"/>
      <c r="I24" s="79"/>
      <c r="J24" s="37"/>
      <c r="K24" s="37"/>
    </row>
    <row r="25" spans="1:11" x14ac:dyDescent="0.25">
      <c r="A25" s="37"/>
      <c r="B25" s="37"/>
      <c r="C25" s="58">
        <v>450</v>
      </c>
      <c r="D25" s="199"/>
      <c r="E25" s="199"/>
      <c r="F25" s="37"/>
      <c r="G25" s="37"/>
      <c r="H25" s="37"/>
      <c r="I25" s="79"/>
      <c r="J25" s="37"/>
      <c r="K25" s="37"/>
    </row>
    <row r="26" spans="1:11" x14ac:dyDescent="0.25">
      <c r="A26" s="37"/>
      <c r="B26" s="37" t="s">
        <v>267</v>
      </c>
      <c r="C26" s="58">
        <f>DATI!F11</f>
        <v>2800</v>
      </c>
      <c r="D26" s="199" t="s">
        <v>269</v>
      </c>
      <c r="E26" s="199" t="str">
        <f>IF(C26&lt;DATI!F5*3,"SI","NO")</f>
        <v>NO</v>
      </c>
      <c r="F26" s="37"/>
      <c r="G26" s="37"/>
      <c r="H26" s="37"/>
      <c r="I26" s="79"/>
      <c r="J26" s="37"/>
      <c r="K26" s="37"/>
    </row>
    <row r="27" spans="1:11" x14ac:dyDescent="0.25">
      <c r="A27" s="37"/>
      <c r="B27" s="37"/>
      <c r="C27" s="199"/>
      <c r="D27" s="199"/>
      <c r="E27" s="199"/>
      <c r="F27" s="37"/>
      <c r="G27" s="37"/>
      <c r="H27" s="37"/>
      <c r="I27" s="79"/>
      <c r="J27" s="37"/>
      <c r="K27" s="37"/>
    </row>
    <row r="28" spans="1:11" ht="15.75" x14ac:dyDescent="0.25">
      <c r="A28" s="37"/>
      <c r="B28" s="198" t="s">
        <v>266</v>
      </c>
      <c r="C28" s="58">
        <f>MINA(C24:C26)</f>
        <v>450</v>
      </c>
      <c r="D28" s="199"/>
      <c r="E28" s="199"/>
      <c r="F28" s="37"/>
      <c r="G28" s="37"/>
      <c r="H28" s="37"/>
      <c r="I28" s="79"/>
      <c r="J28" s="37"/>
      <c r="K28" s="37"/>
    </row>
    <row r="29" spans="1:11" x14ac:dyDescent="0.25">
      <c r="A29" s="37"/>
      <c r="B29" s="37"/>
      <c r="C29" s="199"/>
      <c r="D29" s="199"/>
      <c r="E29" s="199"/>
      <c r="F29" s="37"/>
      <c r="G29" s="37"/>
      <c r="H29" s="37"/>
      <c r="I29" s="79"/>
      <c r="J29" s="37"/>
      <c r="K29" s="37"/>
    </row>
    <row r="30" spans="1:11" ht="17.25" x14ac:dyDescent="0.3">
      <c r="A30" s="37"/>
      <c r="B30" s="196" t="s">
        <v>272</v>
      </c>
      <c r="C30" s="37"/>
      <c r="D30" s="37"/>
      <c r="E30" s="37"/>
      <c r="F30" s="37"/>
      <c r="G30" s="37"/>
      <c r="H30" s="37"/>
      <c r="I30" s="37"/>
      <c r="J30" s="37"/>
      <c r="K30" s="37"/>
    </row>
    <row r="31" spans="1:1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1" x14ac:dyDescent="0.25">
      <c r="A32" s="37"/>
      <c r="B32" s="211" t="s">
        <v>304</v>
      </c>
      <c r="C32" s="211"/>
      <c r="D32" s="37"/>
      <c r="E32" s="37"/>
      <c r="F32" s="37"/>
      <c r="G32" s="212" t="s">
        <v>305</v>
      </c>
      <c r="H32" s="213">
        <f>DATI!F121</f>
        <v>0.21261516654854717</v>
      </c>
      <c r="I32" s="188" t="s">
        <v>214</v>
      </c>
      <c r="J32" s="37"/>
      <c r="K32" s="37"/>
    </row>
    <row r="33" spans="1:1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ht="17.25" x14ac:dyDescent="0.3">
      <c r="A34" s="37"/>
      <c r="B34" s="196" t="s">
        <v>271</v>
      </c>
      <c r="C34" s="37"/>
      <c r="D34" s="37"/>
      <c r="E34" s="37"/>
      <c r="F34" s="37"/>
      <c r="G34" s="37"/>
      <c r="H34" s="37"/>
      <c r="I34" s="37"/>
      <c r="J34" s="37"/>
      <c r="K34" s="37"/>
    </row>
    <row r="35" spans="1:11" ht="17.25" x14ac:dyDescent="0.3">
      <c r="A35" s="37"/>
      <c r="B35" s="196"/>
      <c r="C35" s="37"/>
      <c r="D35" s="37"/>
      <c r="E35" s="37"/>
      <c r="F35" s="37"/>
      <c r="G35" s="37"/>
      <c r="H35" s="37"/>
      <c r="I35" s="37"/>
      <c r="J35" s="37"/>
      <c r="K35" s="37"/>
    </row>
    <row r="36" spans="1:11" ht="15.75" x14ac:dyDescent="0.25">
      <c r="A36" s="37"/>
      <c r="B36" s="147" t="s">
        <v>215</v>
      </c>
      <c r="C36" s="37"/>
      <c r="D36" s="37"/>
      <c r="E36" s="37"/>
      <c r="F36" s="37"/>
      <c r="G36" s="37"/>
      <c r="H36" s="37"/>
      <c r="I36" s="37"/>
      <c r="J36" s="37"/>
      <c r="K36" s="37"/>
    </row>
    <row r="37" spans="1:1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 ht="17.25" x14ac:dyDescent="0.25">
      <c r="A38" s="37"/>
      <c r="B38" s="205" t="str">
        <f>IF(DATI!$F$10="pilastro","As,min= 0,10  Ned/fyd e comunque non minore di 0,003 Ac","")</f>
        <v>As,min= 0,10  Ned/fyd e comunque non minore di 0,003 Ac</v>
      </c>
      <c r="C38" s="37"/>
      <c r="D38" s="37"/>
      <c r="E38" s="37"/>
      <c r="F38" s="206">
        <f>0.1*'foglio deposito'!F3*10^3/DATI!F42</f>
        <v>114.99999999999999</v>
      </c>
      <c r="G38" s="42" t="s">
        <v>270</v>
      </c>
      <c r="H38" s="206">
        <f>0.003*DATI!F4*DATI!F5</f>
        <v>450</v>
      </c>
      <c r="I38" s="187" t="str">
        <f>IF(C42&gt;=MAX(F38,H38),"verificato","N.V.!")</f>
        <v>verificato</v>
      </c>
      <c r="J38" s="37"/>
      <c r="K38" s="37"/>
    </row>
    <row r="39" spans="1:1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</row>
    <row r="40" spans="1:11" x14ac:dyDescent="0.25">
      <c r="A40" s="37"/>
      <c r="B40" s="37" t="s">
        <v>273</v>
      </c>
      <c r="C40" s="37"/>
      <c r="D40" s="37"/>
      <c r="E40" s="37"/>
      <c r="F40" s="37"/>
      <c r="G40" s="37"/>
      <c r="H40" s="206">
        <f>0.04*DATI!F4*DATI!F5</f>
        <v>6000</v>
      </c>
      <c r="I40" s="187" t="str">
        <f>IF(H40&gt;='LIMITAZIONE PILASTRI NTC08'!C42,"verificato","N.V.!")</f>
        <v>verificato</v>
      </c>
      <c r="J40" s="37"/>
      <c r="K40" s="37"/>
    </row>
    <row r="41" spans="1:11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</row>
    <row r="42" spans="1:11" ht="17.25" x14ac:dyDescent="0.25">
      <c r="A42" s="37"/>
      <c r="B42" s="204" t="str">
        <f>IF(DATI!$F$10="pilastro","As,tot","")</f>
        <v>As,tot</v>
      </c>
      <c r="C42" s="206">
        <f>DATI!F89</f>
        <v>3141.5926535897934</v>
      </c>
      <c r="D42" s="37"/>
      <c r="E42" s="37"/>
      <c r="F42" s="37"/>
      <c r="G42" s="37"/>
      <c r="H42" s="37"/>
      <c r="I42" s="37"/>
      <c r="J42" s="37"/>
      <c r="K42" s="37"/>
    </row>
    <row r="43" spans="1:11" x14ac:dyDescent="0.25">
      <c r="A43" s="37"/>
      <c r="B43" s="40" t="s">
        <v>274</v>
      </c>
      <c r="C43" s="206">
        <f>DATI!F4*DATI!F5</f>
        <v>150000</v>
      </c>
      <c r="D43" s="37"/>
      <c r="E43" s="37"/>
      <c r="F43" s="37"/>
      <c r="G43" s="37"/>
      <c r="H43" s="37"/>
      <c r="I43" s="37"/>
      <c r="J43" s="37"/>
      <c r="K43" s="37"/>
    </row>
    <row r="44" spans="1:1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1" ht="15.75" x14ac:dyDescent="0.25">
      <c r="A45" s="37"/>
      <c r="B45" s="147" t="s">
        <v>216</v>
      </c>
      <c r="C45" s="37"/>
      <c r="D45" s="37"/>
      <c r="E45" s="37"/>
      <c r="F45" s="37"/>
      <c r="G45" s="37"/>
      <c r="H45" s="37"/>
      <c r="I45" s="37"/>
      <c r="J45" s="37"/>
      <c r="K45" s="37"/>
    </row>
    <row r="46" spans="1:11" ht="15.75" x14ac:dyDescent="0.25">
      <c r="A46" s="37"/>
      <c r="B46" s="147"/>
      <c r="C46" s="37"/>
      <c r="D46" s="37"/>
      <c r="E46" s="37"/>
      <c r="F46" s="37"/>
      <c r="G46" s="37"/>
      <c r="H46" s="37"/>
      <c r="I46" s="37"/>
      <c r="J46" s="37"/>
      <c r="K46" s="37"/>
    </row>
    <row r="47" spans="1:11" x14ac:dyDescent="0.25">
      <c r="A47" s="37"/>
      <c r="B47" s="316" t="s">
        <v>209</v>
      </c>
      <c r="C47" s="316"/>
      <c r="D47" s="316"/>
      <c r="E47" s="316"/>
      <c r="F47" s="37"/>
      <c r="G47" s="328" t="s">
        <v>277</v>
      </c>
      <c r="H47" s="329"/>
      <c r="I47" s="236">
        <f>DATI!F95</f>
        <v>8</v>
      </c>
      <c r="J47" s="37"/>
      <c r="K47" s="37"/>
    </row>
    <row r="48" spans="1:11" ht="15.75" x14ac:dyDescent="0.25">
      <c r="A48" s="37"/>
      <c r="B48" s="147"/>
      <c r="C48" s="37"/>
      <c r="D48" s="37"/>
      <c r="E48" s="37"/>
      <c r="F48" s="37"/>
      <c r="G48" s="37"/>
      <c r="H48" s="237"/>
      <c r="I48" s="192"/>
      <c r="J48" s="37"/>
      <c r="K48" s="37"/>
    </row>
    <row r="49" spans="1:11" ht="15.75" x14ac:dyDescent="0.25">
      <c r="A49" s="37"/>
      <c r="B49" s="194" t="s">
        <v>275</v>
      </c>
      <c r="C49" s="194"/>
      <c r="D49" s="37"/>
      <c r="E49" s="237"/>
      <c r="F49" s="238"/>
      <c r="G49" s="237"/>
      <c r="H49" s="237"/>
      <c r="I49" s="191" t="str">
        <f>IF(DATI!F95&lt;6,"N.V!","verificato")</f>
        <v>verificato</v>
      </c>
      <c r="J49" s="37"/>
      <c r="K49" s="37"/>
    </row>
    <row r="50" spans="1:11" ht="15.75" x14ac:dyDescent="0.25">
      <c r="A50" s="37"/>
      <c r="B50" s="147"/>
      <c r="C50" s="37"/>
      <c r="D50" s="37"/>
      <c r="E50" s="37"/>
      <c r="F50" s="239"/>
      <c r="G50" s="37"/>
      <c r="H50" s="237"/>
      <c r="I50" s="192"/>
      <c r="J50" s="37"/>
      <c r="K50" s="37"/>
    </row>
    <row r="51" spans="1:11" ht="15.75" x14ac:dyDescent="0.25">
      <c r="A51" s="37"/>
      <c r="B51" s="193" t="s">
        <v>276</v>
      </c>
      <c r="C51" s="193"/>
      <c r="D51" s="37"/>
      <c r="E51" s="58"/>
      <c r="F51" s="208"/>
      <c r="G51" s="58"/>
      <c r="H51" s="237"/>
      <c r="I51" s="191" t="str">
        <f>IF(G51&gt;'LIMITAZIONE PILASTRI NTC08'!E51,"N.V!","verificato")</f>
        <v>verificato</v>
      </c>
      <c r="J51" s="37"/>
      <c r="K51" s="37"/>
    </row>
    <row r="52" spans="1:11" ht="15.75" x14ac:dyDescent="0.25">
      <c r="A52" s="37"/>
      <c r="B52" s="147"/>
      <c r="C52" s="37"/>
      <c r="D52" s="37"/>
      <c r="E52" s="37"/>
      <c r="F52" s="208"/>
      <c r="G52" s="37"/>
      <c r="H52" s="237"/>
      <c r="I52" s="192"/>
      <c r="J52" s="37"/>
      <c r="K52" s="37"/>
    </row>
    <row r="53" spans="1:11" ht="15.75" x14ac:dyDescent="0.25">
      <c r="A53" s="37"/>
      <c r="B53" s="193" t="s">
        <v>278</v>
      </c>
      <c r="C53" s="37"/>
      <c r="D53" s="37"/>
      <c r="E53" s="37"/>
      <c r="F53" s="58">
        <f>12*MINA(DATI!F64,DATI!F65,DATI!F70,DATI!F71)</f>
        <v>240</v>
      </c>
      <c r="G53" s="208" t="s">
        <v>220</v>
      </c>
      <c r="H53" s="58">
        <f>DATI!F97</f>
        <v>120</v>
      </c>
      <c r="I53" s="191" t="str">
        <f>IF(H53&gt;'LIMITAZIONE PILASTRI NTC08'!F53,"N.V!","verificato")</f>
        <v>verificato</v>
      </c>
      <c r="J53" s="37"/>
      <c r="K53" s="37"/>
    </row>
    <row r="54" spans="1:11" ht="15.75" x14ac:dyDescent="0.25">
      <c r="A54" s="37"/>
      <c r="B54" s="147"/>
      <c r="C54" s="37"/>
      <c r="D54" s="37"/>
      <c r="E54" s="37"/>
      <c r="F54" s="208"/>
      <c r="G54" s="37"/>
      <c r="H54" s="237"/>
      <c r="I54" s="192"/>
      <c r="J54" s="37"/>
      <c r="K54" s="37"/>
    </row>
    <row r="55" spans="1:11" ht="15.75" x14ac:dyDescent="0.25">
      <c r="A55" s="37"/>
      <c r="B55" s="193" t="s">
        <v>279</v>
      </c>
      <c r="C55" s="37"/>
      <c r="D55" s="37"/>
      <c r="E55" s="37"/>
      <c r="F55" s="37"/>
      <c r="G55" s="208" t="s">
        <v>220</v>
      </c>
      <c r="H55" s="58">
        <f>DATI!F97</f>
        <v>120</v>
      </c>
      <c r="I55" s="191" t="str">
        <f>IF(H55&gt;250,"N.V!","verificato")</f>
        <v>verificato</v>
      </c>
      <c r="J55" s="37"/>
      <c r="K55" s="37"/>
    </row>
    <row r="56" spans="1:11" ht="15.75" x14ac:dyDescent="0.25">
      <c r="A56" s="37"/>
      <c r="B56" s="147"/>
      <c r="C56" s="37"/>
      <c r="D56" s="37"/>
      <c r="E56" s="37"/>
      <c r="F56" s="208"/>
      <c r="G56" s="37"/>
      <c r="H56" s="237"/>
      <c r="I56" s="192"/>
      <c r="J56" s="37"/>
      <c r="K56" s="37"/>
    </row>
    <row r="57" spans="1:11" ht="17.25" x14ac:dyDescent="0.3">
      <c r="A57" s="37"/>
      <c r="B57" s="196" t="s">
        <v>280</v>
      </c>
      <c r="C57" s="37"/>
      <c r="D57" s="37"/>
      <c r="E57" s="37"/>
      <c r="F57" s="37"/>
      <c r="G57" s="37"/>
      <c r="H57" s="37"/>
      <c r="I57" s="37"/>
      <c r="J57" s="37"/>
      <c r="K57" s="37"/>
    </row>
    <row r="58" spans="1:11" ht="17.25" x14ac:dyDescent="0.3">
      <c r="A58" s="37"/>
      <c r="B58" s="196"/>
      <c r="C58" s="37"/>
      <c r="D58" s="37"/>
      <c r="E58" s="37"/>
      <c r="F58" s="37"/>
      <c r="G58" s="37"/>
      <c r="H58" s="37"/>
      <c r="I58" s="37"/>
      <c r="J58" s="37"/>
      <c r="K58" s="37"/>
    </row>
    <row r="59" spans="1:11" x14ac:dyDescent="0.25">
      <c r="A59" s="37"/>
      <c r="B59" s="37" t="s">
        <v>281</v>
      </c>
      <c r="C59" s="37"/>
      <c r="D59" s="37"/>
      <c r="E59" s="37"/>
      <c r="F59" s="37"/>
      <c r="G59" s="37"/>
      <c r="H59" s="37"/>
      <c r="I59" s="37"/>
      <c r="J59" s="37"/>
      <c r="K59" s="37"/>
    </row>
    <row r="60" spans="1:11" x14ac:dyDescent="0.25">
      <c r="A60" s="37"/>
      <c r="B60" s="37" t="s">
        <v>282</v>
      </c>
      <c r="C60" s="37"/>
      <c r="D60" s="37"/>
      <c r="E60" s="37"/>
      <c r="F60" s="37"/>
      <c r="G60" s="37"/>
      <c r="H60" s="37"/>
      <c r="I60" s="37"/>
      <c r="J60" s="37"/>
      <c r="K60" s="37"/>
    </row>
    <row r="61" spans="1:11" x14ac:dyDescent="0.25">
      <c r="A61" s="37"/>
      <c r="B61" s="37" t="s">
        <v>283</v>
      </c>
      <c r="C61" s="37"/>
      <c r="D61" s="37"/>
      <c r="E61" s="37"/>
      <c r="F61" s="37"/>
      <c r="G61" s="37"/>
      <c r="H61" s="37"/>
      <c r="I61" s="37"/>
      <c r="J61" s="37"/>
      <c r="K61" s="37"/>
    </row>
    <row r="62" spans="1:11" x14ac:dyDescent="0.25">
      <c r="A62" s="37"/>
      <c r="B62" s="37" t="s">
        <v>284</v>
      </c>
      <c r="C62" s="37"/>
      <c r="D62" s="37"/>
      <c r="E62" s="37"/>
      <c r="F62" s="37"/>
      <c r="G62" s="37"/>
      <c r="H62" s="37"/>
      <c r="I62" s="37"/>
      <c r="J62" s="37"/>
      <c r="K62" s="37"/>
    </row>
    <row r="63" spans="1:11" x14ac:dyDescent="0.25">
      <c r="A63" s="37"/>
      <c r="B63" s="37" t="s">
        <v>285</v>
      </c>
      <c r="C63" s="37"/>
      <c r="D63" s="37"/>
      <c r="E63" s="37"/>
      <c r="F63" s="37"/>
      <c r="G63" s="37"/>
      <c r="H63" s="37"/>
      <c r="I63" s="37"/>
      <c r="J63" s="37"/>
      <c r="K63" s="37"/>
    </row>
    <row r="64" spans="1:11" x14ac:dyDescent="0.25">
      <c r="A64" s="37"/>
      <c r="B64" s="37" t="s">
        <v>286</v>
      </c>
      <c r="C64" s="37"/>
      <c r="D64" s="37"/>
      <c r="E64" s="37"/>
      <c r="F64" s="37"/>
      <c r="G64" s="37"/>
      <c r="H64" s="37"/>
      <c r="I64" s="37"/>
      <c r="J64" s="37"/>
      <c r="K64" s="37"/>
    </row>
    <row r="65" spans="1:11" x14ac:dyDescent="0.25">
      <c r="A65" s="37"/>
      <c r="B65" s="37" t="s">
        <v>287</v>
      </c>
      <c r="C65" s="37"/>
      <c r="D65" s="37"/>
      <c r="E65" s="37"/>
      <c r="F65" s="37"/>
      <c r="G65" s="37"/>
      <c r="H65" s="37"/>
      <c r="I65" s="37"/>
      <c r="J65" s="37"/>
      <c r="K65" s="37"/>
    </row>
    <row r="66" spans="1:1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</row>
    <row r="67" spans="1:11" ht="15.75" x14ac:dyDescent="0.25">
      <c r="A67" s="37"/>
      <c r="B67" s="147" t="s">
        <v>215</v>
      </c>
      <c r="C67" s="37"/>
      <c r="D67" s="37"/>
      <c r="E67" s="37"/>
      <c r="F67" s="37"/>
      <c r="G67" s="37"/>
      <c r="H67" s="37"/>
      <c r="I67" s="37"/>
      <c r="J67" s="37"/>
      <c r="K67" s="37"/>
    </row>
    <row r="68" spans="1:1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</row>
    <row r="69" spans="1:11" x14ac:dyDescent="0.25">
      <c r="A69" s="37"/>
      <c r="B69" s="37" t="s">
        <v>288</v>
      </c>
      <c r="C69" s="37"/>
      <c r="D69" s="37"/>
      <c r="E69" s="37"/>
      <c r="F69" s="37"/>
      <c r="G69" s="37"/>
      <c r="H69" s="37"/>
      <c r="I69" s="187" t="str">
        <f>IF(MAXA('CONFINAMENTO EC2'!F39:F40)&lt;250,"verificato","N.V.!")</f>
        <v>verificato</v>
      </c>
      <c r="J69" s="37"/>
      <c r="K69" s="37"/>
    </row>
    <row r="70" spans="1:1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</row>
    <row r="71" spans="1:11" ht="17.25" x14ac:dyDescent="0.25">
      <c r="A71" s="37"/>
      <c r="B71" s="330" t="str">
        <f>IF(DATI!$F$10="pilastro","1% ≤ ρ ≤ 4%","")</f>
        <v>1% ≤ ρ ≤ 4%</v>
      </c>
      <c r="C71" s="330"/>
      <c r="D71" s="37"/>
      <c r="E71" s="37"/>
      <c r="F71" s="37"/>
      <c r="G71" s="209" t="s">
        <v>49</v>
      </c>
      <c r="H71" s="169">
        <f>DATI!F88</f>
        <v>2.0943951023931956E-2</v>
      </c>
      <c r="I71" s="187" t="str">
        <f>IF(H40=0,"",IF(0.01&lt;=H71,IF(H71&lt;=0.04,"verificato","NON VERIFICATO"),"N.V.!"))</f>
        <v>verificato</v>
      </c>
      <c r="J71" s="37"/>
      <c r="K71" s="37"/>
    </row>
    <row r="72" spans="1:1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</row>
    <row r="73" spans="1:11" x14ac:dyDescent="0.25">
      <c r="A73" s="37"/>
      <c r="B73" s="37" t="s">
        <v>289</v>
      </c>
      <c r="C73" s="37"/>
      <c r="D73" s="37"/>
      <c r="E73" s="37"/>
      <c r="F73" s="37"/>
      <c r="G73" s="37"/>
      <c r="H73" s="37"/>
      <c r="I73" s="37"/>
      <c r="J73" s="37"/>
      <c r="K73" s="37"/>
    </row>
    <row r="74" spans="1:11" x14ac:dyDescent="0.25">
      <c r="A74" s="37"/>
      <c r="B74" s="37" t="s">
        <v>290</v>
      </c>
      <c r="C74" s="37"/>
      <c r="D74" s="37"/>
      <c r="E74" s="37"/>
      <c r="F74" s="37"/>
      <c r="G74" s="37"/>
      <c r="H74" s="37"/>
      <c r="I74" s="37"/>
      <c r="J74" s="37"/>
      <c r="K74" s="37"/>
    </row>
    <row r="75" spans="1:11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</row>
    <row r="76" spans="1:11" ht="15.75" x14ac:dyDescent="0.25">
      <c r="A76" s="37"/>
      <c r="B76" s="147" t="s">
        <v>216</v>
      </c>
      <c r="C76" s="37"/>
      <c r="D76" s="37"/>
      <c r="E76" s="37"/>
      <c r="F76" s="37"/>
      <c r="G76" s="37"/>
      <c r="H76" s="37"/>
      <c r="I76" s="37"/>
      <c r="J76" s="37"/>
      <c r="K76" s="37"/>
    </row>
    <row r="77" spans="1:11" ht="15.75" x14ac:dyDescent="0.25">
      <c r="A77" s="37"/>
      <c r="B77" s="147"/>
      <c r="C77" s="37"/>
      <c r="D77" s="37"/>
      <c r="E77" s="37"/>
      <c r="F77" s="37"/>
      <c r="G77" s="37"/>
      <c r="H77" s="37"/>
      <c r="I77" s="37"/>
      <c r="J77" s="37"/>
      <c r="K77" s="37"/>
    </row>
    <row r="78" spans="1:11" x14ac:dyDescent="0.25">
      <c r="A78" s="37"/>
      <c r="B78" s="316" t="s">
        <v>291</v>
      </c>
      <c r="C78" s="316"/>
      <c r="D78" s="316"/>
      <c r="E78" s="316"/>
      <c r="F78" s="37"/>
      <c r="G78" s="37"/>
      <c r="H78" s="37"/>
      <c r="I78" s="37"/>
      <c r="J78" s="37"/>
      <c r="K78" s="37"/>
    </row>
    <row r="79" spans="1:11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</row>
    <row r="80" spans="1:11" ht="15.75" x14ac:dyDescent="0.25">
      <c r="A80" s="37"/>
      <c r="B80" s="331" t="s">
        <v>277</v>
      </c>
      <c r="C80" s="332"/>
      <c r="D80" s="236">
        <f>DATI!F95</f>
        <v>8</v>
      </c>
      <c r="E80" s="198" t="str">
        <f>DATI!B114</f>
        <v>Classe di duttilità bassa CD"B"</v>
      </c>
      <c r="F80" s="37"/>
      <c r="G80" s="37"/>
      <c r="H80" s="37"/>
      <c r="I80" s="37"/>
      <c r="J80" s="37"/>
      <c r="K80" s="37"/>
    </row>
    <row r="81" spans="1:11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</row>
    <row r="82" spans="1:11" x14ac:dyDescent="0.25">
      <c r="A82" s="37"/>
      <c r="B82" s="37" t="s">
        <v>292</v>
      </c>
      <c r="C82" s="37"/>
      <c r="D82" s="37"/>
      <c r="E82" s="37"/>
      <c r="F82" s="37"/>
      <c r="G82" s="37"/>
      <c r="H82" s="37"/>
      <c r="I82" s="37"/>
      <c r="J82" s="37"/>
      <c r="K82" s="37"/>
    </row>
    <row r="83" spans="1:11" x14ac:dyDescent="0.25">
      <c r="A83" s="37"/>
      <c r="B83" s="37" t="s">
        <v>293</v>
      </c>
      <c r="C83" s="37"/>
      <c r="D83" s="37"/>
      <c r="E83" s="37"/>
      <c r="F83" s="37"/>
      <c r="G83" s="37"/>
      <c r="H83" s="37"/>
      <c r="I83" s="37"/>
      <c r="J83" s="37"/>
      <c r="K83" s="37"/>
    </row>
    <row r="84" spans="1:11" x14ac:dyDescent="0.25">
      <c r="A84" s="37"/>
      <c r="B84" s="37" t="s">
        <v>294</v>
      </c>
      <c r="C84" s="37"/>
      <c r="D84" s="37"/>
      <c r="E84" s="37"/>
      <c r="F84" s="37"/>
      <c r="G84" s="37"/>
      <c r="H84" s="37"/>
      <c r="I84" s="37"/>
      <c r="J84" s="37"/>
      <c r="K84" s="37"/>
    </row>
    <row r="85" spans="1:11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</row>
    <row r="86" spans="1:11" x14ac:dyDescent="0.25">
      <c r="A86" s="37"/>
      <c r="B86" s="37" t="s">
        <v>232</v>
      </c>
      <c r="C86" s="37"/>
      <c r="D86" s="37"/>
      <c r="E86" s="37"/>
      <c r="F86" s="37"/>
      <c r="G86" s="37"/>
      <c r="H86" s="37"/>
      <c r="I86" s="188" t="str">
        <f>IF(DATI!F95&gt;=6,"verificato","N.V.!")</f>
        <v>verificato</v>
      </c>
      <c r="J86" s="37"/>
      <c r="K86" s="37"/>
    </row>
    <row r="87" spans="1:11" x14ac:dyDescent="0.25">
      <c r="A87" s="37"/>
      <c r="B87" s="37"/>
      <c r="C87" s="37"/>
      <c r="D87" s="37"/>
      <c r="E87" s="37"/>
      <c r="F87" s="37"/>
      <c r="G87" s="37"/>
      <c r="H87" s="37"/>
      <c r="I87" s="79"/>
      <c r="J87" s="37"/>
      <c r="K87" s="37"/>
    </row>
    <row r="88" spans="1:11" x14ac:dyDescent="0.25">
      <c r="A88" s="37"/>
      <c r="B88" s="37" t="s">
        <v>295</v>
      </c>
      <c r="C88" s="37"/>
      <c r="D88" s="37"/>
      <c r="E88" s="37"/>
      <c r="F88" s="37"/>
      <c r="G88" s="37"/>
      <c r="H88" s="37"/>
      <c r="I88" s="37"/>
      <c r="J88" s="37"/>
      <c r="K88" s="37"/>
    </row>
    <row r="89" spans="1:11" x14ac:dyDescent="0.25">
      <c r="A89" s="37"/>
      <c r="B89" s="37" t="s">
        <v>296</v>
      </c>
      <c r="C89" s="37"/>
      <c r="D89" s="37"/>
      <c r="E89" s="37"/>
      <c r="F89" s="37"/>
      <c r="G89" s="37"/>
      <c r="H89" s="37"/>
      <c r="I89" s="37"/>
      <c r="J89" s="37"/>
      <c r="K89" s="37"/>
    </row>
    <row r="90" spans="1:11" x14ac:dyDescent="0.25">
      <c r="A90" s="37"/>
      <c r="B90" s="240" t="s">
        <v>297</v>
      </c>
      <c r="C90" s="37"/>
      <c r="D90" s="37"/>
      <c r="E90" s="37"/>
      <c r="F90" s="37"/>
      <c r="G90" s="37"/>
      <c r="H90" s="37"/>
      <c r="I90" s="37"/>
      <c r="J90" s="37"/>
      <c r="K90" s="37"/>
    </row>
    <row r="91" spans="1:11" x14ac:dyDescent="0.25">
      <c r="A91" s="37"/>
      <c r="B91" s="197" t="s">
        <v>298</v>
      </c>
      <c r="C91" s="37"/>
      <c r="D91" s="37"/>
      <c r="E91" s="37"/>
      <c r="F91" s="37"/>
      <c r="G91" s="37"/>
      <c r="H91" s="37"/>
      <c r="I91" s="37"/>
      <c r="J91" s="37"/>
      <c r="K91" s="37"/>
    </row>
    <row r="92" spans="1:11" x14ac:dyDescent="0.25">
      <c r="A92" s="37"/>
      <c r="B92" s="37"/>
      <c r="C92" s="37"/>
      <c r="D92" s="79"/>
      <c r="E92" s="79"/>
      <c r="F92" s="79"/>
      <c r="G92" s="37"/>
      <c r="H92" s="37"/>
      <c r="I92" s="37"/>
      <c r="J92" s="37"/>
      <c r="K92" s="37"/>
    </row>
    <row r="93" spans="1:11" x14ac:dyDescent="0.25">
      <c r="A93" s="37"/>
      <c r="B93" s="37"/>
      <c r="C93" s="40" t="s">
        <v>229</v>
      </c>
      <c r="D93" s="40" t="s">
        <v>230</v>
      </c>
      <c r="E93" s="37"/>
      <c r="F93" s="37"/>
      <c r="G93" s="37"/>
      <c r="H93" s="37"/>
      <c r="I93" s="37"/>
      <c r="J93" s="37"/>
      <c r="K93" s="37"/>
    </row>
    <row r="94" spans="1:11" x14ac:dyDescent="0.25">
      <c r="A94" s="37"/>
      <c r="B94" s="37"/>
      <c r="C94" s="137">
        <f>1/3*MINA(DATI!F4:F5)</f>
        <v>100</v>
      </c>
      <c r="D94" s="137">
        <f>1/2*MINA(DATI!F4:F5)</f>
        <v>150</v>
      </c>
      <c r="E94" s="333" t="s">
        <v>207</v>
      </c>
      <c r="F94" s="334"/>
      <c r="G94" s="37"/>
      <c r="H94" s="37"/>
      <c r="I94" s="37"/>
      <c r="J94" s="37"/>
      <c r="K94" s="37"/>
    </row>
    <row r="95" spans="1:11" x14ac:dyDescent="0.25">
      <c r="A95" s="37"/>
      <c r="B95" s="37"/>
      <c r="C95" s="137">
        <v>125</v>
      </c>
      <c r="D95" s="137">
        <v>175</v>
      </c>
      <c r="E95" s="335"/>
      <c r="F95" s="336"/>
      <c r="G95" s="37"/>
      <c r="H95" s="37"/>
      <c r="I95" s="37"/>
      <c r="J95" s="37"/>
      <c r="K95" s="37"/>
    </row>
    <row r="96" spans="1:11" x14ac:dyDescent="0.25">
      <c r="A96" s="37"/>
      <c r="B96" s="37"/>
      <c r="C96" s="137">
        <f>6*MINA(DATI!F64,DATI!F65)</f>
        <v>120</v>
      </c>
      <c r="D96" s="137">
        <f>8*MINA(DATI!F64,DATI!F65)</f>
        <v>160</v>
      </c>
      <c r="E96" s="320" t="str">
        <f>IF(E80='foglio deposito'!N59,IF(DATI!F97&lt;='LIMITAZIONE PILASTRI NTC08'!C97,"verificato","N.V!"),IF(DATI!F97&lt;='LIMITAZIONE PILASTRI NTC08'!D97,"verificato","N.V!"))</f>
        <v>verificato</v>
      </c>
      <c r="F96" s="321"/>
      <c r="G96" s="37"/>
      <c r="H96" s="37"/>
      <c r="I96" s="37"/>
      <c r="J96" s="37"/>
      <c r="K96" s="37"/>
    </row>
    <row r="97" spans="1:11" x14ac:dyDescent="0.25">
      <c r="A97" s="37"/>
      <c r="B97" s="239" t="s">
        <v>248</v>
      </c>
      <c r="C97" s="58">
        <f>MINA(C94:C96)</f>
        <v>100</v>
      </c>
      <c r="D97" s="58">
        <f>MINA(D94:D96)</f>
        <v>150</v>
      </c>
      <c r="E97" s="37"/>
      <c r="F97" s="37"/>
      <c r="G97" s="37"/>
      <c r="H97" s="37"/>
      <c r="I97" s="37"/>
      <c r="J97" s="37"/>
      <c r="K97" s="37"/>
    </row>
    <row r="98" spans="1:11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</row>
    <row r="99" spans="1:11" x14ac:dyDescent="0.25">
      <c r="A99" s="37"/>
      <c r="B99" s="37" t="s">
        <v>308</v>
      </c>
      <c r="C99" s="37"/>
      <c r="D99" s="37"/>
      <c r="E99" s="37"/>
      <c r="F99" s="37"/>
      <c r="G99" s="37"/>
      <c r="H99" s="37"/>
      <c r="I99" s="37"/>
      <c r="J99" s="37"/>
      <c r="K99" s="37"/>
    </row>
    <row r="100" spans="1:11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</row>
    <row r="101" spans="1:11" x14ac:dyDescent="0.25">
      <c r="A101" s="37"/>
      <c r="B101" s="37" t="s">
        <v>300</v>
      </c>
      <c r="C101" s="37"/>
      <c r="D101" s="37"/>
      <c r="E101" s="37"/>
      <c r="F101" s="37"/>
      <c r="G101" s="37"/>
      <c r="H101" s="241">
        <f>0.08*DATI!F26*MAXA('CONFINAMENTO EC2'!F8:F9)/DATI!F42</f>
        <v>1.5136248888888886</v>
      </c>
      <c r="I101" s="79"/>
      <c r="J101" s="37"/>
      <c r="K101" s="37"/>
    </row>
    <row r="102" spans="1:11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</row>
    <row r="103" spans="1:11" x14ac:dyDescent="0.25">
      <c r="A103" s="37"/>
      <c r="B103" s="37" t="s">
        <v>299</v>
      </c>
      <c r="C103" s="37"/>
      <c r="D103" s="37"/>
      <c r="E103" s="37"/>
      <c r="F103" s="37"/>
      <c r="G103" s="37"/>
      <c r="H103" s="241">
        <f>0.12*DATI!F26*MAXA('CONFINAMENTO EC2'!F8:F9)/DATI!F42</f>
        <v>2.2704373333333328</v>
      </c>
      <c r="I103" s="37"/>
      <c r="J103" s="37"/>
      <c r="K103" s="37"/>
    </row>
    <row r="104" spans="1:11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</row>
    <row r="105" spans="1:11" x14ac:dyDescent="0.25">
      <c r="A105" s="37"/>
      <c r="B105" s="37" t="s">
        <v>306</v>
      </c>
      <c r="C105" s="241">
        <f>(DATI!F102+DATI!F103)/DATI!F97</f>
        <v>1.6755160819145563</v>
      </c>
      <c r="D105" s="37"/>
      <c r="E105" s="37"/>
      <c r="F105" s="37"/>
      <c r="G105" s="37"/>
      <c r="H105" s="37"/>
      <c r="I105" s="188" t="str">
        <f>IF(E80='foglio deposito'!N59,IF('LIMITAZIONE PILASTRI NTC08'!C105&gt;='LIMITAZIONE PILASTRI NTC08'!H103,"verificato","N.V.!"),IF('LIMITAZIONE PILASTRI NTC08'!C105&gt;='LIMITAZIONE PILASTRI NTC08'!H101,"verificato","N.V.!"))</f>
        <v>verificato</v>
      </c>
      <c r="J105" s="37"/>
      <c r="K105" s="37"/>
    </row>
    <row r="106" spans="1:11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</row>
    <row r="107" spans="1:11" x14ac:dyDescent="0.25">
      <c r="A107" s="37"/>
      <c r="B107" s="37" t="s">
        <v>301</v>
      </c>
      <c r="C107" s="37"/>
      <c r="D107" s="37"/>
      <c r="E107" s="37"/>
      <c r="F107" s="37"/>
      <c r="G107" s="37"/>
      <c r="H107" s="37"/>
      <c r="I107" s="37"/>
      <c r="J107" s="37"/>
      <c r="K107" s="37"/>
    </row>
    <row r="108" spans="1:11" x14ac:dyDescent="0.25">
      <c r="A108" s="37"/>
      <c r="B108" s="37" t="s">
        <v>302</v>
      </c>
      <c r="C108" s="37"/>
      <c r="D108" s="37"/>
      <c r="E108" s="37"/>
      <c r="F108" s="37"/>
      <c r="G108" s="37"/>
      <c r="H108" s="37"/>
      <c r="I108" s="37"/>
      <c r="J108" s="37"/>
      <c r="K108" s="37"/>
    </row>
    <row r="109" spans="1:11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</row>
    <row r="110" spans="1:11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</row>
    <row r="111" spans="1:11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</row>
    <row r="112" spans="1:11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</row>
    <row r="113" spans="1:11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</row>
    <row r="114" spans="1:11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</row>
    <row r="115" spans="1:11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</row>
  </sheetData>
  <sheetProtection password="C2CA" sheet="1" objects="1" scenarios="1" selectLockedCells="1" selectUnlockedCells="1"/>
  <mergeCells count="7">
    <mergeCell ref="B71:C71"/>
    <mergeCell ref="B47:E47"/>
    <mergeCell ref="G47:H47"/>
    <mergeCell ref="E96:F96"/>
    <mergeCell ref="B80:C80"/>
    <mergeCell ref="B78:E78"/>
    <mergeCell ref="E94:F95"/>
  </mergeCells>
  <conditionalFormatting sqref="I5:I26">
    <cfRule type="cellIs" dxfId="11" priority="15" operator="equal">
      <formula>"verificato"</formula>
    </cfRule>
  </conditionalFormatting>
  <conditionalFormatting sqref="I32">
    <cfRule type="cellIs" dxfId="10" priority="14" operator="equal">
      <formula>"verificato"</formula>
    </cfRule>
  </conditionalFormatting>
  <conditionalFormatting sqref="I38 I71">
    <cfRule type="cellIs" dxfId="9" priority="13" operator="equal">
      <formula>"verificato"</formula>
    </cfRule>
  </conditionalFormatting>
  <conditionalFormatting sqref="I27:I29">
    <cfRule type="cellIs" dxfId="8" priority="12" operator="equal">
      <formula>"verificato"</formula>
    </cfRule>
  </conditionalFormatting>
  <conditionalFormatting sqref="I40">
    <cfRule type="cellIs" dxfId="7" priority="11" operator="equal">
      <formula>"verificato"</formula>
    </cfRule>
  </conditionalFormatting>
  <conditionalFormatting sqref="I48:I56">
    <cfRule type="cellIs" dxfId="6" priority="10" operator="equal">
      <formula>"verificato"</formula>
    </cfRule>
  </conditionalFormatting>
  <conditionalFormatting sqref="I86:I87">
    <cfRule type="cellIs" dxfId="5" priority="9" operator="equal">
      <formula>"verificato"</formula>
    </cfRule>
  </conditionalFormatting>
  <conditionalFormatting sqref="E96">
    <cfRule type="cellIs" dxfId="4" priority="8" operator="equal">
      <formula>"verificato"</formula>
    </cfRule>
  </conditionalFormatting>
  <conditionalFormatting sqref="I105">
    <cfRule type="cellIs" dxfId="3" priority="7" operator="equal">
      <formula>"verificato"</formula>
    </cfRule>
  </conditionalFormatting>
  <conditionalFormatting sqref="I69">
    <cfRule type="cellIs" dxfId="2" priority="5" operator="equal">
      <formula>"verificato"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8135E39-76F1-4933-977B-C9F64F342EC7}">
            <xm:f>IF(DATI!$F$10="trave",TRUE,FALSE)</xm:f>
            <x14:dxf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2" id="{3578B002-CB84-4EF4-9287-5EB56FFF0611}">
            <xm:f>IF(DATI!$F$10="trave",TRUE,FALSE)</xm:f>
            <x14:dxf>
              <font>
                <color theme="0"/>
              </font>
              <numFmt numFmtId="183" formatCode="&quot;&quot;"/>
            </x14:dxf>
          </x14:cfRule>
          <xm:sqref>B2:J110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10</vt:i4>
      </vt:variant>
    </vt:vector>
  </HeadingPairs>
  <TitlesOfParts>
    <vt:vector size="18" baseType="lpstr">
      <vt:lpstr>ISTRUZIONI</vt:lpstr>
      <vt:lpstr>DATI</vt:lpstr>
      <vt:lpstr>foglio deposito</vt:lpstr>
      <vt:lpstr>LEGAME COSTITUTIVO CALCESTRUZZO</vt:lpstr>
      <vt:lpstr>LEGAME COSTITUTIVO ACCIAIO</vt:lpstr>
      <vt:lpstr>CONFINAMENTO EC2</vt:lpstr>
      <vt:lpstr>LIMITAZIONI TRAVI NTC08</vt:lpstr>
      <vt:lpstr>LIMITAZIONE PILASTRI NTC08</vt:lpstr>
      <vt:lpstr>clas</vt:lpstr>
      <vt:lpstr>CLASS</vt:lpstr>
      <vt:lpstr>dut</vt:lpstr>
      <vt:lpstr>fer</vt:lpstr>
      <vt:lpstr>FERR</vt:lpstr>
      <vt:lpstr>LC</vt:lpstr>
      <vt:lpstr>sn</vt:lpstr>
      <vt:lpstr>tarat</vt:lpstr>
      <vt:lpstr>taratu</vt:lpstr>
      <vt:lpstr>tp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</dc:creator>
  <cp:lastModifiedBy>Davide</cp:lastModifiedBy>
  <cp:lastPrinted>2016-07-20T13:09:50Z</cp:lastPrinted>
  <dcterms:created xsi:type="dcterms:W3CDTF">2016-01-27T22:47:28Z</dcterms:created>
  <dcterms:modified xsi:type="dcterms:W3CDTF">2016-07-20T13:41:14Z</dcterms:modified>
</cp:coreProperties>
</file>