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icla\Documents\6.VARIE PER LA PROFESSIONE\PROGRAMMI UTILI\MURO DI SOSTEGNO\"/>
    </mc:Choice>
  </mc:AlternateContent>
  <workbookProtection workbookPassword="FA0B" lockStructure="1"/>
  <bookViews>
    <workbookView xWindow="0" yWindow="0" windowWidth="20490" windowHeight="7755" tabRatio="889"/>
  </bookViews>
  <sheets>
    <sheet name="ISTRUZIONI" sheetId="10" r:id="rId1"/>
    <sheet name="FOGLIO DEPOSITO" sheetId="7" state="hidden" r:id="rId2"/>
    <sheet name="DATI" sheetId="2" r:id="rId3"/>
    <sheet name="ANALISI DELLE SPINTE" sheetId="18" r:id="rId4"/>
    <sheet name="geom masse muro+tensioni" sheetId="17" state="hidden" r:id="rId5"/>
    <sheet name="SPETTRO DI PROGETTO ORIZZONTALE" sheetId="20" r:id="rId6"/>
  </sheets>
  <externalReferences>
    <externalReference r:id="rId7"/>
  </externalReferences>
  <definedNames>
    <definedName name="app">'FOGLIO DEPOSITO'!$I$66:$I$68</definedName>
    <definedName name="class">'FOGLIO DEPOSITO'!$G$197:$G$207</definedName>
    <definedName name="COMBO">'FOGLIO DEPOSITO'!$I$66:$I$69</definedName>
    <definedName name="dis">#REF!</definedName>
    <definedName name="dr">'FOGLIO DEPOSITO'!$B$26:$B$27</definedName>
    <definedName name="fer">'FOGLIO DEPOSITO'!$J$197:$J$198</definedName>
    <definedName name="fond">'FOGLIO DEPOSITO'!$H$174:$J$175</definedName>
    <definedName name="fonda">'FOGLIO DEPOSITO'!$H$174:$H$175</definedName>
    <definedName name="graf1">'FOGLIO DEPOSITO'!$AD$164:$AD$165</definedName>
    <definedName name="graf2">'FOGLIO DEPOSITO'!$AD$167:$AD$168</definedName>
    <definedName name="graf3">'FOGLIO DEPOSITO'!$AD$170:$AD$171</definedName>
    <definedName name="graf4">'FOGLIO DEPOSITO'!$AD$173:$AD$174</definedName>
    <definedName name="mey">'FOGLIO DEPOSITO'!$F$26:$F$28</definedName>
    <definedName name="mur">'FOGLIO DEPOSITO'!$B$14:$B$16</definedName>
    <definedName name="NUMCOST">'geom masse muro+tensioni'!$M$43:$M$47</definedName>
    <definedName name="PASDEN">'FOGLIO DEPOSITO'!$U$2:$U$22</definedName>
    <definedName name="perm">'FOGLIO DEPOSITO'!$T$179:$T$180</definedName>
    <definedName name="posdent">'FOGLIO DEPOSITO'!$U$1:$U$22</definedName>
    <definedName name="posza">'FOGLIO DEPOSITO'!$C$205:$C$207</definedName>
    <definedName name="pr">'FOGLIO DEPOSITO'!$H$165:$H$166</definedName>
    <definedName name="RAN">'FOGLIO DEPOSITO'!$K$178:$K$180</definedName>
    <definedName name="RANK">'FOGLIO DEPOSITO'!$K$178:$L$180</definedName>
    <definedName name="sd">'geom masse muro+tensioni'!$L$87:$L$88</definedName>
    <definedName name="sec">'FOGLIO DEPOSITO'!$H$168:$H$169</definedName>
    <definedName name="SISM">'FOGLIO DEPOSITO'!$I$72:$I$73</definedName>
    <definedName name="sn">'FOGLIO DEPOSITO'!$I$26:$I$27</definedName>
    <definedName name="snn">'[1]FOGLIO DEPOSITO'!$I$16:$I$17</definedName>
    <definedName name="speg">'FOGLIO DEPOSITO'!$AD$164:$AD$170</definedName>
    <definedName name="spegn">'FOGLIO DEPOSITO'!$AD$165:$AD$170</definedName>
    <definedName name="spin">'FOGLIO DEPOSITO'!$N$178:$N$182</definedName>
    <definedName name="spint">'FOGLIO DEPOSITO'!$N$178:$N$184</definedName>
    <definedName name="ss">'FOGLIO DEPOSITO'!$R$197:$R$201</definedName>
    <definedName name="st">'FOGLIO DEPOSITO'!$R$2:$R$152</definedName>
    <definedName name="str">'FOGLIO DEPOSITO'!$Q$2:$Q$152</definedName>
    <definedName name="ter">'FOGLIO DEPOSITO'!$H$171:$H$172</definedName>
    <definedName name="terrr">'FOGLIO DEPOSITO'!$B$275:$B$286</definedName>
    <definedName name="terrrr">'FOGLIO DEPOSITO'!$B$275:$B$286</definedName>
    <definedName name="tfit">#REF!</definedName>
    <definedName name="tip">'FOGLIO DEPOSITO'!$F$26:$G$28</definedName>
    <definedName name="TOP">'FOGLIO DEPOSITO'!$S$197:$S$200</definedName>
  </definedNames>
  <calcPr calcId="152511"/>
</workbook>
</file>

<file path=xl/calcChain.xml><?xml version="1.0" encoding="utf-8"?>
<calcChain xmlns="http://schemas.openxmlformats.org/spreadsheetml/2006/main">
  <c r="U96" i="18" l="1"/>
  <c r="D353" i="7" l="1"/>
  <c r="D356" i="7" s="1"/>
  <c r="D367" i="7"/>
  <c r="J142" i="18"/>
  <c r="J141" i="18"/>
  <c r="C6" i="18"/>
  <c r="D355" i="7" l="1"/>
  <c r="D357" i="7" s="1"/>
  <c r="D358" i="7" s="1"/>
  <c r="D360" i="7" s="1"/>
  <c r="D361" i="7"/>
  <c r="D354" i="7"/>
  <c r="AA101" i="18"/>
  <c r="AA84" i="18"/>
  <c r="C304" i="7"/>
  <c r="D304" i="7"/>
  <c r="D299" i="7"/>
  <c r="W259" i="7"/>
  <c r="X259" i="7"/>
  <c r="Y259" i="7"/>
  <c r="Z259" i="7"/>
  <c r="AA259" i="7"/>
  <c r="W276" i="7"/>
  <c r="X276" i="7"/>
  <c r="Y276" i="7"/>
  <c r="Z276" i="7"/>
  <c r="AA276" i="7"/>
  <c r="S260" i="7"/>
  <c r="L266" i="7"/>
  <c r="M266" i="7" s="1"/>
  <c r="L268" i="7"/>
  <c r="N280" i="7"/>
  <c r="N281" i="7"/>
  <c r="D359" i="7" l="1"/>
  <c r="M267" i="7"/>
  <c r="E71" i="2" l="1"/>
  <c r="E72" i="2"/>
  <c r="E73" i="2"/>
  <c r="E74" i="2"/>
  <c r="E275" i="7"/>
  <c r="H275" i="7" s="1"/>
  <c r="E276" i="7"/>
  <c r="H276" i="7"/>
  <c r="E277" i="7"/>
  <c r="H277" i="7" s="1"/>
  <c r="E278" i="7"/>
  <c r="H278" i="7"/>
  <c r="E279" i="7"/>
  <c r="H279" i="7" s="1"/>
  <c r="E280" i="7"/>
  <c r="H280" i="7"/>
  <c r="E281" i="7"/>
  <c r="G281" i="7" s="1"/>
  <c r="H281" i="7"/>
  <c r="E282" i="7"/>
  <c r="G282" i="7" s="1"/>
  <c r="E283" i="7"/>
  <c r="H283" i="7" s="1"/>
  <c r="G283" i="7"/>
  <c r="E284" i="7"/>
  <c r="G284" i="7"/>
  <c r="H284" i="7"/>
  <c r="E285" i="7"/>
  <c r="G285" i="7" s="1"/>
  <c r="H285" i="7"/>
  <c r="E286" i="7"/>
  <c r="G286" i="7" s="1"/>
  <c r="H286" i="7" l="1"/>
  <c r="H282" i="7"/>
  <c r="D229" i="7" l="1"/>
  <c r="B229" i="7"/>
  <c r="J140" i="18" l="1"/>
  <c r="J139" i="18"/>
  <c r="J136" i="18"/>
  <c r="N178" i="7"/>
  <c r="N179" i="7"/>
  <c r="J137" i="18" s="1"/>
  <c r="N180" i="7"/>
  <c r="J138" i="18" s="1"/>
  <c r="D21" i="17" l="1"/>
  <c r="O92" i="17" l="1"/>
  <c r="O93" i="17" s="1"/>
  <c r="J22" i="17"/>
  <c r="U113" i="18" l="1"/>
  <c r="W235" i="7" l="1"/>
  <c r="W223" i="7"/>
  <c r="W229" i="7"/>
  <c r="W224" i="7"/>
  <c r="W225" i="7"/>
  <c r="W226" i="7"/>
  <c r="W230" i="7"/>
  <c r="W231" i="7"/>
  <c r="W232" i="7"/>
  <c r="W236" i="7"/>
  <c r="W237" i="7"/>
  <c r="W238" i="7"/>
  <c r="K71" i="18" l="1"/>
  <c r="D66" i="18"/>
  <c r="J85" i="18" s="1"/>
  <c r="E85" i="17" l="1"/>
  <c r="C85" i="17"/>
  <c r="J131" i="18" l="1"/>
  <c r="K154" i="7"/>
  <c r="D23" i="18" l="1"/>
  <c r="D22" i="18"/>
  <c r="D21" i="18"/>
  <c r="D20" i="18"/>
  <c r="D19" i="18"/>
  <c r="N73" i="18"/>
  <c r="B75" i="18"/>
  <c r="AG101" i="18"/>
  <c r="AG84" i="18"/>
  <c r="F101" i="18"/>
  <c r="F84" i="18"/>
  <c r="E13" i="2" l="1"/>
  <c r="D41" i="17" l="1"/>
  <c r="D55" i="17"/>
  <c r="C45" i="17"/>
  <c r="I70" i="7" l="1"/>
  <c r="D85" i="18"/>
  <c r="F31" i="18"/>
  <c r="D67" i="18"/>
  <c r="K85" i="18" s="1"/>
  <c r="C226" i="7"/>
  <c r="P102" i="17"/>
  <c r="E23" i="2"/>
  <c r="M154" i="7"/>
  <c r="I73" i="7"/>
  <c r="D99" i="17"/>
  <c r="P19" i="17"/>
  <c r="J32" i="17"/>
  <c r="N86" i="17"/>
  <c r="D210" i="7"/>
  <c r="D209" i="7"/>
  <c r="D18" i="17"/>
  <c r="D20" i="17" s="1"/>
  <c r="C72" i="17"/>
  <c r="C73" i="17" s="1"/>
  <c r="C74" i="17" s="1"/>
  <c r="C75" i="17" s="1"/>
  <c r="C76" i="17" s="1"/>
  <c r="C77" i="17" s="1"/>
  <c r="Q33" i="17"/>
  <c r="H96" i="17"/>
  <c r="J71" i="18"/>
  <c r="G72" i="18"/>
  <c r="F73" i="18"/>
  <c r="C4" i="18" s="1"/>
  <c r="F85" i="2"/>
  <c r="F84" i="2"/>
  <c r="F83" i="2"/>
  <c r="E66" i="7"/>
  <c r="G68" i="7"/>
  <c r="G67" i="7"/>
  <c r="E68" i="7"/>
  <c r="E67" i="7"/>
  <c r="N199" i="7"/>
  <c r="E15" i="2" s="1"/>
  <c r="O199" i="7"/>
  <c r="E18" i="2" s="1"/>
  <c r="E20" i="2" s="1"/>
  <c r="N200" i="7"/>
  <c r="O200" i="7"/>
  <c r="N201" i="7"/>
  <c r="O201" i="7"/>
  <c r="N202" i="7"/>
  <c r="O202" i="7"/>
  <c r="G217" i="7"/>
  <c r="E14" i="2"/>
  <c r="E21" i="2"/>
  <c r="J34" i="20" s="1"/>
  <c r="B6" i="20"/>
  <c r="B7" i="20"/>
  <c r="B8" i="20"/>
  <c r="H197" i="7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C81" i="18"/>
  <c r="M166" i="7"/>
  <c r="V150" i="7" s="1"/>
  <c r="B38" i="20"/>
  <c r="B39" i="20"/>
  <c r="B40" i="20"/>
  <c r="B41" i="20"/>
  <c r="C102" i="18"/>
  <c r="Q166" i="7" s="1"/>
  <c r="Z166" i="7" s="1"/>
  <c r="D59" i="18"/>
  <c r="D57" i="18"/>
  <c r="D54" i="18"/>
  <c r="B42" i="20"/>
  <c r="M105" i="17"/>
  <c r="M103" i="17"/>
  <c r="P3" i="7"/>
  <c r="P4" i="7"/>
  <c r="P5" i="7" s="1"/>
  <c r="P6" i="7" s="1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P106" i="7" s="1"/>
  <c r="P107" i="7" s="1"/>
  <c r="P108" i="7" s="1"/>
  <c r="P109" i="7" s="1"/>
  <c r="P110" i="7" s="1"/>
  <c r="P111" i="7" s="1"/>
  <c r="P112" i="7" s="1"/>
  <c r="P113" i="7" s="1"/>
  <c r="P114" i="7" s="1"/>
  <c r="P115" i="7" s="1"/>
  <c r="P116" i="7" s="1"/>
  <c r="P117" i="7" s="1"/>
  <c r="P118" i="7" s="1"/>
  <c r="P119" i="7" s="1"/>
  <c r="P120" i="7" s="1"/>
  <c r="P121" i="7" s="1"/>
  <c r="P122" i="7" s="1"/>
  <c r="P123" i="7" s="1"/>
  <c r="P124" i="7" s="1"/>
  <c r="P125" i="7" s="1"/>
  <c r="P126" i="7" s="1"/>
  <c r="P127" i="7" s="1"/>
  <c r="P128" i="7" s="1"/>
  <c r="P129" i="7" s="1"/>
  <c r="P130" i="7" s="1"/>
  <c r="P131" i="7" s="1"/>
  <c r="P132" i="7" s="1"/>
  <c r="P133" i="7" s="1"/>
  <c r="P134" i="7" s="1"/>
  <c r="P135" i="7" s="1"/>
  <c r="P136" i="7" s="1"/>
  <c r="P137" i="7" s="1"/>
  <c r="P138" i="7" s="1"/>
  <c r="P139" i="7" s="1"/>
  <c r="P140" i="7" s="1"/>
  <c r="P141" i="7" s="1"/>
  <c r="P142" i="7" s="1"/>
  <c r="P143" i="7" s="1"/>
  <c r="P144" i="7" s="1"/>
  <c r="P145" i="7" s="1"/>
  <c r="P146" i="7" s="1"/>
  <c r="P147" i="7" s="1"/>
  <c r="P148" i="7" s="1"/>
  <c r="P149" i="7" s="1"/>
  <c r="P150" i="7" s="1"/>
  <c r="P151" i="7" s="1"/>
  <c r="P152" i="7" s="1"/>
  <c r="B43" i="20"/>
  <c r="U3" i="7"/>
  <c r="U4" i="7" s="1"/>
  <c r="U5" i="7" s="1"/>
  <c r="U6" i="7" s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N88" i="17"/>
  <c r="M26" i="17"/>
  <c r="B44" i="20"/>
  <c r="G84" i="17"/>
  <c r="G85" i="17" s="1"/>
  <c r="D103" i="17"/>
  <c r="D102" i="17"/>
  <c r="D96" i="17"/>
  <c r="C96" i="17"/>
  <c r="C95" i="17"/>
  <c r="D84" i="7"/>
  <c r="D123" i="7"/>
  <c r="D124" i="7"/>
  <c r="D15" i="17"/>
  <c r="G15" i="17"/>
  <c r="H15" i="17" s="1"/>
  <c r="S68" i="17"/>
  <c r="S64" i="17"/>
  <c r="K46" i="17" s="1"/>
  <c r="K47" i="17" s="1"/>
  <c r="K48" i="17" s="1"/>
  <c r="S63" i="17"/>
  <c r="S58" i="17"/>
  <c r="S57" i="17"/>
  <c r="S50" i="17"/>
  <c r="S49" i="17"/>
  <c r="S48" i="17"/>
  <c r="S46" i="17"/>
  <c r="S45" i="17"/>
  <c r="S44" i="17"/>
  <c r="F45" i="17"/>
  <c r="C46" i="17"/>
  <c r="B45" i="20"/>
  <c r="D121" i="7"/>
  <c r="D119" i="7"/>
  <c r="D5" i="17"/>
  <c r="G5" i="17"/>
  <c r="D8" i="17"/>
  <c r="D11" i="17"/>
  <c r="E11" i="17"/>
  <c r="G11" i="17" s="1"/>
  <c r="D12" i="17"/>
  <c r="J13" i="17"/>
  <c r="J16" i="17" s="1"/>
  <c r="J25" i="17" s="1"/>
  <c r="E15" i="17"/>
  <c r="D46" i="17"/>
  <c r="G46" i="17"/>
  <c r="D47" i="17"/>
  <c r="G47" i="17"/>
  <c r="B51" i="17"/>
  <c r="D51" i="17"/>
  <c r="G51" i="17"/>
  <c r="B55" i="17"/>
  <c r="G55" i="17"/>
  <c r="B59" i="17"/>
  <c r="D59" i="17"/>
  <c r="G59" i="17"/>
  <c r="D63" i="17"/>
  <c r="G63" i="17"/>
  <c r="D67" i="17"/>
  <c r="D68" i="17" s="1"/>
  <c r="D69" i="17" s="1"/>
  <c r="G67" i="17"/>
  <c r="G68" i="17" s="1"/>
  <c r="G69" i="17" s="1"/>
  <c r="F73" i="17"/>
  <c r="B46" i="20"/>
  <c r="B47" i="20"/>
  <c r="B48" i="20"/>
  <c r="B49" i="20"/>
  <c r="B50" i="20"/>
  <c r="B51" i="20"/>
  <c r="B52" i="20"/>
  <c r="B53" i="20"/>
  <c r="B54" i="20"/>
  <c r="E88" i="7"/>
  <c r="B55" i="20"/>
  <c r="B56" i="20"/>
  <c r="G26" i="7"/>
  <c r="B57" i="20"/>
  <c r="B58" i="20"/>
  <c r="B59" i="20"/>
  <c r="B60" i="20"/>
  <c r="D10" i="7"/>
  <c r="B61" i="20"/>
  <c r="B62" i="20"/>
  <c r="B63" i="20"/>
  <c r="B64" i="20"/>
  <c r="B65" i="20"/>
  <c r="E46" i="7"/>
  <c r="F46" i="7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493" i="20"/>
  <c r="B494" i="20"/>
  <c r="B495" i="20"/>
  <c r="B496" i="20"/>
  <c r="B497" i="20"/>
  <c r="B498" i="20"/>
  <c r="B499" i="20"/>
  <c r="B500" i="20"/>
  <c r="B501" i="20"/>
  <c r="B502" i="20"/>
  <c r="B503" i="20"/>
  <c r="B504" i="20"/>
  <c r="B505" i="20"/>
  <c r="N266" i="7" l="1"/>
  <c r="D212" i="7"/>
  <c r="N267" i="7"/>
  <c r="D242" i="7"/>
  <c r="V166" i="7"/>
  <c r="D55" i="18"/>
  <c r="K68" i="17"/>
  <c r="P90" i="17"/>
  <c r="P87" i="17"/>
  <c r="P88" i="17" s="1"/>
  <c r="P86" i="17"/>
  <c r="P89" i="17"/>
  <c r="S59" i="17"/>
  <c r="D102" i="18"/>
  <c r="J26" i="17"/>
  <c r="J27" i="17" s="1"/>
  <c r="I81" i="17"/>
  <c r="D52" i="18"/>
  <c r="E52" i="18"/>
  <c r="C85" i="2"/>
  <c r="J102" i="18"/>
  <c r="J86" i="18"/>
  <c r="E91" i="2"/>
  <c r="D17" i="18" s="1"/>
  <c r="E85" i="2"/>
  <c r="D11" i="18" s="1"/>
  <c r="E84" i="2"/>
  <c r="D10" i="18" s="1"/>
  <c r="E83" i="2"/>
  <c r="D9" i="18" s="1"/>
  <c r="B85" i="18"/>
  <c r="B102" i="18" s="1"/>
  <c r="J104" i="18"/>
  <c r="J103" i="18"/>
  <c r="J87" i="18"/>
  <c r="E90" i="2"/>
  <c r="E89" i="2"/>
  <c r="D15" i="18" s="1"/>
  <c r="E88" i="2"/>
  <c r="D14" i="18" s="1"/>
  <c r="E96" i="2"/>
  <c r="E94" i="2"/>
  <c r="E16" i="2"/>
  <c r="E17" i="2" s="1"/>
  <c r="O166" i="7"/>
  <c r="S166" i="7"/>
  <c r="D48" i="17"/>
  <c r="D49" i="17" s="1"/>
  <c r="D50" i="17" s="1"/>
  <c r="E7" i="17"/>
  <c r="J52" i="17" s="1"/>
  <c r="D64" i="17"/>
  <c r="D65" i="17" s="1"/>
  <c r="D66" i="17" s="1"/>
  <c r="S51" i="17"/>
  <c r="E20" i="17"/>
  <c r="E102" i="18"/>
  <c r="E85" i="18" s="1"/>
  <c r="F74" i="17"/>
  <c r="F75" i="17" s="1"/>
  <c r="F72" i="17"/>
  <c r="F76" i="17" s="1"/>
  <c r="J65" i="17"/>
  <c r="J68" i="17" s="1"/>
  <c r="D75" i="17"/>
  <c r="K86" i="18"/>
  <c r="K61" i="17"/>
  <c r="G60" i="17"/>
  <c r="G61" i="17" s="1"/>
  <c r="D85" i="7"/>
  <c r="K65" i="17"/>
  <c r="H217" i="7"/>
  <c r="E24" i="2" s="1"/>
  <c r="D202" i="7"/>
  <c r="D201" i="7" s="1"/>
  <c r="D196" i="7" s="1"/>
  <c r="D61" i="18" s="1"/>
  <c r="D52" i="17"/>
  <c r="D53" i="17" s="1"/>
  <c r="D54" i="17" s="1"/>
  <c r="N93" i="17"/>
  <c r="N84" i="17" s="1"/>
  <c r="K87" i="18"/>
  <c r="K102" i="18"/>
  <c r="K103" i="18"/>
  <c r="D56" i="17"/>
  <c r="D57" i="17" s="1"/>
  <c r="D58" i="17" s="1"/>
  <c r="K104" i="18"/>
  <c r="E19" i="2"/>
  <c r="J33" i="20"/>
  <c r="C47" i="17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J33" i="17"/>
  <c r="J34" i="17" s="1"/>
  <c r="D62" i="17"/>
  <c r="H5" i="17"/>
  <c r="D60" i="17"/>
  <c r="D61" i="17" s="1"/>
  <c r="N91" i="17"/>
  <c r="K60" i="17"/>
  <c r="K62" i="17" s="1"/>
  <c r="C105" i="17"/>
  <c r="C111" i="17" s="1"/>
  <c r="C117" i="17" s="1"/>
  <c r="M15" i="17"/>
  <c r="K15" i="17"/>
  <c r="N15" i="17" s="1"/>
  <c r="K49" i="17"/>
  <c r="K50" i="17"/>
  <c r="K51" i="17" s="1"/>
  <c r="K52" i="17" s="1"/>
  <c r="K53" i="17" s="1"/>
  <c r="K54" i="17" s="1"/>
  <c r="K55" i="17" s="1"/>
  <c r="K56" i="17" s="1"/>
  <c r="K57" i="17" s="1"/>
  <c r="K58" i="17" s="1"/>
  <c r="G62" i="17"/>
  <c r="J60" i="17"/>
  <c r="M93" i="17"/>
  <c r="J53" i="17"/>
  <c r="J54" i="17" s="1"/>
  <c r="J55" i="17" s="1"/>
  <c r="J56" i="17" s="1"/>
  <c r="J57" i="17" s="1"/>
  <c r="J58" i="17" s="1"/>
  <c r="F46" i="17"/>
  <c r="F47" i="17"/>
  <c r="F48" i="17" s="1"/>
  <c r="F49" i="17" s="1"/>
  <c r="F50" i="17" s="1"/>
  <c r="H11" i="17"/>
  <c r="D33" i="18" l="1"/>
  <c r="D16" i="18"/>
  <c r="X246" i="7"/>
  <c r="P100" i="17" s="1"/>
  <c r="Z150" i="7"/>
  <c r="P91" i="17"/>
  <c r="P82" i="17"/>
  <c r="P93" i="17"/>
  <c r="P85" i="17" s="1"/>
  <c r="D34" i="18"/>
  <c r="S86" i="18"/>
  <c r="S104" i="18"/>
  <c r="S103" i="18"/>
  <c r="S87" i="18"/>
  <c r="T104" i="18"/>
  <c r="T86" i="18"/>
  <c r="T87" i="18"/>
  <c r="T103" i="18"/>
  <c r="R86" i="18"/>
  <c r="R103" i="18"/>
  <c r="R87" i="18"/>
  <c r="R104" i="18"/>
  <c r="D38" i="18"/>
  <c r="P183" i="7" s="1"/>
  <c r="M141" i="18" s="1"/>
  <c r="D39" i="18"/>
  <c r="D32" i="18"/>
  <c r="H85" i="18" s="1"/>
  <c r="C242" i="7" s="1"/>
  <c r="I85" i="18" s="1"/>
  <c r="D46" i="18"/>
  <c r="D24" i="18"/>
  <c r="E25" i="2"/>
  <c r="Q1" i="7"/>
  <c r="Q122" i="7" s="1"/>
  <c r="F7" i="17"/>
  <c r="G7" i="17" s="1"/>
  <c r="D45" i="18"/>
  <c r="Q183" i="7" s="1"/>
  <c r="N141" i="18" s="1"/>
  <c r="D31" i="18"/>
  <c r="O183" i="7" s="1"/>
  <c r="L141" i="18" s="1"/>
  <c r="K213" i="7"/>
  <c r="C96" i="7"/>
  <c r="K211" i="7"/>
  <c r="C93" i="7"/>
  <c r="K212" i="7"/>
  <c r="G34" i="20"/>
  <c r="M5" i="17"/>
  <c r="H115" i="17"/>
  <c r="K121" i="17" s="1"/>
  <c r="K108" i="17" s="1"/>
  <c r="K92" i="17" s="1"/>
  <c r="K93" i="17" s="1"/>
  <c r="D198" i="7"/>
  <c r="S53" i="17" s="1"/>
  <c r="F51" i="17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K5" i="17"/>
  <c r="N5" i="17" s="1"/>
  <c r="G33" i="20"/>
  <c r="C59" i="17"/>
  <c r="C60" i="17" s="1"/>
  <c r="C61" i="17" s="1"/>
  <c r="C62" i="17" s="1"/>
  <c r="C63" i="17"/>
  <c r="C64" i="17" s="1"/>
  <c r="C65" i="17" s="1"/>
  <c r="C66" i="17" s="1"/>
  <c r="C67" i="17" s="1"/>
  <c r="C68" i="17" s="1"/>
  <c r="C69" i="17" s="1"/>
  <c r="S52" i="17"/>
  <c r="I5" i="17"/>
  <c r="L5" i="17" s="1"/>
  <c r="J32" i="20"/>
  <c r="G32" i="20" s="1"/>
  <c r="C12" i="20"/>
  <c r="C16" i="20"/>
  <c r="C20" i="20"/>
  <c r="C24" i="20"/>
  <c r="C28" i="20"/>
  <c r="C32" i="20"/>
  <c r="C36" i="20"/>
  <c r="C45" i="20"/>
  <c r="C7" i="20"/>
  <c r="C8" i="20"/>
  <c r="C5" i="20"/>
  <c r="C10" i="20"/>
  <c r="C14" i="20"/>
  <c r="C18" i="20"/>
  <c r="C22" i="20"/>
  <c r="C26" i="20"/>
  <c r="C30" i="20"/>
  <c r="C34" i="20"/>
  <c r="C38" i="20"/>
  <c r="C40" i="20"/>
  <c r="C42" i="20"/>
  <c r="C44" i="20"/>
  <c r="C11" i="20"/>
  <c r="C15" i="20"/>
  <c r="C19" i="20"/>
  <c r="C23" i="20"/>
  <c r="C27" i="20"/>
  <c r="C31" i="20"/>
  <c r="C35" i="20"/>
  <c r="C37" i="20"/>
  <c r="C6" i="20"/>
  <c r="C17" i="20"/>
  <c r="C33" i="20"/>
  <c r="C43" i="20"/>
  <c r="C46" i="20"/>
  <c r="C9" i="20"/>
  <c r="C21" i="20"/>
  <c r="C39" i="20"/>
  <c r="C41" i="20"/>
  <c r="G31" i="20"/>
  <c r="C25" i="20"/>
  <c r="C13" i="20"/>
  <c r="C29" i="20"/>
  <c r="C56" i="20"/>
  <c r="C60" i="20"/>
  <c r="C61" i="20"/>
  <c r="C63" i="20"/>
  <c r="C47" i="20"/>
  <c r="C53" i="20"/>
  <c r="C57" i="20"/>
  <c r="C51" i="20"/>
  <c r="C55" i="20"/>
  <c r="C58" i="20"/>
  <c r="C62" i="20"/>
  <c r="C52" i="20"/>
  <c r="C64" i="20"/>
  <c r="C69" i="20"/>
  <c r="C71" i="20"/>
  <c r="C74" i="20"/>
  <c r="C80" i="20"/>
  <c r="C84" i="20"/>
  <c r="C88" i="20"/>
  <c r="C92" i="20"/>
  <c r="C96" i="20"/>
  <c r="C100" i="20"/>
  <c r="C104" i="20"/>
  <c r="C108" i="20"/>
  <c r="C112" i="20"/>
  <c r="C114" i="20"/>
  <c r="C116" i="20"/>
  <c r="C120" i="20"/>
  <c r="C124" i="20"/>
  <c r="C128" i="20"/>
  <c r="C132" i="20"/>
  <c r="C136" i="20"/>
  <c r="C140" i="20"/>
  <c r="C144" i="20"/>
  <c r="C148" i="20"/>
  <c r="C152" i="20"/>
  <c r="C156" i="20"/>
  <c r="C160" i="20"/>
  <c r="C164" i="20"/>
  <c r="C168" i="20"/>
  <c r="C172" i="20"/>
  <c r="C176" i="20"/>
  <c r="C180" i="20"/>
  <c r="C184" i="20"/>
  <c r="C188" i="20"/>
  <c r="C192" i="20"/>
  <c r="C196" i="20"/>
  <c r="C200" i="20"/>
  <c r="C202" i="20"/>
  <c r="C206" i="20"/>
  <c r="C208" i="20"/>
  <c r="C210" i="20"/>
  <c r="C214" i="20"/>
  <c r="C216" i="20"/>
  <c r="C218" i="20"/>
  <c r="C222" i="20"/>
  <c r="C224" i="20"/>
  <c r="C226" i="20"/>
  <c r="C230" i="20"/>
  <c r="C232" i="20"/>
  <c r="C234" i="20"/>
  <c r="C240" i="20"/>
  <c r="C244" i="20"/>
  <c r="C248" i="20"/>
  <c r="C252" i="20"/>
  <c r="C256" i="20"/>
  <c r="C260" i="20"/>
  <c r="C264" i="20"/>
  <c r="C268" i="20"/>
  <c r="C272" i="20"/>
  <c r="C276" i="20"/>
  <c r="C280" i="20"/>
  <c r="C284" i="20"/>
  <c r="C288" i="20"/>
  <c r="C292" i="20"/>
  <c r="C296" i="20"/>
  <c r="C300" i="20"/>
  <c r="C304" i="20"/>
  <c r="C308" i="20"/>
  <c r="C312" i="20"/>
  <c r="C316" i="20"/>
  <c r="C320" i="20"/>
  <c r="C324" i="20"/>
  <c r="C328" i="20"/>
  <c r="C332" i="20"/>
  <c r="C48" i="20"/>
  <c r="C49" i="20"/>
  <c r="C54" i="20"/>
  <c r="C65" i="20"/>
  <c r="C67" i="20"/>
  <c r="C73" i="20"/>
  <c r="C75" i="20"/>
  <c r="C78" i="20"/>
  <c r="C82" i="20"/>
  <c r="C86" i="20"/>
  <c r="C90" i="20"/>
  <c r="C94" i="20"/>
  <c r="C98" i="20"/>
  <c r="C102" i="20"/>
  <c r="C106" i="20"/>
  <c r="C110" i="20"/>
  <c r="C118" i="20"/>
  <c r="C122" i="20"/>
  <c r="C126" i="20"/>
  <c r="C130" i="20"/>
  <c r="C134" i="20"/>
  <c r="C138" i="20"/>
  <c r="C142" i="20"/>
  <c r="C146" i="20"/>
  <c r="C150" i="20"/>
  <c r="C154" i="20"/>
  <c r="C158" i="20"/>
  <c r="C162" i="20"/>
  <c r="C166" i="20"/>
  <c r="C170" i="20"/>
  <c r="C174" i="20"/>
  <c r="C178" i="20"/>
  <c r="C182" i="20"/>
  <c r="C186" i="20"/>
  <c r="C190" i="20"/>
  <c r="C194" i="20"/>
  <c r="C198" i="20"/>
  <c r="C204" i="20"/>
  <c r="C212" i="20"/>
  <c r="C220" i="20"/>
  <c r="C228" i="20"/>
  <c r="C236" i="20"/>
  <c r="C238" i="20"/>
  <c r="C242" i="20"/>
  <c r="C246" i="20"/>
  <c r="C250" i="20"/>
  <c r="C254" i="20"/>
  <c r="C50" i="20"/>
  <c r="C66" i="20"/>
  <c r="C72" i="20"/>
  <c r="C77" i="20"/>
  <c r="C79" i="20"/>
  <c r="C83" i="20"/>
  <c r="C87" i="20"/>
  <c r="C91" i="20"/>
  <c r="C95" i="20"/>
  <c r="C99" i="20"/>
  <c r="C103" i="20"/>
  <c r="C107" i="20"/>
  <c r="C111" i="20"/>
  <c r="C115" i="20"/>
  <c r="C117" i="20"/>
  <c r="C121" i="20"/>
  <c r="C125" i="20"/>
  <c r="C129" i="20"/>
  <c r="C133" i="20"/>
  <c r="C137" i="20"/>
  <c r="C141" i="20"/>
  <c r="C145" i="20"/>
  <c r="C149" i="20"/>
  <c r="C153" i="20"/>
  <c r="C157" i="20"/>
  <c r="C161" i="20"/>
  <c r="C165" i="20"/>
  <c r="C169" i="20"/>
  <c r="C173" i="20"/>
  <c r="C177" i="20"/>
  <c r="C181" i="20"/>
  <c r="C185" i="20"/>
  <c r="C189" i="20"/>
  <c r="C193" i="20"/>
  <c r="C197" i="20"/>
  <c r="C201" i="20"/>
  <c r="C205" i="20"/>
  <c r="C209" i="20"/>
  <c r="C213" i="20"/>
  <c r="C217" i="20"/>
  <c r="C221" i="20"/>
  <c r="C225" i="20"/>
  <c r="C229" i="20"/>
  <c r="C233" i="20"/>
  <c r="C237" i="20"/>
  <c r="C239" i="20"/>
  <c r="C243" i="20"/>
  <c r="C247" i="20"/>
  <c r="C251" i="20"/>
  <c r="C255" i="20"/>
  <c r="C259" i="20"/>
  <c r="C263" i="20"/>
  <c r="C267" i="20"/>
  <c r="C271" i="20"/>
  <c r="C275" i="20"/>
  <c r="C279" i="20"/>
  <c r="C283" i="20"/>
  <c r="C287" i="20"/>
  <c r="C291" i="20"/>
  <c r="C295" i="20"/>
  <c r="C299" i="20"/>
  <c r="C303" i="20"/>
  <c r="C307" i="20"/>
  <c r="C311" i="20"/>
  <c r="C315" i="20"/>
  <c r="C319" i="20"/>
  <c r="C323" i="20"/>
  <c r="C327" i="20"/>
  <c r="C331" i="20"/>
  <c r="C68" i="20"/>
  <c r="C89" i="20"/>
  <c r="C105" i="20"/>
  <c r="C131" i="20"/>
  <c r="C147" i="20"/>
  <c r="C163" i="20"/>
  <c r="C179" i="20"/>
  <c r="C195" i="20"/>
  <c r="C211" i="20"/>
  <c r="C227" i="20"/>
  <c r="C253" i="20"/>
  <c r="C336" i="20"/>
  <c r="C340" i="20"/>
  <c r="C344" i="20"/>
  <c r="C348" i="20"/>
  <c r="C350" i="20"/>
  <c r="C354" i="20"/>
  <c r="C358" i="20"/>
  <c r="C362" i="20"/>
  <c r="C366" i="20"/>
  <c r="C370" i="20"/>
  <c r="C374" i="20"/>
  <c r="C378" i="20"/>
  <c r="C382" i="20"/>
  <c r="C386" i="20"/>
  <c r="C390" i="20"/>
  <c r="C394" i="20"/>
  <c r="C398" i="20"/>
  <c r="C402" i="20"/>
  <c r="C406" i="20"/>
  <c r="C410" i="20"/>
  <c r="C414" i="20"/>
  <c r="C420" i="20"/>
  <c r="C422" i="20"/>
  <c r="C424" i="20"/>
  <c r="C428" i="20"/>
  <c r="C432" i="20"/>
  <c r="C436" i="20"/>
  <c r="C438" i="20"/>
  <c r="C440" i="20"/>
  <c r="C444" i="20"/>
  <c r="C446" i="20"/>
  <c r="C448" i="20"/>
  <c r="C452" i="20"/>
  <c r="C454" i="20"/>
  <c r="C456" i="20"/>
  <c r="C458" i="20"/>
  <c r="C462" i="20"/>
  <c r="C466" i="20"/>
  <c r="C470" i="20"/>
  <c r="C474" i="20"/>
  <c r="C478" i="20"/>
  <c r="C482" i="20"/>
  <c r="C486" i="20"/>
  <c r="C490" i="20"/>
  <c r="C494" i="20"/>
  <c r="C498" i="20"/>
  <c r="C502" i="20"/>
  <c r="C352" i="20"/>
  <c r="C364" i="20"/>
  <c r="C368" i="20"/>
  <c r="C376" i="20"/>
  <c r="C384" i="20"/>
  <c r="C392" i="20"/>
  <c r="C400" i="20"/>
  <c r="C404" i="20"/>
  <c r="C412" i="20"/>
  <c r="C418" i="20"/>
  <c r="C430" i="20"/>
  <c r="C442" i="20"/>
  <c r="C460" i="20"/>
  <c r="C468" i="20"/>
  <c r="C476" i="20"/>
  <c r="C480" i="20"/>
  <c r="C488" i="20"/>
  <c r="C496" i="20"/>
  <c r="C504" i="20"/>
  <c r="C70" i="20"/>
  <c r="C101" i="20"/>
  <c r="C143" i="20"/>
  <c r="C175" i="20"/>
  <c r="C249" i="20"/>
  <c r="C266" i="20"/>
  <c r="C274" i="20"/>
  <c r="C285" i="20"/>
  <c r="C301" i="20"/>
  <c r="C314" i="20"/>
  <c r="C322" i="20"/>
  <c r="C333" i="20"/>
  <c r="C345" i="20"/>
  <c r="C357" i="20"/>
  <c r="C365" i="20"/>
  <c r="C373" i="20"/>
  <c r="C385" i="20"/>
  <c r="C397" i="20"/>
  <c r="C409" i="20"/>
  <c r="C419" i="20"/>
  <c r="C431" i="20"/>
  <c r="C451" i="20"/>
  <c r="C461" i="20"/>
  <c r="C469" i="20"/>
  <c r="C477" i="20"/>
  <c r="C493" i="20"/>
  <c r="C59" i="20"/>
  <c r="C93" i="20"/>
  <c r="C109" i="20"/>
  <c r="C119" i="20"/>
  <c r="C135" i="20"/>
  <c r="C151" i="20"/>
  <c r="C167" i="20"/>
  <c r="C183" i="20"/>
  <c r="C199" i="20"/>
  <c r="C215" i="20"/>
  <c r="C231" i="20"/>
  <c r="C241" i="20"/>
  <c r="C257" i="20"/>
  <c r="C262" i="20"/>
  <c r="C265" i="20"/>
  <c r="C270" i="20"/>
  <c r="C273" i="20"/>
  <c r="C278" i="20"/>
  <c r="C281" i="20"/>
  <c r="C286" i="20"/>
  <c r="C289" i="20"/>
  <c r="C294" i="20"/>
  <c r="C297" i="20"/>
  <c r="C302" i="20"/>
  <c r="C305" i="20"/>
  <c r="C310" i="20"/>
  <c r="C313" i="20"/>
  <c r="C318" i="20"/>
  <c r="C321" i="20"/>
  <c r="C326" i="20"/>
  <c r="C329" i="20"/>
  <c r="C334" i="20"/>
  <c r="C338" i="20"/>
  <c r="C342" i="20"/>
  <c r="C346" i="20"/>
  <c r="C356" i="20"/>
  <c r="C360" i="20"/>
  <c r="C372" i="20"/>
  <c r="C380" i="20"/>
  <c r="C388" i="20"/>
  <c r="C396" i="20"/>
  <c r="C408" i="20"/>
  <c r="C416" i="20"/>
  <c r="C426" i="20"/>
  <c r="C434" i="20"/>
  <c r="C450" i="20"/>
  <c r="C464" i="20"/>
  <c r="C472" i="20"/>
  <c r="C484" i="20"/>
  <c r="C492" i="20"/>
  <c r="C500" i="20"/>
  <c r="C85" i="20"/>
  <c r="C159" i="20"/>
  <c r="C223" i="20"/>
  <c r="C261" i="20"/>
  <c r="C277" i="20"/>
  <c r="C290" i="20"/>
  <c r="C298" i="20"/>
  <c r="C309" i="20"/>
  <c r="C325" i="20"/>
  <c r="C337" i="20"/>
  <c r="C349" i="20"/>
  <c r="C361" i="20"/>
  <c r="C381" i="20"/>
  <c r="C393" i="20"/>
  <c r="C405" i="20"/>
  <c r="C423" i="20"/>
  <c r="C439" i="20"/>
  <c r="C443" i="20"/>
  <c r="C457" i="20"/>
  <c r="C465" i="20"/>
  <c r="C485" i="20"/>
  <c r="C497" i="20"/>
  <c r="C76" i="20"/>
  <c r="C81" i="20"/>
  <c r="C97" i="20"/>
  <c r="C113" i="20"/>
  <c r="C123" i="20"/>
  <c r="C139" i="20"/>
  <c r="C155" i="20"/>
  <c r="C171" i="20"/>
  <c r="C187" i="20"/>
  <c r="C203" i="20"/>
  <c r="C219" i="20"/>
  <c r="C235" i="20"/>
  <c r="C245" i="20"/>
  <c r="C335" i="20"/>
  <c r="C339" i="20"/>
  <c r="C343" i="20"/>
  <c r="C347" i="20"/>
  <c r="C351" i="20"/>
  <c r="C355" i="20"/>
  <c r="C359" i="20"/>
  <c r="C363" i="20"/>
  <c r="C367" i="20"/>
  <c r="C371" i="20"/>
  <c r="C375" i="20"/>
  <c r="C379" i="20"/>
  <c r="C383" i="20"/>
  <c r="C387" i="20"/>
  <c r="C391" i="20"/>
  <c r="C395" i="20"/>
  <c r="C399" i="20"/>
  <c r="C403" i="20"/>
  <c r="C407" i="20"/>
  <c r="C411" i="20"/>
  <c r="C415" i="20"/>
  <c r="C417" i="20"/>
  <c r="C421" i="20"/>
  <c r="C425" i="20"/>
  <c r="C429" i="20"/>
  <c r="C433" i="20"/>
  <c r="C437" i="20"/>
  <c r="C441" i="20"/>
  <c r="C445" i="20"/>
  <c r="C449" i="20"/>
  <c r="C453" i="20"/>
  <c r="C459" i="20"/>
  <c r="C463" i="20"/>
  <c r="C467" i="20"/>
  <c r="C471" i="20"/>
  <c r="C475" i="20"/>
  <c r="C479" i="20"/>
  <c r="C483" i="20"/>
  <c r="C487" i="20"/>
  <c r="C491" i="20"/>
  <c r="C495" i="20"/>
  <c r="C499" i="20"/>
  <c r="C503" i="20"/>
  <c r="C505" i="20"/>
  <c r="C127" i="20"/>
  <c r="C191" i="20"/>
  <c r="C207" i="20"/>
  <c r="C258" i="20"/>
  <c r="C269" i="20"/>
  <c r="C282" i="20"/>
  <c r="C293" i="20"/>
  <c r="C306" i="20"/>
  <c r="C317" i="20"/>
  <c r="C330" i="20"/>
  <c r="C341" i="20"/>
  <c r="C353" i="20"/>
  <c r="C369" i="20"/>
  <c r="C377" i="20"/>
  <c r="C389" i="20"/>
  <c r="C401" i="20"/>
  <c r="C413" i="20"/>
  <c r="C427" i="20"/>
  <c r="C435" i="20"/>
  <c r="C447" i="20"/>
  <c r="C455" i="20"/>
  <c r="C473" i="20"/>
  <c r="C481" i="20"/>
  <c r="C489" i="20"/>
  <c r="C501" i="20"/>
  <c r="K63" i="17"/>
  <c r="C106" i="17"/>
  <c r="C112" i="17" s="1"/>
  <c r="C118" i="17" s="1"/>
  <c r="C109" i="17"/>
  <c r="C115" i="17" s="1"/>
  <c r="C121" i="17" s="1"/>
  <c r="N82" i="17"/>
  <c r="N87" i="17" s="1"/>
  <c r="N92" i="17"/>
  <c r="J62" i="17"/>
  <c r="J61" i="17"/>
  <c r="I11" i="17"/>
  <c r="K11" i="17"/>
  <c r="E58" i="2" l="1"/>
  <c r="Y223" i="7" s="1"/>
  <c r="H308" i="7"/>
  <c r="Q184" i="7"/>
  <c r="N142" i="18" s="1"/>
  <c r="O184" i="7"/>
  <c r="L142" i="18" s="1"/>
  <c r="P184" i="7"/>
  <c r="M142" i="18" s="1"/>
  <c r="D35" i="18"/>
  <c r="D42" i="18"/>
  <c r="I185" i="7" s="1"/>
  <c r="E26" i="2"/>
  <c r="M206" i="7"/>
  <c r="P83" i="17"/>
  <c r="P92" i="17"/>
  <c r="P84" i="17" s="1"/>
  <c r="H180" i="7"/>
  <c r="P178" i="7" s="1"/>
  <c r="M136" i="18" s="1"/>
  <c r="J225" i="7"/>
  <c r="P225" i="7"/>
  <c r="S182" i="7"/>
  <c r="S184" i="7"/>
  <c r="D25" i="18"/>
  <c r="S181" i="7"/>
  <c r="Q152" i="7"/>
  <c r="S1" i="7"/>
  <c r="R1" i="7" s="1"/>
  <c r="D49" i="18"/>
  <c r="I186" i="7" s="1"/>
  <c r="H179" i="7"/>
  <c r="O178" i="7" s="1"/>
  <c r="L136" i="18" s="1"/>
  <c r="R188" i="7"/>
  <c r="H181" i="7"/>
  <c r="Q178" i="7" s="1"/>
  <c r="N136" i="18" s="1"/>
  <c r="N115" i="17"/>
  <c r="N116" i="17" s="1"/>
  <c r="Q132" i="7"/>
  <c r="Q76" i="7"/>
  <c r="Q25" i="7"/>
  <c r="Q11" i="7"/>
  <c r="Q116" i="7"/>
  <c r="Q34" i="7"/>
  <c r="Q35" i="7"/>
  <c r="Q136" i="7"/>
  <c r="Q21" i="7"/>
  <c r="Q52" i="7"/>
  <c r="Q149" i="7"/>
  <c r="Q151" i="7"/>
  <c r="Q22" i="7"/>
  <c r="Q121" i="7"/>
  <c r="Q131" i="7"/>
  <c r="Q134" i="7"/>
  <c r="Q124" i="7"/>
  <c r="Q84" i="7"/>
  <c r="Q79" i="7"/>
  <c r="Q126" i="7"/>
  <c r="Q44" i="7"/>
  <c r="Q64" i="7"/>
  <c r="Q103" i="7"/>
  <c r="Q8" i="7"/>
  <c r="Q65" i="7"/>
  <c r="Q91" i="7"/>
  <c r="Q36" i="7"/>
  <c r="Q127" i="7"/>
  <c r="Q7" i="7"/>
  <c r="Q112" i="7"/>
  <c r="Q20" i="7"/>
  <c r="Q14" i="7"/>
  <c r="Q33" i="7"/>
  <c r="Q45" i="7"/>
  <c r="Q137" i="7"/>
  <c r="Q114" i="7"/>
  <c r="Q83" i="7"/>
  <c r="Q87" i="7"/>
  <c r="Q46" i="7"/>
  <c r="Q5" i="7"/>
  <c r="Q95" i="7"/>
  <c r="Q89" i="7"/>
  <c r="Q86" i="7"/>
  <c r="Q50" i="7"/>
  <c r="Q101" i="7"/>
  <c r="Q4" i="7"/>
  <c r="Q47" i="7"/>
  <c r="Q88" i="7"/>
  <c r="Q40" i="7"/>
  <c r="Q31" i="7"/>
  <c r="Q54" i="7"/>
  <c r="Q138" i="7"/>
  <c r="Q71" i="7"/>
  <c r="Q42" i="7"/>
  <c r="Q72" i="7"/>
  <c r="Q130" i="7"/>
  <c r="Q74" i="7"/>
  <c r="Q120" i="7"/>
  <c r="Q73" i="7"/>
  <c r="Q119" i="7"/>
  <c r="Q77" i="7"/>
  <c r="Q2" i="7"/>
  <c r="Q57" i="7"/>
  <c r="Q27" i="7"/>
  <c r="Q19" i="7"/>
  <c r="Q39" i="7"/>
  <c r="Q111" i="7"/>
  <c r="Q16" i="7"/>
  <c r="Q80" i="7"/>
  <c r="Q12" i="7"/>
  <c r="Q148" i="7"/>
  <c r="Q81" i="7"/>
  <c r="Q51" i="7"/>
  <c r="Q69" i="7"/>
  <c r="Q115" i="7"/>
  <c r="Q43" i="7"/>
  <c r="Q102" i="7"/>
  <c r="Q75" i="7"/>
  <c r="Q68" i="7"/>
  <c r="Q23" i="7"/>
  <c r="Q61" i="7"/>
  <c r="Q128" i="7"/>
  <c r="Q94" i="7"/>
  <c r="Q109" i="7"/>
  <c r="Q145" i="7"/>
  <c r="Q17" i="7"/>
  <c r="Q100" i="7"/>
  <c r="Q118" i="7"/>
  <c r="Q70" i="7"/>
  <c r="Q139" i="7"/>
  <c r="Q105" i="7"/>
  <c r="Q104" i="7"/>
  <c r="Q26" i="7"/>
  <c r="Q96" i="7"/>
  <c r="Q99" i="7"/>
  <c r="Q135" i="7"/>
  <c r="Q82" i="7"/>
  <c r="Q107" i="7"/>
  <c r="Q108" i="7"/>
  <c r="Q15" i="7"/>
  <c r="Q141" i="7"/>
  <c r="Q56" i="7"/>
  <c r="Q32" i="7"/>
  <c r="Q78" i="7"/>
  <c r="Q49" i="7"/>
  <c r="Q110" i="7"/>
  <c r="Q30" i="7"/>
  <c r="Q41" i="7"/>
  <c r="Q29" i="7"/>
  <c r="Q98" i="7"/>
  <c r="Q142" i="7"/>
  <c r="Q67" i="7"/>
  <c r="Q133" i="7"/>
  <c r="Q6" i="7"/>
  <c r="Q9" i="7"/>
  <c r="Q117" i="7"/>
  <c r="Q38" i="7"/>
  <c r="Q59" i="7"/>
  <c r="Q129" i="7"/>
  <c r="Q90" i="7"/>
  <c r="Q24" i="7"/>
  <c r="Q13" i="7"/>
  <c r="Q18" i="7"/>
  <c r="Q10" i="7"/>
  <c r="Q62" i="7"/>
  <c r="Q93" i="7"/>
  <c r="Q66" i="7"/>
  <c r="Q143" i="7"/>
  <c r="Q48" i="7"/>
  <c r="Q113" i="7"/>
  <c r="Q123" i="7"/>
  <c r="Q144" i="7"/>
  <c r="Q58" i="7"/>
  <c r="Q92" i="7"/>
  <c r="Q63" i="7"/>
  <c r="Q106" i="7"/>
  <c r="Q53" i="7"/>
  <c r="Q85" i="7"/>
  <c r="Q60" i="7"/>
  <c r="Q55" i="7"/>
  <c r="Q125" i="7"/>
  <c r="Q97" i="7"/>
  <c r="Q3" i="7"/>
  <c r="Q37" i="7"/>
  <c r="Q140" i="7"/>
  <c r="Q150" i="7"/>
  <c r="Q147" i="7"/>
  <c r="Q28" i="7"/>
  <c r="Q146" i="7"/>
  <c r="F63" i="17"/>
  <c r="F64" i="17" s="1"/>
  <c r="F65" i="17" s="1"/>
  <c r="F66" i="17" s="1"/>
  <c r="F67" i="17" s="1"/>
  <c r="F68" i="17" s="1"/>
  <c r="F69" i="17" s="1"/>
  <c r="P95" i="17"/>
  <c r="E8" i="17"/>
  <c r="J63" i="17" s="1"/>
  <c r="D60" i="18"/>
  <c r="N83" i="17"/>
  <c r="G56" i="17"/>
  <c r="G57" i="17" s="1"/>
  <c r="G58" i="17" s="1"/>
  <c r="H102" i="18"/>
  <c r="I102" i="18" s="1"/>
  <c r="Y225" i="7" l="1"/>
  <c r="Y226" i="7"/>
  <c r="Y224" i="7"/>
  <c r="D26" i="18"/>
  <c r="D256" i="7"/>
  <c r="AE156" i="7"/>
  <c r="AE157" i="7"/>
  <c r="AE158" i="7"/>
  <c r="AD158" i="7"/>
  <c r="K73" i="18"/>
  <c r="AA94" i="18" s="1"/>
  <c r="H186" i="7"/>
  <c r="Q179" i="7" s="1"/>
  <c r="N137" i="18" s="1"/>
  <c r="H185" i="7"/>
  <c r="P179" i="7" s="1"/>
  <c r="M137" i="18" s="1"/>
  <c r="H184" i="7"/>
  <c r="O179" i="7" s="1"/>
  <c r="L137" i="18" s="1"/>
  <c r="Y188" i="7"/>
  <c r="I184" i="7"/>
  <c r="Y190" i="7"/>
  <c r="AF190" i="7"/>
  <c r="I190" i="7"/>
  <c r="H190" i="7" s="1"/>
  <c r="P180" i="7" s="1"/>
  <c r="M138" i="18" s="1"/>
  <c r="AF188" i="7"/>
  <c r="Y189" i="7"/>
  <c r="AF189" i="7"/>
  <c r="I191" i="7"/>
  <c r="H191" i="7" s="1"/>
  <c r="Q180" i="7" s="1"/>
  <c r="N138" i="18" s="1"/>
  <c r="I189" i="7"/>
  <c r="H189" i="7" s="1"/>
  <c r="O180" i="7" s="1"/>
  <c r="L138" i="18" s="1"/>
  <c r="J242" i="7"/>
  <c r="R166" i="7" s="1"/>
  <c r="S188" i="7"/>
  <c r="H236" i="7" s="1"/>
  <c r="J51" i="17"/>
  <c r="E12" i="17"/>
  <c r="G12" i="17" s="1"/>
  <c r="H12" i="17" s="1"/>
  <c r="I12" i="17" s="1"/>
  <c r="I13" i="17" s="1"/>
  <c r="F8" i="17"/>
  <c r="D203" i="7" s="1"/>
  <c r="D211" i="7" s="1"/>
  <c r="N166" i="7"/>
  <c r="Y228" i="7" l="1"/>
  <c r="W239" i="7" s="1"/>
  <c r="D50" i="18" s="1"/>
  <c r="D91" i="18" s="1"/>
  <c r="AA111" i="18"/>
  <c r="AG158" i="7"/>
  <c r="G52" i="17"/>
  <c r="G53" i="17" s="1"/>
  <c r="G54" i="17" s="1"/>
  <c r="P242" i="7"/>
  <c r="G64" i="17"/>
  <c r="G65" i="17" s="1"/>
  <c r="G66" i="17" s="1"/>
  <c r="R184" i="7"/>
  <c r="R182" i="7"/>
  <c r="R181" i="7"/>
  <c r="J73" i="18"/>
  <c r="H13" i="17"/>
  <c r="G13" i="17"/>
  <c r="K12" i="17"/>
  <c r="K13" i="17" s="1"/>
  <c r="G48" i="17"/>
  <c r="G49" i="17" s="1"/>
  <c r="G50" i="17" s="1"/>
  <c r="G8" i="17"/>
  <c r="G9" i="17" s="1"/>
  <c r="D93" i="18" l="1"/>
  <c r="AG157" i="7"/>
  <c r="O87" i="17"/>
  <c r="O88" i="17"/>
  <c r="E86" i="17"/>
  <c r="E87" i="17" s="1"/>
  <c r="C87" i="17"/>
  <c r="C88" i="17" s="1"/>
  <c r="N13" i="17"/>
  <c r="L13" i="17"/>
  <c r="M13" i="17"/>
  <c r="D120" i="7"/>
  <c r="C107" i="17"/>
  <c r="C101" i="17"/>
  <c r="C102" i="17" s="1"/>
  <c r="J49" i="17"/>
  <c r="J50" i="17" s="1"/>
  <c r="D73" i="17"/>
  <c r="D74" i="17" s="1"/>
  <c r="D76" i="17" s="1"/>
  <c r="G86" i="17"/>
  <c r="G87" i="17" s="1"/>
  <c r="AG156" i="7" l="1"/>
  <c r="O89" i="17"/>
  <c r="O85" i="17" s="1"/>
  <c r="E108" i="17" s="1"/>
  <c r="O84" i="17"/>
  <c r="E107" i="17" s="1"/>
  <c r="O86" i="17"/>
  <c r="O82" i="17" s="1"/>
  <c r="E105" i="17" s="1"/>
  <c r="E109" i="17" s="1"/>
  <c r="O83" i="17"/>
  <c r="E106" i="17" s="1"/>
  <c r="L143" i="7"/>
  <c r="F137" i="7"/>
  <c r="M50" i="17"/>
  <c r="J45" i="17" s="1"/>
  <c r="J46" i="17" s="1"/>
  <c r="J47" i="17" s="1"/>
  <c r="J48" i="17" s="1"/>
  <c r="Q15" i="17"/>
  <c r="I15" i="17" s="1"/>
  <c r="G73" i="17"/>
  <c r="G74" i="17" s="1"/>
  <c r="G72" i="17"/>
  <c r="C108" i="17"/>
  <c r="C114" i="17" s="1"/>
  <c r="C120" i="17" s="1"/>
  <c r="C113" i="17"/>
  <c r="C119" i="17" s="1"/>
  <c r="D83" i="7"/>
  <c r="P21" i="17"/>
  <c r="E21" i="17" s="1"/>
  <c r="H21" i="17" s="1"/>
  <c r="K21" i="17" l="1"/>
  <c r="N21" i="17" s="1"/>
  <c r="I21" i="17"/>
  <c r="L21" i="17" s="1"/>
  <c r="F138" i="7"/>
  <c r="F139" i="7" s="1"/>
  <c r="G75" i="17"/>
  <c r="G76" i="17"/>
  <c r="L15" i="17"/>
  <c r="M86" i="17"/>
  <c r="M82" i="17" s="1"/>
  <c r="E19" i="17"/>
  <c r="D19" i="17" s="1"/>
  <c r="H19" i="17" s="1"/>
  <c r="H20" i="17"/>
  <c r="E18" i="17"/>
  <c r="H18" i="17" s="1"/>
  <c r="I18" i="17" l="1"/>
  <c r="L18" i="17" s="1"/>
  <c r="H22" i="17"/>
  <c r="K19" i="17"/>
  <c r="N19" i="17" s="1"/>
  <c r="I19" i="17"/>
  <c r="L19" i="17" s="1"/>
  <c r="M96" i="17"/>
  <c r="M115" i="17" s="1"/>
  <c r="M87" i="17"/>
  <c r="K18" i="17"/>
  <c r="I20" i="17"/>
  <c r="L20" i="17" s="1"/>
  <c r="K20" i="17"/>
  <c r="N20" i="17" s="1"/>
  <c r="K22" i="17" l="1"/>
  <c r="I22" i="17"/>
  <c r="N18" i="17"/>
  <c r="M97" i="17"/>
  <c r="M99" i="17"/>
  <c r="M112" i="17" s="1"/>
  <c r="M83" i="17"/>
  <c r="M88" i="17" s="1"/>
  <c r="M84" i="17" s="1"/>
  <c r="H26" i="17"/>
  <c r="M109" i="17"/>
  <c r="M98" i="17"/>
  <c r="M111" i="17" s="1"/>
  <c r="M110" i="17" l="1"/>
  <c r="M116" i="17"/>
  <c r="L22" i="17"/>
  <c r="I26" i="17"/>
  <c r="N22" i="17"/>
  <c r="K26" i="17"/>
  <c r="L26" i="17" l="1"/>
  <c r="N26" i="17"/>
  <c r="W227" i="7" l="1"/>
  <c r="W233" i="7"/>
  <c r="T92" i="18" l="1"/>
  <c r="C53" i="2"/>
  <c r="P97" i="17"/>
  <c r="Q32" i="17"/>
  <c r="P96" i="17"/>
  <c r="N96" i="17" s="1"/>
  <c r="C47" i="2"/>
  <c r="D36" i="18"/>
  <c r="D43" i="18"/>
  <c r="P98" i="17"/>
  <c r="S108" i="18"/>
  <c r="R109" i="7"/>
  <c r="R43" i="7"/>
  <c r="R104" i="7"/>
  <c r="R55" i="7"/>
  <c r="R73" i="7"/>
  <c r="R48" i="7"/>
  <c r="R53" i="7"/>
  <c r="R134" i="7"/>
  <c r="R21" i="7"/>
  <c r="R81" i="7"/>
  <c r="R139" i="7"/>
  <c r="R32" i="7"/>
  <c r="R101" i="7"/>
  <c r="R20" i="7"/>
  <c r="R44" i="7"/>
  <c r="R64" i="7"/>
  <c r="R143" i="7"/>
  <c r="R152" i="7"/>
  <c r="R60" i="7"/>
  <c r="R79" i="7"/>
  <c r="R97" i="7"/>
  <c r="R107" i="7"/>
  <c r="R11" i="7"/>
  <c r="R72" i="7"/>
  <c r="R88" i="7"/>
  <c r="R12" i="7"/>
  <c r="R117" i="7"/>
  <c r="R130" i="7"/>
  <c r="R120" i="7"/>
  <c r="R95" i="7"/>
  <c r="R128" i="7"/>
  <c r="R38" i="7"/>
  <c r="R99" i="7"/>
  <c r="R26" i="7"/>
  <c r="R63" i="7"/>
  <c r="R16" i="7"/>
  <c r="R19" i="7"/>
  <c r="R18" i="7"/>
  <c r="R136" i="7"/>
  <c r="R34" i="7"/>
  <c r="R129" i="7"/>
  <c r="R132" i="7"/>
  <c r="R5" i="7"/>
  <c r="R133" i="7"/>
  <c r="R149" i="7"/>
  <c r="R29" i="7"/>
  <c r="R9" i="7"/>
  <c r="R92" i="7"/>
  <c r="R96" i="7"/>
  <c r="R116" i="7"/>
  <c r="R15" i="7"/>
  <c r="R119" i="7"/>
  <c r="R31" i="7"/>
  <c r="R52" i="7"/>
  <c r="R78" i="7"/>
  <c r="R105" i="7"/>
  <c r="R3" i="7"/>
  <c r="R57" i="7"/>
  <c r="R115" i="7"/>
  <c r="R24" i="7"/>
  <c r="R46" i="7"/>
  <c r="R126" i="7"/>
  <c r="R91" i="7"/>
  <c r="R113" i="7"/>
  <c r="R84" i="7"/>
  <c r="R102" i="7"/>
  <c r="R122" i="7"/>
  <c r="R65" i="7"/>
  <c r="R80" i="7"/>
  <c r="R75" i="7"/>
  <c r="R123" i="7"/>
  <c r="R40" i="7"/>
  <c r="R49" i="7"/>
  <c r="R151" i="7"/>
  <c r="R66" i="7"/>
  <c r="R148" i="7"/>
  <c r="R7" i="7"/>
  <c r="R70" i="7"/>
  <c r="R90" i="7"/>
  <c r="R131" i="7"/>
  <c r="R41" i="7"/>
  <c r="R69" i="7"/>
  <c r="R144" i="7"/>
  <c r="R4" i="7"/>
  <c r="R39" i="7"/>
  <c r="R150" i="7"/>
  <c r="R121" i="7"/>
  <c r="R111" i="7"/>
  <c r="R138" i="7"/>
  <c r="R146" i="7"/>
  <c r="R45" i="7"/>
  <c r="R114" i="7"/>
  <c r="R83" i="7"/>
  <c r="R25" i="7"/>
  <c r="R93" i="7"/>
  <c r="R82" i="7"/>
  <c r="R100" i="7"/>
  <c r="R10" i="7"/>
  <c r="R142" i="7"/>
  <c r="R106" i="7"/>
  <c r="R37" i="7"/>
  <c r="R13" i="7"/>
  <c r="R22" i="7"/>
  <c r="R42" i="7"/>
  <c r="R110" i="7"/>
  <c r="R77" i="7"/>
  <c r="R28" i="7"/>
  <c r="R8" i="7"/>
  <c r="R14" i="7"/>
  <c r="R2" i="7"/>
  <c r="R62" i="7"/>
  <c r="R127" i="7"/>
  <c r="R118" i="7"/>
  <c r="R74" i="7"/>
  <c r="R124" i="7"/>
  <c r="R58" i="7"/>
  <c r="R140" i="7"/>
  <c r="R98" i="7"/>
  <c r="R108" i="7"/>
  <c r="R71" i="7"/>
  <c r="R50" i="7"/>
  <c r="R103" i="7"/>
  <c r="R112" i="7"/>
  <c r="R51" i="7"/>
  <c r="R85" i="7"/>
  <c r="R23" i="7"/>
  <c r="R147" i="7"/>
  <c r="R61" i="7"/>
  <c r="R47" i="7"/>
  <c r="R17" i="7"/>
  <c r="R35" i="7"/>
  <c r="R54" i="7"/>
  <c r="R27" i="7"/>
  <c r="R6" i="7"/>
  <c r="R87" i="7"/>
  <c r="R56" i="7"/>
  <c r="R76" i="7"/>
  <c r="R125" i="7"/>
  <c r="R89" i="7"/>
  <c r="R30" i="7"/>
  <c r="R141" i="7"/>
  <c r="R135" i="7"/>
  <c r="R68" i="7"/>
  <c r="R33" i="7"/>
  <c r="R67" i="7"/>
  <c r="R145" i="7"/>
  <c r="R94" i="7"/>
  <c r="R137" i="7"/>
  <c r="R59" i="7"/>
  <c r="R86" i="7"/>
  <c r="R36" i="7"/>
  <c r="AA279" i="7" l="1"/>
  <c r="AA262" i="7"/>
  <c r="D88" i="18"/>
  <c r="K91" i="18"/>
  <c r="J109" i="18"/>
  <c r="F45" i="18"/>
  <c r="T93" i="18"/>
  <c r="T109" i="18"/>
  <c r="J92" i="18"/>
  <c r="S91" i="18"/>
  <c r="K93" i="18"/>
  <c r="R92" i="18"/>
  <c r="K110" i="18"/>
  <c r="R109" i="18"/>
  <c r="R91" i="18"/>
  <c r="J110" i="18"/>
  <c r="K108" i="18"/>
  <c r="T91" i="18"/>
  <c r="R110" i="18"/>
  <c r="J91" i="18"/>
  <c r="K92" i="18"/>
  <c r="J93" i="18"/>
  <c r="J108" i="18"/>
  <c r="D110" i="18"/>
  <c r="S109" i="18"/>
  <c r="R108" i="18"/>
  <c r="T108" i="18"/>
  <c r="S110" i="18"/>
  <c r="K109" i="18"/>
  <c r="S92" i="18"/>
  <c r="R93" i="18"/>
  <c r="S93" i="18"/>
  <c r="T110" i="18"/>
  <c r="H63" i="18"/>
  <c r="P189" i="7"/>
  <c r="U189" i="7" s="1"/>
  <c r="N98" i="17"/>
  <c r="N104" i="17" s="1"/>
  <c r="N111" i="17" s="1"/>
  <c r="C87" i="18"/>
  <c r="P188" i="7"/>
  <c r="H32" i="17"/>
  <c r="K148" i="7"/>
  <c r="D87" i="18"/>
  <c r="K32" i="17"/>
  <c r="Q188" i="7"/>
  <c r="O188" i="7" s="1"/>
  <c r="I32" i="17"/>
  <c r="J107" i="18"/>
  <c r="J89" i="18"/>
  <c r="R90" i="18"/>
  <c r="Q190" i="7"/>
  <c r="W190" i="7" s="1"/>
  <c r="S105" i="18"/>
  <c r="J105" i="18"/>
  <c r="S89" i="18"/>
  <c r="J106" i="18"/>
  <c r="D90" i="18"/>
  <c r="T90" i="18"/>
  <c r="R106" i="18"/>
  <c r="Q189" i="7"/>
  <c r="W189" i="7" s="1"/>
  <c r="T105" i="18"/>
  <c r="R107" i="18"/>
  <c r="K107" i="18"/>
  <c r="K106" i="18"/>
  <c r="S107" i="18"/>
  <c r="C88" i="18"/>
  <c r="K90" i="18"/>
  <c r="S106" i="18"/>
  <c r="C90" i="18"/>
  <c r="R88" i="18"/>
  <c r="T107" i="18"/>
  <c r="S88" i="18"/>
  <c r="T88" i="18"/>
  <c r="S90" i="18"/>
  <c r="F38" i="18"/>
  <c r="B88" i="18" s="1"/>
  <c r="B105" i="18" s="1"/>
  <c r="T106" i="18"/>
  <c r="T89" i="18"/>
  <c r="P190" i="7"/>
  <c r="J90" i="18"/>
  <c r="R89" i="18"/>
  <c r="K88" i="18"/>
  <c r="K89" i="18"/>
  <c r="K105" i="18"/>
  <c r="J88" i="18"/>
  <c r="R105" i="18"/>
  <c r="N97" i="17"/>
  <c r="N103" i="17" s="1"/>
  <c r="N110" i="17" s="1"/>
  <c r="N102" i="17"/>
  <c r="N109" i="17" s="1"/>
  <c r="D47" i="18" l="1"/>
  <c r="AE152" i="7"/>
  <c r="AE155" i="7"/>
  <c r="D48" i="18"/>
  <c r="B91" i="18"/>
  <c r="B108" i="18" s="1"/>
  <c r="D108" i="18"/>
  <c r="AD156" i="7"/>
  <c r="AG155" i="7"/>
  <c r="C104" i="18"/>
  <c r="E104" i="18" s="1"/>
  <c r="D244" i="7" s="1"/>
  <c r="M168" i="7"/>
  <c r="N99" i="17"/>
  <c r="N105" i="17" s="1"/>
  <c r="N112" i="17" s="1"/>
  <c r="T189" i="7"/>
  <c r="N189" i="7"/>
  <c r="AE189" i="7"/>
  <c r="C86" i="18"/>
  <c r="AE190" i="7"/>
  <c r="U190" i="7"/>
  <c r="N190" i="7"/>
  <c r="T190" i="7"/>
  <c r="U188" i="7"/>
  <c r="AE188" i="7"/>
  <c r="T188" i="7"/>
  <c r="N188" i="7"/>
  <c r="D105" i="18"/>
  <c r="D107" i="18"/>
  <c r="D104" i="18"/>
  <c r="C107" i="18"/>
  <c r="E107" i="18" s="1"/>
  <c r="H72" i="18"/>
  <c r="H87" i="18"/>
  <c r="H88" i="18" s="1"/>
  <c r="C105" i="18"/>
  <c r="E105" i="18" s="1"/>
  <c r="C91" i="18"/>
  <c r="G73" i="18"/>
  <c r="V188" i="7"/>
  <c r="V189" i="7"/>
  <c r="D40" i="18"/>
  <c r="D41" i="18"/>
  <c r="W188" i="7"/>
  <c r="O189" i="7"/>
  <c r="O190" i="7"/>
  <c r="V190" i="7"/>
  <c r="H73" i="18"/>
  <c r="C89" i="18"/>
  <c r="V152" i="7" l="1"/>
  <c r="Z152" i="7" s="1"/>
  <c r="D245" i="7"/>
  <c r="E88" i="18"/>
  <c r="E87" i="18"/>
  <c r="D247" i="7"/>
  <c r="E90" i="18"/>
  <c r="H90" i="18"/>
  <c r="C244" i="7"/>
  <c r="I87" i="18" s="1"/>
  <c r="V168" i="7"/>
  <c r="Q168" i="7"/>
  <c r="Z168" i="7" s="1"/>
  <c r="K119" i="17" s="1"/>
  <c r="K106" i="17" s="1"/>
  <c r="K90" i="17" s="1"/>
  <c r="O168" i="7"/>
  <c r="AD152" i="7"/>
  <c r="AD155" i="7"/>
  <c r="D86" i="18"/>
  <c r="P182" i="7"/>
  <c r="M140" i="18" s="1"/>
  <c r="P181" i="7"/>
  <c r="M139" i="18" s="1"/>
  <c r="Q182" i="7"/>
  <c r="N140" i="18" s="1"/>
  <c r="Q181" i="7"/>
  <c r="N139" i="18" s="1"/>
  <c r="O181" i="7"/>
  <c r="O182" i="7"/>
  <c r="L140" i="18" s="1"/>
  <c r="M167" i="7"/>
  <c r="C103" i="18"/>
  <c r="Q167" i="7" s="1"/>
  <c r="H104" i="18"/>
  <c r="AG104" i="18"/>
  <c r="AG87" i="18"/>
  <c r="C93" i="18"/>
  <c r="C108" i="18"/>
  <c r="E108" i="18" s="1"/>
  <c r="I73" i="18"/>
  <c r="I72" i="18"/>
  <c r="C106" i="18"/>
  <c r="D89" i="18"/>
  <c r="AA265" i="7" l="1"/>
  <c r="AA282" i="7"/>
  <c r="AG107" i="18" s="1"/>
  <c r="C247" i="7"/>
  <c r="I90" i="18" s="1"/>
  <c r="I104" i="18"/>
  <c r="D258" i="7" s="1"/>
  <c r="D248" i="7"/>
  <c r="E91" i="18"/>
  <c r="H91" i="18"/>
  <c r="H108" i="18" s="1"/>
  <c r="I108" i="18" s="1"/>
  <c r="H107" i="18"/>
  <c r="I107" i="18" s="1"/>
  <c r="H93" i="18"/>
  <c r="H110" i="18" s="1"/>
  <c r="H105" i="18"/>
  <c r="I105" i="18" s="1"/>
  <c r="C245" i="7"/>
  <c r="I88" i="18" s="1"/>
  <c r="L139" i="18"/>
  <c r="F86" i="18"/>
  <c r="AE154" i="7"/>
  <c r="S168" i="7"/>
  <c r="AD157" i="7"/>
  <c r="V167" i="7"/>
  <c r="V151" i="7"/>
  <c r="AG154" i="7"/>
  <c r="H86" i="18"/>
  <c r="D103" i="18"/>
  <c r="E103" i="18"/>
  <c r="F110" i="18"/>
  <c r="G110" i="18" s="1"/>
  <c r="O167" i="7"/>
  <c r="F109" i="18"/>
  <c r="H249" i="7" s="1"/>
  <c r="F108" i="18"/>
  <c r="G108" i="18" s="1"/>
  <c r="F90" i="18"/>
  <c r="F89" i="18"/>
  <c r="F88" i="18"/>
  <c r="F93" i="18"/>
  <c r="F91" i="18"/>
  <c r="G91" i="18" s="1"/>
  <c r="F92" i="18"/>
  <c r="F102" i="18"/>
  <c r="F87" i="18"/>
  <c r="F85" i="18"/>
  <c r="F104" i="18"/>
  <c r="C110" i="18"/>
  <c r="E110" i="18" s="1"/>
  <c r="E93" i="18" s="1"/>
  <c r="C92" i="18"/>
  <c r="F103" i="18"/>
  <c r="J227" i="7"/>
  <c r="N168" i="7" s="1"/>
  <c r="P227" i="7"/>
  <c r="F107" i="18"/>
  <c r="F106" i="18"/>
  <c r="F105" i="18"/>
  <c r="G105" i="18" s="1"/>
  <c r="AG90" i="18"/>
  <c r="D106" i="18"/>
  <c r="H89" i="18"/>
  <c r="E106" i="18"/>
  <c r="S167" i="7"/>
  <c r="Z167" i="7"/>
  <c r="K120" i="17" s="1"/>
  <c r="K107" i="17" s="1"/>
  <c r="K91" i="17" s="1"/>
  <c r="P244" i="7" l="1"/>
  <c r="E86" i="18"/>
  <c r="D243" i="7"/>
  <c r="C243" i="7" s="1"/>
  <c r="J226" i="7" s="1"/>
  <c r="N167" i="7" s="1"/>
  <c r="J230" i="7"/>
  <c r="C248" i="7"/>
  <c r="I91" i="18" s="1"/>
  <c r="P230" i="7"/>
  <c r="I110" i="18"/>
  <c r="D264" i="7" s="1"/>
  <c r="J244" i="7"/>
  <c r="R168" i="7" s="1"/>
  <c r="D246" i="7"/>
  <c r="C246" i="7" s="1"/>
  <c r="I89" i="18" s="1"/>
  <c r="E89" i="18"/>
  <c r="J247" i="7"/>
  <c r="D261" i="7"/>
  <c r="D250" i="7"/>
  <c r="P247" i="7"/>
  <c r="P228" i="7"/>
  <c r="D262" i="7"/>
  <c r="H103" i="18"/>
  <c r="AE153" i="7"/>
  <c r="Z151" i="7"/>
  <c r="AD154" i="7"/>
  <c r="I250" i="7"/>
  <c r="N110" i="18" s="1"/>
  <c r="H250" i="7"/>
  <c r="N250" i="7" s="1"/>
  <c r="I249" i="7"/>
  <c r="O249" i="7" s="1"/>
  <c r="J228" i="7"/>
  <c r="M169" i="7" s="1"/>
  <c r="H242" i="7"/>
  <c r="M102" i="18" s="1"/>
  <c r="P103" i="18" s="1"/>
  <c r="V103" i="18" s="1"/>
  <c r="H226" i="7"/>
  <c r="M86" i="18" s="1"/>
  <c r="P87" i="18" s="1"/>
  <c r="V87" i="18" s="1"/>
  <c r="I232" i="7"/>
  <c r="O232" i="7" s="1"/>
  <c r="G109" i="18"/>
  <c r="G104" i="18"/>
  <c r="G244" i="7" s="1"/>
  <c r="I225" i="7"/>
  <c r="O225" i="7" s="1"/>
  <c r="I231" i="7"/>
  <c r="O231" i="7" s="1"/>
  <c r="H243" i="7"/>
  <c r="N243" i="7" s="1"/>
  <c r="G87" i="18"/>
  <c r="G227" i="7" s="1"/>
  <c r="G93" i="18"/>
  <c r="H248" i="7"/>
  <c r="M108" i="18" s="1"/>
  <c r="H231" i="7"/>
  <c r="M91" i="18" s="1"/>
  <c r="P92" i="18" s="1"/>
  <c r="V92" i="18" s="1"/>
  <c r="H232" i="7"/>
  <c r="M92" i="18" s="1"/>
  <c r="P93" i="18" s="1"/>
  <c r="V93" i="18" s="1"/>
  <c r="G92" i="18"/>
  <c r="I248" i="7"/>
  <c r="O248" i="7" s="1"/>
  <c r="I242" i="7"/>
  <c r="N102" i="18" s="1"/>
  <c r="Q103" i="18" s="1"/>
  <c r="W103" i="18" s="1"/>
  <c r="G102" i="18"/>
  <c r="G242" i="7" s="1"/>
  <c r="G103" i="18"/>
  <c r="H233" i="7"/>
  <c r="I233" i="7"/>
  <c r="I244" i="7"/>
  <c r="O244" i="7" s="1"/>
  <c r="I243" i="7"/>
  <c r="N103" i="18" s="1"/>
  <c r="Q104" i="18" s="1"/>
  <c r="W104" i="18" s="1"/>
  <c r="H244" i="7"/>
  <c r="N244" i="7" s="1"/>
  <c r="H225" i="7"/>
  <c r="M85" i="18" s="1"/>
  <c r="P86" i="18" s="1"/>
  <c r="V86" i="18" s="1"/>
  <c r="G86" i="18"/>
  <c r="G85" i="18"/>
  <c r="G225" i="7" s="1"/>
  <c r="D92" i="18"/>
  <c r="C109" i="18"/>
  <c r="E109" i="18" s="1"/>
  <c r="I227" i="7"/>
  <c r="N87" i="18" s="1"/>
  <c r="Q88" i="18" s="1"/>
  <c r="W88" i="18" s="1"/>
  <c r="H227" i="7"/>
  <c r="N227" i="7" s="1"/>
  <c r="I226" i="7"/>
  <c r="N86" i="18" s="1"/>
  <c r="Q87" i="18" s="1"/>
  <c r="W87" i="18" s="1"/>
  <c r="M109" i="18"/>
  <c r="N249" i="7"/>
  <c r="H245" i="7"/>
  <c r="I245" i="7"/>
  <c r="G106" i="18"/>
  <c r="H228" i="7"/>
  <c r="I228" i="7"/>
  <c r="G88" i="18"/>
  <c r="G228" i="7" s="1"/>
  <c r="G89" i="18"/>
  <c r="I246" i="7"/>
  <c r="H246" i="7"/>
  <c r="H230" i="7"/>
  <c r="G90" i="18"/>
  <c r="G230" i="7" s="1"/>
  <c r="I230" i="7"/>
  <c r="H247" i="7"/>
  <c r="I247" i="7"/>
  <c r="G107" i="18"/>
  <c r="G247" i="7" s="1"/>
  <c r="H229" i="7"/>
  <c r="I229" i="7"/>
  <c r="H106" i="18"/>
  <c r="I106" i="18" s="1"/>
  <c r="P231" i="7" l="1"/>
  <c r="C250" i="7"/>
  <c r="I93" i="18" s="1"/>
  <c r="AA268" i="7"/>
  <c r="AA269" i="7" s="1"/>
  <c r="AA285" i="7"/>
  <c r="AA286" i="7" s="1"/>
  <c r="J231" i="7"/>
  <c r="G231" i="7"/>
  <c r="M231" i="7" s="1"/>
  <c r="G250" i="7"/>
  <c r="AN184" i="7" s="1"/>
  <c r="I103" i="18"/>
  <c r="D257" i="7" s="1"/>
  <c r="D249" i="7"/>
  <c r="E92" i="18"/>
  <c r="G245" i="7"/>
  <c r="L105" i="18" s="1"/>
  <c r="D259" i="7"/>
  <c r="P229" i="7"/>
  <c r="M170" i="7"/>
  <c r="V154" i="7" s="1"/>
  <c r="Z154" i="7" s="1"/>
  <c r="N171" i="7"/>
  <c r="G248" i="7"/>
  <c r="L108" i="18" s="1"/>
  <c r="J245" i="7"/>
  <c r="P226" i="7"/>
  <c r="I86" i="18"/>
  <c r="P248" i="7"/>
  <c r="J248" i="7"/>
  <c r="D260" i="7"/>
  <c r="P245" i="7"/>
  <c r="G226" i="7"/>
  <c r="M226" i="7" s="1"/>
  <c r="AN163" i="7"/>
  <c r="P166" i="7" s="1"/>
  <c r="AE151" i="7"/>
  <c r="AG153" i="7"/>
  <c r="AD153" i="7"/>
  <c r="O250" i="7"/>
  <c r="M110" i="18"/>
  <c r="N109" i="18"/>
  <c r="Q110" i="18" s="1"/>
  <c r="W110" i="18" s="1"/>
  <c r="N92" i="18"/>
  <c r="Q93" i="18" s="1"/>
  <c r="W93" i="18" s="1"/>
  <c r="M171" i="7"/>
  <c r="N169" i="7"/>
  <c r="N85" i="18"/>
  <c r="Q86" i="18" s="1"/>
  <c r="W86" i="18" s="1"/>
  <c r="G229" i="7"/>
  <c r="G233" i="7"/>
  <c r="AN171" i="7" s="1"/>
  <c r="N226" i="7"/>
  <c r="N104" i="18"/>
  <c r="Q105" i="18" s="1"/>
  <c r="W105" i="18" s="1"/>
  <c r="N242" i="7"/>
  <c r="N91" i="18"/>
  <c r="Q92" i="18" s="1"/>
  <c r="W92" i="18" s="1"/>
  <c r="N108" i="18"/>
  <c r="Q109" i="18" s="1"/>
  <c r="W109" i="18" s="1"/>
  <c r="M103" i="18"/>
  <c r="P104" i="18" s="1"/>
  <c r="V104" i="18" s="1"/>
  <c r="N231" i="7"/>
  <c r="M227" i="7"/>
  <c r="L87" i="18"/>
  <c r="M244" i="7"/>
  <c r="L104" i="18"/>
  <c r="M242" i="7"/>
  <c r="P250" i="7"/>
  <c r="N248" i="7"/>
  <c r="N232" i="7"/>
  <c r="O242" i="7"/>
  <c r="AN176" i="7"/>
  <c r="T166" i="7" s="1"/>
  <c r="O233" i="7"/>
  <c r="N93" i="18"/>
  <c r="M93" i="18"/>
  <c r="N233" i="7"/>
  <c r="O227" i="7"/>
  <c r="J250" i="7"/>
  <c r="L85" i="18"/>
  <c r="O243" i="7"/>
  <c r="J233" i="7"/>
  <c r="N225" i="7"/>
  <c r="AN178" i="7"/>
  <c r="T168" i="7" s="1"/>
  <c r="M104" i="18"/>
  <c r="P105" i="18" s="1"/>
  <c r="V105" i="18" s="1"/>
  <c r="P110" i="18"/>
  <c r="V110" i="18" s="1"/>
  <c r="P109" i="18"/>
  <c r="V109" i="18" s="1"/>
  <c r="M225" i="7"/>
  <c r="M87" i="18"/>
  <c r="P88" i="18" s="1"/>
  <c r="V88" i="18" s="1"/>
  <c r="AN165" i="7"/>
  <c r="P168" i="7" s="1"/>
  <c r="D109" i="18"/>
  <c r="H92" i="18"/>
  <c r="O226" i="7"/>
  <c r="N90" i="18"/>
  <c r="Q91" i="18" s="1"/>
  <c r="W91" i="18" s="1"/>
  <c r="O230" i="7"/>
  <c r="L90" i="18"/>
  <c r="M230" i="7"/>
  <c r="M89" i="18"/>
  <c r="P90" i="18" s="1"/>
  <c r="V90" i="18" s="1"/>
  <c r="N229" i="7"/>
  <c r="M88" i="18"/>
  <c r="P89" i="18" s="1"/>
  <c r="V89" i="18" s="1"/>
  <c r="N228" i="7"/>
  <c r="L107" i="18"/>
  <c r="M247" i="7"/>
  <c r="N107" i="18"/>
  <c r="Q108" i="18" s="1"/>
  <c r="W108" i="18" s="1"/>
  <c r="O247" i="7"/>
  <c r="M90" i="18"/>
  <c r="P91" i="18" s="1"/>
  <c r="V91" i="18" s="1"/>
  <c r="N230" i="7"/>
  <c r="M228" i="7"/>
  <c r="N106" i="18"/>
  <c r="Q107" i="18" s="1"/>
  <c r="W107" i="18" s="1"/>
  <c r="O246" i="7"/>
  <c r="N89" i="18"/>
  <c r="Q90" i="18" s="1"/>
  <c r="W90" i="18" s="1"/>
  <c r="O229" i="7"/>
  <c r="M107" i="18"/>
  <c r="P108" i="18" s="1"/>
  <c r="V108" i="18" s="1"/>
  <c r="N247" i="7"/>
  <c r="M106" i="18"/>
  <c r="P107" i="18" s="1"/>
  <c r="V107" i="18" s="1"/>
  <c r="N246" i="7"/>
  <c r="N88" i="18"/>
  <c r="Q89" i="18" s="1"/>
  <c r="W89" i="18" s="1"/>
  <c r="O228" i="7"/>
  <c r="N105" i="18"/>
  <c r="Q106" i="18" s="1"/>
  <c r="O245" i="7"/>
  <c r="M105" i="18"/>
  <c r="P106" i="18" s="1"/>
  <c r="N245" i="7"/>
  <c r="AN181" i="7"/>
  <c r="AN168" i="7"/>
  <c r="L88" i="18"/>
  <c r="AN166" i="7"/>
  <c r="J229" i="7"/>
  <c r="N170" i="7" s="1"/>
  <c r="AG110" i="18" l="1"/>
  <c r="AG111" i="18" s="1"/>
  <c r="P233" i="7"/>
  <c r="AN169" i="7"/>
  <c r="AG93" i="18"/>
  <c r="AG94" i="18" s="1"/>
  <c r="N172" i="7"/>
  <c r="N174" i="7"/>
  <c r="O170" i="7"/>
  <c r="L91" i="18"/>
  <c r="AN179" i="7"/>
  <c r="T169" i="7" s="1"/>
  <c r="J243" i="7"/>
  <c r="R167" i="7" s="1"/>
  <c r="C249" i="7"/>
  <c r="I92" i="18" s="1"/>
  <c r="V170" i="7"/>
  <c r="G243" i="7"/>
  <c r="M243" i="7" s="1"/>
  <c r="P243" i="7"/>
  <c r="M248" i="7"/>
  <c r="M245" i="7"/>
  <c r="AN182" i="7"/>
  <c r="J246" i="7"/>
  <c r="R170" i="7" s="1"/>
  <c r="Q169" i="7"/>
  <c r="R171" i="7"/>
  <c r="R174" i="7" s="1"/>
  <c r="Q170" i="7"/>
  <c r="Q171" i="7"/>
  <c r="Q172" i="7" s="1"/>
  <c r="R169" i="7"/>
  <c r="G246" i="7"/>
  <c r="M246" i="7" s="1"/>
  <c r="P246" i="7"/>
  <c r="AN164" i="7"/>
  <c r="AM164" i="7" s="1"/>
  <c r="L86" i="18"/>
  <c r="AE150" i="7"/>
  <c r="AG152" i="7"/>
  <c r="AD151" i="7"/>
  <c r="O171" i="7"/>
  <c r="V155" i="7"/>
  <c r="Z155" i="7" s="1"/>
  <c r="O169" i="7"/>
  <c r="V153" i="7"/>
  <c r="V171" i="7"/>
  <c r="M174" i="7"/>
  <c r="O174" i="7" s="1"/>
  <c r="M173" i="7"/>
  <c r="V173" i="7" s="1"/>
  <c r="M172" i="7"/>
  <c r="V169" i="7"/>
  <c r="L102" i="18"/>
  <c r="M233" i="7"/>
  <c r="M250" i="7"/>
  <c r="T171" i="7"/>
  <c r="T174" i="7" s="1"/>
  <c r="L110" i="18"/>
  <c r="L93" i="18"/>
  <c r="P171" i="7"/>
  <c r="P169" i="7"/>
  <c r="H109" i="18"/>
  <c r="I109" i="18" s="1"/>
  <c r="W106" i="18"/>
  <c r="Q111" i="18"/>
  <c r="P94" i="18"/>
  <c r="Q94" i="18"/>
  <c r="V106" i="18"/>
  <c r="P111" i="18"/>
  <c r="M229" i="7"/>
  <c r="L89" i="18"/>
  <c r="AN167" i="7"/>
  <c r="P170" i="7" s="1"/>
  <c r="P172" i="7" l="1"/>
  <c r="G232" i="7"/>
  <c r="AN177" i="7"/>
  <c r="AM177" i="7" s="1"/>
  <c r="L103" i="18"/>
  <c r="L106" i="18"/>
  <c r="AN180" i="7"/>
  <c r="T170" i="7" s="1"/>
  <c r="R172" i="7"/>
  <c r="S172" i="7"/>
  <c r="Z172" i="7"/>
  <c r="K115" i="17" s="1"/>
  <c r="K102" i="17" s="1"/>
  <c r="K86" i="17" s="1"/>
  <c r="Q173" i="7"/>
  <c r="Z173" i="7" s="1"/>
  <c r="K114" i="17" s="1"/>
  <c r="K101" i="17" s="1"/>
  <c r="K85" i="17" s="1"/>
  <c r="Q174" i="7"/>
  <c r="S170" i="7"/>
  <c r="Z170" i="7"/>
  <c r="K117" i="17" s="1"/>
  <c r="K104" i="17" s="1"/>
  <c r="K88" i="17" s="1"/>
  <c r="S169" i="7"/>
  <c r="Z169" i="7"/>
  <c r="K118" i="17" s="1"/>
  <c r="K105" i="17" s="1"/>
  <c r="K89" i="17" s="1"/>
  <c r="Z171" i="7"/>
  <c r="K116" i="17" s="1"/>
  <c r="K103" i="17" s="1"/>
  <c r="K87" i="17" s="1"/>
  <c r="S171" i="7"/>
  <c r="P167" i="7"/>
  <c r="AM165" i="7"/>
  <c r="AM169" i="7" s="1"/>
  <c r="Z153" i="7"/>
  <c r="AG150" i="7"/>
  <c r="AG151" i="7"/>
  <c r="AD150" i="7"/>
  <c r="O173" i="7"/>
  <c r="V157" i="7"/>
  <c r="Z157" i="7" s="1"/>
  <c r="V174" i="7"/>
  <c r="V158" i="7"/>
  <c r="Z158" i="7" s="1"/>
  <c r="O172" i="7"/>
  <c r="V156" i="7"/>
  <c r="Z156" i="7" s="1"/>
  <c r="V172" i="7"/>
  <c r="T172" i="7"/>
  <c r="P174" i="7"/>
  <c r="P232" i="7"/>
  <c r="J232" i="7"/>
  <c r="N173" i="7" s="1"/>
  <c r="P249" i="7"/>
  <c r="X141" i="7" l="1"/>
  <c r="S173" i="7"/>
  <c r="AM178" i="7"/>
  <c r="T167" i="7"/>
  <c r="AM167" i="7"/>
  <c r="J249" i="7"/>
  <c r="R173" i="7" s="1"/>
  <c r="D263" i="7"/>
  <c r="Z174" i="7"/>
  <c r="K113" i="17" s="1"/>
  <c r="K100" i="17" s="1"/>
  <c r="K84" i="17" s="1"/>
  <c r="K94" i="17" s="1"/>
  <c r="K95" i="17" s="1"/>
  <c r="S174" i="7"/>
  <c r="G249" i="7"/>
  <c r="M249" i="7" s="1"/>
  <c r="AM166" i="7"/>
  <c r="AM168" i="7"/>
  <c r="AM170" i="7"/>
  <c r="L92" i="18"/>
  <c r="AN170" i="7"/>
  <c r="M232" i="7"/>
  <c r="AM182" i="7" l="1"/>
  <c r="AM179" i="7"/>
  <c r="AM181" i="7"/>
  <c r="AM183" i="7"/>
  <c r="AM180" i="7"/>
  <c r="L109" i="18"/>
  <c r="AN183" i="7"/>
  <c r="AM184" i="7" s="1"/>
  <c r="P173" i="7"/>
  <c r="AM171" i="7"/>
  <c r="C96" i="18" s="1"/>
  <c r="C97" i="18" s="1"/>
  <c r="K225" i="7" s="1"/>
  <c r="C113" i="18" l="1"/>
  <c r="C114" i="18" s="1"/>
  <c r="K242" i="7" s="1"/>
  <c r="T173" i="7"/>
  <c r="K227" i="7"/>
  <c r="K231" i="7"/>
  <c r="K232" i="7"/>
  <c r="Q225" i="7"/>
  <c r="K226" i="7"/>
  <c r="C310" i="7" s="1"/>
  <c r="K233" i="7"/>
  <c r="K228" i="7"/>
  <c r="Q227" i="7"/>
  <c r="K230" i="7"/>
  <c r="Q231" i="7"/>
  <c r="Q232" i="7"/>
  <c r="Q233" i="7"/>
  <c r="Q228" i="7"/>
  <c r="E312" i="7" s="1"/>
  <c r="Q226" i="7"/>
  <c r="Q230" i="7"/>
  <c r="K229" i="7"/>
  <c r="Q229" i="7"/>
  <c r="E313" i="7" s="1"/>
  <c r="Q245" i="7"/>
  <c r="Q242" i="7" l="1"/>
  <c r="E310" i="7"/>
  <c r="X86" i="18"/>
  <c r="O86" i="18" s="1"/>
  <c r="C314" i="7"/>
  <c r="E315" i="7"/>
  <c r="E317" i="7"/>
  <c r="E311" i="7"/>
  <c r="E314" i="7"/>
  <c r="E316" i="7"/>
  <c r="C312" i="7"/>
  <c r="C316" i="7"/>
  <c r="C317" i="7"/>
  <c r="C315" i="7"/>
  <c r="C311" i="7"/>
  <c r="C313" i="7"/>
  <c r="Q243" i="7"/>
  <c r="C331" i="7" s="1"/>
  <c r="K243" i="7"/>
  <c r="Q247" i="7"/>
  <c r="Q250" i="7"/>
  <c r="K249" i="7"/>
  <c r="Q248" i="7"/>
  <c r="K245" i="7"/>
  <c r="K248" i="7"/>
  <c r="Q246" i="7"/>
  <c r="C334" i="7" s="1"/>
  <c r="Q249" i="7"/>
  <c r="C337" i="7" s="1"/>
  <c r="Q244" i="7"/>
  <c r="K250" i="7"/>
  <c r="K247" i="7"/>
  <c r="K244" i="7"/>
  <c r="D311" i="7" s="1"/>
  <c r="K246" i="7"/>
  <c r="X91" i="18"/>
  <c r="X90" i="18"/>
  <c r="X92" i="18"/>
  <c r="X89" i="18"/>
  <c r="X88" i="18"/>
  <c r="X93" i="18"/>
  <c r="X87" i="18"/>
  <c r="AO166" i="7"/>
  <c r="X167" i="7"/>
  <c r="AO164" i="7"/>
  <c r="AO176" i="7"/>
  <c r="AB166" i="7"/>
  <c r="AO169" i="7"/>
  <c r="AO168" i="7"/>
  <c r="AO167" i="7"/>
  <c r="AO170" i="7"/>
  <c r="X166" i="7"/>
  <c r="AO163" i="7"/>
  <c r="AO171" i="7"/>
  <c r="AO165" i="7"/>
  <c r="X168" i="7"/>
  <c r="C332" i="7" l="1"/>
  <c r="C335" i="7"/>
  <c r="C338" i="7"/>
  <c r="C336" i="7"/>
  <c r="C333" i="7"/>
  <c r="E318" i="7"/>
  <c r="D312" i="7"/>
  <c r="AO177" i="7"/>
  <c r="D310" i="7"/>
  <c r="AO180" i="7"/>
  <c r="D313" i="7"/>
  <c r="AO181" i="7"/>
  <c r="D314" i="7"/>
  <c r="AO183" i="7"/>
  <c r="D316" i="7"/>
  <c r="AO184" i="7"/>
  <c r="D317" i="7"/>
  <c r="D315" i="7"/>
  <c r="C318" i="7"/>
  <c r="AO178" i="7"/>
  <c r="X103" i="18"/>
  <c r="Z103" i="18" s="1"/>
  <c r="AB168" i="7"/>
  <c r="AB167" i="7"/>
  <c r="X104" i="18"/>
  <c r="Z104" i="18" s="1"/>
  <c r="X105" i="18"/>
  <c r="Y105" i="18" s="1"/>
  <c r="AO179" i="7"/>
  <c r="X107" i="18"/>
  <c r="Y107" i="18" s="1"/>
  <c r="X108" i="18"/>
  <c r="Z108" i="18" s="1"/>
  <c r="X110" i="18"/>
  <c r="Z110" i="18" s="1"/>
  <c r="AO182" i="7"/>
  <c r="X109" i="18"/>
  <c r="Z109" i="18" s="1"/>
  <c r="X106" i="18"/>
  <c r="Z106" i="18" s="1"/>
  <c r="Y86" i="18"/>
  <c r="Z86" i="18"/>
  <c r="Y90" i="18"/>
  <c r="Z90" i="18"/>
  <c r="Y89" i="18"/>
  <c r="Z89" i="18"/>
  <c r="Y93" i="18"/>
  <c r="Z93" i="18"/>
  <c r="Y88" i="18"/>
  <c r="Z88" i="18"/>
  <c r="Y92" i="18"/>
  <c r="Z92" i="18"/>
  <c r="Y91" i="18"/>
  <c r="Z91" i="18"/>
  <c r="Y87" i="18"/>
  <c r="Z87" i="18"/>
  <c r="AB170" i="7"/>
  <c r="O87" i="18"/>
  <c r="U87" i="18" s="1"/>
  <c r="U86" i="18"/>
  <c r="X94" i="18"/>
  <c r="AB169" i="7"/>
  <c r="X170" i="7"/>
  <c r="AB171" i="7"/>
  <c r="X169" i="7"/>
  <c r="X171" i="7"/>
  <c r="O90" i="18"/>
  <c r="U90" i="18" s="1"/>
  <c r="O88" i="18"/>
  <c r="U88" i="18" s="1"/>
  <c r="O93" i="18"/>
  <c r="U93" i="18" s="1"/>
  <c r="O92" i="18"/>
  <c r="U92" i="18" s="1"/>
  <c r="O89" i="18"/>
  <c r="U89" i="18" s="1"/>
  <c r="O91" i="18"/>
  <c r="U91" i="18" s="1"/>
  <c r="Z97" i="18" l="1"/>
  <c r="C339" i="7"/>
  <c r="O104" i="18"/>
  <c r="U104" i="18" s="1"/>
  <c r="D318" i="7"/>
  <c r="O103" i="18"/>
  <c r="U103" i="18" s="1"/>
  <c r="Y104" i="18"/>
  <c r="Y103" i="18"/>
  <c r="Y108" i="18"/>
  <c r="O108" i="18"/>
  <c r="U108" i="18" s="1"/>
  <c r="O105" i="18"/>
  <c r="U105" i="18" s="1"/>
  <c r="O106" i="18"/>
  <c r="U106" i="18" s="1"/>
  <c r="O110" i="18"/>
  <c r="U110" i="18" s="1"/>
  <c r="Z105" i="18"/>
  <c r="Y110" i="18"/>
  <c r="O107" i="18"/>
  <c r="U107" i="18" s="1"/>
  <c r="Z107" i="18"/>
  <c r="X111" i="18"/>
  <c r="Y106" i="18"/>
  <c r="O109" i="18"/>
  <c r="U109" i="18" s="1"/>
  <c r="Y109" i="18"/>
  <c r="O94" i="18"/>
  <c r="AB173" i="7"/>
  <c r="AB172" i="7"/>
  <c r="AB174" i="7"/>
  <c r="X173" i="7"/>
  <c r="X172" i="7"/>
  <c r="X174" i="7"/>
  <c r="Y94" i="18"/>
  <c r="Z94" i="18"/>
  <c r="Z114" i="18" l="1"/>
  <c r="Z111" i="18"/>
  <c r="Y111" i="18"/>
  <c r="O111" i="18"/>
  <c r="D7" i="17" l="1"/>
  <c r="I9" i="17" s="1"/>
  <c r="K9" i="17" l="1"/>
  <c r="H9" i="17"/>
  <c r="L9" i="17" s="1"/>
  <c r="I16" i="17"/>
  <c r="H16" i="17" l="1"/>
  <c r="M9" i="17"/>
  <c r="K152" i="7"/>
  <c r="N9" i="17"/>
  <c r="K16" i="17"/>
  <c r="K33" i="17" s="1"/>
  <c r="K34" i="17" s="1"/>
  <c r="I25" i="17"/>
  <c r="I27" i="17" s="1"/>
  <c r="I33" i="17"/>
  <c r="I34" i="17" s="1"/>
  <c r="H33" i="17" l="1"/>
  <c r="H34" i="17" s="1"/>
  <c r="L34" i="17" s="1"/>
  <c r="M16" i="17"/>
  <c r="H25" i="17"/>
  <c r="H27" i="17" s="1"/>
  <c r="L27" i="17" s="1"/>
  <c r="L16" i="17"/>
  <c r="L25" i="17" s="1"/>
  <c r="N16" i="17"/>
  <c r="K25" i="17"/>
  <c r="K27" i="17" s="1"/>
  <c r="D100" i="17"/>
  <c r="D105" i="17" s="1"/>
  <c r="F105" i="17" s="1"/>
  <c r="F108" i="17" l="1"/>
  <c r="F109" i="17" s="1"/>
  <c r="F106" i="17"/>
  <c r="F107" i="17" s="1"/>
  <c r="D106" i="17"/>
  <c r="K150" i="7"/>
  <c r="M25" i="17"/>
  <c r="N34" i="17"/>
  <c r="N27" i="17"/>
  <c r="N25" i="17"/>
  <c r="D101" i="17"/>
  <c r="D322" i="7" l="1"/>
  <c r="E321" i="7" s="1"/>
  <c r="D321" i="7"/>
  <c r="C342" i="7" s="1"/>
  <c r="D108" i="17"/>
  <c r="D109" i="17"/>
  <c r="D42" i="7" l="1"/>
  <c r="D46" i="7" s="1"/>
  <c r="C103" i="7"/>
  <c r="D107" i="17"/>
  <c r="D111" i="17"/>
  <c r="D40" i="7" l="1"/>
  <c r="N156" i="7"/>
  <c r="D112" i="17"/>
  <c r="D115" i="17"/>
  <c r="D114" i="17" s="1"/>
  <c r="K108" i="7" l="1"/>
  <c r="C108" i="7" s="1"/>
  <c r="D113" i="17"/>
  <c r="D117" i="17"/>
  <c r="L141" i="7" l="1"/>
  <c r="K110" i="7"/>
  <c r="C110" i="7" s="1"/>
  <c r="D118" i="17"/>
  <c r="D119" i="17" s="1"/>
  <c r="D121" i="17"/>
  <c r="D120" i="17" s="1"/>
  <c r="F100" i="7" l="1"/>
  <c r="I100" i="7" s="1"/>
  <c r="N157" i="7"/>
  <c r="L142" i="7"/>
  <c r="B146" i="7" s="1"/>
  <c r="N158" i="7"/>
  <c r="G144" i="7" l="1"/>
  <c r="F84" i="17" s="1"/>
  <c r="G131" i="7"/>
  <c r="G150" i="7" s="1"/>
  <c r="H83" i="17" s="1"/>
  <c r="B133" i="7"/>
  <c r="C159" i="7" s="1"/>
  <c r="AF158" i="7"/>
  <c r="AF151" i="7"/>
  <c r="AF156" i="7"/>
  <c r="AF150" i="7"/>
  <c r="AF153" i="7"/>
  <c r="AF152" i="7"/>
  <c r="AF154" i="7"/>
  <c r="AF157" i="7"/>
  <c r="AF155" i="7"/>
  <c r="F86" i="17"/>
  <c r="AC150" i="7" l="1"/>
  <c r="X151" i="7"/>
  <c r="I107" i="17" s="1"/>
  <c r="J107" i="17" s="1"/>
  <c r="X150" i="7"/>
  <c r="I108" i="17" s="1"/>
  <c r="J108" i="17" s="1"/>
  <c r="X153" i="7"/>
  <c r="I105" i="17" s="1"/>
  <c r="J105" i="17" s="1"/>
  <c r="X157" i="7"/>
  <c r="I101" i="17" s="1"/>
  <c r="J101" i="17" s="1"/>
  <c r="D142" i="7"/>
  <c r="F85" i="17" s="1"/>
  <c r="F98" i="17"/>
  <c r="C84" i="17" s="1"/>
  <c r="D129" i="7"/>
  <c r="F157" i="7" s="1"/>
  <c r="I138" i="7"/>
  <c r="H95" i="17" s="1"/>
  <c r="I139" i="7"/>
  <c r="I135" i="7" s="1"/>
  <c r="I145" i="7"/>
  <c r="I146" i="7"/>
  <c r="I144" i="7" s="1"/>
  <c r="I142" i="7"/>
  <c r="D83" i="17"/>
  <c r="D87" i="17"/>
  <c r="AB151" i="7"/>
  <c r="I120" i="17" s="1"/>
  <c r="J120" i="17" s="1"/>
  <c r="AB150" i="7"/>
  <c r="I121" i="17" s="1"/>
  <c r="J121" i="17" s="1"/>
  <c r="AB152" i="7"/>
  <c r="I119" i="17" s="1"/>
  <c r="J119" i="17" s="1"/>
  <c r="X152" i="7"/>
  <c r="I106" i="17" s="1"/>
  <c r="J106" i="17" s="1"/>
  <c r="AB153" i="7"/>
  <c r="I118" i="17" s="1"/>
  <c r="J118" i="17" s="1"/>
  <c r="AB155" i="7"/>
  <c r="I116" i="17" s="1"/>
  <c r="J116" i="17" s="1"/>
  <c r="AB154" i="7"/>
  <c r="I117" i="17" s="1"/>
  <c r="J117" i="17" s="1"/>
  <c r="X155" i="7"/>
  <c r="I103" i="17" s="1"/>
  <c r="J103" i="17" s="1"/>
  <c r="X154" i="7"/>
  <c r="I104" i="17" s="1"/>
  <c r="J104" i="17" s="1"/>
  <c r="X156" i="7"/>
  <c r="I102" i="17" s="1"/>
  <c r="J102" i="17" s="1"/>
  <c r="AB158" i="7"/>
  <c r="AB157" i="7"/>
  <c r="X158" i="7"/>
  <c r="I100" i="17" s="1"/>
  <c r="J100" i="17" s="1"/>
  <c r="AB156" i="7"/>
  <c r="I115" i="17" s="1"/>
  <c r="J115" i="17" s="1"/>
  <c r="H86" i="17"/>
  <c r="I113" i="17" l="1"/>
  <c r="J113" i="17" s="1"/>
  <c r="I84" i="17" s="1"/>
  <c r="J84" i="17" s="1"/>
  <c r="J95" i="17" s="1"/>
  <c r="I114" i="17"/>
  <c r="J114" i="17" s="1"/>
  <c r="I85" i="17" s="1"/>
  <c r="J85" i="17" s="1"/>
  <c r="E152" i="7"/>
  <c r="I143" i="7"/>
  <c r="H85" i="17"/>
  <c r="D84" i="17"/>
  <c r="I140" i="7"/>
  <c r="I136" i="7"/>
  <c r="F97" i="17"/>
  <c r="C86" i="17" s="1"/>
  <c r="D86" i="17" s="1"/>
  <c r="I87" i="17"/>
  <c r="J87" i="17" s="1"/>
  <c r="I92" i="17"/>
  <c r="J92" i="17" s="1"/>
  <c r="I86" i="17"/>
  <c r="J86" i="17" s="1"/>
  <c r="I91" i="17"/>
  <c r="J91" i="17" s="1"/>
  <c r="I88" i="17"/>
  <c r="J88" i="17" s="1"/>
  <c r="I90" i="17"/>
  <c r="J90" i="17" s="1"/>
  <c r="I89" i="17"/>
  <c r="J89" i="17" s="1"/>
  <c r="H84" i="17" l="1"/>
  <c r="D85" i="17"/>
  <c r="J93" i="17"/>
  <c r="J94" i="17" s="1"/>
  <c r="E90" i="17" l="1"/>
  <c r="D95" i="17" l="1"/>
</calcChain>
</file>

<file path=xl/comments1.xml><?xml version="1.0" encoding="utf-8"?>
<comments xmlns="http://schemas.openxmlformats.org/spreadsheetml/2006/main">
  <authors>
    <author>Davide Cicchini</author>
    <author>Nicla</author>
    <author>DELL1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Inserisci N, per fondazioni nastriformi, altrimenti Q per fondazioni quadrate o circolari.
Questa scelta modifica i coefficienti di forma "s"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>Nel caso di fondazione nastriforme inserire 1 per avere valori riferiti a metro lineare.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0 la falda si trova sul piano campagna.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 destra dell'asse muro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 sinistra dell'asse del muro lato terreno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lo strato di magrone non va conteggiato nell'altezza della zattera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si moltiplica per la profondità di un metro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il massimo si ha in corrispondenza del polo, preso sempre dal lato libero.</t>
        </r>
      </text>
    </comment>
    <comment ref="K141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Eccentricità riferita al polo di riduzione</t>
        </r>
      </text>
    </comment>
    <comment ref="K142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Eccentricità riferita al baricentro della zattera</t>
        </r>
      </text>
    </comment>
    <comment ref="K143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Ampiezza del nocciolo centrale d'inerzia</t>
        </r>
      </text>
    </comment>
    <comment ref="F144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si moltiplica per la profondità di un metro</t>
        </r>
      </text>
    </comment>
    <comment ref="G144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il massimo si ha in corrispondenza del polo, preso sempre dal lato libero.</t>
        </r>
      </text>
    </comment>
    <comment ref="G150" authorId="2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>Di solito il valore è positivo, ossia diretto verso l'alto il peso della mensola non sovrasta la reazione del terreno</t>
        </r>
      </text>
    </comment>
    <comment ref="E152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Di solito il valore è positivo, ossia diretto verso l'alto il peso della mensola non sovrasta la reazione del terreno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il valore è negativo vuol dire che è diretto verso il basso. (il peso del terreno, della mensola e del carico variabile sovrastano la reazione diretta verso l'alto del terreno)</t>
        </r>
      </text>
    </comment>
    <comment ref="C159" authorId="2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>se il valore è negativo vuol dire che è diretto verso il basso. (il peso del terreno, della mensola e del carico variabile sovrastano la reazione diretta verso l'alto del terreno)</t>
        </r>
      </text>
    </comment>
    <comment ref="B222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 condizione sismica tutti i coefficienti della tabella A, vengono posti uguali ad 1.</t>
        </r>
      </text>
    </comment>
    <comment ref="W223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0, sono abilitate solo le condizioni non drenate.</t>
        </r>
      </text>
    </comment>
    <comment ref="W229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0, sono abilitate solo le condizioni non drenate.</t>
        </r>
      </text>
    </comment>
    <comment ref="W235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0, sono abilitate solo le condizioni non drenate.</t>
        </r>
      </text>
    </comment>
    <comment ref="AA259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Spinta sismica secondo la teoria di Wood</t>
        </r>
      </text>
    </comment>
    <comment ref="N260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disposizione simmetrica
delle costole.</t>
        </r>
      </text>
    </comment>
    <comment ref="N261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L'inclinazione viene eseguita sempre sul lato destro del paramento</t>
        </r>
      </text>
    </comment>
    <comment ref="Z268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Coordinata "z" della posizione del baricentro del sistema globale terra-muro.</t>
        </r>
      </text>
    </comment>
    <comment ref="N285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Questo valore non viene considerato nel calcolo della spinta.</t>
        </r>
      </text>
    </comment>
    <comment ref="Z285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Coordinata "z" della posizione del baricentro del sistema globale terra-muro.</t>
        </r>
      </text>
    </comment>
    <comment ref="D298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Riferito all'intradosso della fondazione</t>
        </r>
      </text>
    </comment>
    <comment ref="D299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ha zero la falda si trova sul piano campagna del lato libero.
Questo valore dipende dalla quota della falda del lato di monte.</t>
        </r>
      </text>
    </comment>
    <comment ref="D30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vogliono considerare i carichi a metro lineare di una fondazione nastriforme, allora si inseresce "si".
In questo modo i coefficienti "s" saranno tutti unitari.</t>
        </r>
      </text>
    </comment>
    <comment ref="D30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 coefficienti correttivi legati alla profondità si possono considerare unitari, per ottenere risultati a vantaggio di sicurezza.</t>
        </r>
      </text>
    </comment>
  </commentList>
</comments>
</file>

<file path=xl/comments2.xml><?xml version="1.0" encoding="utf-8"?>
<comments xmlns="http://schemas.openxmlformats.org/spreadsheetml/2006/main">
  <authors>
    <author>Davide Cicchini</author>
    <author>DELL1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Bisogna inserire l'accelerazione non ag/g            (ad esempio ag/g =0.261 -&gt;</t>
        </r>
        <r>
          <rPr>
            <b/>
            <sz val="9"/>
            <color indexed="81"/>
            <rFont val="Tahoma"/>
            <family val="2"/>
          </rPr>
          <t xml:space="preserve"> ag=2,559</t>
        </r>
        <r>
          <rPr>
            <sz val="9"/>
            <color indexed="81"/>
            <rFont val="Tahoma"/>
            <family val="2"/>
          </rPr>
          <t>)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è consigliato inserire il valore bm unitario quando il muro ha spostamento impedito.</t>
        </r>
      </text>
    </comment>
    <comment ref="E63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zero la falda si trova sul piano campagna del lato di monte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La scelta di questo parametro modifica solo la spinta dinamica dell'acqua. In particolare qunado il terreno ha permeabilità elevata allora Ewd&gt;0; altrimenti si trascura</t>
        </r>
      </text>
    </comment>
  </commentList>
</comments>
</file>

<file path=xl/comments3.xml><?xml version="1.0" encoding="utf-8"?>
<comments xmlns="http://schemas.openxmlformats.org/spreadsheetml/2006/main">
  <authors>
    <author>DELL1</author>
    <author>Nicla</author>
  </authors>
  <commentList>
    <comment ref="O83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Si include la spinta dell'acqua</t>
        </r>
      </text>
    </comment>
    <comment ref="AA84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Per semplicità si considera una distribuzione rettangolare, anziché quella parabolica.</t>
        </r>
      </text>
    </comment>
    <comment ref="O10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Si include la spinta dell'acqua</t>
        </r>
      </text>
    </comment>
    <comment ref="AA101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Per semplicità si considera una distribuzione rettangolare, anziché quella parabolica.</t>
        </r>
      </text>
    </comment>
    <comment ref="B117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vogliono visualizzare i grafici puri delle pressioni litostatiche occorre inserire nelle combinazioni di calcolo, la combinazione unitaria.</t>
        </r>
      </text>
    </comment>
  </commentList>
</comments>
</file>

<file path=xl/comments4.xml><?xml version="1.0" encoding="utf-8"?>
<comments xmlns="http://schemas.openxmlformats.org/spreadsheetml/2006/main">
  <authors>
    <author>DELL1</author>
    <author>Davide Cicchini</author>
    <author>Nicla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DELL1:</t>
        </r>
        <r>
          <rPr>
            <sz val="9"/>
            <color indexed="81"/>
            <rFont val="Tahoma"/>
            <family val="2"/>
          </rPr>
          <t xml:space="preserve">
Altezza sezione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DELL1:</t>
        </r>
        <r>
          <rPr>
            <sz val="9"/>
            <color indexed="81"/>
            <rFont val="Tahoma"/>
            <family val="2"/>
          </rPr>
          <t xml:space="preserve">
Altezza costola
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DELL1:</t>
        </r>
        <r>
          <rPr>
            <sz val="9"/>
            <color indexed="81"/>
            <rFont val="Tahoma"/>
            <family val="2"/>
          </rPr>
          <t xml:space="preserve">
disposizione simmetrica
delle costole</t>
        </r>
      </text>
    </comment>
    <comment ref="R58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 destra dell'asse muro</t>
        </r>
      </text>
    </comment>
    <comment ref="Q59" authorId="2" shapeId="0">
      <text>
        <r>
          <rPr>
            <b/>
            <sz val="9"/>
            <color indexed="81"/>
            <rFont val="Tahoma"/>
            <family val="2"/>
          </rPr>
          <t>Nicla:</t>
        </r>
        <r>
          <rPr>
            <sz val="9"/>
            <color indexed="81"/>
            <rFont val="Tahoma"/>
            <family val="2"/>
          </rPr>
          <t xml:space="preserve">
Dalla fine della costola</t>
        </r>
      </text>
    </comment>
    <comment ref="Q68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Questo valore non viene considerato nel calcolo della spinta.</t>
        </r>
      </text>
    </comment>
  </commentList>
</comments>
</file>

<file path=xl/sharedStrings.xml><?xml version="1.0" encoding="utf-8"?>
<sst xmlns="http://schemas.openxmlformats.org/spreadsheetml/2006/main" count="958" uniqueCount="611">
  <si>
    <t>paramento</t>
  </si>
  <si>
    <t>[m]</t>
  </si>
  <si>
    <t>L</t>
  </si>
  <si>
    <t>nc</t>
  </si>
  <si>
    <t>[-]</t>
  </si>
  <si>
    <t>[kN]</t>
  </si>
  <si>
    <t>[kNm]</t>
  </si>
  <si>
    <t>[deg]</t>
  </si>
  <si>
    <t>-</t>
  </si>
  <si>
    <t>PARAMENTO CON CONTRAFFORTI</t>
  </si>
  <si>
    <t>z</t>
  </si>
  <si>
    <t>h(z)</t>
  </si>
  <si>
    <t>hc(z)</t>
  </si>
  <si>
    <t>A</t>
  </si>
  <si>
    <r>
      <t>[m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]</t>
    </r>
  </si>
  <si>
    <r>
      <t>[m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]</t>
    </r>
  </si>
  <si>
    <r>
      <t>[m</t>
    </r>
    <r>
      <rPr>
        <sz val="11"/>
        <color theme="1"/>
        <rFont val="Calibri"/>
        <family val="2"/>
      </rPr>
      <t>⁴</t>
    </r>
    <r>
      <rPr>
        <sz val="11"/>
        <color theme="1"/>
        <rFont val="Calibri"/>
        <family val="2"/>
        <scheme val="minor"/>
      </rPr>
      <t>]</t>
    </r>
  </si>
  <si>
    <t>zattera</t>
  </si>
  <si>
    <t>CONDIZIONI DRENATE</t>
  </si>
  <si>
    <t>CONDIZIONI NON DRENATE</t>
  </si>
  <si>
    <t>ϕ'</t>
  </si>
  <si>
    <t>Ing. Davide Cicchini</t>
  </si>
  <si>
    <t>www.davidecicchini.it</t>
  </si>
  <si>
    <t>BARICENTRO MURO</t>
  </si>
  <si>
    <t>A,trasv(z)</t>
  </si>
  <si>
    <t>V(z)</t>
  </si>
  <si>
    <t>Syz</t>
  </si>
  <si>
    <t>Sxz</t>
  </si>
  <si>
    <t>Sxy</t>
  </si>
  <si>
    <t>Xg</t>
  </si>
  <si>
    <t>Yg</t>
  </si>
  <si>
    <t>Zg</t>
  </si>
  <si>
    <t>il riferimento in questa analisi si trova in sommità sul paramento</t>
  </si>
  <si>
    <t>proprio sotto il muretto di colmo</t>
  </si>
  <si>
    <t>MURETTO DI COLMO</t>
  </si>
  <si>
    <t>sez iniziale</t>
  </si>
  <si>
    <t>sezione finale</t>
  </si>
  <si>
    <t>totale</t>
  </si>
  <si>
    <t>ZATTERA</t>
  </si>
  <si>
    <t>lato libero</t>
  </si>
  <si>
    <t>lato terra</t>
  </si>
  <si>
    <t>DENTE</t>
  </si>
  <si>
    <t>TERRA</t>
  </si>
  <si>
    <t>rettangolo</t>
  </si>
  <si>
    <t>triangolo sup</t>
  </si>
  <si>
    <t>triangolo inf</t>
  </si>
  <si>
    <t>terra+muro</t>
  </si>
  <si>
    <t>muro</t>
  </si>
  <si>
    <t>terra</t>
  </si>
  <si>
    <t>terra media pesata</t>
  </si>
  <si>
    <t>muro media pesata</t>
  </si>
  <si>
    <t>sezione trasv iniziale</t>
  </si>
  <si>
    <t>sezione trasv finale</t>
  </si>
  <si>
    <t>sezione long</t>
  </si>
  <si>
    <t>ALTEZZA DEL PARAMENTO DALL'ESTRADOSSO DELLA ZATTERA</t>
  </si>
  <si>
    <r>
      <t>h</t>
    </r>
    <r>
      <rPr>
        <b/>
        <vertAlign val="subscript"/>
        <sz val="11"/>
        <rFont val="Calibri"/>
        <family val="2"/>
      </rPr>
      <t>p</t>
    </r>
    <r>
      <rPr>
        <b/>
        <sz val="11"/>
        <rFont val="Calibri"/>
        <family val="2"/>
      </rPr>
      <t xml:space="preserve"> </t>
    </r>
  </si>
  <si>
    <t>LUNGHEZZA DEL PARAMENTO DEL PARAMENTO</t>
  </si>
  <si>
    <t xml:space="preserve">L </t>
  </si>
  <si>
    <t>SPESSORE DEL PARAMENTO</t>
  </si>
  <si>
    <r>
      <t>s</t>
    </r>
    <r>
      <rPr>
        <b/>
        <vertAlign val="subscript"/>
        <sz val="11"/>
        <rFont val="Calibri"/>
        <family val="2"/>
      </rPr>
      <t xml:space="preserve">p </t>
    </r>
  </si>
  <si>
    <t>NUMERO DI COSTOLE</t>
  </si>
  <si>
    <t>pos dente lato sx</t>
  </si>
  <si>
    <t>SPESSORE DELLE COSTOLE</t>
  </si>
  <si>
    <r>
      <t>S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 xml:space="preserve"> </t>
    </r>
  </si>
  <si>
    <t>DISTANZA DAL BORDO DELLE COSTOLE ESTERNE</t>
  </si>
  <si>
    <r>
      <t>D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 xml:space="preserve"> </t>
    </r>
  </si>
  <si>
    <t>ALTEZZA INIZIALE DELLA COSTOLA</t>
  </si>
  <si>
    <r>
      <t>h</t>
    </r>
    <r>
      <rPr>
        <b/>
        <vertAlign val="subscript"/>
        <sz val="11"/>
        <rFont val="Calibri"/>
        <family val="2"/>
      </rPr>
      <t>ic</t>
    </r>
    <r>
      <rPr>
        <b/>
        <sz val="11"/>
        <rFont val="Calibri"/>
        <family val="2"/>
      </rPr>
      <t xml:space="preserve"> </t>
    </r>
  </si>
  <si>
    <t>INCLINAZIONE DELLE COSTOLE</t>
  </si>
  <si>
    <t>α</t>
  </si>
  <si>
    <r>
      <t>tan(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>)</t>
    </r>
  </si>
  <si>
    <t>ALTEZZADEL ZATTERA</t>
  </si>
  <si>
    <r>
      <t>h</t>
    </r>
    <r>
      <rPr>
        <b/>
        <vertAlign val="subscript"/>
        <sz val="11"/>
        <rFont val="Calibri"/>
        <family val="2"/>
      </rPr>
      <t>z</t>
    </r>
    <r>
      <rPr>
        <b/>
        <sz val="11"/>
        <rFont val="Calibri"/>
        <family val="2"/>
      </rPr>
      <t xml:space="preserve"> [m]</t>
    </r>
  </si>
  <si>
    <t>LUNGHEZZA DELLA ZATTERA sx</t>
  </si>
  <si>
    <r>
      <t>s</t>
    </r>
    <r>
      <rPr>
        <b/>
        <vertAlign val="subscript"/>
        <sz val="11"/>
        <rFont val="Calibri"/>
        <family val="2"/>
      </rPr>
      <t xml:space="preserve">z,dx </t>
    </r>
    <r>
      <rPr>
        <b/>
        <sz val="11"/>
        <rFont val="Calibri"/>
        <family val="2"/>
      </rPr>
      <t>[m]</t>
    </r>
  </si>
  <si>
    <t>LUNGHEZZA DELLA ZATTERA dx</t>
  </si>
  <si>
    <r>
      <t>s</t>
    </r>
    <r>
      <rPr>
        <b/>
        <vertAlign val="subscript"/>
        <sz val="11"/>
        <rFont val="Calibri"/>
        <family val="2"/>
      </rPr>
      <t xml:space="preserve">z,sx </t>
    </r>
    <r>
      <rPr>
        <b/>
        <sz val="11"/>
        <rFont val="Calibri"/>
        <family val="2"/>
      </rPr>
      <t>[m]</t>
    </r>
  </si>
  <si>
    <t>dente</t>
  </si>
  <si>
    <t>SPESSORE DEL DENTE</t>
  </si>
  <si>
    <t>S,dente</t>
  </si>
  <si>
    <t>ALTEZZA DEL DENTE</t>
  </si>
  <si>
    <t>h,dente</t>
  </si>
  <si>
    <t>muretto di colmo</t>
  </si>
  <si>
    <t>ALTEZZA DEL MURETTO DI COLMO</t>
  </si>
  <si>
    <r>
      <t>h</t>
    </r>
    <r>
      <rPr>
        <b/>
        <vertAlign val="subscript"/>
        <sz val="11"/>
        <rFont val="Calibri"/>
        <family val="2"/>
      </rPr>
      <t>m</t>
    </r>
    <r>
      <rPr>
        <b/>
        <sz val="11"/>
        <rFont val="Calibri"/>
        <family val="2"/>
      </rPr>
      <t xml:space="preserve"> [m]</t>
    </r>
  </si>
  <si>
    <t>tensioni terreno</t>
  </si>
  <si>
    <t>sigma lato terra</t>
  </si>
  <si>
    <t>carico muro</t>
  </si>
  <si>
    <t>sx</t>
  </si>
  <si>
    <t>tratteggio mezzeria</t>
  </si>
  <si>
    <t>dx</t>
  </si>
  <si>
    <t>sigma zattera</t>
  </si>
  <si>
    <t>STRATI</t>
  </si>
  <si>
    <t>non drenato</t>
  </si>
  <si>
    <t>S1</t>
  </si>
  <si>
    <t>x</t>
  </si>
  <si>
    <t>y</t>
  </si>
  <si>
    <t>S2</t>
  </si>
  <si>
    <t>DX</t>
  </si>
  <si>
    <t>S3</t>
  </si>
  <si>
    <t>TOT</t>
  </si>
  <si>
    <t>sigma sovraccarico</t>
  </si>
  <si>
    <t>SX</t>
  </si>
  <si>
    <t>drenato</t>
  </si>
  <si>
    <t>sigma variabile</t>
  </si>
  <si>
    <t>FALDA</t>
  </si>
  <si>
    <t>coefficienti s presi dagli appunti della monaco</t>
  </si>
  <si>
    <t>allineato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</si>
  <si>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</rPr>
      <t>γ</t>
    </r>
  </si>
  <si>
    <t>SE(DATI!C4="Q";0,6;SE(DATI!C10="si";1;1+0,1*(1+SEN($C$4*PI.GRECO()/180)*$G$4)/(1-SEN($C$4*PI.GRECO()/180*$G$5))))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</si>
  <si>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</si>
  <si>
    <t>SE(DATI!C4="Q";1+C20/C18;SE(DATI!C10="si";1;1+0,2*(1+SEN($C$4*PI.GRECO()/180)*$G$4)/(1-SEN($C$4*PI.GRECO()/180*$G$5))))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</si>
  <si>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q</t>
    </r>
  </si>
  <si>
    <t>SE(DATI!C4="Q";1+TAN($C$4*PI.GRECO()/180);C24)</t>
  </si>
  <si>
    <t>Tipo fondazione: N per nastri; Q per quadrate o circolari</t>
  </si>
  <si>
    <t>N</t>
  </si>
  <si>
    <t>no</t>
  </si>
  <si>
    <t>Condizioni drenate</t>
  </si>
  <si>
    <t>secondo Meyerhof, 1963</t>
  </si>
  <si>
    <t>si</t>
  </si>
  <si>
    <t>Condizioni non drenate</t>
  </si>
  <si>
    <t>secondo Hansen, 1970</t>
  </si>
  <si>
    <t>Secondo Vesic, 1973</t>
  </si>
  <si>
    <t>2.SOLLECITAZIONI SULLA FONDAZIONE</t>
  </si>
  <si>
    <t>Bisogna inserire le sollecitazioni affioranti dai pilastri in combinazione "caratteristica".</t>
  </si>
  <si>
    <t>Questi campi possono essere lasciati anche vuoti, naturalmente il coefficiente correttivo "i" sarà unitario.</t>
  </si>
  <si>
    <t>Il peso proprio della fondazione viene inserito di default in questa sezione, perché deve essere moltiplicato</t>
  </si>
  <si>
    <t>per il coefficiente amplificativo.</t>
  </si>
  <si>
    <r>
      <t>G</t>
    </r>
    <r>
      <rPr>
        <b/>
        <sz val="8"/>
        <color theme="1"/>
        <rFont val="Calibri"/>
        <family val="2"/>
        <scheme val="minor"/>
      </rPr>
      <t>K1</t>
    </r>
  </si>
  <si>
    <r>
      <t>G</t>
    </r>
    <r>
      <rPr>
        <b/>
        <sz val="8"/>
        <color theme="1"/>
        <rFont val="Calibri"/>
        <family val="2"/>
        <scheme val="minor"/>
      </rPr>
      <t>K2</t>
    </r>
  </si>
  <si>
    <r>
      <t>Q</t>
    </r>
    <r>
      <rPr>
        <b/>
        <sz val="8"/>
        <color theme="1"/>
        <rFont val="Calibri"/>
        <family val="2"/>
        <scheme val="minor"/>
      </rPr>
      <t>K</t>
    </r>
  </si>
  <si>
    <t>Forza normale alla base</t>
  </si>
  <si>
    <t>V</t>
  </si>
  <si>
    <t>Forza parallela al lato lungo</t>
  </si>
  <si>
    <t>Hx</t>
  </si>
  <si>
    <t>Forza parallela al lato corto</t>
  </si>
  <si>
    <t>Hy</t>
  </si>
  <si>
    <t>Momento che arrotola attorna al lato corto</t>
  </si>
  <si>
    <t>Mx</t>
  </si>
  <si>
    <t>Momento che arrotola attorno al lato lungo</t>
  </si>
  <si>
    <t>My</t>
  </si>
  <si>
    <t>Forza tagliante combinata</t>
  </si>
  <si>
    <t>H</t>
  </si>
  <si>
    <t>OSSERVAZIONE</t>
  </si>
  <si>
    <t xml:space="preserve">La verifica sulla capacità portante della fondazione è riferita solo alla risultante verticale "V". </t>
  </si>
  <si>
    <t xml:space="preserve">L'introduzione delle forze orizzontali produce modifiche sui coefficienti "i" e sulle dimensioni </t>
  </si>
  <si>
    <t>B* e L* ricavate dalla regola di Meyerhof. A sua volta queste modifiche ripercuotono i propri</t>
  </si>
  <si>
    <t>effetti sul carico limite del terreno.</t>
  </si>
  <si>
    <t xml:space="preserve">RIEPILOGO DEI COEFFICIENTI </t>
  </si>
  <si>
    <t>STR</t>
  </si>
  <si>
    <t>GEO</t>
  </si>
  <si>
    <t>A1</t>
  </si>
  <si>
    <t>A2</t>
  </si>
  <si>
    <t>APPROCCIO 1 --- Combinazione (A1+M1+R1)</t>
  </si>
  <si>
    <t>APPROCCIO 1 --- Combinazione (A2+M2+R2)</t>
  </si>
  <si>
    <t xml:space="preserve"> APPROCCIO 2 --- Combinazione (A1+M1+R3)</t>
  </si>
  <si>
    <t>UNITARIA</t>
  </si>
  <si>
    <t>M1</t>
  </si>
  <si>
    <t>M2</t>
  </si>
  <si>
    <r>
      <t>Tan(ϕ')</t>
    </r>
    <r>
      <rPr>
        <b/>
        <sz val="8"/>
        <color theme="1"/>
        <rFont val="Calibri"/>
        <family val="2"/>
        <scheme val="minor"/>
      </rPr>
      <t>,k</t>
    </r>
  </si>
  <si>
    <r>
      <t>c'</t>
    </r>
    <r>
      <rPr>
        <b/>
        <sz val="8"/>
        <color theme="1"/>
        <rFont val="Calibri"/>
        <family val="2"/>
        <scheme val="minor"/>
      </rPr>
      <t>,k</t>
    </r>
  </si>
  <si>
    <t xml:space="preserve">SISMICA </t>
  </si>
  <si>
    <r>
      <t>cu</t>
    </r>
    <r>
      <rPr>
        <b/>
        <sz val="8"/>
        <color theme="1"/>
        <rFont val="Calibri"/>
        <family val="2"/>
        <scheme val="minor"/>
      </rPr>
      <t>,k</t>
    </r>
  </si>
  <si>
    <r>
      <t>ϒ</t>
    </r>
    <r>
      <rPr>
        <b/>
        <sz val="8"/>
        <color theme="1"/>
        <rFont val="Calibri"/>
        <family val="2"/>
      </rPr>
      <t>,k</t>
    </r>
  </si>
  <si>
    <t>R1</t>
  </si>
  <si>
    <t>R2</t>
  </si>
  <si>
    <t>R3</t>
  </si>
  <si>
    <t>capacità portante</t>
  </si>
  <si>
    <t>scorrimento</t>
  </si>
  <si>
    <t>2.DATI FONDAZIONE</t>
  </si>
  <si>
    <t>Lato corto</t>
  </si>
  <si>
    <t>B</t>
  </si>
  <si>
    <t>Lato lungo</t>
  </si>
  <si>
    <t>Altezza del fondazione</t>
  </si>
  <si>
    <r>
      <t>Mx</t>
    </r>
    <r>
      <rPr>
        <b/>
        <sz val="9"/>
        <color theme="1"/>
        <rFont val="Calibri"/>
        <family val="2"/>
        <scheme val="minor"/>
      </rPr>
      <t>,d</t>
    </r>
  </si>
  <si>
    <r>
      <rPr>
        <b/>
        <sz val="11"/>
        <color theme="1"/>
        <rFont val="Calibri"/>
        <family val="2"/>
        <scheme val="minor"/>
      </rPr>
      <t xml:space="preserve">NB --&gt; </t>
    </r>
    <r>
      <rPr>
        <sz val="11"/>
        <color theme="1"/>
        <rFont val="Calibri"/>
        <family val="2"/>
        <scheme val="minor"/>
      </rPr>
      <t>Nel caso di assenza di falda inserire un valore maggiore di Hscorrimento =</t>
    </r>
  </si>
  <si>
    <t>L*</t>
  </si>
  <si>
    <r>
      <rPr>
        <sz val="16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</rPr>
      <t>L</t>
    </r>
  </si>
  <si>
    <t>LUNGHEZZA DELLA ZATTERA DALL'ASSE DEL MURO- LATO LIBERO</t>
  </si>
  <si>
    <t>LUNGHEZZA DELLA ZATTERA DALL'ASSE DEL MURO- LATO TERRENO</t>
  </si>
  <si>
    <r>
      <t>σ</t>
    </r>
    <r>
      <rPr>
        <b/>
        <sz val="8"/>
        <rFont val="Calibri"/>
        <family val="2"/>
      </rPr>
      <t>(inc)</t>
    </r>
    <r>
      <rPr>
        <b/>
        <sz val="11"/>
        <rFont val="Calibri"/>
        <family val="2"/>
      </rPr>
      <t xml:space="preserve"> [kN/m²]</t>
    </r>
  </si>
  <si>
    <r>
      <t>σ</t>
    </r>
    <r>
      <rPr>
        <b/>
        <vertAlign val="subscript"/>
        <sz val="11"/>
        <rFont val="Calibri"/>
        <family val="2"/>
      </rPr>
      <t>tmax</t>
    </r>
    <r>
      <rPr>
        <b/>
        <sz val="11"/>
        <rFont val="Calibri"/>
        <family val="2"/>
      </rPr>
      <t xml:space="preserve"> [kN/m²]</t>
    </r>
  </si>
  <si>
    <t>Reazione del terreno</t>
  </si>
  <si>
    <r>
      <t>U</t>
    </r>
    <r>
      <rPr>
        <b/>
        <sz val="8"/>
        <rFont val="Calibri"/>
        <family val="2"/>
        <scheme val="minor"/>
      </rPr>
      <t>d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[m]</t>
    </r>
  </si>
  <si>
    <t>e [m]</t>
  </si>
  <si>
    <t>B/6 [m]</t>
  </si>
  <si>
    <r>
      <t>q</t>
    </r>
    <r>
      <rPr>
        <b/>
        <vertAlign val="subscript"/>
        <sz val="11"/>
        <rFont val="Calibri"/>
        <family val="2"/>
      </rPr>
      <t>lato,libero</t>
    </r>
    <r>
      <rPr>
        <b/>
        <sz val="11"/>
        <rFont val="Calibri"/>
        <family val="2"/>
      </rPr>
      <t xml:space="preserve"> [kN/m]</t>
    </r>
  </si>
  <si>
    <t>CARICO INDOTTO DA SOPRA, escluso zattera</t>
  </si>
  <si>
    <t>SOLLECITAZIONI SLU:</t>
  </si>
  <si>
    <r>
      <t>q</t>
    </r>
    <r>
      <rPr>
        <b/>
        <vertAlign val="subscript"/>
        <sz val="11"/>
        <rFont val="Calibri"/>
        <family val="2"/>
      </rPr>
      <t>incastro</t>
    </r>
    <r>
      <rPr>
        <b/>
        <sz val="11"/>
        <rFont val="Calibri"/>
        <family val="2"/>
      </rPr>
      <t xml:space="preserve"> [kN/m]</t>
    </r>
  </si>
  <si>
    <t>CARICO INDOTTO zattera+muro</t>
  </si>
  <si>
    <t xml:space="preserve"> sollecitazioni mensola lato libero</t>
  </si>
  <si>
    <t>sollecitazioni</t>
  </si>
  <si>
    <t>LUNG PAR</t>
  </si>
  <si>
    <t>m</t>
  </si>
  <si>
    <t>mensola lato terra</t>
  </si>
  <si>
    <t>Tensione media</t>
  </si>
  <si>
    <r>
      <t>σ</t>
    </r>
    <r>
      <rPr>
        <b/>
        <sz val="9"/>
        <color theme="1"/>
        <rFont val="Calibri"/>
        <family val="2"/>
      </rPr>
      <t>medio</t>
    </r>
  </si>
  <si>
    <t>Tensione lato di valle</t>
  </si>
  <si>
    <r>
      <t>σ</t>
    </r>
    <r>
      <rPr>
        <b/>
        <sz val="9"/>
        <color theme="1"/>
        <rFont val="Calibri"/>
        <family val="2"/>
      </rPr>
      <t>monte</t>
    </r>
  </si>
  <si>
    <t>Tensione lato terreno</t>
  </si>
  <si>
    <r>
      <t>σ</t>
    </r>
    <r>
      <rPr>
        <b/>
        <sz val="9"/>
        <color theme="1"/>
        <rFont val="Calibri"/>
        <family val="2"/>
      </rPr>
      <t>valle</t>
    </r>
  </si>
  <si>
    <t>NON DRENATE</t>
  </si>
  <si>
    <t>con sovraspinta dell'acqua</t>
  </si>
  <si>
    <t>fess traz</t>
  </si>
  <si>
    <t>grafici tensioni terreno</t>
  </si>
  <si>
    <t>z0</t>
  </si>
  <si>
    <r>
      <t>σ</t>
    </r>
    <r>
      <rPr>
        <b/>
        <vertAlign val="subscript"/>
        <sz val="12"/>
        <rFont val="Calibri"/>
        <family val="2"/>
      </rPr>
      <t>h</t>
    </r>
  </si>
  <si>
    <t>DRENATE</t>
  </si>
  <si>
    <r>
      <t xml:space="preserve">Grafico condizioni non drenate: </t>
    </r>
    <r>
      <rPr>
        <b/>
        <u/>
        <sz val="11"/>
        <color theme="1"/>
        <rFont val="Calibri"/>
        <family val="2"/>
        <scheme val="minor"/>
      </rPr>
      <t>Acceso</t>
    </r>
  </si>
  <si>
    <t>1° strato:    limi-argille</t>
  </si>
  <si>
    <r>
      <t>σ</t>
    </r>
    <r>
      <rPr>
        <b/>
        <vertAlign val="subscript"/>
        <sz val="12"/>
        <rFont val="Calibri"/>
        <family val="2"/>
      </rPr>
      <t>v</t>
    </r>
  </si>
  <si>
    <r>
      <t xml:space="preserve">Grafico condizioni non drenate: </t>
    </r>
    <r>
      <rPr>
        <b/>
        <u/>
        <sz val="11"/>
        <color theme="1"/>
        <rFont val="Calibri"/>
        <family val="2"/>
        <scheme val="minor"/>
      </rPr>
      <t>Spento</t>
    </r>
  </si>
  <si>
    <t>1°strato: ghiaia-sabbie</t>
  </si>
  <si>
    <t>Grafico condizioni drenate: Acceso</t>
  </si>
  <si>
    <t>2° strato:    limi-argille</t>
  </si>
  <si>
    <t>Grafico condizioni drenate: Spento</t>
  </si>
  <si>
    <t>2°strato: ghiaia-sabbie</t>
  </si>
  <si>
    <t>Grafico condizioni non drenate con sovraspinta acqua nelle fessure di trazione:  Acceso</t>
  </si>
  <si>
    <t>3° strato:    limi-argille</t>
  </si>
  <si>
    <t>Grafico condizioni non drenate con sovraspinta acqua nelle fessure di trazione: Spento</t>
  </si>
  <si>
    <t>3°strato: ghiaia-sabbie</t>
  </si>
  <si>
    <t>Grafico condizioni drenate con sovraspinta acqua nelle fessure di trazione: Acceso</t>
  </si>
  <si>
    <t>Strato di fondazione:        limi-argille</t>
  </si>
  <si>
    <t>Grafico condizioni drenate con sovraspinta acqua nelle fessure di trazione: Spento</t>
  </si>
  <si>
    <t>Strato di fondazione:      ghiaia-sabbie</t>
  </si>
  <si>
    <t>Rankine</t>
  </si>
  <si>
    <t>kv</t>
  </si>
  <si>
    <t>Muller-Breslau</t>
  </si>
  <si>
    <t>Terreno a permeabilità elevata</t>
  </si>
  <si>
    <t>Lancellotta</t>
  </si>
  <si>
    <t>Terreno a bassa permeabilità</t>
  </si>
  <si>
    <t>Mononobe Okabe K(kv+)</t>
  </si>
  <si>
    <t>Mononobe Okabe K(kv-)</t>
  </si>
  <si>
    <t>Mononobe Okabe</t>
  </si>
  <si>
    <t>K(kv+)</t>
  </si>
  <si>
    <t>K(kv-)</t>
  </si>
  <si>
    <r>
      <rPr>
        <b/>
        <sz val="11"/>
        <color theme="1"/>
        <rFont val="Calibri"/>
        <family val="2"/>
      </rPr>
      <t>ϑ</t>
    </r>
    <r>
      <rPr>
        <b/>
        <sz val="11"/>
        <color theme="1"/>
        <rFont val="Calibri"/>
        <family val="2"/>
        <scheme val="minor"/>
      </rPr>
      <t>(kv+)</t>
    </r>
  </si>
  <si>
    <r>
      <rPr>
        <b/>
        <sz val="11"/>
        <color theme="1"/>
        <rFont val="Calibri"/>
        <family val="2"/>
      </rPr>
      <t>ϑ</t>
    </r>
    <r>
      <rPr>
        <b/>
        <sz val="11"/>
        <color theme="1"/>
        <rFont val="Calibri"/>
        <family val="2"/>
        <scheme val="minor"/>
      </rPr>
      <t>(kv-)</t>
    </r>
  </si>
  <si>
    <t>Kh</t>
  </si>
  <si>
    <t>Kv</t>
  </si>
  <si>
    <t>parametri sismici</t>
  </si>
  <si>
    <t>β</t>
  </si>
  <si>
    <t>C8/10</t>
  </si>
  <si>
    <t>Fe B450C</t>
  </si>
  <si>
    <t>SS</t>
  </si>
  <si>
    <t>CC</t>
  </si>
  <si>
    <t>ST</t>
  </si>
  <si>
    <t>T1</t>
  </si>
  <si>
    <t>PENDENZA DELLA COSTOLA</t>
  </si>
  <si>
    <t>C12/15</t>
  </si>
  <si>
    <t>Fe B44k</t>
  </si>
  <si>
    <t>T2</t>
  </si>
  <si>
    <t>C16/20</t>
  </si>
  <si>
    <t>C</t>
  </si>
  <si>
    <t>T3</t>
  </si>
  <si>
    <t>C20/25</t>
  </si>
  <si>
    <t>D</t>
  </si>
  <si>
    <t>T4</t>
  </si>
  <si>
    <t>INCLINAZIONE DELLE COSTOLE / PARAMENTO</t>
  </si>
  <si>
    <t>ψ</t>
  </si>
  <si>
    <t>C25/30</t>
  </si>
  <si>
    <t>E</t>
  </si>
  <si>
    <t>C28/35</t>
  </si>
  <si>
    <t>C32/40</t>
  </si>
  <si>
    <t>C35/45</t>
  </si>
  <si>
    <t>Asse del paramento</t>
  </si>
  <si>
    <t>C40/50</t>
  </si>
  <si>
    <t>Ewd</t>
  </si>
  <si>
    <t>Filo dx del paramento</t>
  </si>
  <si>
    <t>C45/55</t>
  </si>
  <si>
    <t>Fine del tratto inclinato</t>
  </si>
  <si>
    <t>C50/60</t>
  </si>
  <si>
    <t>ALTEZZA FINALE DELLA COSTOLA</t>
  </si>
  <si>
    <r>
      <t>h</t>
    </r>
    <r>
      <rPr>
        <b/>
        <vertAlign val="subscript"/>
        <sz val="11"/>
        <rFont val="Calibri"/>
        <family val="2"/>
      </rPr>
      <t>fc</t>
    </r>
    <r>
      <rPr>
        <b/>
        <sz val="11"/>
        <rFont val="Calibri"/>
        <family val="2"/>
      </rPr>
      <t xml:space="preserve"> </t>
    </r>
  </si>
  <si>
    <t>categoria di sottosuolo</t>
  </si>
  <si>
    <t>ALTEZZA FINALE DELLA SEZIONE</t>
  </si>
  <si>
    <t>B,C,D,E</t>
  </si>
  <si>
    <r>
      <t>γ</t>
    </r>
    <r>
      <rPr>
        <b/>
        <i/>
        <sz val="8"/>
        <color theme="1"/>
        <rFont val="Calibri"/>
        <family val="2"/>
        <scheme val="minor"/>
      </rPr>
      <t>G1</t>
    </r>
  </si>
  <si>
    <t>lunghezza netta zattera</t>
  </si>
  <si>
    <t>bm</t>
  </si>
  <si>
    <r>
      <t>γ</t>
    </r>
    <r>
      <rPr>
        <b/>
        <i/>
        <sz val="8"/>
        <color theme="1"/>
        <rFont val="Calibri"/>
        <family val="2"/>
        <scheme val="minor"/>
      </rPr>
      <t>G2</t>
    </r>
  </si>
  <si>
    <t>grandezze geometriche derivate</t>
  </si>
  <si>
    <t>0.2&lt;ag&lt;=0.4</t>
  </si>
  <si>
    <r>
      <t>γ</t>
    </r>
    <r>
      <rPr>
        <b/>
        <i/>
        <sz val="8"/>
        <color theme="1"/>
        <rFont val="Calibri"/>
        <family val="2"/>
        <scheme val="minor"/>
      </rPr>
      <t>Qk</t>
    </r>
  </si>
  <si>
    <t>0.1&lt;ag&lt;=0.2</t>
  </si>
  <si>
    <t>MOLTIPLICATORE PER LE SPINTE</t>
  </si>
  <si>
    <t>ag&lt;=0.1</t>
  </si>
  <si>
    <r>
      <t>β</t>
    </r>
    <r>
      <rPr>
        <sz val="8"/>
        <color theme="1"/>
        <rFont val="Calibri"/>
        <family val="2"/>
      </rPr>
      <t>m</t>
    </r>
  </si>
  <si>
    <t>Condizione di verifica:</t>
  </si>
  <si>
    <t>STATICA</t>
  </si>
  <si>
    <t>Quota della falda</t>
  </si>
  <si>
    <t>1 CARATTERISITCHE DEI MATERIALI</t>
  </si>
  <si>
    <t>1.1 Calcestruzzo</t>
  </si>
  <si>
    <t>Classe del calcestruzzo</t>
  </si>
  <si>
    <t>Peso specifico del calcestruzzo</t>
  </si>
  <si>
    <r>
      <rPr>
        <b/>
        <sz val="11"/>
        <rFont val="Times New Roman"/>
        <family val="1"/>
      </rPr>
      <t>γ</t>
    </r>
    <r>
      <rPr>
        <b/>
        <vertAlign val="subscript"/>
        <sz val="11"/>
        <rFont val="Calibri"/>
        <family val="2"/>
      </rPr>
      <t>cls</t>
    </r>
    <r>
      <rPr>
        <b/>
        <sz val="11"/>
        <rFont val="Calibri"/>
        <family val="2"/>
      </rPr>
      <t xml:space="preserve"> </t>
    </r>
  </si>
  <si>
    <t>Altezza del sottofondo in magrone</t>
  </si>
  <si>
    <r>
      <t>H</t>
    </r>
    <r>
      <rPr>
        <b/>
        <sz val="8"/>
        <color theme="1"/>
        <rFont val="Calibri"/>
        <family val="2"/>
        <scheme val="minor"/>
      </rPr>
      <t>mag</t>
    </r>
  </si>
  <si>
    <t>Resistenza cubica caratteristica</t>
  </si>
  <si>
    <r>
      <t>R</t>
    </r>
    <r>
      <rPr>
        <b/>
        <sz val="8"/>
        <color theme="1"/>
        <rFont val="Calibri"/>
        <family val="2"/>
        <scheme val="minor"/>
      </rPr>
      <t>c,k</t>
    </r>
  </si>
  <si>
    <t>Resistenza cilindrica media</t>
  </si>
  <si>
    <r>
      <t>f</t>
    </r>
    <r>
      <rPr>
        <b/>
        <sz val="8"/>
        <color theme="1"/>
        <rFont val="Calibri"/>
        <family val="2"/>
        <scheme val="minor"/>
      </rPr>
      <t>c,m</t>
    </r>
  </si>
  <si>
    <t>Resistenza cilindrica caratteristica</t>
  </si>
  <si>
    <r>
      <t>f</t>
    </r>
    <r>
      <rPr>
        <b/>
        <sz val="8"/>
        <color theme="1"/>
        <rFont val="Calibri"/>
        <family val="2"/>
        <scheme val="minor"/>
      </rPr>
      <t>c,k</t>
    </r>
  </si>
  <si>
    <t>Resistenza cilindrica di calcolo</t>
  </si>
  <si>
    <r>
      <t>f</t>
    </r>
    <r>
      <rPr>
        <b/>
        <sz val="8"/>
        <color theme="1"/>
        <rFont val="Calibri"/>
        <family val="2"/>
        <scheme val="minor"/>
      </rPr>
      <t>c,d</t>
    </r>
  </si>
  <si>
    <t>Resistenza a trazione caratteristica</t>
  </si>
  <si>
    <r>
      <t>f</t>
    </r>
    <r>
      <rPr>
        <b/>
        <sz val="8"/>
        <color theme="1"/>
        <rFont val="Calibri"/>
        <family val="2"/>
        <scheme val="minor"/>
      </rPr>
      <t>ct,m</t>
    </r>
  </si>
  <si>
    <t>Resistenza a trazione media</t>
  </si>
  <si>
    <r>
      <t>f</t>
    </r>
    <r>
      <rPr>
        <b/>
        <sz val="8"/>
        <color theme="1"/>
        <rFont val="Calibri"/>
        <family val="2"/>
        <scheme val="minor"/>
      </rPr>
      <t>ct,k</t>
    </r>
  </si>
  <si>
    <t>Resistenza a trazione di calcolo</t>
  </si>
  <si>
    <r>
      <t>f</t>
    </r>
    <r>
      <rPr>
        <b/>
        <sz val="8"/>
        <color theme="1"/>
        <rFont val="Calibri"/>
        <family val="2"/>
        <scheme val="minor"/>
      </rPr>
      <t>ct,d</t>
    </r>
  </si>
  <si>
    <t>Resistenza tangenziale di calcolo</t>
  </si>
  <si>
    <r>
      <t>f</t>
    </r>
    <r>
      <rPr>
        <b/>
        <sz val="9"/>
        <color theme="1"/>
        <rFont val="Calibri"/>
        <family val="2"/>
        <scheme val="minor"/>
      </rPr>
      <t>b,d</t>
    </r>
  </si>
  <si>
    <t xml:space="preserve">Modulo di Young </t>
  </si>
  <si>
    <r>
      <t>E</t>
    </r>
    <r>
      <rPr>
        <b/>
        <sz val="9"/>
        <color theme="1"/>
        <rFont val="Calibri"/>
        <family val="2"/>
        <scheme val="minor"/>
      </rPr>
      <t>c</t>
    </r>
  </si>
  <si>
    <t>1.2 Acciaio</t>
  </si>
  <si>
    <t>Tipo di acciaio</t>
  </si>
  <si>
    <r>
      <t>f</t>
    </r>
    <r>
      <rPr>
        <b/>
        <sz val="8"/>
        <color theme="1"/>
        <rFont val="Calibri"/>
        <family val="2"/>
        <scheme val="minor"/>
      </rPr>
      <t>y,d</t>
    </r>
  </si>
  <si>
    <t>TROVA I PARAMETRI SISMICI (ag; F0;TC*)</t>
  </si>
  <si>
    <t>Accelerazione massima su suolo rigido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</si>
  <si>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g</t>
    </r>
  </si>
  <si>
    <t>Coefficiente di amplificazione spettrale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</si>
  <si>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O</t>
    </r>
  </si>
  <si>
    <t>Periodo di inizio tratto a velocità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</si>
  <si>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</si>
  <si>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Categoria di sottosuolo</t>
  </si>
  <si>
    <t>Categoria topografica</t>
  </si>
  <si>
    <t>Accelerazione di gravità</t>
  </si>
  <si>
    <t>g</t>
  </si>
  <si>
    <t>Accelerazione orizzontale  riferita al suolo rigido adimensionale</t>
  </si>
  <si>
    <r>
      <t>a</t>
    </r>
    <r>
      <rPr>
        <b/>
        <sz val="8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>/g</t>
    </r>
  </si>
  <si>
    <t>Coefficiente di amplificazione topografica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</si>
  <si>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</si>
  <si>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Coefficiente di amplificazione stratigrafica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</si>
  <si>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</si>
  <si>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Prodotto S</t>
    </r>
    <r>
      <rPr>
        <sz val="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*S</t>
    </r>
    <r>
      <rPr>
        <sz val="8"/>
        <color theme="1"/>
        <rFont val="Calibri"/>
        <family val="2"/>
        <scheme val="minor"/>
      </rPr>
      <t>T</t>
    </r>
  </si>
  <si>
    <t>S</t>
  </si>
  <si>
    <t>Accelerazione orizzontale  riferita al sito adimensionale</t>
  </si>
  <si>
    <r>
      <t>a</t>
    </r>
    <r>
      <rPr>
        <b/>
        <sz val="8"/>
        <color theme="1"/>
        <rFont val="Calibri"/>
        <family val="2"/>
        <scheme val="minor"/>
      </rPr>
      <t>(max)</t>
    </r>
    <r>
      <rPr>
        <b/>
        <sz val="11"/>
        <color theme="1"/>
        <rFont val="Calibri"/>
        <family val="2"/>
        <scheme val="minor"/>
      </rPr>
      <t>/g</t>
    </r>
  </si>
  <si>
    <t>Coefficiente funzione della categoria di sottosuolo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</si>
  <si>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</si>
  <si>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Periodo del tratto ad accelerazione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</si>
  <si>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B</t>
    </r>
  </si>
  <si>
    <t>Periodo del tratto a velocità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</si>
  <si>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</si>
  <si>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Periodo del tratto a spostamento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</si>
  <si>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</si>
  <si>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Coefficiente di smorzamento viscoso</t>
  </si>
  <si>
    <t>Coefficiente di correzione per smorzamento viscoso diverso dal 5%</t>
  </si>
  <si>
    <t>h</t>
  </si>
  <si>
    <t>Coefficiente di riduzione dell’accelerazione massima attesa al sito</t>
  </si>
  <si>
    <r>
      <t>β</t>
    </r>
    <r>
      <rPr>
        <b/>
        <sz val="8"/>
        <color theme="1"/>
        <rFont val="Calibri"/>
        <family val="2"/>
      </rPr>
      <t>m</t>
    </r>
  </si>
  <si>
    <t>Coefficiente sismico orizzontale</t>
  </si>
  <si>
    <t>Coefficiente sismico verticale</t>
  </si>
  <si>
    <r>
      <t xml:space="preserve">Imporre </t>
    </r>
    <r>
      <rPr>
        <b/>
        <sz val="11"/>
        <color theme="1"/>
        <rFont val="Calibri"/>
        <family val="2"/>
        <scheme val="minor"/>
      </rPr>
      <t xml:space="preserve">βm </t>
    </r>
    <r>
      <rPr>
        <sz val="11"/>
        <color theme="1"/>
        <rFont val="Calibri"/>
        <family val="2"/>
        <scheme val="minor"/>
      </rPr>
      <t>unitario?</t>
    </r>
  </si>
  <si>
    <t>Spessore del paramento</t>
  </si>
  <si>
    <t>Numero di costole</t>
  </si>
  <si>
    <t>Spessore delle costole</t>
  </si>
  <si>
    <t>Distanza delle costole dal bordo esterno.</t>
  </si>
  <si>
    <t>Altezza iniziale della sezione (alla testa del paramento)</t>
  </si>
  <si>
    <r>
      <t>h</t>
    </r>
    <r>
      <rPr>
        <b/>
        <vertAlign val="subscript"/>
        <sz val="11"/>
        <rFont val="Calibri"/>
        <family val="2"/>
      </rPr>
      <t>iS</t>
    </r>
  </si>
  <si>
    <t>Altezza finale della sezione (alla base del paramento)</t>
  </si>
  <si>
    <r>
      <t>h</t>
    </r>
    <r>
      <rPr>
        <b/>
        <vertAlign val="subscript"/>
        <sz val="11"/>
        <rFont val="Calibri"/>
        <family val="2"/>
      </rPr>
      <t>fs</t>
    </r>
  </si>
  <si>
    <t>Altezza della zattera</t>
  </si>
  <si>
    <r>
      <t>h</t>
    </r>
    <r>
      <rPr>
        <b/>
        <vertAlign val="subscript"/>
        <sz val="11"/>
        <rFont val="Calibri"/>
        <family val="2"/>
      </rPr>
      <t>z</t>
    </r>
    <r>
      <rPr>
        <b/>
        <sz val="11"/>
        <rFont val="Calibri"/>
        <family val="2"/>
      </rPr>
      <t xml:space="preserve"> </t>
    </r>
  </si>
  <si>
    <t>Lunghezza netta della zattera lato SX</t>
  </si>
  <si>
    <r>
      <t>s</t>
    </r>
    <r>
      <rPr>
        <b/>
        <vertAlign val="subscript"/>
        <sz val="11"/>
        <rFont val="Calibri"/>
        <family val="2"/>
      </rPr>
      <t xml:space="preserve">z,sx </t>
    </r>
  </si>
  <si>
    <t>Lunghezza netta della zattera lato DX</t>
  </si>
  <si>
    <r>
      <t>s</t>
    </r>
    <r>
      <rPr>
        <b/>
        <vertAlign val="subscript"/>
        <sz val="11"/>
        <rFont val="Calibri"/>
        <family val="2"/>
      </rPr>
      <t xml:space="preserve">z,dx </t>
    </r>
  </si>
  <si>
    <t>Riferimento per definire la lunghezza netta di destra della zattera</t>
  </si>
  <si>
    <t>Spessore del dente</t>
  </si>
  <si>
    <r>
      <t>s</t>
    </r>
    <r>
      <rPr>
        <b/>
        <vertAlign val="subscript"/>
        <sz val="11"/>
        <rFont val="Calibri"/>
        <family val="2"/>
      </rPr>
      <t xml:space="preserve">d </t>
    </r>
  </si>
  <si>
    <t>Altezza del dente</t>
  </si>
  <si>
    <r>
      <t>h</t>
    </r>
    <r>
      <rPr>
        <b/>
        <vertAlign val="subscript"/>
        <sz val="11"/>
        <rFont val="Calibri"/>
        <family val="2"/>
      </rPr>
      <t>d</t>
    </r>
    <r>
      <rPr>
        <b/>
        <sz val="11"/>
        <rFont val="Calibri"/>
        <family val="2"/>
      </rPr>
      <t xml:space="preserve"> </t>
    </r>
  </si>
  <si>
    <t>Spostamento percentuale del dente rispetto all'origine degli assi</t>
  </si>
  <si>
    <r>
      <t>S</t>
    </r>
    <r>
      <rPr>
        <b/>
        <sz val="8"/>
        <rFont val="Calibri"/>
        <family val="2"/>
        <scheme val="minor"/>
      </rPr>
      <t>%</t>
    </r>
  </si>
  <si>
    <t>Posizione del baricentro del dente</t>
  </si>
  <si>
    <r>
      <t>X</t>
    </r>
    <r>
      <rPr>
        <b/>
        <sz val="8"/>
        <rFont val="Calibri"/>
        <family val="2"/>
        <scheme val="minor"/>
      </rPr>
      <t>g,dente</t>
    </r>
  </si>
  <si>
    <t>Altezza del muretto di colmo</t>
  </si>
  <si>
    <r>
      <t>h</t>
    </r>
    <r>
      <rPr>
        <b/>
        <vertAlign val="subscript"/>
        <sz val="11"/>
        <rFont val="Calibri"/>
        <family val="2"/>
      </rPr>
      <t>m</t>
    </r>
    <r>
      <rPr>
        <b/>
        <sz val="11"/>
        <rFont val="Calibri"/>
        <family val="2"/>
      </rPr>
      <t xml:space="preserve"> </t>
    </r>
  </si>
  <si>
    <t>Carico permanente non strutturale sul terreno</t>
  </si>
  <si>
    <r>
      <t>G</t>
    </r>
    <r>
      <rPr>
        <b/>
        <vertAlign val="subscript"/>
        <sz val="11"/>
        <rFont val="Calibri"/>
        <family val="2"/>
      </rPr>
      <t>qp</t>
    </r>
  </si>
  <si>
    <t>Carico varibile sul terreno</t>
  </si>
  <si>
    <r>
      <t>q</t>
    </r>
    <r>
      <rPr>
        <b/>
        <vertAlign val="subscript"/>
        <sz val="11"/>
        <rFont val="Calibri"/>
        <family val="2"/>
      </rPr>
      <t>qp</t>
    </r>
  </si>
  <si>
    <t>5.1.1 Inclinazione terreno</t>
  </si>
  <si>
    <t>Inclinazione del terreno a tergo del muro</t>
  </si>
  <si>
    <r>
      <t>ω</t>
    </r>
    <r>
      <rPr>
        <b/>
        <sz val="8"/>
        <color theme="1"/>
        <rFont val="Calibri"/>
        <family val="2"/>
      </rPr>
      <t>m</t>
    </r>
  </si>
  <si>
    <r>
      <t>ω</t>
    </r>
    <r>
      <rPr>
        <b/>
        <sz val="8"/>
        <color theme="1"/>
        <rFont val="Calibri"/>
        <family val="2"/>
      </rPr>
      <t>m%</t>
    </r>
  </si>
  <si>
    <t>Bisogna sempre partire dal primo strato</t>
  </si>
  <si>
    <t>Angolo di attrito</t>
  </si>
  <si>
    <t>Peso specifico del terreno a tergo del muro</t>
  </si>
  <si>
    <t>ϒ</t>
  </si>
  <si>
    <t>Coesione non drenata</t>
  </si>
  <si>
    <t>cu</t>
  </si>
  <si>
    <t>Coesione</t>
  </si>
  <si>
    <t>c'</t>
  </si>
  <si>
    <t>Altezza dello strato</t>
  </si>
  <si>
    <t>Z</t>
  </si>
  <si>
    <t>Attiva la falda:</t>
  </si>
  <si>
    <t>Quota della falda dal p.c. di monte</t>
  </si>
  <si>
    <r>
      <rPr>
        <b/>
        <sz val="14"/>
        <color theme="1"/>
        <rFont val="Calibri"/>
        <family val="2"/>
      </rPr>
      <t>H</t>
    </r>
    <r>
      <rPr>
        <b/>
        <sz val="9"/>
        <color theme="1"/>
        <rFont val="Calibri"/>
        <family val="2"/>
      </rPr>
      <t>falda</t>
    </r>
  </si>
  <si>
    <t>Peso specifico acqua</t>
  </si>
  <si>
    <r>
      <t>ϒ</t>
    </r>
    <r>
      <rPr>
        <b/>
        <sz val="8"/>
        <color theme="1"/>
        <rFont val="Calibri"/>
        <family val="2"/>
      </rPr>
      <t>w</t>
    </r>
  </si>
  <si>
    <t>5.1.4 Attrito</t>
  </si>
  <si>
    <t>Attiva attrito muro terreno</t>
  </si>
  <si>
    <t>5.1.5 Permeabilità del terreno</t>
  </si>
  <si>
    <t>quota max terreno</t>
  </si>
  <si>
    <t>Posizione del terreno</t>
  </si>
  <si>
    <t>Inclinazione piano posa</t>
  </si>
  <si>
    <t>Inclinazione piano campagna</t>
  </si>
  <si>
    <r>
      <t>ω</t>
    </r>
    <r>
      <rPr>
        <b/>
        <sz val="8"/>
        <color theme="1"/>
        <rFont val="Calibri"/>
        <family val="2"/>
      </rPr>
      <t>v</t>
    </r>
  </si>
  <si>
    <t>Resistenza a taglio non drenata</t>
  </si>
  <si>
    <t>Peso specifico del terreno sotto il piano di posa.</t>
  </si>
  <si>
    <t>Quota della falda dal piano campagna del lato libero</t>
  </si>
  <si>
    <t>Approccio e combinazione utilizzata:</t>
  </si>
  <si>
    <t>AZIONI</t>
  </si>
  <si>
    <t>GEOTECNICA</t>
  </si>
  <si>
    <t>M</t>
  </si>
  <si>
    <t>RESISTENZE</t>
  </si>
  <si>
    <t>R</t>
  </si>
  <si>
    <t xml:space="preserve">capacità portante </t>
  </si>
  <si>
    <t>Secondo la combinazione:</t>
  </si>
  <si>
    <t>2 TERRAPIENO</t>
  </si>
  <si>
    <t>Dati utilizzati nel calcolo</t>
  </si>
  <si>
    <r>
      <t>ϕ'</t>
    </r>
    <r>
      <rPr>
        <b/>
        <sz val="8"/>
        <color theme="1"/>
        <rFont val="Calibri"/>
        <family val="2"/>
      </rPr>
      <t>,d</t>
    </r>
  </si>
  <si>
    <r>
      <t>ϒ</t>
    </r>
    <r>
      <rPr>
        <b/>
        <sz val="8"/>
        <color theme="1"/>
        <rFont val="Calibri"/>
        <family val="2"/>
      </rPr>
      <t>,d</t>
    </r>
  </si>
  <si>
    <t>cu,d</t>
  </si>
  <si>
    <t>c',d</t>
  </si>
  <si>
    <t>Angolo di attrito muro terreno</t>
  </si>
  <si>
    <t>δ,d</t>
  </si>
  <si>
    <t xml:space="preserve">Quota della falda </t>
  </si>
  <si>
    <t>ω</t>
  </si>
  <si>
    <r>
      <t>ω</t>
    </r>
    <r>
      <rPr>
        <b/>
        <sz val="8"/>
        <color theme="1"/>
        <rFont val="Calibri"/>
        <family val="2"/>
      </rPr>
      <t>%</t>
    </r>
  </si>
  <si>
    <r>
      <t>H</t>
    </r>
    <r>
      <rPr>
        <b/>
        <sz val="8"/>
        <color theme="1"/>
        <rFont val="Calibri"/>
        <family val="2"/>
      </rPr>
      <t>tot</t>
    </r>
  </si>
  <si>
    <t>Altezza di calcolo del terreno</t>
  </si>
  <si>
    <t xml:space="preserve">Inclinazione del paramento </t>
  </si>
  <si>
    <t>Inserisci drenaggio a tergo del paramento</t>
  </si>
  <si>
    <t>3 CARICHI AGGIUNTIVI</t>
  </si>
  <si>
    <t>Carico variabile sul terreno</t>
  </si>
  <si>
    <t>4 TEORIA DI CALCOLO</t>
  </si>
  <si>
    <t>5 TENSIONI E SPINTE DI CALCOLO</t>
  </si>
  <si>
    <t>tensioni orizzontali</t>
  </si>
  <si>
    <t>Fessure di trazione</t>
  </si>
  <si>
    <r>
      <t>z</t>
    </r>
    <r>
      <rPr>
        <b/>
        <sz val="8"/>
        <color theme="1"/>
        <rFont val="Calibri"/>
        <family val="2"/>
        <scheme val="minor"/>
      </rPr>
      <t>,par</t>
    </r>
  </si>
  <si>
    <t>u</t>
  </si>
  <si>
    <t>γ z</t>
  </si>
  <si>
    <r>
      <t>σ</t>
    </r>
    <r>
      <rPr>
        <b/>
        <vertAlign val="subscript"/>
        <sz val="12"/>
        <rFont val="Calibri"/>
        <family val="2"/>
      </rPr>
      <t>v,terra</t>
    </r>
  </si>
  <si>
    <r>
      <t>σ</t>
    </r>
    <r>
      <rPr>
        <b/>
        <vertAlign val="subscript"/>
        <sz val="12"/>
        <rFont val="Calibri"/>
        <family val="2"/>
      </rPr>
      <t>v,G2</t>
    </r>
  </si>
  <si>
    <r>
      <t>σ</t>
    </r>
    <r>
      <rPr>
        <b/>
        <vertAlign val="subscript"/>
        <sz val="12"/>
        <rFont val="Calibri"/>
        <family val="2"/>
      </rPr>
      <t>v,Qk</t>
    </r>
  </si>
  <si>
    <r>
      <t>γ</t>
    </r>
    <r>
      <rPr>
        <b/>
        <sz val="8"/>
        <color rgb="FFFF0000"/>
        <rFont val="Calibri"/>
        <family val="2"/>
      </rPr>
      <t>G1</t>
    </r>
    <r>
      <rPr>
        <b/>
        <sz val="12"/>
        <color rgb="FFFF0000"/>
        <rFont val="Calibri"/>
        <family val="2"/>
      </rPr>
      <t xml:space="preserve"> x σ</t>
    </r>
    <r>
      <rPr>
        <b/>
        <vertAlign val="subscript"/>
        <sz val="12"/>
        <color rgb="FFFF0000"/>
        <rFont val="Calibri"/>
        <family val="2"/>
      </rPr>
      <t xml:space="preserve">h,terra </t>
    </r>
  </si>
  <si>
    <r>
      <t>γ</t>
    </r>
    <r>
      <rPr>
        <b/>
        <sz val="8"/>
        <color rgb="FFFF0000"/>
        <rFont val="Calibri"/>
        <family val="2"/>
      </rPr>
      <t>G2</t>
    </r>
    <r>
      <rPr>
        <b/>
        <sz val="12"/>
        <color rgb="FFFF0000"/>
        <rFont val="Calibri"/>
        <family val="2"/>
      </rPr>
      <t xml:space="preserve"> x σ</t>
    </r>
    <r>
      <rPr>
        <b/>
        <vertAlign val="subscript"/>
        <sz val="12"/>
        <color rgb="FFFF0000"/>
        <rFont val="Calibri"/>
        <family val="2"/>
      </rPr>
      <t>h,G2</t>
    </r>
  </si>
  <si>
    <r>
      <t>γ</t>
    </r>
    <r>
      <rPr>
        <b/>
        <sz val="8"/>
        <color rgb="FFFF0000"/>
        <rFont val="Calibri"/>
        <family val="2"/>
      </rPr>
      <t>Qk</t>
    </r>
    <r>
      <rPr>
        <b/>
        <sz val="12"/>
        <color rgb="FFFF0000"/>
        <rFont val="Calibri"/>
        <family val="2"/>
      </rPr>
      <t xml:space="preserve"> x σ</t>
    </r>
    <r>
      <rPr>
        <b/>
        <vertAlign val="subscript"/>
        <sz val="12"/>
        <color rgb="FFFF0000"/>
        <rFont val="Calibri"/>
        <family val="2"/>
      </rPr>
      <t>h,Qk</t>
    </r>
  </si>
  <si>
    <r>
      <t>∑σ</t>
    </r>
    <r>
      <rPr>
        <b/>
        <vertAlign val="subscript"/>
        <sz val="12"/>
        <rFont val="Calibri"/>
        <family val="2"/>
      </rPr>
      <t>v</t>
    </r>
  </si>
  <si>
    <r>
      <t>∑σ</t>
    </r>
    <r>
      <rPr>
        <b/>
        <vertAlign val="subscript"/>
        <sz val="12"/>
        <rFont val="Calibri"/>
        <family val="2"/>
      </rPr>
      <t>h</t>
    </r>
  </si>
  <si>
    <r>
      <t>M</t>
    </r>
    <r>
      <rPr>
        <b/>
        <sz val="8"/>
        <color rgb="FFFF0000"/>
        <rFont val="Calibri"/>
        <family val="2"/>
      </rPr>
      <t>r</t>
    </r>
  </si>
  <si>
    <t>Profondità</t>
  </si>
  <si>
    <t>Pressione dell'acqua</t>
  </si>
  <si>
    <t>2 c' √KA</t>
  </si>
  <si>
    <t>PANNELLO DI COMANDO PER GRAFICO TENSIONI ORIZZONTALI</t>
  </si>
  <si>
    <t xml:space="preserve">Lunghezza totale della zattera </t>
  </si>
  <si>
    <r>
      <t>L</t>
    </r>
    <r>
      <rPr>
        <sz val="8"/>
        <color theme="1"/>
        <rFont val="Calibri"/>
        <family val="2"/>
        <scheme val="minor"/>
      </rPr>
      <t>z</t>
    </r>
  </si>
  <si>
    <t>Coordiante Spettro</t>
  </si>
  <si>
    <t>T</t>
  </si>
  <si>
    <t xml:space="preserve">Se(T) </t>
  </si>
  <si>
    <t>s</t>
  </si>
  <si>
    <r>
      <t>m/s</t>
    </r>
    <r>
      <rPr>
        <b/>
        <sz val="11"/>
        <color theme="1"/>
        <rFont val="Times New Roman"/>
        <family val="1"/>
      </rPr>
      <t>²</t>
    </r>
  </si>
  <si>
    <t>Acc. Spettro orizzontale elastico</t>
  </si>
  <si>
    <t>Periodi fondamentali</t>
  </si>
  <si>
    <t xml:space="preserve">Se (0) 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</si>
  <si>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</si>
  <si>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Se (T</t>
    </r>
    <r>
      <rPr>
        <sz val="8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) </t>
    </r>
  </si>
  <si>
    <r>
      <t>Se (T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) </t>
    </r>
  </si>
  <si>
    <r>
      <t>Se (T</t>
    </r>
    <r>
      <rPr>
        <sz val="8"/>
        <color theme="1"/>
        <rFont val="Calibri"/>
        <family val="2"/>
      </rPr>
      <t>D</t>
    </r>
    <r>
      <rPr>
        <sz val="11"/>
        <color theme="1"/>
        <rFont val="Calibri"/>
        <family val="2"/>
      </rPr>
      <t xml:space="preserve">) </t>
    </r>
  </si>
  <si>
    <t>Grafico condizioni non drenate: Acceso</t>
  </si>
  <si>
    <r>
      <t>M</t>
    </r>
    <r>
      <rPr>
        <b/>
        <sz val="8"/>
        <color rgb="FFFF0000"/>
        <rFont val="Calibri"/>
        <family val="2"/>
      </rPr>
      <t>r, tot</t>
    </r>
  </si>
  <si>
    <r>
      <t>Sh,</t>
    </r>
    <r>
      <rPr>
        <b/>
        <sz val="8"/>
        <color rgb="FFFF0000"/>
        <rFont val="Calibri"/>
        <family val="2"/>
        <scheme val="minor"/>
      </rPr>
      <t>tot X</t>
    </r>
  </si>
  <si>
    <t>Vuoi utilizzare valori unitari del coefficiente ?</t>
  </si>
  <si>
    <t>d</t>
  </si>
  <si>
    <t>PHI-THETA(+)</t>
  </si>
  <si>
    <t>PHI-THETA(-)</t>
  </si>
  <si>
    <t>Wood</t>
  </si>
  <si>
    <t>kh</t>
  </si>
  <si>
    <t>Spinta a riposo</t>
  </si>
  <si>
    <t>Coefficienti di spinta attiva secondo la teoria di:</t>
  </si>
  <si>
    <t>1 COMBINAZIONE DI CALCOLO E PARAMETRI SISMICI</t>
  </si>
  <si>
    <t xml:space="preserve">Coefficiente di riduzione dell’accelerazione </t>
  </si>
  <si>
    <r>
      <t>H</t>
    </r>
    <r>
      <rPr>
        <b/>
        <sz val="8"/>
        <color theme="1"/>
        <rFont val="Calibri"/>
        <family val="2"/>
      </rPr>
      <t>cal</t>
    </r>
  </si>
  <si>
    <r>
      <t>γ</t>
    </r>
    <r>
      <rPr>
        <b/>
        <i/>
        <sz val="9"/>
        <color theme="1"/>
        <rFont val="Calibri"/>
        <family val="2"/>
        <scheme val="minor"/>
      </rPr>
      <t>G1</t>
    </r>
  </si>
  <si>
    <r>
      <t>γ</t>
    </r>
    <r>
      <rPr>
        <b/>
        <i/>
        <sz val="9"/>
        <color theme="1"/>
        <rFont val="Calibri"/>
        <family val="2"/>
        <scheme val="minor"/>
      </rPr>
      <t>G2</t>
    </r>
  </si>
  <si>
    <r>
      <t>γ</t>
    </r>
    <r>
      <rPr>
        <b/>
        <i/>
        <sz val="9"/>
        <color theme="1"/>
        <rFont val="Calibri"/>
        <family val="2"/>
        <scheme val="minor"/>
      </rPr>
      <t>Qk</t>
    </r>
  </si>
  <si>
    <t>asse neutro</t>
  </si>
  <si>
    <t>Rispetto al centro di rotazione</t>
  </si>
  <si>
    <t>Rispetto all'origine degli assi</t>
  </si>
  <si>
    <t>ZattSx</t>
  </si>
  <si>
    <t>ZattDx</t>
  </si>
  <si>
    <t>inc</t>
  </si>
  <si>
    <t>O.A.</t>
  </si>
  <si>
    <t>segno tens</t>
  </si>
  <si>
    <t>tensioni terreno real</t>
  </si>
  <si>
    <t>q</t>
  </si>
  <si>
    <t>segno</t>
  </si>
  <si>
    <t>pend</t>
  </si>
  <si>
    <r>
      <t>S</t>
    </r>
    <r>
      <rPr>
        <b/>
        <sz val="8"/>
        <color rgb="FFFF0000"/>
        <rFont val="Calibri"/>
        <family val="2"/>
      </rPr>
      <t>h,terra</t>
    </r>
  </si>
  <si>
    <r>
      <t>S</t>
    </r>
    <r>
      <rPr>
        <b/>
        <sz val="8"/>
        <color rgb="FFFF0000"/>
        <rFont val="Calibri"/>
        <family val="2"/>
      </rPr>
      <t>h,G2</t>
    </r>
  </si>
  <si>
    <r>
      <t>S</t>
    </r>
    <r>
      <rPr>
        <b/>
        <sz val="8"/>
        <color rgb="FFFF0000"/>
        <rFont val="Calibri"/>
        <family val="2"/>
      </rPr>
      <t>h,Qk</t>
    </r>
  </si>
  <si>
    <r>
      <t>γ</t>
    </r>
    <r>
      <rPr>
        <b/>
        <sz val="8"/>
        <color rgb="FFFF0000"/>
        <rFont val="Calibri"/>
        <family val="2"/>
      </rPr>
      <t>G1</t>
    </r>
    <r>
      <rPr>
        <b/>
        <sz val="12"/>
        <color rgb="FFFF0000"/>
        <rFont val="Calibri"/>
        <family val="2"/>
      </rPr>
      <t/>
    </r>
  </si>
  <si>
    <r>
      <t>γ</t>
    </r>
    <r>
      <rPr>
        <b/>
        <sz val="8"/>
        <color rgb="FFFF0000"/>
        <rFont val="Calibri"/>
        <family val="2"/>
      </rPr>
      <t>G2</t>
    </r>
    <r>
      <rPr>
        <b/>
        <sz val="12"/>
        <color rgb="FFFF0000"/>
        <rFont val="Calibri"/>
        <family val="2"/>
      </rPr>
      <t xml:space="preserve"> </t>
    </r>
  </si>
  <si>
    <r>
      <t>γ</t>
    </r>
    <r>
      <rPr>
        <b/>
        <sz val="8"/>
        <color rgb="FFFF0000"/>
        <rFont val="Calibri"/>
        <family val="2"/>
      </rPr>
      <t>Qk</t>
    </r>
    <r>
      <rPr>
        <b/>
        <sz val="12"/>
        <color rgb="FFFF0000"/>
        <rFont val="Calibri"/>
        <family val="2"/>
      </rPr>
      <t xml:space="preserve"> </t>
    </r>
  </si>
  <si>
    <r>
      <t>σ</t>
    </r>
    <r>
      <rPr>
        <b/>
        <vertAlign val="subscript"/>
        <sz val="12"/>
        <color rgb="FFFF0000"/>
        <rFont val="Calibri"/>
        <family val="2"/>
      </rPr>
      <t xml:space="preserve">h,terra </t>
    </r>
  </si>
  <si>
    <r>
      <t>σ</t>
    </r>
    <r>
      <rPr>
        <b/>
        <vertAlign val="subscript"/>
        <sz val="12"/>
        <color rgb="FFFF0000"/>
        <rFont val="Calibri"/>
        <family val="2"/>
      </rPr>
      <t>h,G2</t>
    </r>
  </si>
  <si>
    <r>
      <t>σ</t>
    </r>
    <r>
      <rPr>
        <b/>
        <vertAlign val="subscript"/>
        <sz val="12"/>
        <color rgb="FFFF0000"/>
        <rFont val="Calibri"/>
        <family val="2"/>
      </rPr>
      <t>h,Qk</t>
    </r>
  </si>
  <si>
    <r>
      <t>γ</t>
    </r>
    <r>
      <rPr>
        <b/>
        <sz val="8"/>
        <color rgb="FFFF0000"/>
        <rFont val="Calibri"/>
        <family val="2"/>
      </rPr>
      <t>G1</t>
    </r>
    <r>
      <rPr>
        <b/>
        <sz val="12"/>
        <color rgb="FFFF0000"/>
        <rFont val="Calibri"/>
        <family val="2"/>
      </rPr>
      <t xml:space="preserve"> x S</t>
    </r>
    <r>
      <rPr>
        <b/>
        <vertAlign val="subscript"/>
        <sz val="12"/>
        <color rgb="FFFF0000"/>
        <rFont val="Calibri"/>
        <family val="2"/>
      </rPr>
      <t xml:space="preserve">h,terra </t>
    </r>
  </si>
  <si>
    <r>
      <t>γ</t>
    </r>
    <r>
      <rPr>
        <b/>
        <sz val="8"/>
        <color rgb="FFFF0000"/>
        <rFont val="Calibri"/>
        <family val="2"/>
      </rPr>
      <t>G2</t>
    </r>
    <r>
      <rPr>
        <b/>
        <sz val="12"/>
        <color rgb="FFFF0000"/>
        <rFont val="Calibri"/>
        <family val="2"/>
      </rPr>
      <t xml:space="preserve"> x S</t>
    </r>
    <r>
      <rPr>
        <b/>
        <vertAlign val="subscript"/>
        <sz val="12"/>
        <color rgb="FFFF0000"/>
        <rFont val="Calibri"/>
        <family val="2"/>
      </rPr>
      <t>h,G2</t>
    </r>
  </si>
  <si>
    <r>
      <t>γ</t>
    </r>
    <r>
      <rPr>
        <b/>
        <sz val="8"/>
        <color rgb="FFFF0000"/>
        <rFont val="Calibri"/>
        <family val="2"/>
      </rPr>
      <t>Qk</t>
    </r>
    <r>
      <rPr>
        <b/>
        <sz val="12"/>
        <color rgb="FFFF0000"/>
        <rFont val="Calibri"/>
        <family val="2"/>
      </rPr>
      <t xml:space="preserve"> x S</t>
    </r>
    <r>
      <rPr>
        <b/>
        <vertAlign val="subscript"/>
        <sz val="12"/>
        <color rgb="FFFF0000"/>
        <rFont val="Calibri"/>
        <family val="2"/>
      </rPr>
      <t>h,Qk</t>
    </r>
  </si>
  <si>
    <r>
      <t>∑S</t>
    </r>
    <r>
      <rPr>
        <b/>
        <sz val="8"/>
        <color rgb="FFFF0000"/>
        <rFont val="Calibri"/>
        <family val="2"/>
      </rPr>
      <t>h</t>
    </r>
  </si>
  <si>
    <r>
      <t>∑S</t>
    </r>
    <r>
      <rPr>
        <b/>
        <sz val="8"/>
        <color rgb="FFFF0000"/>
        <rFont val="Calibri"/>
        <family val="2"/>
      </rPr>
      <t>h, X</t>
    </r>
  </si>
  <si>
    <r>
      <t>∑S</t>
    </r>
    <r>
      <rPr>
        <b/>
        <sz val="8"/>
        <color rgb="FFFF0000"/>
        <rFont val="Calibri"/>
        <family val="2"/>
      </rPr>
      <t>h, Y</t>
    </r>
  </si>
  <si>
    <t>tensioni risultanti</t>
  </si>
  <si>
    <t>Coefficienti amplificativi</t>
  </si>
  <si>
    <t>Spinte di calcolo</t>
  </si>
  <si>
    <t xml:space="preserve">2 cu </t>
  </si>
  <si>
    <t>phi,check</t>
  </si>
  <si>
    <t>gamma,check</t>
  </si>
  <si>
    <t>cu,check</t>
  </si>
  <si>
    <t>c',check</t>
  </si>
  <si>
    <r>
      <t xml:space="preserve"> σ</t>
    </r>
    <r>
      <rPr>
        <b/>
        <vertAlign val="subscript"/>
        <sz val="12"/>
        <color rgb="FFFF0000"/>
        <rFont val="Calibri"/>
        <family val="2"/>
      </rPr>
      <t>h,G2</t>
    </r>
  </si>
  <si>
    <t>Spinte e momenti</t>
  </si>
  <si>
    <r>
      <t>M</t>
    </r>
    <r>
      <rPr>
        <b/>
        <sz val="8"/>
        <color rgb="FFFF0000"/>
        <rFont val="Calibri"/>
        <family val="2"/>
      </rPr>
      <t>r,d</t>
    </r>
  </si>
  <si>
    <r>
      <t>M</t>
    </r>
    <r>
      <rPr>
        <b/>
        <sz val="8"/>
        <color rgb="FFFF0000"/>
        <rFont val="Calibri"/>
        <family val="2"/>
      </rPr>
      <t>r, tot car</t>
    </r>
  </si>
  <si>
    <t>VALORI PURIFICATI DA GAMMA</t>
  </si>
  <si>
    <t>Larghezza del muro</t>
  </si>
  <si>
    <r>
      <t>1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kv</t>
    </r>
  </si>
  <si>
    <t>anteriore</t>
  </si>
  <si>
    <r>
      <t>ϒ</t>
    </r>
    <r>
      <rPr>
        <b/>
        <sz val="8"/>
        <color theme="1"/>
        <rFont val="Calibri"/>
        <family val="2"/>
      </rPr>
      <t>f,sotto</t>
    </r>
  </si>
  <si>
    <r>
      <t>ϒ</t>
    </r>
    <r>
      <rPr>
        <b/>
        <sz val="8"/>
        <color theme="1"/>
        <rFont val="Calibri"/>
        <family val="2"/>
      </rPr>
      <t>f,sopra</t>
    </r>
  </si>
  <si>
    <t>terreno monte</t>
  </si>
  <si>
    <t>terreno valle</t>
  </si>
  <si>
    <t>Peso specifico del terreno sopra la zattera dal lato di valle</t>
  </si>
  <si>
    <t>Affondamento della zattera, misurato rispetto al piano di posa</t>
  </si>
  <si>
    <t>sigma terra tergo</t>
  </si>
  <si>
    <t>sigma terra valle</t>
  </si>
  <si>
    <t>CARICO INDOTTO DA SOPRA, terreno lato valle</t>
  </si>
  <si>
    <t>Ka</t>
  </si>
  <si>
    <t>Inclinazione del paramento (complementare)</t>
  </si>
  <si>
    <t>STRATO 1</t>
  </si>
  <si>
    <t>STRATO 3</t>
  </si>
  <si>
    <t>STRATO 2</t>
  </si>
  <si>
    <t>Resoconto coefficienti di Spinta Attiva</t>
  </si>
  <si>
    <t>5.1 Output grafico " Tensioni risultanti amplificate dai coefficienti γ "</t>
  </si>
  <si>
    <t>carico del muro</t>
  </si>
  <si>
    <t>coef</t>
  </si>
  <si>
    <t>inerz</t>
  </si>
  <si>
    <t>acq din</t>
  </si>
  <si>
    <t xml:space="preserve">Coefficiente di amplificazione spettrale </t>
  </si>
  <si>
    <t>altezza della sezione(problema numerico!)</t>
  </si>
  <si>
    <t>Paraghiaia</t>
  </si>
  <si>
    <t>tensioni orizzontali totali</t>
  </si>
  <si>
    <t>tensioni verticali totali</t>
  </si>
  <si>
    <t>cond drenate</t>
  </si>
  <si>
    <t>cond non drenate</t>
  </si>
  <si>
    <r>
      <t>σ'</t>
    </r>
    <r>
      <rPr>
        <b/>
        <vertAlign val="subscript"/>
        <sz val="12"/>
        <rFont val="Calibri"/>
        <family val="2"/>
      </rPr>
      <t>v,terra</t>
    </r>
  </si>
  <si>
    <t>tensioni verticali efficaci</t>
  </si>
  <si>
    <t>Muro a contrafforti</t>
  </si>
  <si>
    <t>Muro a paramento inclinato</t>
  </si>
  <si>
    <t>Muro a paramento verticale</t>
  </si>
  <si>
    <t>Loess</t>
  </si>
  <si>
    <t>Sabbia e ghiaia compatta</t>
  </si>
  <si>
    <t>Sabbia e ghiaia sciolta</t>
  </si>
  <si>
    <t>Sabbia compatta</t>
  </si>
  <si>
    <t>Sabbia sciolta</t>
  </si>
  <si>
    <t>Sabbia limosa</t>
  </si>
  <si>
    <t>Limo</t>
  </si>
  <si>
    <t>Argilla sabbiosa</t>
  </si>
  <si>
    <t>Argilla dura (non sature)</t>
  </si>
  <si>
    <t>Argilla media</t>
  </si>
  <si>
    <t xml:space="preserve">Argilla  molle </t>
  </si>
  <si>
    <t>Argilla molto molle (sature)</t>
  </si>
  <si>
    <t>ν</t>
  </si>
  <si>
    <t>medio</t>
  </si>
  <si>
    <t>min</t>
  </si>
  <si>
    <t>max</t>
  </si>
  <si>
    <t>M [kpa]</t>
  </si>
  <si>
    <t>Dr</t>
  </si>
  <si>
    <t>coefficiente di Poisson</t>
  </si>
  <si>
    <t>E [kpa]</t>
  </si>
  <si>
    <t>Kw</t>
  </si>
  <si>
    <t>Costante di Winkler</t>
  </si>
  <si>
    <t>Coefficiente di Poisson</t>
  </si>
  <si>
    <t>Modulo edometrico</t>
  </si>
  <si>
    <t>Modulo elastico</t>
  </si>
  <si>
    <t>Densità relativa</t>
  </si>
  <si>
    <t xml:space="preserve">Il calcolo della spinta viene effettuato sfruttando le varie teorie presenti in </t>
  </si>
  <si>
    <t>Si considera inoltre la spinta dell'acqua e la riduzione di spinta dovuta alla</t>
  </si>
  <si>
    <t xml:space="preserve">Spinte </t>
  </si>
  <si>
    <t>Spinte risultanti</t>
  </si>
  <si>
    <t>Questo programma esegue il calcolo delle spinte delle terre.</t>
  </si>
  <si>
    <t xml:space="preserve">coesione. </t>
  </si>
  <si>
    <t>a riposo e Wood.</t>
  </si>
  <si>
    <t>Profondità di calcolo</t>
  </si>
  <si>
    <r>
      <t>h</t>
    </r>
    <r>
      <rPr>
        <b/>
        <vertAlign val="subscript"/>
        <sz val="11"/>
        <rFont val="Calibri"/>
        <family val="2"/>
      </rPr>
      <t>s</t>
    </r>
  </si>
  <si>
    <t>1 PARAMETRI SISMICI SLV</t>
  </si>
  <si>
    <t>2 SOVRACCARICHI</t>
  </si>
  <si>
    <t>3 GEOTECNICA</t>
  </si>
  <si>
    <t>3.1 Stratigrafia terreno</t>
  </si>
  <si>
    <t>3.2 Falda</t>
  </si>
  <si>
    <t>3.3 Caratteristiche terreno</t>
  </si>
  <si>
    <t>4 SELEZIONE DELLA COMBINAZIONE</t>
  </si>
  <si>
    <t xml:space="preserve">letteratura: Rankine; Muller-Breslau; Lancellotta; Mononobe-Okabe, Spinta </t>
  </si>
  <si>
    <t>versione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</si>
</sst>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0.000"/>
    <numFmt numFmtId="165" formatCode="0.0"/>
    <numFmt numFmtId="166" formatCode="0.0000"/>
    <numFmt numFmtId="167" formatCode="0.000000"/>
    <numFmt numFmtId="168" formatCode="&quot;±&quot;\ 0.00"/>
    <numFmt numFmtId="169" formatCode="0.000000000"/>
    <numFmt numFmtId="170" formatCode="0.00&quot; m&quot;"/>
    <numFmt numFmtId="171" formatCode="0.00&quot; kN/m²&quot;"/>
    <numFmt numFmtId="172" formatCode="0.00&quot; °&quot;"/>
    <numFmt numFmtId="173" formatCode="0.000&quot; m&quot;"/>
    <numFmt numFmtId="174" formatCode="0.00&quot; kN/m³&quot;"/>
    <numFmt numFmtId="175" formatCode="0.00&quot; kPa&quot;"/>
    <numFmt numFmtId="176" formatCode="0&quot; %&quot;"/>
    <numFmt numFmtId="177" formatCode="0.0&quot; %&quot;"/>
    <numFmt numFmtId="178" formatCode="0.0&quot; kN/m³&quot;"/>
    <numFmt numFmtId="179" formatCode="0.0&quot; kPa&quot;"/>
    <numFmt numFmtId="180" formatCode="0.0&quot; kN&quot;"/>
    <numFmt numFmtId="181" formatCode="0.0&quot; kNm&quot;"/>
    <numFmt numFmtId="182" formatCode="0.000&quot; m/s²&quot;"/>
    <numFmt numFmtId="183" formatCode="0.000&quot; s&quot;"/>
    <numFmt numFmtId="184" formatCode="&quot;±&quot;\ 0.000"/>
    <numFmt numFmtId="185" formatCode="0.0000&quot; m&quot;"/>
    <numFmt numFmtId="186" formatCode="0.000&quot; kN&quot;"/>
    <numFmt numFmtId="187" formatCode="0.00&quot; kN/m&quot;"/>
    <numFmt numFmtId="188" formatCode="0.00&quot; N/mm²&quot;"/>
    <numFmt numFmtId="189" formatCode="0.0&quot; N/mm²&quot;"/>
    <numFmt numFmtId="190" formatCode="0&quot; N/mm²&quot;"/>
    <numFmt numFmtId="191" formatCode="0&quot; kPa&quot;"/>
    <numFmt numFmtId="192" formatCode="0.00000000000000000000000000000000"/>
    <numFmt numFmtId="193" formatCode="0.00000&quot; m&quot;"/>
    <numFmt numFmtId="194" formatCode="0.000000&quot; m&quot;"/>
    <numFmt numFmtId="195" formatCode="0.00000000&quot; m&quot;"/>
    <numFmt numFmtId="196" formatCode="0.000000000&quot; m&quot;"/>
    <numFmt numFmtId="197" formatCode="0&quot; N/cm³&quot;"/>
  </numFmts>
  <fonts count="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vertAlign val="subscript"/>
      <sz val="11"/>
      <name val="Calibri"/>
      <family val="2"/>
    </font>
    <font>
      <b/>
      <sz val="11"/>
      <name val="Calibri"/>
      <family val="2"/>
    </font>
    <font>
      <b/>
      <sz val="11"/>
      <color rgb="FF00B0F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4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</font>
    <font>
      <b/>
      <vertAlign val="subscript"/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vertAlign val="subscript"/>
      <sz val="12"/>
      <color rgb="FFFF0000"/>
      <name val="Calibri"/>
      <family val="2"/>
    </font>
    <font>
      <b/>
      <i/>
      <u/>
      <sz val="12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8"/>
      <color theme="1"/>
      <name val="Calibri"/>
      <family val="2"/>
    </font>
    <font>
      <b/>
      <u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color theme="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auto="1"/>
      </diagonal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Up="1">
      <left/>
      <right style="dotted">
        <color indexed="64"/>
      </right>
      <top/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>
      <left style="dotted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23">
    <xf numFmtId="0" fontId="0" fillId="0" borderId="0" xfId="0"/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8" fillId="0" borderId="0" xfId="0" applyFont="1"/>
    <xf numFmtId="0" fontId="1" fillId="0" borderId="0" xfId="0" applyFont="1" applyAlignment="1" applyProtection="1">
      <protection hidden="1"/>
    </xf>
    <xf numFmtId="0" fontId="0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165" fontId="0" fillId="0" borderId="12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7" xfId="0" applyBorder="1"/>
    <xf numFmtId="2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5" fillId="0" borderId="2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7" xfId="0" applyBorder="1" applyProtection="1"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2" fontId="32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Protection="1">
      <protection hidden="1"/>
    </xf>
    <xf numFmtId="0" fontId="6" fillId="0" borderId="16" xfId="0" applyFont="1" applyBorder="1" applyAlignment="1" applyProtection="1">
      <protection hidden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5" fillId="0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6" xfId="0" applyBorder="1" applyProtection="1">
      <protection hidden="1"/>
    </xf>
    <xf numFmtId="0" fontId="35" fillId="0" borderId="28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2" fontId="1" fillId="0" borderId="28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1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18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Protection="1"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67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0" fillId="0" borderId="0" xfId="0" applyFill="1"/>
    <xf numFmtId="0" fontId="0" fillId="3" borderId="0" xfId="0" applyFill="1" applyAlignment="1">
      <alignment horizontal="center" vertical="center"/>
    </xf>
    <xf numFmtId="0" fontId="0" fillId="0" borderId="0" xfId="0" applyFill="1" applyBorder="1"/>
    <xf numFmtId="0" fontId="0" fillId="6" borderId="0" xfId="0" applyFill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0" fontId="29" fillId="0" borderId="0" xfId="0" applyFont="1"/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2" fontId="35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/>
    <xf numFmtId="0" fontId="0" fillId="0" borderId="0" xfId="0" applyFill="1" applyBorder="1" applyProtection="1"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8" xfId="0" applyBorder="1"/>
    <xf numFmtId="0" fontId="0" fillId="0" borderId="9" xfId="0" applyBorder="1"/>
    <xf numFmtId="0" fontId="48" fillId="0" borderId="8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 applyProtection="1">
      <alignment horizontal="center" vertical="center"/>
      <protection locked="0"/>
    </xf>
    <xf numFmtId="174" fontId="0" fillId="0" borderId="1" xfId="0" applyNumberFormat="1" applyBorder="1" applyAlignment="1" applyProtection="1">
      <alignment horizontal="center" vertical="center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175" fontId="0" fillId="0" borderId="1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2" fontId="0" fillId="0" borderId="0" xfId="0" applyNumberFormat="1"/>
    <xf numFmtId="167" fontId="0" fillId="0" borderId="0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right"/>
    </xf>
    <xf numFmtId="167" fontId="0" fillId="0" borderId="7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2" fontId="0" fillId="5" borderId="0" xfId="0" applyNumberFormat="1" applyFill="1" applyProtection="1">
      <protection hidden="1"/>
    </xf>
    <xf numFmtId="0" fontId="0" fillId="2" borderId="0" xfId="0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Alignment="1">
      <alignment horizontal="left"/>
    </xf>
    <xf numFmtId="2" fontId="0" fillId="8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70" fontId="0" fillId="0" borderId="21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0" fontId="0" fillId="0" borderId="7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0" fillId="0" borderId="17" xfId="0" applyBorder="1"/>
    <xf numFmtId="179" fontId="0" fillId="0" borderId="0" xfId="0" applyNumberFormat="1" applyBorder="1" applyAlignment="1" applyProtection="1">
      <alignment horizontal="center" vertical="center"/>
      <protection locked="0"/>
    </xf>
    <xf numFmtId="179" fontId="0" fillId="0" borderId="7" xfId="0" applyNumberFormat="1" applyBorder="1" applyAlignment="1">
      <alignment horizontal="center" vertical="center"/>
    </xf>
    <xf numFmtId="179" fontId="0" fillId="0" borderId="7" xfId="0" applyNumberFormat="1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4" xfId="0" applyNumberFormat="1" applyBorder="1" applyAlignment="1" applyProtection="1">
      <alignment horizontal="center" vertical="center"/>
      <protection locked="0"/>
    </xf>
    <xf numFmtId="179" fontId="0" fillId="0" borderId="18" xfId="0" applyNumberFormat="1" applyBorder="1" applyAlignment="1" applyProtection="1">
      <alignment horizontal="center" vertical="center"/>
      <protection locked="0"/>
    </xf>
    <xf numFmtId="179" fontId="0" fillId="0" borderId="5" xfId="0" applyNumberFormat="1" applyBorder="1" applyAlignment="1" applyProtection="1">
      <alignment horizontal="center" vertical="center"/>
      <protection locked="0"/>
    </xf>
    <xf numFmtId="0" fontId="50" fillId="8" borderId="0" xfId="0" applyFont="1" applyFill="1" applyAlignment="1" applyProtection="1">
      <alignment horizontal="center" vertical="center"/>
      <protection hidden="1"/>
    </xf>
    <xf numFmtId="0" fontId="50" fillId="9" borderId="0" xfId="0" applyFont="1" applyFill="1" applyAlignment="1" applyProtection="1">
      <alignment horizontal="center" vertical="center"/>
      <protection hidden="1"/>
    </xf>
    <xf numFmtId="179" fontId="1" fillId="0" borderId="0" xfId="0" applyNumberFormat="1" applyFont="1" applyBorder="1" applyAlignment="1" applyProtection="1">
      <alignment horizontal="center" vertical="center"/>
      <protection locked="0"/>
    </xf>
    <xf numFmtId="17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center" vertical="center"/>
      <protection hidden="1"/>
    </xf>
    <xf numFmtId="170" fontId="0" fillId="0" borderId="17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1" fillId="0" borderId="18" xfId="0" applyNumberFormat="1" applyFont="1" applyBorder="1" applyAlignment="1" applyProtection="1">
      <alignment horizontal="center" vertical="center"/>
      <protection locked="0"/>
    </xf>
    <xf numFmtId="170" fontId="0" fillId="0" borderId="4" xfId="0" applyNumberFormat="1" applyBorder="1" applyAlignment="1">
      <alignment horizontal="center" vertical="center"/>
    </xf>
    <xf numFmtId="179" fontId="1" fillId="0" borderId="5" xfId="0" applyNumberFormat="1" applyFont="1" applyBorder="1" applyAlignment="1" applyProtection="1">
      <alignment horizontal="center" vertical="center"/>
      <protection locked="0"/>
    </xf>
    <xf numFmtId="0" fontId="0" fillId="6" borderId="0" xfId="0" applyFill="1"/>
    <xf numFmtId="0" fontId="51" fillId="0" borderId="9" xfId="0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0" fontId="0" fillId="0" borderId="4" xfId="0" applyBorder="1"/>
    <xf numFmtId="0" fontId="0" fillId="0" borderId="5" xfId="0" applyBorder="1"/>
    <xf numFmtId="170" fontId="0" fillId="0" borderId="17" xfId="0" applyNumberFormat="1" applyBorder="1"/>
    <xf numFmtId="2" fontId="0" fillId="0" borderId="0" xfId="0" applyNumberFormat="1" applyBorder="1"/>
    <xf numFmtId="170" fontId="0" fillId="0" borderId="0" xfId="0" applyNumberFormat="1" applyBorder="1"/>
    <xf numFmtId="2" fontId="0" fillId="0" borderId="18" xfId="0" applyNumberFormat="1" applyBorder="1"/>
    <xf numFmtId="170" fontId="0" fillId="0" borderId="4" xfId="0" applyNumberFormat="1" applyBorder="1"/>
    <xf numFmtId="2" fontId="0" fillId="0" borderId="7" xfId="0" applyNumberFormat="1" applyBorder="1"/>
    <xf numFmtId="170" fontId="0" fillId="0" borderId="7" xfId="0" applyNumberFormat="1" applyBorder="1"/>
    <xf numFmtId="2" fontId="0" fillId="0" borderId="5" xfId="0" applyNumberFormat="1" applyBorder="1"/>
    <xf numFmtId="164" fontId="0" fillId="0" borderId="3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53" fillId="0" borderId="0" xfId="0" applyFont="1" applyProtection="1">
      <protection hidden="1"/>
    </xf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 applyProtection="1">
      <protection hidden="1"/>
    </xf>
    <xf numFmtId="0" fontId="1" fillId="0" borderId="10" xfId="0" applyFont="1" applyBorder="1" applyAlignment="1" applyProtection="1">
      <protection hidden="1"/>
    </xf>
    <xf numFmtId="2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79" fontId="1" fillId="0" borderId="3" xfId="0" applyNumberFormat="1" applyFont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hidden="1"/>
    </xf>
    <xf numFmtId="179" fontId="1" fillId="0" borderId="20" xfId="0" applyNumberFormat="1" applyFont="1" applyBorder="1" applyAlignment="1" applyProtection="1">
      <alignment horizontal="center" vertical="center"/>
      <protection locked="0"/>
    </xf>
    <xf numFmtId="179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19" xfId="0" applyBorder="1"/>
    <xf numFmtId="0" fontId="50" fillId="0" borderId="0" xfId="0" applyFont="1"/>
    <xf numFmtId="0" fontId="6" fillId="0" borderId="0" xfId="0" applyFont="1" applyAlignment="1">
      <alignment horizontal="center" vertical="center"/>
    </xf>
    <xf numFmtId="0" fontId="51" fillId="0" borderId="12" xfId="0" applyFont="1" applyFill="1" applyBorder="1" applyAlignment="1" applyProtection="1">
      <alignment horizontal="center" vertical="center"/>
      <protection hidden="1"/>
    </xf>
    <xf numFmtId="0" fontId="0" fillId="0" borderId="2" xfId="0" applyBorder="1"/>
    <xf numFmtId="0" fontId="56" fillId="0" borderId="0" xfId="0" applyFont="1" applyAlignment="1" applyProtection="1">
      <alignment horizontal="right"/>
      <protection hidden="1"/>
    </xf>
    <xf numFmtId="0" fontId="0" fillId="0" borderId="7" xfId="0" applyBorder="1" applyAlignment="1"/>
    <xf numFmtId="0" fontId="51" fillId="0" borderId="0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164" fontId="0" fillId="0" borderId="12" xfId="0" applyNumberFormat="1" applyFont="1" applyBorder="1" applyAlignment="1" applyProtection="1">
      <alignment horizontal="center" vertical="center"/>
      <protection hidden="1"/>
    </xf>
    <xf numFmtId="164" fontId="3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0" fillId="0" borderId="6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1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>
      <alignment horizontal="left"/>
    </xf>
    <xf numFmtId="164" fontId="0" fillId="0" borderId="1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vertical="center"/>
    </xf>
    <xf numFmtId="185" fontId="0" fillId="0" borderId="29" xfId="0" applyNumberFormat="1" applyFon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0" fontId="0" fillId="0" borderId="2" xfId="0" applyBorder="1" applyProtection="1">
      <protection hidden="1"/>
    </xf>
    <xf numFmtId="2" fontId="32" fillId="0" borderId="6" xfId="0" applyNumberFormat="1" applyFont="1" applyFill="1" applyBorder="1" applyAlignment="1" applyProtection="1">
      <alignment horizontal="center" vertical="center"/>
      <protection hidden="1"/>
    </xf>
    <xf numFmtId="173" fontId="0" fillId="0" borderId="44" xfId="0" applyNumberFormat="1" applyBorder="1" applyAlignment="1">
      <alignment horizontal="center" vertical="center"/>
    </xf>
    <xf numFmtId="2" fontId="32" fillId="0" borderId="0" xfId="0" applyNumberFormat="1" applyFont="1" applyFill="1" applyBorder="1" applyAlignment="1" applyProtection="1">
      <alignment horizontal="center" vertical="center"/>
      <protection hidden="1"/>
    </xf>
    <xf numFmtId="185" fontId="0" fillId="0" borderId="45" xfId="0" applyNumberFormat="1" applyFill="1" applyBorder="1" applyAlignment="1">
      <alignment horizontal="center" vertical="center"/>
    </xf>
    <xf numFmtId="185" fontId="0" fillId="0" borderId="4" xfId="0" applyNumberFormat="1" applyBorder="1" applyAlignment="1">
      <alignment horizontal="center" vertical="center"/>
    </xf>
    <xf numFmtId="0" fontId="55" fillId="0" borderId="0" xfId="0" applyFont="1"/>
    <xf numFmtId="0" fontId="0" fillId="0" borderId="8" xfId="0" applyBorder="1" applyProtection="1">
      <protection hidden="1"/>
    </xf>
    <xf numFmtId="173" fontId="0" fillId="0" borderId="4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/>
    </xf>
    <xf numFmtId="181" fontId="0" fillId="0" borderId="0" xfId="0" applyNumberFormat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>
      <alignment horizontal="left" vertical="center"/>
    </xf>
    <xf numFmtId="175" fontId="0" fillId="0" borderId="0" xfId="0" applyNumberFormat="1" applyAlignment="1" applyProtection="1">
      <alignment horizontal="center"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175" fontId="0" fillId="0" borderId="0" xfId="0" applyNumberFormat="1"/>
    <xf numFmtId="0" fontId="0" fillId="0" borderId="0" xfId="0" applyAlignment="1">
      <alignment horizontal="left" vertical="center"/>
    </xf>
    <xf numFmtId="2" fontId="0" fillId="0" borderId="25" xfId="0" applyNumberFormat="1" applyBorder="1" applyProtection="1">
      <protection hidden="1"/>
    </xf>
    <xf numFmtId="175" fontId="0" fillId="0" borderId="0" xfId="0" applyNumberFormat="1" applyBorder="1" applyAlignment="1" applyProtection="1">
      <alignment horizontal="center" vertical="center"/>
      <protection hidden="1"/>
    </xf>
    <xf numFmtId="189" fontId="0" fillId="0" borderId="12" xfId="0" applyNumberFormat="1" applyFont="1" applyBorder="1" applyAlignment="1" applyProtection="1">
      <alignment horizontal="center" vertical="center"/>
      <protection hidden="1"/>
    </xf>
    <xf numFmtId="188" fontId="0" fillId="0" borderId="12" xfId="0" applyNumberFormat="1" applyFont="1" applyBorder="1" applyAlignment="1" applyProtection="1">
      <alignment horizontal="center" vertical="center"/>
      <protection hidden="1"/>
    </xf>
    <xf numFmtId="190" fontId="0" fillId="0" borderId="12" xfId="0" applyNumberFormat="1" applyFont="1" applyBorder="1" applyAlignment="1" applyProtection="1">
      <alignment horizontal="center" vertical="center"/>
      <protection hidden="1"/>
    </xf>
    <xf numFmtId="176" fontId="0" fillId="0" borderId="12" xfId="0" applyNumberFormat="1" applyBorder="1" applyAlignment="1" applyProtection="1">
      <alignment horizontal="center" vertical="center"/>
      <protection hidden="1"/>
    </xf>
    <xf numFmtId="0" fontId="61" fillId="0" borderId="1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protection hidden="1"/>
    </xf>
    <xf numFmtId="0" fontId="67" fillId="0" borderId="0" xfId="0" applyFont="1" applyProtection="1">
      <protection hidden="1"/>
    </xf>
    <xf numFmtId="0" fontId="2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/>
    <xf numFmtId="0" fontId="0" fillId="0" borderId="0" xfId="0" applyAlignment="1" applyProtection="1"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44" fillId="0" borderId="0" xfId="0" applyFont="1" applyProtection="1">
      <protection hidden="1"/>
    </xf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Fill="1" applyProtection="1"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0" fillId="0" borderId="10" xfId="0" applyBorder="1"/>
    <xf numFmtId="2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170" fontId="0" fillId="0" borderId="12" xfId="0" applyNumberFormat="1" applyFill="1" applyBorder="1" applyAlignment="1" applyProtection="1">
      <alignment horizontal="center" vertical="center"/>
      <protection hidden="1"/>
    </xf>
    <xf numFmtId="0" fontId="40" fillId="0" borderId="0" xfId="0" applyFont="1" applyFill="1" applyAlignment="1" applyProtection="1"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70" fontId="0" fillId="6" borderId="0" xfId="0" applyNumberFormat="1" applyFill="1" applyAlignment="1" applyProtection="1">
      <alignment horizontal="center" vertical="center"/>
      <protection hidden="1"/>
    </xf>
    <xf numFmtId="0" fontId="1" fillId="6" borderId="0" xfId="0" applyFont="1" applyFill="1"/>
    <xf numFmtId="173" fontId="0" fillId="0" borderId="12" xfId="0" applyNumberFormat="1" applyFill="1" applyBorder="1" applyAlignment="1" applyProtection="1">
      <alignment horizontal="center" vertical="center"/>
      <protection hidden="1"/>
    </xf>
    <xf numFmtId="0" fontId="51" fillId="0" borderId="5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 horizontal="left"/>
    </xf>
    <xf numFmtId="0" fontId="1" fillId="0" borderId="0" xfId="0" applyFont="1" applyFill="1" applyBorder="1" applyAlignment="1" applyProtection="1">
      <alignment horizontal="right"/>
      <protection hidden="1"/>
    </xf>
    <xf numFmtId="0" fontId="51" fillId="0" borderId="8" xfId="0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9" fontId="0" fillId="0" borderId="0" xfId="0" applyNumberFormat="1"/>
    <xf numFmtId="1" fontId="0" fillId="0" borderId="0" xfId="0" applyNumberFormat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9" fillId="0" borderId="18" xfId="0" applyFont="1" applyBorder="1"/>
    <xf numFmtId="0" fontId="29" fillId="0" borderId="5" xfId="0" applyFont="1" applyBorder="1"/>
    <xf numFmtId="0" fontId="15" fillId="0" borderId="0" xfId="0" applyFont="1" applyAlignment="1">
      <alignment horizontal="center" vertical="center"/>
    </xf>
    <xf numFmtId="170" fontId="0" fillId="0" borderId="12" xfId="0" applyNumberFormat="1" applyBorder="1" applyAlignment="1" applyProtection="1">
      <alignment horizontal="center" vertical="center"/>
      <protection hidden="1"/>
    </xf>
    <xf numFmtId="187" fontId="0" fillId="0" borderId="0" xfId="0" applyNumberFormat="1" applyBorder="1"/>
    <xf numFmtId="170" fontId="0" fillId="0" borderId="2" xfId="0" applyNumberFormat="1" applyBorder="1" applyAlignment="1">
      <alignment horizontal="center" vertical="center"/>
    </xf>
    <xf numFmtId="0" fontId="0" fillId="0" borderId="12" xfId="0" applyBorder="1"/>
    <xf numFmtId="170" fontId="0" fillId="0" borderId="12" xfId="0" applyNumberFormat="1" applyBorder="1"/>
    <xf numFmtId="164" fontId="0" fillId="0" borderId="12" xfId="0" applyNumberFormat="1" applyBorder="1"/>
    <xf numFmtId="2" fontId="0" fillId="0" borderId="12" xfId="0" applyNumberFormat="1" applyBorder="1" applyProtection="1">
      <protection hidden="1"/>
    </xf>
    <xf numFmtId="1" fontId="0" fillId="0" borderId="1" xfId="0" applyNumberFormat="1" applyBorder="1" applyAlignment="1" applyProtection="1">
      <alignment horizontal="center" vertical="center"/>
      <protection locked="0"/>
    </xf>
    <xf numFmtId="169" fontId="0" fillId="0" borderId="0" xfId="0" applyNumberFormat="1"/>
    <xf numFmtId="179" fontId="0" fillId="0" borderId="4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93" fontId="0" fillId="0" borderId="12" xfId="0" applyNumberFormat="1" applyBorder="1"/>
    <xf numFmtId="194" fontId="0" fillId="0" borderId="12" xfId="0" applyNumberFormat="1" applyBorder="1"/>
    <xf numFmtId="195" fontId="0" fillId="0" borderId="12" xfId="0" applyNumberFormat="1" applyBorder="1"/>
    <xf numFmtId="193" fontId="0" fillId="0" borderId="17" xfId="0" applyNumberFormat="1" applyBorder="1" applyAlignment="1">
      <alignment horizontal="center" vertical="center"/>
    </xf>
    <xf numFmtId="196" fontId="0" fillId="0" borderId="17" xfId="0" applyNumberFormat="1" applyBorder="1" applyAlignment="1">
      <alignment horizontal="center" vertical="center"/>
    </xf>
    <xf numFmtId="194" fontId="0" fillId="0" borderId="4" xfId="0" applyNumberForma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50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82" fontId="30" fillId="0" borderId="12" xfId="0" applyNumberFormat="1" applyFont="1" applyFill="1" applyBorder="1" applyAlignment="1" applyProtection="1">
      <alignment horizontal="center" vertical="center"/>
      <protection hidden="1"/>
    </xf>
    <xf numFmtId="183" fontId="30" fillId="0" borderId="12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 applyProtection="1">
      <alignment horizontal="center" vertical="center"/>
      <protection hidden="1"/>
    </xf>
    <xf numFmtId="172" fontId="0" fillId="0" borderId="1" xfId="0" applyNumberFormat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7" fontId="0" fillId="0" borderId="12" xfId="0" applyNumberFormat="1" applyBorder="1" applyAlignment="1" applyProtection="1">
      <alignment horizontal="center" vertical="center"/>
      <protection hidden="1"/>
    </xf>
    <xf numFmtId="191" fontId="0" fillId="0" borderId="12" xfId="0" applyNumberForma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1" xfId="0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wrapText="1"/>
      <protection hidden="1"/>
    </xf>
    <xf numFmtId="0" fontId="42" fillId="0" borderId="0" xfId="0" applyFont="1" applyProtection="1">
      <protection hidden="1"/>
    </xf>
    <xf numFmtId="172" fontId="0" fillId="0" borderId="12" xfId="0" applyNumberFormat="1" applyBorder="1" applyAlignment="1" applyProtection="1">
      <alignment horizontal="center" vertical="center"/>
      <protection hidden="1"/>
    </xf>
    <xf numFmtId="179" fontId="0" fillId="0" borderId="12" xfId="0" applyNumberFormat="1" applyBorder="1" applyAlignment="1" applyProtection="1">
      <alignment horizontal="center" vertical="center"/>
      <protection hidden="1"/>
    </xf>
    <xf numFmtId="179" fontId="0" fillId="0" borderId="21" xfId="0" applyNumberFormat="1" applyBorder="1" applyAlignment="1" applyProtection="1">
      <alignment horizontal="center" vertical="center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72" fontId="0" fillId="0" borderId="21" xfId="0" applyNumberFormat="1" applyBorder="1" applyAlignment="1" applyProtection="1">
      <alignment horizontal="center" vertical="center"/>
      <protection hidden="1"/>
    </xf>
    <xf numFmtId="170" fontId="0" fillId="0" borderId="9" xfId="0" applyNumberFormat="1" applyBorder="1" applyAlignment="1" applyProtection="1">
      <alignment horizontal="center"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171" fontId="0" fillId="0" borderId="21" xfId="0" applyNumberFormat="1" applyBorder="1" applyAlignment="1" applyProtection="1">
      <alignment horizontal="center" vertical="center"/>
      <protection hidden="1"/>
    </xf>
    <xf numFmtId="0" fontId="57" fillId="0" borderId="17" xfId="0" applyFont="1" applyFill="1" applyBorder="1" applyAlignment="1" applyProtection="1">
      <alignment wrapText="1"/>
      <protection hidden="1"/>
    </xf>
    <xf numFmtId="171" fontId="0" fillId="0" borderId="12" xfId="0" applyNumberForma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172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86" fontId="1" fillId="0" borderId="0" xfId="0" applyNumberFormat="1" applyFont="1" applyBorder="1" applyAlignment="1" applyProtection="1">
      <alignment horizontal="center" vertical="center"/>
      <protection hidden="1"/>
    </xf>
    <xf numFmtId="0" fontId="66" fillId="0" borderId="0" xfId="0" applyFont="1" applyProtection="1">
      <protection hidden="1"/>
    </xf>
    <xf numFmtId="180" fontId="1" fillId="0" borderId="0" xfId="0" applyNumberFormat="1" applyFont="1" applyBorder="1" applyAlignment="1" applyProtection="1">
      <alignment horizontal="center" vertical="center"/>
      <protection hidden="1"/>
    </xf>
    <xf numFmtId="178" fontId="0" fillId="0" borderId="0" xfId="0" applyNumberForma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50" fillId="0" borderId="0" xfId="0" applyFont="1" applyBorder="1" applyAlignment="1" applyProtection="1"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80" fontId="0" fillId="0" borderId="0" xfId="0" applyNumberFormat="1" applyBorder="1" applyAlignment="1" applyProtection="1">
      <alignment horizontal="center" vertical="center"/>
      <protection hidden="1"/>
    </xf>
    <xf numFmtId="180" fontId="0" fillId="0" borderId="0" xfId="0" applyNumberFormat="1" applyBorder="1" applyProtection="1">
      <protection hidden="1"/>
    </xf>
    <xf numFmtId="170" fontId="0" fillId="0" borderId="17" xfId="0" applyNumberFormat="1" applyBorder="1" applyAlignment="1" applyProtection="1">
      <alignment horizontal="center" vertical="center"/>
      <protection hidden="1"/>
    </xf>
    <xf numFmtId="179" fontId="0" fillId="0" borderId="0" xfId="0" applyNumberFormat="1" applyAlignment="1" applyProtection="1">
      <alignment horizontal="center" vertical="center"/>
      <protection hidden="1"/>
    </xf>
    <xf numFmtId="179" fontId="0" fillId="0" borderId="0" xfId="0" applyNumberFormat="1" applyBorder="1" applyAlignment="1" applyProtection="1">
      <alignment horizontal="center" vertical="center"/>
      <protection hidden="1"/>
    </xf>
    <xf numFmtId="179" fontId="0" fillId="0" borderId="18" xfId="0" applyNumberFormat="1" applyBorder="1" applyAlignment="1" applyProtection="1">
      <alignment horizontal="center" vertical="center"/>
      <protection hidden="1"/>
    </xf>
    <xf numFmtId="179" fontId="1" fillId="0" borderId="6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179" fontId="1" fillId="0" borderId="2" xfId="0" applyNumberFormat="1" applyFont="1" applyBorder="1" applyAlignment="1" applyProtection="1">
      <alignment horizontal="center" vertical="center"/>
      <protection hidden="1"/>
    </xf>
    <xf numFmtId="179" fontId="1" fillId="0" borderId="3" xfId="0" applyNumberFormat="1" applyFont="1" applyBorder="1" applyAlignment="1" applyProtection="1">
      <alignment horizontal="center" vertical="center"/>
      <protection hidden="1"/>
    </xf>
    <xf numFmtId="181" fontId="0" fillId="0" borderId="20" xfId="0" applyNumberFormat="1" applyBorder="1" applyAlignment="1" applyProtection="1">
      <alignment horizontal="center" vertical="center"/>
      <protection hidden="1"/>
    </xf>
    <xf numFmtId="165" fontId="0" fillId="0" borderId="17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80" fontId="0" fillId="0" borderId="17" xfId="0" applyNumberFormat="1" applyBorder="1" applyAlignment="1" applyProtection="1">
      <alignment horizontal="center" vertical="center"/>
      <protection hidden="1"/>
    </xf>
    <xf numFmtId="180" fontId="0" fillId="0" borderId="18" xfId="0" applyNumberFormat="1" applyBorder="1" applyAlignment="1" applyProtection="1">
      <alignment horizontal="center" vertical="center"/>
      <protection hidden="1"/>
    </xf>
    <xf numFmtId="170" fontId="0" fillId="0" borderId="4" xfId="0" applyNumberFormat="1" applyBorder="1" applyAlignment="1" applyProtection="1">
      <alignment horizontal="center" vertical="center"/>
      <protection hidden="1"/>
    </xf>
    <xf numFmtId="170" fontId="0" fillId="0" borderId="7" xfId="0" applyNumberFormat="1" applyBorder="1" applyAlignment="1" applyProtection="1">
      <alignment horizontal="center" vertical="center"/>
      <protection hidden="1"/>
    </xf>
    <xf numFmtId="179" fontId="0" fillId="0" borderId="7" xfId="0" applyNumberFormat="1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79" fontId="0" fillId="0" borderId="5" xfId="0" applyNumberFormat="1" applyBorder="1" applyAlignment="1" applyProtection="1">
      <alignment horizontal="center" vertical="center"/>
      <protection hidden="1"/>
    </xf>
    <xf numFmtId="179" fontId="0" fillId="0" borderId="4" xfId="0" applyNumberFormat="1" applyBorder="1" applyAlignment="1" applyProtection="1">
      <alignment horizontal="center" vertical="center"/>
      <protection hidden="1"/>
    </xf>
    <xf numFmtId="180" fontId="0" fillId="0" borderId="4" xfId="0" applyNumberFormat="1" applyBorder="1" applyAlignment="1" applyProtection="1">
      <alignment horizontal="center" vertical="center"/>
      <protection hidden="1"/>
    </xf>
    <xf numFmtId="180" fontId="0" fillId="0" borderId="7" xfId="0" applyNumberFormat="1" applyBorder="1" applyAlignment="1" applyProtection="1">
      <alignment horizontal="center" vertical="center"/>
      <protection hidden="1"/>
    </xf>
    <xf numFmtId="181" fontId="0" fillId="0" borderId="19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80" fontId="0" fillId="0" borderId="5" xfId="0" applyNumberFormat="1" applyBorder="1" applyAlignment="1" applyProtection="1">
      <alignment horizontal="center" vertical="center"/>
      <protection hidden="1"/>
    </xf>
    <xf numFmtId="180" fontId="0" fillId="0" borderId="19" xfId="0" applyNumberFormat="1" applyBorder="1" applyAlignment="1" applyProtection="1">
      <alignment horizontal="center" vertical="center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70" fontId="0" fillId="0" borderId="6" xfId="0" applyNumberFormat="1" applyBorder="1" applyAlignment="1" applyProtection="1">
      <alignment horizontal="center" vertical="center"/>
      <protection hidden="1"/>
    </xf>
    <xf numFmtId="181" fontId="1" fillId="0" borderId="0" xfId="0" applyNumberFormat="1" applyFont="1" applyBorder="1" applyAlignment="1" applyProtection="1">
      <alignment horizontal="center" vertical="center"/>
      <protection hidden="1"/>
    </xf>
    <xf numFmtId="179" fontId="1" fillId="0" borderId="0" xfId="0" applyNumberFormat="1" applyFont="1" applyBorder="1" applyAlignment="1" applyProtection="1">
      <alignment horizontal="center" vertical="center"/>
      <protection hidden="1"/>
    </xf>
    <xf numFmtId="179" fontId="4" fillId="0" borderId="0" xfId="0" applyNumberFormat="1" applyFont="1" applyBorder="1" applyAlignment="1" applyProtection="1">
      <alignment horizontal="center" vertical="center"/>
      <protection hidden="1"/>
    </xf>
    <xf numFmtId="180" fontId="1" fillId="0" borderId="0" xfId="0" applyNumberFormat="1" applyFont="1" applyFill="1" applyBorder="1" applyAlignment="1" applyProtection="1">
      <alignment horizontal="center" vertical="center"/>
      <protection hidden="1"/>
    </xf>
    <xf numFmtId="170" fontId="1" fillId="0" borderId="12" xfId="0" applyNumberFormat="1" applyFont="1" applyBorder="1" applyAlignment="1" applyProtection="1">
      <alignment horizontal="center" vertical="center"/>
      <protection hidden="1"/>
    </xf>
    <xf numFmtId="179" fontId="10" fillId="0" borderId="48" xfId="0" applyNumberFormat="1" applyFont="1" applyBorder="1" applyAlignment="1" applyProtection="1">
      <alignment horizontal="center" vertical="center"/>
      <protection hidden="1"/>
    </xf>
    <xf numFmtId="180" fontId="10" fillId="0" borderId="49" xfId="0" applyNumberFormat="1" applyFont="1" applyBorder="1" applyAlignment="1" applyProtection="1">
      <alignment horizontal="center" vertical="center"/>
      <protection hidden="1"/>
    </xf>
    <xf numFmtId="179" fontId="1" fillId="0" borderId="12" xfId="0" applyNumberFormat="1" applyFont="1" applyBorder="1" applyAlignment="1" applyProtection="1">
      <alignment horizontal="center" vertical="center"/>
      <protection hidden="1"/>
    </xf>
    <xf numFmtId="181" fontId="10" fillId="0" borderId="51" xfId="0" applyNumberFormat="1" applyFont="1" applyBorder="1" applyAlignment="1" applyProtection="1">
      <alignment horizontal="center" vertical="center"/>
      <protection hidden="1"/>
    </xf>
    <xf numFmtId="180" fontId="4" fillId="0" borderId="0" xfId="0" applyNumberFormat="1" applyFont="1" applyBorder="1" applyAlignment="1" applyProtection="1">
      <alignment horizontal="center" vertical="center"/>
      <protection hidden="1"/>
    </xf>
    <xf numFmtId="179" fontId="0" fillId="0" borderId="17" xfId="0" applyNumberFormat="1" applyBorder="1" applyAlignment="1" applyProtection="1">
      <alignment horizontal="center" vertical="center"/>
      <protection hidden="1"/>
    </xf>
    <xf numFmtId="179" fontId="0" fillId="0" borderId="3" xfId="0" applyNumberFormat="1" applyBorder="1" applyAlignment="1" applyProtection="1">
      <alignment horizontal="center" vertical="center"/>
      <protection hidden="1"/>
    </xf>
    <xf numFmtId="181" fontId="1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6" xfId="0" applyBorder="1" applyProtection="1">
      <protection hidden="1"/>
    </xf>
    <xf numFmtId="184" fontId="0" fillId="0" borderId="12" xfId="0" applyNumberFormat="1" applyBorder="1" applyAlignment="1" applyProtection="1">
      <alignment horizontal="center" vertical="center"/>
      <protection hidden="1"/>
    </xf>
    <xf numFmtId="184" fontId="0" fillId="0" borderId="0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protection hidden="1"/>
    </xf>
    <xf numFmtId="0" fontId="63" fillId="0" borderId="0" xfId="0" applyFont="1" applyAlignment="1" applyProtection="1">
      <alignment horizontal="center" vertical="center"/>
      <protection hidden="1"/>
    </xf>
    <xf numFmtId="173" fontId="0" fillId="0" borderId="35" xfId="0" applyNumberFormat="1" applyBorder="1" applyAlignment="1" applyProtection="1">
      <alignment horizontal="center" vertical="center"/>
      <protection hidden="1"/>
    </xf>
    <xf numFmtId="173" fontId="0" fillId="0" borderId="19" xfId="0" applyNumberForma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protection hidden="1"/>
    </xf>
    <xf numFmtId="170" fontId="0" fillId="0" borderId="0" xfId="0" applyNumberFormat="1" applyAlignment="1" applyProtection="1">
      <alignment horizontal="center"/>
      <protection hidden="1"/>
    </xf>
    <xf numFmtId="177" fontId="0" fillId="0" borderId="19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0" fontId="41" fillId="0" borderId="0" xfId="0" applyFont="1" applyFill="1" applyProtection="1">
      <protection hidden="1"/>
    </xf>
    <xf numFmtId="192" fontId="0" fillId="0" borderId="0" xfId="0" applyNumberFormat="1" applyAlignment="1" applyProtection="1">
      <protection hidden="1"/>
    </xf>
    <xf numFmtId="170" fontId="0" fillId="0" borderId="29" xfId="0" applyNumberFormat="1" applyBorder="1" applyAlignment="1" applyProtection="1">
      <alignment horizontal="center" vertical="center"/>
      <protection hidden="1"/>
    </xf>
    <xf numFmtId="0" fontId="71" fillId="0" borderId="12" xfId="0" applyFont="1" applyBorder="1" applyAlignment="1" applyProtection="1">
      <alignment horizontal="center" vertical="center"/>
      <protection hidden="1"/>
    </xf>
    <xf numFmtId="182" fontId="30" fillId="0" borderId="1" xfId="0" applyNumberFormat="1" applyFont="1" applyFill="1" applyBorder="1" applyAlignment="1" applyProtection="1">
      <alignment horizontal="center" vertical="center"/>
      <protection locked="0"/>
    </xf>
    <xf numFmtId="164" fontId="30" fillId="0" borderId="1" xfId="0" applyNumberFormat="1" applyFont="1" applyFill="1" applyBorder="1" applyAlignment="1" applyProtection="1">
      <alignment horizontal="center" vertical="center"/>
      <protection locked="0"/>
    </xf>
    <xf numFmtId="183" fontId="30" fillId="0" borderId="1" xfId="0" applyNumberFormat="1" applyFont="1" applyFill="1" applyBorder="1" applyAlignment="1" applyProtection="1">
      <alignment horizontal="center" vertical="center"/>
      <protection locked="0"/>
    </xf>
    <xf numFmtId="173" fontId="0" fillId="0" borderId="1" xfId="0" applyNumberFormat="1" applyBorder="1" applyAlignment="1" applyProtection="1">
      <alignment horizontal="center" vertical="center"/>
      <protection locked="0"/>
    </xf>
    <xf numFmtId="173" fontId="0" fillId="0" borderId="47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11" borderId="1" xfId="1" applyFill="1" applyBorder="1" applyAlignment="1">
      <alignment horizontal="center" vertical="center"/>
    </xf>
    <xf numFmtId="180" fontId="0" fillId="0" borderId="21" xfId="0" applyNumberFormat="1" applyBorder="1" applyAlignment="1" applyProtection="1">
      <alignment horizontal="center" vertical="center"/>
      <protection hidden="1"/>
    </xf>
    <xf numFmtId="180" fontId="0" fillId="0" borderId="20" xfId="0" applyNumberForma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 wrapText="1"/>
      <protection hidden="1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9" fillId="0" borderId="0" xfId="1" applyAlignment="1" applyProtection="1">
      <alignment horizontal="center"/>
      <protection locked="0"/>
    </xf>
    <xf numFmtId="0" fontId="19" fillId="0" borderId="0" xfId="1" applyAlignment="1" applyProtection="1">
      <alignment horizontal="center"/>
      <protection hidden="1"/>
    </xf>
    <xf numFmtId="0" fontId="72" fillId="12" borderId="0" xfId="0" applyFont="1" applyFill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 hidden="1"/>
    </xf>
    <xf numFmtId="0" fontId="39" fillId="0" borderId="17" xfId="0" applyFont="1" applyBorder="1" applyAlignment="1" applyProtection="1">
      <alignment horizontal="right" vertical="center"/>
      <protection hidden="1"/>
    </xf>
    <xf numFmtId="0" fontId="39" fillId="0" borderId="25" xfId="0" applyFont="1" applyBorder="1" applyAlignment="1" applyProtection="1">
      <alignment horizontal="right" vertical="center"/>
      <protection hidden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35" fillId="0" borderId="0" xfId="0" applyFont="1" applyFill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/>
      <protection hidden="1"/>
    </xf>
    <xf numFmtId="0" fontId="39" fillId="0" borderId="18" xfId="0" applyFont="1" applyBorder="1" applyAlignment="1" applyProtection="1">
      <alignment horizontal="center"/>
      <protection hidden="1"/>
    </xf>
    <xf numFmtId="0" fontId="43" fillId="0" borderId="18" xfId="0" applyFont="1" applyBorder="1" applyAlignment="1" applyProtection="1">
      <alignment horizontal="center" wrapText="1"/>
      <protection hidden="1"/>
    </xf>
    <xf numFmtId="0" fontId="43" fillId="0" borderId="5" xfId="0" applyFont="1" applyBorder="1" applyAlignment="1" applyProtection="1">
      <alignment horizontal="center" wrapText="1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2" xfId="0" applyFont="1" applyBorder="1" applyAlignment="1" applyProtection="1">
      <alignment horizontal="center"/>
      <protection hidden="1"/>
    </xf>
    <xf numFmtId="0" fontId="39" fillId="0" borderId="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9" borderId="40" xfId="0" applyFont="1" applyFill="1" applyBorder="1" applyAlignment="1" applyProtection="1">
      <alignment horizontal="center" vertical="center" textRotation="90" wrapText="1"/>
      <protection locked="0"/>
    </xf>
    <xf numFmtId="0" fontId="8" fillId="9" borderId="41" xfId="0" applyFont="1" applyFill="1" applyBorder="1" applyAlignment="1" applyProtection="1">
      <alignment horizontal="center" vertical="center" textRotation="90" wrapText="1"/>
      <protection locked="0"/>
    </xf>
    <xf numFmtId="0" fontId="8" fillId="9" borderId="16" xfId="0" applyFont="1" applyFill="1" applyBorder="1" applyAlignment="1" applyProtection="1">
      <alignment horizontal="center" vertical="center" textRotation="90" wrapText="1"/>
      <protection locked="0"/>
    </xf>
    <xf numFmtId="0" fontId="8" fillId="9" borderId="11" xfId="0" applyFont="1" applyFill="1" applyBorder="1" applyAlignment="1" applyProtection="1">
      <alignment horizontal="center" vertical="center" textRotation="90" wrapText="1"/>
      <protection locked="0"/>
    </xf>
    <xf numFmtId="0" fontId="8" fillId="9" borderId="42" xfId="0" applyFont="1" applyFill="1" applyBorder="1" applyAlignment="1" applyProtection="1">
      <alignment horizontal="center" vertical="center" textRotation="90" wrapText="1"/>
      <protection locked="0"/>
    </xf>
    <xf numFmtId="0" fontId="8" fillId="9" borderId="43" xfId="0" applyFont="1" applyFill="1" applyBorder="1" applyAlignment="1" applyProtection="1">
      <alignment horizontal="center" vertical="center" textRotation="90" wrapText="1"/>
      <protection locked="0"/>
    </xf>
    <xf numFmtId="0" fontId="15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5" fillId="0" borderId="13" xfId="0" applyFont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 vertical="center"/>
      <protection hidden="1"/>
    </xf>
    <xf numFmtId="172" fontId="1" fillId="0" borderId="0" xfId="0" applyNumberFormat="1" applyFont="1" applyBorder="1" applyAlignment="1" applyProtection="1">
      <alignment horizontal="center" vertical="center"/>
      <protection hidden="1"/>
    </xf>
    <xf numFmtId="172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8" fillId="9" borderId="40" xfId="0" applyFont="1" applyFill="1" applyBorder="1" applyAlignment="1" applyProtection="1">
      <alignment horizontal="center" vertical="center" textRotation="90" wrapText="1"/>
      <protection hidden="1"/>
    </xf>
    <xf numFmtId="0" fontId="8" fillId="9" borderId="41" xfId="0" applyFont="1" applyFill="1" applyBorder="1" applyAlignment="1" applyProtection="1">
      <alignment horizontal="center" vertical="center" textRotation="90" wrapText="1"/>
      <protection hidden="1"/>
    </xf>
    <xf numFmtId="0" fontId="8" fillId="9" borderId="16" xfId="0" applyFont="1" applyFill="1" applyBorder="1" applyAlignment="1" applyProtection="1">
      <alignment horizontal="center" vertical="center" textRotation="90" wrapText="1"/>
      <protection hidden="1"/>
    </xf>
    <xf numFmtId="0" fontId="8" fillId="9" borderId="11" xfId="0" applyFont="1" applyFill="1" applyBorder="1" applyAlignment="1" applyProtection="1">
      <alignment horizontal="center" vertical="center" textRotation="90" wrapText="1"/>
      <protection hidden="1"/>
    </xf>
    <xf numFmtId="0" fontId="8" fillId="9" borderId="42" xfId="0" applyFont="1" applyFill="1" applyBorder="1" applyAlignment="1" applyProtection="1">
      <alignment horizontal="center" vertical="center" textRotation="90" wrapText="1"/>
      <protection hidden="1"/>
    </xf>
    <xf numFmtId="0" fontId="8" fillId="9" borderId="43" xfId="0" applyFont="1" applyFill="1" applyBorder="1" applyAlignment="1" applyProtection="1">
      <alignment horizontal="center" vertical="center" textRotation="90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10" borderId="13" xfId="0" applyFill="1" applyBorder="1" applyAlignment="1" applyProtection="1">
      <alignment horizontal="left"/>
      <protection locked="0"/>
    </xf>
    <xf numFmtId="0" fontId="0" fillId="10" borderId="14" xfId="0" applyFill="1" applyBorder="1" applyAlignment="1" applyProtection="1">
      <alignment horizontal="left"/>
      <protection locked="0"/>
    </xf>
    <xf numFmtId="0" fontId="0" fillId="10" borderId="15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hidden="1"/>
    </xf>
    <xf numFmtId="0" fontId="50" fillId="0" borderId="8" xfId="0" applyFont="1" applyBorder="1" applyAlignment="1" applyProtection="1">
      <alignment horizontal="center"/>
      <protection hidden="1"/>
    </xf>
    <xf numFmtId="0" fontId="50" fillId="0" borderId="9" xfId="0" applyFont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 hidden="1"/>
    </xf>
    <xf numFmtId="0" fontId="50" fillId="0" borderId="12" xfId="0" applyFont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Alignment="1" applyProtection="1">
      <alignment horizontal="center" vertical="top" wrapText="1"/>
      <protection hidden="1"/>
    </xf>
    <xf numFmtId="0" fontId="71" fillId="0" borderId="52" xfId="0" applyFont="1" applyFill="1" applyBorder="1" applyAlignment="1" applyProtection="1">
      <alignment horizontal="center" vertical="top" wrapText="1"/>
      <protection hidden="1"/>
    </xf>
    <xf numFmtId="179" fontId="71" fillId="0" borderId="0" xfId="0" applyNumberFormat="1" applyFont="1" applyFill="1" applyBorder="1" applyAlignment="1" applyProtection="1">
      <alignment horizontal="center" vertical="top" wrapText="1"/>
      <protection hidden="1"/>
    </xf>
    <xf numFmtId="179" fontId="71" fillId="0" borderId="52" xfId="0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36" fillId="0" borderId="7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</cellXfs>
  <cellStyles count="2">
    <cellStyle name="Collegamento ipertestuale" xfId="1" builtinId="8"/>
    <cellStyle name="Normale" xfId="0" builtinId="0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TENSIONI</a:t>
            </a:r>
            <a:r>
              <a:rPr lang="it-IT" baseline="0"/>
              <a:t> ORIZZONTALI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453035883664494"/>
          <c:y val="0.1121764643976331"/>
          <c:w val="0.78969535993629536"/>
          <c:h val="0.84744072316073094"/>
        </c:manualLayout>
      </c:layout>
      <c:scatterChart>
        <c:scatterStyle val="lineMarker"/>
        <c:varyColors val="0"/>
        <c:ser>
          <c:idx val="0"/>
          <c:order val="0"/>
          <c:tx>
            <c:v>COND. NON DRENATE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'FOGLIO DEPOSITO'!$P$166:$P$174</c:f>
              <c:numCache>
                <c:formatCode>0.00</c:formatCode>
                <c:ptCount val="9"/>
                <c:pt idx="0">
                  <c:v>0</c:v>
                </c:pt>
                <c:pt idx="1">
                  <c:v>93.376893449429545</c:v>
                </c:pt>
                <c:pt idx="2">
                  <c:v>93.376893449429545</c:v>
                </c:pt>
                <c:pt idx="3">
                  <c:v>59.491925871429096</c:v>
                </c:pt>
                <c:pt idx="4">
                  <c:v>150.78597633414202</c:v>
                </c:pt>
                <c:pt idx="5">
                  <c:v>150.78597633414202</c:v>
                </c:pt>
                <c:pt idx="6">
                  <c:v>158.8971120213927</c:v>
                </c:pt>
                <c:pt idx="7">
                  <c:v>222.30694673883855</c:v>
                </c:pt>
                <c:pt idx="8">
                  <c:v>222.30694673883855</c:v>
                </c:pt>
              </c:numCache>
            </c:numRef>
          </c:xVal>
          <c:yVal>
            <c:numRef>
              <c:f>'FOGLIO DEPOSITO'!$O$166:$O$174</c:f>
              <c:numCache>
                <c:formatCode>0.00" m"</c:formatCode>
                <c:ptCount val="9"/>
                <c:pt idx="0">
                  <c:v>0</c:v>
                </c:pt>
                <c:pt idx="1">
                  <c:v>11.200000000000001</c:v>
                </c:pt>
                <c:pt idx="2">
                  <c:v>11.200000000000001</c:v>
                </c:pt>
                <c:pt idx="3">
                  <c:v>11.200000000000001</c:v>
                </c:pt>
                <c:pt idx="4">
                  <c:v>21.602666666666668</c:v>
                </c:pt>
                <c:pt idx="5">
                  <c:v>21.602666666666668</c:v>
                </c:pt>
                <c:pt idx="6">
                  <c:v>21.602666666666668</c:v>
                </c:pt>
                <c:pt idx="7">
                  <c:v>30</c:v>
                </c:pt>
                <c:pt idx="8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7B-4663-977D-C0A8A015D2E4}"/>
            </c:ext>
          </c:extLst>
        </c:ser>
        <c:ser>
          <c:idx val="1"/>
          <c:order val="1"/>
          <c:tx>
            <c:v>COND. DRENATE</c:v>
          </c:tx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'FOGLIO DEPOSITO'!$T$166:$T$174</c:f>
              <c:numCache>
                <c:formatCode>0.00</c:formatCode>
                <c:ptCount val="9"/>
                <c:pt idx="0">
                  <c:v>0</c:v>
                </c:pt>
                <c:pt idx="1">
                  <c:v>93.376893449429545</c:v>
                </c:pt>
                <c:pt idx="2">
                  <c:v>93.376893449429545</c:v>
                </c:pt>
                <c:pt idx="3">
                  <c:v>93.46065933494549</c:v>
                </c:pt>
                <c:pt idx="4">
                  <c:v>191.71020577263263</c:v>
                </c:pt>
                <c:pt idx="5">
                  <c:v>191.71020577263263</c:v>
                </c:pt>
                <c:pt idx="6">
                  <c:v>158.8971120213927</c:v>
                </c:pt>
                <c:pt idx="7">
                  <c:v>222.30694673883855</c:v>
                </c:pt>
                <c:pt idx="8">
                  <c:v>222.30694673883855</c:v>
                </c:pt>
              </c:numCache>
            </c:numRef>
          </c:xVal>
          <c:yVal>
            <c:numRef>
              <c:f>'FOGLIO DEPOSITO'!$S$166:$S$174</c:f>
              <c:numCache>
                <c:formatCode>0.00" m"</c:formatCode>
                <c:ptCount val="9"/>
                <c:pt idx="0">
                  <c:v>0</c:v>
                </c:pt>
                <c:pt idx="1">
                  <c:v>11.200000000000001</c:v>
                </c:pt>
                <c:pt idx="2">
                  <c:v>11.200000000000001</c:v>
                </c:pt>
                <c:pt idx="3">
                  <c:v>11.200000000000001</c:v>
                </c:pt>
                <c:pt idx="4">
                  <c:v>21.602666666666668</c:v>
                </c:pt>
                <c:pt idx="5">
                  <c:v>21.602666666666668</c:v>
                </c:pt>
                <c:pt idx="6">
                  <c:v>21.602666666666668</c:v>
                </c:pt>
                <c:pt idx="7">
                  <c:v>30</c:v>
                </c:pt>
                <c:pt idx="8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7B-4663-977D-C0A8A015D2E4}"/>
            </c:ext>
          </c:extLst>
        </c:ser>
        <c:ser>
          <c:idx val="2"/>
          <c:order val="2"/>
          <c:tx>
            <c:v>COND NON DRENATE +sovracq</c:v>
          </c:tx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'FOGLIO DEPOSITO'!$X$166:$X$174</c:f>
              <c:numCache>
                <c:formatCode>0.00</c:formatCode>
                <c:ptCount val="9"/>
                <c:pt idx="0">
                  <c:v>0</c:v>
                </c:pt>
                <c:pt idx="1">
                  <c:v>93.376893449429545</c:v>
                </c:pt>
                <c:pt idx="2">
                  <c:v>93.376893449429545</c:v>
                </c:pt>
                <c:pt idx="3">
                  <c:v>59.491925871429096</c:v>
                </c:pt>
                <c:pt idx="4">
                  <c:v>150.78597633414202</c:v>
                </c:pt>
                <c:pt idx="5">
                  <c:v>150.78597633414202</c:v>
                </c:pt>
                <c:pt idx="6">
                  <c:v>158.8971120213927</c:v>
                </c:pt>
                <c:pt idx="7">
                  <c:v>222.30694673883855</c:v>
                </c:pt>
                <c:pt idx="8">
                  <c:v>222.30694673883855</c:v>
                </c:pt>
              </c:numCache>
            </c:numRef>
          </c:xVal>
          <c:yVal>
            <c:numRef>
              <c:f>'FOGLIO DEPOSITO'!$V$166:$V$174</c:f>
              <c:numCache>
                <c:formatCode>0.00" m"</c:formatCode>
                <c:ptCount val="9"/>
                <c:pt idx="0">
                  <c:v>0</c:v>
                </c:pt>
                <c:pt idx="1">
                  <c:v>11.200000000000001</c:v>
                </c:pt>
                <c:pt idx="2">
                  <c:v>11.200000000000001</c:v>
                </c:pt>
                <c:pt idx="3">
                  <c:v>11.200000000000001</c:v>
                </c:pt>
                <c:pt idx="4">
                  <c:v>21.602666666666668</c:v>
                </c:pt>
                <c:pt idx="5">
                  <c:v>21.602666666666668</c:v>
                </c:pt>
                <c:pt idx="6">
                  <c:v>21.602666666666668</c:v>
                </c:pt>
                <c:pt idx="7">
                  <c:v>30</c:v>
                </c:pt>
                <c:pt idx="8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17B-4663-977D-C0A8A015D2E4}"/>
            </c:ext>
          </c:extLst>
        </c:ser>
        <c:ser>
          <c:idx val="3"/>
          <c:order val="3"/>
          <c:tx>
            <c:v>COND DRENATE +sovracq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'FOGLIO DEPOSITO'!$AB$166:$AB$174</c:f>
              <c:numCache>
                <c:formatCode>0.00</c:formatCode>
                <c:ptCount val="9"/>
                <c:pt idx="0">
                  <c:v>0</c:v>
                </c:pt>
                <c:pt idx="1">
                  <c:v>93.376893449429545</c:v>
                </c:pt>
                <c:pt idx="2">
                  <c:v>93.376893449429545</c:v>
                </c:pt>
                <c:pt idx="3">
                  <c:v>93.46065933494549</c:v>
                </c:pt>
                <c:pt idx="4">
                  <c:v>191.71020577263263</c:v>
                </c:pt>
                <c:pt idx="5">
                  <c:v>191.71020577263263</c:v>
                </c:pt>
                <c:pt idx="6">
                  <c:v>158.8971120213927</c:v>
                </c:pt>
                <c:pt idx="7">
                  <c:v>222.30694673883855</c:v>
                </c:pt>
                <c:pt idx="8">
                  <c:v>222.30694673883855</c:v>
                </c:pt>
              </c:numCache>
            </c:numRef>
          </c:xVal>
          <c:yVal>
            <c:numRef>
              <c:f>'FOGLIO DEPOSITO'!$Z$166:$Z$174</c:f>
              <c:numCache>
                <c:formatCode>0.00" m"</c:formatCode>
                <c:ptCount val="9"/>
                <c:pt idx="0">
                  <c:v>0</c:v>
                </c:pt>
                <c:pt idx="1">
                  <c:v>11.200000000000001</c:v>
                </c:pt>
                <c:pt idx="2">
                  <c:v>11.200000000000001</c:v>
                </c:pt>
                <c:pt idx="3">
                  <c:v>11.200000000000001</c:v>
                </c:pt>
                <c:pt idx="4">
                  <c:v>21.602666666666668</c:v>
                </c:pt>
                <c:pt idx="5">
                  <c:v>21.602666666666668</c:v>
                </c:pt>
                <c:pt idx="6">
                  <c:v>21.602666666666668</c:v>
                </c:pt>
                <c:pt idx="7">
                  <c:v>30</c:v>
                </c:pt>
                <c:pt idx="8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7B-4663-977D-C0A8A015D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26448"/>
        <c:axId val="1512516656"/>
      </c:scatterChart>
      <c:valAx>
        <c:axId val="15125264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516656"/>
        <c:crosses val="autoZero"/>
        <c:crossBetween val="midCat"/>
      </c:valAx>
      <c:valAx>
        <c:axId val="15125166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m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52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TENSIONI</a:t>
            </a:r>
            <a:r>
              <a:rPr lang="it-IT" baseline="0"/>
              <a:t> VERTICALI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6538209669899"/>
          <c:y val="0.10574042419417314"/>
          <c:w val="0.78969535993629536"/>
          <c:h val="0.81082657612885434"/>
        </c:manualLayout>
      </c:layout>
      <c:scatterChart>
        <c:scatterStyle val="lineMarker"/>
        <c:varyColors val="0"/>
        <c:ser>
          <c:idx val="0"/>
          <c:order val="0"/>
          <c:tx>
            <c:v>COND. NON DRENATE (tensioni totali)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'FOGLIO DEPOSITO'!$N$166:$N$174</c:f>
              <c:numCache>
                <c:formatCode>0.00</c:formatCode>
                <c:ptCount val="9"/>
                <c:pt idx="0">
                  <c:v>0</c:v>
                </c:pt>
                <c:pt idx="1">
                  <c:v>212.8</c:v>
                </c:pt>
                <c:pt idx="2">
                  <c:v>212.8</c:v>
                </c:pt>
                <c:pt idx="3">
                  <c:v>212.8</c:v>
                </c:pt>
                <c:pt idx="4">
                  <c:v>420.85333333333335</c:v>
                </c:pt>
                <c:pt idx="5">
                  <c:v>420.85333333333335</c:v>
                </c:pt>
                <c:pt idx="6">
                  <c:v>420.85333333333335</c:v>
                </c:pt>
                <c:pt idx="7">
                  <c:v>588.79999999999995</c:v>
                </c:pt>
                <c:pt idx="8">
                  <c:v>588.79999999999995</c:v>
                </c:pt>
              </c:numCache>
            </c:numRef>
          </c:xVal>
          <c:yVal>
            <c:numRef>
              <c:f>'FOGLIO DEPOSITO'!$M$166:$M$174</c:f>
              <c:numCache>
                <c:formatCode>0.00" m"</c:formatCode>
                <c:ptCount val="9"/>
                <c:pt idx="0">
                  <c:v>0</c:v>
                </c:pt>
                <c:pt idx="1">
                  <c:v>11.200000000000001</c:v>
                </c:pt>
                <c:pt idx="2">
                  <c:v>11.200000000000001</c:v>
                </c:pt>
                <c:pt idx="3">
                  <c:v>11.200000000000001</c:v>
                </c:pt>
                <c:pt idx="4">
                  <c:v>21.602666666666668</c:v>
                </c:pt>
                <c:pt idx="5">
                  <c:v>21.602666666666668</c:v>
                </c:pt>
                <c:pt idx="6">
                  <c:v>21.602666666666668</c:v>
                </c:pt>
                <c:pt idx="7">
                  <c:v>30</c:v>
                </c:pt>
                <c:pt idx="8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00-49C6-A642-30AACDE6E4E8}"/>
            </c:ext>
          </c:extLst>
        </c:ser>
        <c:ser>
          <c:idx val="1"/>
          <c:order val="1"/>
          <c:tx>
            <c:v>COND. DRENATE (tensioni efficaci)</c:v>
          </c:tx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'FOGLIO DEPOSITO'!$R$166:$R$174</c:f>
              <c:numCache>
                <c:formatCode>0.00</c:formatCode>
                <c:ptCount val="9"/>
                <c:pt idx="0">
                  <c:v>0</c:v>
                </c:pt>
                <c:pt idx="1">
                  <c:v>212.8</c:v>
                </c:pt>
                <c:pt idx="2">
                  <c:v>212.8</c:v>
                </c:pt>
                <c:pt idx="3">
                  <c:v>212.8</c:v>
                </c:pt>
                <c:pt idx="4">
                  <c:v>420.85333333333335</c:v>
                </c:pt>
                <c:pt idx="5">
                  <c:v>420.85333333333335</c:v>
                </c:pt>
                <c:pt idx="6">
                  <c:v>420.85333333333335</c:v>
                </c:pt>
                <c:pt idx="7">
                  <c:v>588.79999999999995</c:v>
                </c:pt>
                <c:pt idx="8">
                  <c:v>588.79999999999995</c:v>
                </c:pt>
              </c:numCache>
            </c:numRef>
          </c:xVal>
          <c:yVal>
            <c:numRef>
              <c:f>'FOGLIO DEPOSITO'!$Q$166:$Q$174</c:f>
              <c:numCache>
                <c:formatCode>0.00" m"</c:formatCode>
                <c:ptCount val="9"/>
                <c:pt idx="0">
                  <c:v>0</c:v>
                </c:pt>
                <c:pt idx="1">
                  <c:v>11.200000000000001</c:v>
                </c:pt>
                <c:pt idx="2">
                  <c:v>11.200000000000001</c:v>
                </c:pt>
                <c:pt idx="3">
                  <c:v>11.200000000000001</c:v>
                </c:pt>
                <c:pt idx="4">
                  <c:v>21.602666666666668</c:v>
                </c:pt>
                <c:pt idx="5">
                  <c:v>21.602666666666668</c:v>
                </c:pt>
                <c:pt idx="6">
                  <c:v>21.602666666666668</c:v>
                </c:pt>
                <c:pt idx="7">
                  <c:v>30</c:v>
                </c:pt>
                <c:pt idx="8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00-49C6-A642-30AACDE6E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26992"/>
        <c:axId val="1512528080"/>
      </c:scatterChart>
      <c:valAx>
        <c:axId val="15125269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528080"/>
        <c:crosses val="autoZero"/>
        <c:crossBetween val="midCat"/>
      </c:valAx>
      <c:valAx>
        <c:axId val="15125280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m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52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268804482341265"/>
          <c:y val="0.94040288851955667"/>
          <c:w val="0.80772768688887975"/>
          <c:h val="4.3738250412363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85698872630856"/>
          <c:y val="9.658792650918635E-2"/>
          <c:w val="0.70818044098313571"/>
          <c:h val="0.83876380019426711"/>
        </c:manualLayout>
      </c:layout>
      <c:scatterChart>
        <c:scatterStyle val="lineMarker"/>
        <c:varyColors val="0"/>
        <c:ser>
          <c:idx val="6"/>
          <c:order val="0"/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muro+tensioni'!$J$44:$J$58</c:f>
              <c:numCache>
                <c:formatCode>General</c:formatCode>
                <c:ptCount val="15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5.1000100000000002</c:v>
                </c:pt>
                <c:pt idx="6" formatCode="0.000">
                  <c:v>5.1000100000000002</c:v>
                </c:pt>
                <c:pt idx="7" formatCode="0.000">
                  <c:v>1.40001</c:v>
                </c:pt>
                <c:pt idx="8" formatCode="0.000">
                  <c:v>1.4</c:v>
                </c:pt>
                <c:pt idx="9" formatCode="0.000">
                  <c:v>1.3499999999999999</c:v>
                </c:pt>
                <c:pt idx="10" formatCode="0.000">
                  <c:v>1.3499999999999999</c:v>
                </c:pt>
                <c:pt idx="11" formatCode="0.000">
                  <c:v>1.2</c:v>
                </c:pt>
                <c:pt idx="12" formatCode="0.000">
                  <c:v>1.2</c:v>
                </c:pt>
                <c:pt idx="13" formatCode="0.000">
                  <c:v>0</c:v>
                </c:pt>
                <c:pt idx="14" formatCode="0.000">
                  <c:v>0</c:v>
                </c:pt>
              </c:numCache>
            </c:numRef>
          </c:xVal>
          <c:yVal>
            <c:numRef>
              <c:f>'geom masse muro+tensioni'!$K$44:$K$58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67-4F63-A73E-0F9446383E37}"/>
            </c:ext>
          </c:extLst>
        </c:ser>
        <c:ser>
          <c:idx val="7"/>
          <c:order val="1"/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'geom masse muro+tensioni'!$J$60:$J$61</c:f>
              <c:numCache>
                <c:formatCode>General</c:formatCode>
                <c:ptCount val="2"/>
                <c:pt idx="0">
                  <c:v>1.3499999999999999</c:v>
                </c:pt>
                <c:pt idx="1">
                  <c:v>1.3499999999999999</c:v>
                </c:pt>
              </c:numCache>
            </c:numRef>
          </c:xVal>
          <c:yVal>
            <c:numRef>
              <c:f>'geom masse muro+tensioni'!$K$60:$K$61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67-4F63-A73E-0F9446383E37}"/>
            </c:ext>
          </c:extLst>
        </c:ser>
        <c:ser>
          <c:idx val="8"/>
          <c:order val="2"/>
          <c:spPr>
            <a:ln w="19050" cap="rnd">
              <a:solidFill>
                <a:schemeClr val="accent3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'geom masse muro+tensioni'!$J$62:$J$63</c:f>
              <c:numCache>
                <c:formatCode>0.000</c:formatCode>
                <c:ptCount val="2"/>
                <c:pt idx="0" formatCode="General">
                  <c:v>1.3499999999999999</c:v>
                </c:pt>
                <c:pt idx="1">
                  <c:v>1.40001</c:v>
                </c:pt>
              </c:numCache>
            </c:numRef>
          </c:xVal>
          <c:yVal>
            <c:numRef>
              <c:f>'geom masse muro+tensioni'!$K$62:$K$63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67-4F63-A73E-0F9446383E37}"/>
            </c:ext>
          </c:extLst>
        </c:ser>
        <c:ser>
          <c:idx val="9"/>
          <c:order val="3"/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muro+tensioni'!$J$65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'geom masse muro+tensioni'!$K$65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67-4F63-A73E-0F9446383E37}"/>
            </c:ext>
          </c:extLst>
        </c:ser>
        <c:ser>
          <c:idx val="10"/>
          <c:order val="4"/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muro+tensioni'!$J$66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'geom masse muro+tensioni'!$K$66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67-4F63-A73E-0F9446383E37}"/>
            </c:ext>
          </c:extLst>
        </c:ser>
        <c:ser>
          <c:idx val="11"/>
          <c:order val="5"/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muro+tensioni'!$J$67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'geom masse muro+tensioni'!$K$67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A67-4F63-A73E-0F9446383E37}"/>
            </c:ext>
          </c:extLst>
        </c:ser>
        <c:ser>
          <c:idx val="0"/>
          <c:order val="6"/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368643689011419"/>
                  <c:y val="-1.06861022865782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67-4F63-A73E-0F9446383E37}"/>
                </c:ext>
                <c:ext xmlns:c15="http://schemas.microsoft.com/office/drawing/2012/chart" uri="{CE6537A1-D6FC-4f65-9D91-7224C49458BB}">
                  <c15:layout>
                    <c:manualLayout>
                      <c:w val="0.2121639258679196"/>
                      <c:h val="5.106101030658923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7464815644582358"/>
                  <c:y val="-2.5201034545174385E-2"/>
                </c:manualLayout>
              </c:layout>
              <c:numFmt formatCode="#,##0.00&quot; m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A67-4F63-A73E-0F9446383E37}"/>
                </c:ext>
                <c:ext xmlns:c15="http://schemas.microsoft.com/office/drawing/2012/chart" uri="{CE6537A1-D6FC-4f65-9D91-7224C49458BB}">
                  <c15:layout>
                    <c:manualLayout>
                      <c:w val="0.21257646644075051"/>
                      <c:h val="3.9379355719720323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33670073879742163"/>
                  <c:y val="9.4229955255869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5500099837489295E-2"/>
                  <c:y val="5.66107881410993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727622227576735E-2"/>
                  <c:y val="-8.847149766470647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61228278180684E-2"/>
                  <c:y val="-2.41053373910363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981727206231252E-2"/>
                  <c:y val="-5.01471882943767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3875469040631765E-2"/>
                  <c:y val="4.30945501891003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3817692834714046"/>
                  <c:y val="-7.299315931965197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7336744726076392E-2"/>
                  <c:y val="-4.79176638353276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609315213214833"/>
                  <c:y val="-5.65854465042263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28236239384504264"/>
                  <c:y val="-0.105186926797249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9127022592969305E-2"/>
                  <c:y val="0.1116278836156886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A67-4F63-A73E-0F9446383E37}"/>
                </c:ext>
                <c:ext xmlns:c15="http://schemas.microsoft.com/office/drawing/2012/chart" uri="{CE6537A1-D6FC-4f65-9D91-7224C49458BB}"/>
              </c:extLst>
            </c:dLbl>
            <c:numFmt formatCode="#,##0.00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muro+tensioni'!$J$44:$J$58</c:f>
              <c:numCache>
                <c:formatCode>General</c:formatCode>
                <c:ptCount val="15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5.1000100000000002</c:v>
                </c:pt>
                <c:pt idx="6" formatCode="0.000">
                  <c:v>5.1000100000000002</c:v>
                </c:pt>
                <c:pt idx="7" formatCode="0.000">
                  <c:v>1.40001</c:v>
                </c:pt>
                <c:pt idx="8" formatCode="0.000">
                  <c:v>1.4</c:v>
                </c:pt>
                <c:pt idx="9" formatCode="0.000">
                  <c:v>1.3499999999999999</c:v>
                </c:pt>
                <c:pt idx="10" formatCode="0.000">
                  <c:v>1.3499999999999999</c:v>
                </c:pt>
                <c:pt idx="11" formatCode="0.000">
                  <c:v>1.2</c:v>
                </c:pt>
                <c:pt idx="12" formatCode="0.000">
                  <c:v>1.2</c:v>
                </c:pt>
                <c:pt idx="13" formatCode="0.000">
                  <c:v>0</c:v>
                </c:pt>
                <c:pt idx="14" formatCode="0.000">
                  <c:v>0</c:v>
                </c:pt>
              </c:numCache>
            </c:numRef>
          </c:xVal>
          <c:yVal>
            <c:numRef>
              <c:f>'geom masse muro+tensioni'!$K$44:$K$58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A67-4F63-A73E-0F9446383E37}"/>
            </c:ext>
          </c:extLst>
        </c:ser>
        <c:ser>
          <c:idx val="1"/>
          <c:order val="7"/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'geom masse muro+tensioni'!$J$60:$J$61</c:f>
              <c:numCache>
                <c:formatCode>General</c:formatCode>
                <c:ptCount val="2"/>
                <c:pt idx="0">
                  <c:v>1.3499999999999999</c:v>
                </c:pt>
                <c:pt idx="1">
                  <c:v>1.3499999999999999</c:v>
                </c:pt>
              </c:numCache>
            </c:numRef>
          </c:xVal>
          <c:yVal>
            <c:numRef>
              <c:f>'geom masse muro+tensioni'!$K$60:$K$61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A67-4F63-A73E-0F9446383E37}"/>
            </c:ext>
          </c:extLst>
        </c:ser>
        <c:ser>
          <c:idx val="2"/>
          <c:order val="8"/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500099837489462E-2"/>
                  <c:y val="3.94450975489686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A67-4F63-A73E-0F9446383E3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A67-4F63-A73E-0F9446383E37}"/>
                </c:ext>
                <c:ext xmlns:c15="http://schemas.microsoft.com/office/drawing/2012/chart" uri="{CE6537A1-D6FC-4f65-9D91-7224C49458BB}"/>
              </c:extLst>
            </c:dLbl>
            <c:numFmt formatCode="#,##0.00&quot; 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muro+tensioni'!$J$62:$J$63</c:f>
              <c:numCache>
                <c:formatCode>0.000</c:formatCode>
                <c:ptCount val="2"/>
                <c:pt idx="0" formatCode="General">
                  <c:v>1.3499999999999999</c:v>
                </c:pt>
                <c:pt idx="1">
                  <c:v>1.40001</c:v>
                </c:pt>
              </c:numCache>
            </c:numRef>
          </c:xVal>
          <c:yVal>
            <c:numRef>
              <c:f>'geom masse muro+tensioni'!$K$62:$K$63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A67-4F63-A73E-0F9446383E37}"/>
            </c:ext>
          </c:extLst>
        </c:ser>
        <c:ser>
          <c:idx val="3"/>
          <c:order val="9"/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36084182659162178"/>
                  <c:y val="2.86707586748506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SEZIONE 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A67-4F63-A73E-0F9446383E37}"/>
                </c:ext>
                <c:ext xmlns:c15="http://schemas.microsoft.com/office/drawing/2012/chart" uri="{CE6537A1-D6FC-4f65-9D91-7224C49458BB}">
                  <c15:layout>
                    <c:manualLayout>
                      <c:w val="0.18286998626178547"/>
                      <c:h val="4.833128774439438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muro+tensioni'!$J$65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'geom masse muro+tensioni'!$K$65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A67-4F63-A73E-0F944638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28624"/>
        <c:axId val="1512529168"/>
      </c:scatterChart>
      <c:scatterChart>
        <c:scatterStyle val="smoothMarker"/>
        <c:varyColors val="0"/>
        <c:ser>
          <c:idx val="4"/>
          <c:order val="10"/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36387463561515992"/>
                  <c:y val="-3.51454729576125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origine</a:t>
                    </a:r>
                    <a:r>
                      <a:rPr lang="en-US" b="1" baseline="0">
                        <a:solidFill>
                          <a:srgbClr val="FF0000"/>
                        </a:solidFill>
                      </a:rPr>
                      <a:t> degli assi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A67-4F63-A73E-0F9446383E37}"/>
                </c:ext>
                <c:ext xmlns:c15="http://schemas.microsoft.com/office/drawing/2012/chart" uri="{CE6537A1-D6FC-4f65-9D91-7224C49458BB}">
                  <c15:layout>
                    <c:manualLayout>
                      <c:w val="0.22229318592415595"/>
                      <c:h val="4.1682832096741423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muro+tensioni'!$J$66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'geom masse muro+tensioni'!$K$66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DA67-4F63-A73E-0F9446383E37}"/>
            </c:ext>
          </c:extLst>
        </c:ser>
        <c:ser>
          <c:idx val="5"/>
          <c:order val="11"/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23755016953265545"/>
                  <c:y val="4.07588125541701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SEZIONE</a:t>
                    </a:r>
                    <a:r>
                      <a:rPr lang="en-US" b="1" baseline="0"/>
                      <a:t> 3</a:t>
                    </a: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A67-4F63-A73E-0F9446383E37}"/>
                </c:ext>
                <c:ext xmlns:c15="http://schemas.microsoft.com/office/drawing/2012/chart" uri="{CE6537A1-D6FC-4f65-9D91-7224C49458BB}">
                  <c15:layout>
                    <c:manualLayout>
                      <c:w val="0.14626216082720853"/>
                      <c:h val="3.495187646333805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muro+tensioni'!$J$67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'geom masse muro+tensioni'!$K$67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DA67-4F63-A73E-0F9446383E37}"/>
            </c:ext>
          </c:extLst>
        </c:ser>
        <c:ser>
          <c:idx val="12"/>
          <c:order val="12"/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28513395898160027"/>
                  <c:y val="-6.518029713811350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SEZIONE 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A67-4F63-A73E-0F9446383E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muro+tensioni'!$J$68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'geom masse muro+tensioni'!$K$68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0-DA67-4F63-A73E-0F9446383E37}"/>
            </c:ext>
          </c:extLst>
        </c:ser>
        <c:ser>
          <c:idx val="13"/>
          <c:order val="13"/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prstDash val="sysDash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.21836236909667903"/>
                  <c:y val="-0.107266736672668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F7BA4E-175A-4BCC-AFDA-B01F4832574A}" type="XVALUE">
                      <a:rPr lang="en-US" b="1"/>
                      <a:pPr>
                        <a:defRPr/>
                      </a:pPr>
                      <a:t>[VALORE X]</a:t>
                    </a:fld>
                    <a:r>
                      <a:rPr lang="en-US" b="1" baseline="0"/>
                      <a:t>; </a:t>
                    </a:r>
                    <a:fld id="{D3C1F569-10DC-4BA0-8C14-CF4812E5DF98}" type="YVALUE">
                      <a:rPr lang="en-US" b="1" baseline="0"/>
                      <a:pPr>
                        <a:defRPr/>
                      </a:pPr>
                      <a:t>[VALORE Y]</a:t>
                    </a:fld>
                    <a:r>
                      <a:rPr lang="en-US" b="1" baseline="0"/>
                      <a:t>   BARICENTRO DEL MURO</a:t>
                    </a:r>
                  </a:p>
                </c:rich>
              </c:tx>
              <c:numFmt formatCode="#,##0.00&quot; m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A67-4F63-A73E-0F9446383E37}"/>
                </c:ext>
                <c:ext xmlns:c15="http://schemas.microsoft.com/office/drawing/2012/chart" uri="{CE6537A1-D6FC-4f65-9D91-7224C49458BB}">
                  <c15:layout>
                    <c:manualLayout>
                      <c:w val="0.22912872172830948"/>
                      <c:h val="9.8984588121881906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2-DA67-4F63-A73E-0F944638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28624"/>
        <c:axId val="1512529168"/>
      </c:scatterChart>
      <c:valAx>
        <c:axId val="15125286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>
                    <a:latin typeface="Calibri" panose="020F0502020204030204" pitchFamily="34" charset="0"/>
                  </a:rPr>
                  <a:t>asse x →</a:t>
                </a:r>
                <a:endParaRPr lang="it-IT" sz="1050"/>
              </a:p>
            </c:rich>
          </c:tx>
          <c:layout>
            <c:manualLayout>
              <c:xMode val="edge"/>
              <c:yMode val="edge"/>
              <c:x val="0.41384661198217465"/>
              <c:y val="0.96863471241908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crossAx val="1512529168"/>
        <c:crosses val="autoZero"/>
        <c:crossBetween val="midCat"/>
      </c:valAx>
      <c:valAx>
        <c:axId val="151252916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>
                    <a:latin typeface="Calibri" panose="020F0502020204030204" pitchFamily="34" charset="0"/>
                  </a:rPr>
                  <a:t> asse z →</a:t>
                </a:r>
                <a:endParaRPr lang="it-IT" sz="1050"/>
              </a:p>
            </c:rich>
          </c:tx>
          <c:layout>
            <c:manualLayout>
              <c:xMode val="edge"/>
              <c:yMode val="edge"/>
              <c:x val="0.10850864623184897"/>
              <c:y val="0.52145330289767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crossAx val="1512528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28547010494886E-2"/>
          <c:y val="9.6537826908444244E-2"/>
          <c:w val="0.80253180642922428"/>
          <c:h val="0.83876380019426711"/>
        </c:manualLayout>
      </c:layout>
      <c:scatterChart>
        <c:scatterStyle val="smoothMarker"/>
        <c:varyColors val="0"/>
        <c:ser>
          <c:idx val="4"/>
          <c:order val="9"/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7845263919016628E-2"/>
                  <c:y val="4.832509610104338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rgbClr val="FF0000"/>
                        </a:solidFill>
                      </a:rPr>
                      <a:t>origine degli assi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6B-40DB-9834-52164B064D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muro+tensioni'!$J$66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'geom masse muro+tensioni'!$K$66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66B-40DB-9834-52164B06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31888"/>
        <c:axId val="1512532432"/>
      </c:scatterChart>
      <c:scatterChart>
        <c:scatterStyle val="lineMarker"/>
        <c:varyColors val="0"/>
        <c:ser>
          <c:idx val="6"/>
          <c:order val="0"/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muro+tensioni'!$J$44:$J$58</c:f>
              <c:numCache>
                <c:formatCode>General</c:formatCode>
                <c:ptCount val="15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5.1000100000000002</c:v>
                </c:pt>
                <c:pt idx="6" formatCode="0.000">
                  <c:v>5.1000100000000002</c:v>
                </c:pt>
                <c:pt idx="7" formatCode="0.000">
                  <c:v>1.40001</c:v>
                </c:pt>
                <c:pt idx="8" formatCode="0.000">
                  <c:v>1.4</c:v>
                </c:pt>
                <c:pt idx="9" formatCode="0.000">
                  <c:v>1.3499999999999999</c:v>
                </c:pt>
                <c:pt idx="10" formatCode="0.000">
                  <c:v>1.3499999999999999</c:v>
                </c:pt>
                <c:pt idx="11" formatCode="0.000">
                  <c:v>1.2</c:v>
                </c:pt>
                <c:pt idx="12" formatCode="0.000">
                  <c:v>1.2</c:v>
                </c:pt>
                <c:pt idx="13" formatCode="0.000">
                  <c:v>0</c:v>
                </c:pt>
                <c:pt idx="14" formatCode="0.000">
                  <c:v>0</c:v>
                </c:pt>
              </c:numCache>
            </c:numRef>
          </c:xVal>
          <c:yVal>
            <c:numRef>
              <c:f>'geom masse muro+tensioni'!$K$44:$K$58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6B-40DB-9834-52164B064D2B}"/>
            </c:ext>
          </c:extLst>
        </c:ser>
        <c:ser>
          <c:idx val="7"/>
          <c:order val="1"/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'geom masse muro+tensioni'!$J$60:$J$61</c:f>
              <c:numCache>
                <c:formatCode>General</c:formatCode>
                <c:ptCount val="2"/>
                <c:pt idx="0">
                  <c:v>1.3499999999999999</c:v>
                </c:pt>
                <c:pt idx="1">
                  <c:v>1.3499999999999999</c:v>
                </c:pt>
              </c:numCache>
            </c:numRef>
          </c:xVal>
          <c:yVal>
            <c:numRef>
              <c:f>'geom masse muro+tensioni'!$K$60:$K$61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6B-40DB-9834-52164B064D2B}"/>
            </c:ext>
          </c:extLst>
        </c:ser>
        <c:ser>
          <c:idx val="8"/>
          <c:order val="2"/>
          <c:spPr>
            <a:ln w="19050" cap="rnd">
              <a:solidFill>
                <a:schemeClr val="accent3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'geom masse muro+tensioni'!$J$62:$J$63</c:f>
              <c:numCache>
                <c:formatCode>0.000</c:formatCode>
                <c:ptCount val="2"/>
                <c:pt idx="0" formatCode="General">
                  <c:v>1.3499999999999999</c:v>
                </c:pt>
                <c:pt idx="1">
                  <c:v>1.40001</c:v>
                </c:pt>
              </c:numCache>
            </c:numRef>
          </c:xVal>
          <c:yVal>
            <c:numRef>
              <c:f>'geom masse muro+tensioni'!$K$62:$K$63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6B-40DB-9834-52164B064D2B}"/>
            </c:ext>
          </c:extLst>
        </c:ser>
        <c:ser>
          <c:idx val="9"/>
          <c:order val="3"/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muro+tensioni'!$J$65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'geom masse muro+tensioni'!$K$65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6B-40DB-9834-52164B064D2B}"/>
            </c:ext>
          </c:extLst>
        </c:ser>
        <c:ser>
          <c:idx val="10"/>
          <c:order val="4"/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muro+tensioni'!$J$66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'geom masse muro+tensioni'!$K$66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66B-40DB-9834-52164B064D2B}"/>
            </c:ext>
          </c:extLst>
        </c:ser>
        <c:ser>
          <c:idx val="11"/>
          <c:order val="5"/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muro+tensioni'!$J$67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'geom masse muro+tensioni'!$K$67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66B-40DB-9834-52164B064D2B}"/>
            </c:ext>
          </c:extLst>
        </c:ser>
        <c:ser>
          <c:idx val="0"/>
          <c:order val="6"/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'geom masse muro+tensioni'!$J$44:$J$58</c:f>
              <c:numCache>
                <c:formatCode>General</c:formatCode>
                <c:ptCount val="15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5.1000100000000002</c:v>
                </c:pt>
                <c:pt idx="6" formatCode="0.000">
                  <c:v>5.1000100000000002</c:v>
                </c:pt>
                <c:pt idx="7" formatCode="0.000">
                  <c:v>1.40001</c:v>
                </c:pt>
                <c:pt idx="8" formatCode="0.000">
                  <c:v>1.4</c:v>
                </c:pt>
                <c:pt idx="9" formatCode="0.000">
                  <c:v>1.3499999999999999</c:v>
                </c:pt>
                <c:pt idx="10" formatCode="0.000">
                  <c:v>1.3499999999999999</c:v>
                </c:pt>
                <c:pt idx="11" formatCode="0.000">
                  <c:v>1.2</c:v>
                </c:pt>
                <c:pt idx="12" formatCode="0.000">
                  <c:v>1.2</c:v>
                </c:pt>
                <c:pt idx="13" formatCode="0.000">
                  <c:v>0</c:v>
                </c:pt>
                <c:pt idx="14" formatCode="0.000">
                  <c:v>0</c:v>
                </c:pt>
              </c:numCache>
            </c:numRef>
          </c:xVal>
          <c:yVal>
            <c:numRef>
              <c:f>'geom masse muro+tensioni'!$K$44:$K$58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66B-40DB-9834-52164B064D2B}"/>
            </c:ext>
          </c:extLst>
        </c:ser>
        <c:ser>
          <c:idx val="1"/>
          <c:order val="7"/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'geom masse muro+tensioni'!$J$60:$J$61</c:f>
              <c:numCache>
                <c:formatCode>General</c:formatCode>
                <c:ptCount val="2"/>
                <c:pt idx="0">
                  <c:v>1.3499999999999999</c:v>
                </c:pt>
                <c:pt idx="1">
                  <c:v>1.3499999999999999</c:v>
                </c:pt>
              </c:numCache>
            </c:numRef>
          </c:xVal>
          <c:yVal>
            <c:numRef>
              <c:f>'geom masse muro+tensioni'!$K$60:$K$61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66B-40DB-9834-52164B064D2B}"/>
            </c:ext>
          </c:extLst>
        </c:ser>
        <c:ser>
          <c:idx val="2"/>
          <c:order val="8"/>
          <c:spPr>
            <a:ln w="190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'geom masse muro+tensioni'!$J$62:$J$63</c:f>
              <c:numCache>
                <c:formatCode>0.000</c:formatCode>
                <c:ptCount val="2"/>
                <c:pt idx="0" formatCode="General">
                  <c:v>1.3499999999999999</c:v>
                </c:pt>
                <c:pt idx="1">
                  <c:v>1.40001</c:v>
                </c:pt>
              </c:numCache>
            </c:numRef>
          </c:xVal>
          <c:yVal>
            <c:numRef>
              <c:f>'geom masse muro+tensioni'!$K$62:$K$63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66B-40DB-9834-52164B06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31888"/>
        <c:axId val="1512532432"/>
      </c:scatterChart>
      <c:scatterChart>
        <c:scatterStyle val="lineMarker"/>
        <c:varyColors val="0"/>
        <c:ser>
          <c:idx val="14"/>
          <c:order val="10"/>
          <c:tx>
            <c:v>terreno</c:v>
          </c:tx>
          <c:spPr>
            <a:ln w="9525" cap="rnd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prstDash val="sysDash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66B-40DB-9834-52164B064D2B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prstDash val="sysDash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66B-40DB-9834-52164B064D2B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66B-40DB-9834-52164B064D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71114772103239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terreno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66B-40DB-9834-52164B064D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66B-40DB-9834-52164B064D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'geom masse muro+tensioni'!$M$82:$M$84</c:f>
              <c:numCache>
                <c:formatCode>0.00</c:formatCode>
                <c:ptCount val="3"/>
                <c:pt idx="0">
                  <c:v>1.3499999999999999</c:v>
                </c:pt>
                <c:pt idx="1">
                  <c:v>5.1000100000000002</c:v>
                </c:pt>
                <c:pt idx="2">
                  <c:v>5.1000100000000002</c:v>
                </c:pt>
              </c:numCache>
            </c:numRef>
          </c:xVal>
          <c:yVal>
            <c:numRef>
              <c:f>'geom masse muro+tensioni'!$N$82:$N$84</c:f>
              <c:numCache>
                <c:formatCode>0.00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66B-40DB-9834-52164B064D2B}"/>
            </c:ext>
          </c:extLst>
        </c:ser>
        <c:ser>
          <c:idx val="3"/>
          <c:order val="11"/>
          <c:tx>
            <c:v>baricentro terra+muro</c:v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0.1561822125813449"/>
                  <c:y val="-7.1790846991031665E-2"/>
                </c:manualLayout>
              </c:layout>
              <c:tx>
                <c:rich>
                  <a:bodyPr/>
                  <a:lstStyle/>
                  <a:p>
                    <a:fld id="{F1C904C0-1179-4E92-9FFA-BF5ED6FC8AB2}" type="XVALUE">
                      <a:rPr lang="en-US"/>
                      <a:pPr/>
                      <a:t>[VALORE X]</a:t>
                    </a:fld>
                    <a:r>
                      <a:rPr lang="en-US" baseline="0"/>
                      <a:t>; </a:t>
                    </a:r>
                    <a:fld id="{C53BFFDD-591B-4C53-BFF6-06B45E42DB4E}" type="YVALUE">
                      <a:rPr lang="en-US" baseline="0"/>
                      <a:pPr/>
                      <a:t>[VALORE Y]</a:t>
                    </a:fld>
                    <a:r>
                      <a:rPr lang="en-US" baseline="0"/>
                      <a:t> baricentro terra+muro</a:t>
                    </a:r>
                  </a:p>
                  <a:p>
                    <a:r>
                      <a:rPr lang="en-US" sz="800" baseline="0"/>
                      <a:t>(media pesata sui pesi specifici)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66B-40DB-9834-52164B064D2B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66B-40DB-9834-52164B064D2B}"/>
            </c:ext>
          </c:extLst>
        </c:ser>
        <c:ser>
          <c:idx val="5"/>
          <c:order val="12"/>
          <c:tx>
            <c:v>baricentro terra</c:v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4.6276211135213303E-2"/>
                  <c:y val="-0.15076371968161961"/>
                </c:manualLayout>
              </c:layout>
              <c:tx>
                <c:rich>
                  <a:bodyPr/>
                  <a:lstStyle/>
                  <a:p>
                    <a:fld id="{98B8FECF-7796-4966-ABC7-675B551908D6}" type="XVALUE">
                      <a:rPr lang="en-US"/>
                      <a:pPr/>
                      <a:t>[VALORE X]</a:t>
                    </a:fld>
                    <a:r>
                      <a:rPr lang="en-US" baseline="0"/>
                      <a:t>; </a:t>
                    </a:r>
                    <a:fld id="{FF87735F-1B66-4CD7-831D-A3E701C54E12}" type="YVALUE">
                      <a:rPr lang="en-US" baseline="0"/>
                      <a:pPr/>
                      <a:t>[VALORE Y]</a:t>
                    </a:fld>
                    <a:r>
                      <a:rPr lang="en-US" baseline="0"/>
                      <a:t> baricentro terra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66B-40DB-9834-52164B064D2B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766B-40DB-9834-52164B064D2B}"/>
            </c:ext>
          </c:extLst>
        </c:ser>
        <c:ser>
          <c:idx val="12"/>
          <c:order val="13"/>
          <c:tx>
            <c:v>baricentro muro</c:v>
          </c:tx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6.9414316702819959E-2"/>
                  <c:y val="-3.0752333882482233E-2"/>
                </c:manualLayout>
              </c:layout>
              <c:tx>
                <c:rich>
                  <a:bodyPr/>
                  <a:lstStyle/>
                  <a:p>
                    <a:fld id="{2465A305-C929-4DA6-87A5-AABF5F952A16}" type="XVALUE">
                      <a:rPr lang="en-US"/>
                      <a:pPr/>
                      <a:t>[VALORE X]</a:t>
                    </a:fld>
                    <a:r>
                      <a:rPr lang="en-US" baseline="0"/>
                      <a:t>; </a:t>
                    </a:r>
                    <a:fld id="{8A290CF4-FEA8-4B9C-93CD-B16FEE7C51AB}" type="YVALUE">
                      <a:rPr lang="en-US" baseline="0"/>
                      <a:pPr/>
                      <a:t>[VALORE Y]</a:t>
                    </a:fld>
                    <a:r>
                      <a:rPr lang="en-US" baseline="0"/>
                      <a:t> baicentro muro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66B-40DB-9834-52164B064D2B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66B-40DB-9834-52164B064D2B}"/>
            </c:ext>
          </c:extLst>
        </c:ser>
        <c:ser>
          <c:idx val="13"/>
          <c:order val="14"/>
          <c:tx>
            <c:v>STR1</c:v>
          </c:tx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'geom masse muro+tensioni'!$M$109:$M$110</c:f>
              <c:numCache>
                <c:formatCode>General</c:formatCode>
                <c:ptCount val="2"/>
                <c:pt idx="0">
                  <c:v>1.3499999999999999</c:v>
                </c:pt>
                <c:pt idx="1">
                  <c:v>5.1000100000000002</c:v>
                </c:pt>
              </c:numCache>
            </c:numRef>
          </c:xVal>
          <c:yVal>
            <c:numRef>
              <c:f>'geom masse muro+tensioni'!$N$109:$N$110</c:f>
              <c:numCache>
                <c:formatCode>0.00</c:formatCode>
                <c:ptCount val="2"/>
                <c:pt idx="0">
                  <c:v>18.799999999999997</c:v>
                </c:pt>
                <c:pt idx="1">
                  <c:v>18.799999999999997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766B-40DB-9834-52164B064D2B}"/>
            </c:ext>
          </c:extLst>
        </c:ser>
        <c:ser>
          <c:idx val="15"/>
          <c:order val="15"/>
          <c:tx>
            <c:v>STR2</c:v>
          </c:tx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'geom masse muro+tensioni'!$M$111:$M$112</c:f>
              <c:numCache>
                <c:formatCode>General</c:formatCode>
                <c:ptCount val="2"/>
                <c:pt idx="0">
                  <c:v>1.3499999999999999</c:v>
                </c:pt>
                <c:pt idx="1">
                  <c:v>5.1000100000000002</c:v>
                </c:pt>
              </c:numCache>
            </c:numRef>
          </c:xVal>
          <c:yVal>
            <c:numRef>
              <c:f>'geom masse muro+tensioni'!$N$111:$N$112</c:f>
              <c:numCache>
                <c:formatCode>0.00</c:formatCode>
                <c:ptCount val="2"/>
                <c:pt idx="0">
                  <c:v>8.3973333333333304</c:v>
                </c:pt>
                <c:pt idx="1">
                  <c:v>8.3973333333333304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66B-40DB-9834-52164B06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33520"/>
        <c:axId val="1512532976"/>
      </c:scatterChart>
      <c:valAx>
        <c:axId val="1512531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12532432"/>
        <c:crosses val="autoZero"/>
        <c:crossBetween val="midCat"/>
      </c:valAx>
      <c:valAx>
        <c:axId val="1512532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2531888"/>
        <c:crosses val="autoZero"/>
        <c:crossBetween val="midCat"/>
      </c:valAx>
      <c:valAx>
        <c:axId val="1512532976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1512533520"/>
        <c:crosses val="max"/>
        <c:crossBetween val="midCat"/>
      </c:valAx>
      <c:valAx>
        <c:axId val="1512533520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15125329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Spettro di risposta elastico in</a:t>
            </a:r>
            <a:r>
              <a:rPr lang="it-IT" baseline="0"/>
              <a:t> accelerazione delle componenti orizzontali e </a:t>
            </a:r>
            <a:r>
              <a:rPr lang="it-IT" sz="1400" b="0" i="0" u="none" strike="noStrike" baseline="0">
                <a:effectLst/>
              </a:rPr>
              <a:t>Spettro di progetto elastico in accelerazione delle componenti orizzontali 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17259206235585"/>
          <c:y val="0.18076033464566929"/>
          <c:w val="0.81818407752141753"/>
          <c:h val="0.71461142552493451"/>
        </c:manualLayout>
      </c:layout>
      <c:scatterChart>
        <c:scatterStyle val="smoothMarker"/>
        <c:varyColors val="0"/>
        <c:ser>
          <c:idx val="0"/>
          <c:order val="0"/>
          <c:tx>
            <c:v>SPETTRO ELASTICO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'SPETTRO DI PROGETTO ORIZZONTALE'!$B$5:$B$505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'SPETTRO DI PROGETTO ORIZZONTALE'!$C$5:$C$505</c:f>
              <c:numCache>
                <c:formatCode>0.000</c:formatCode>
                <c:ptCount val="501"/>
                <c:pt idx="0">
                  <c:v>0.30104338089176819</c:v>
                </c:pt>
                <c:pt idx="1">
                  <c:v>0.32698025219599935</c:v>
                </c:pt>
                <c:pt idx="2">
                  <c:v>0.35291712350023058</c:v>
                </c:pt>
                <c:pt idx="3">
                  <c:v>0.37885399480446175</c:v>
                </c:pt>
                <c:pt idx="4">
                  <c:v>0.40479086610869297</c:v>
                </c:pt>
                <c:pt idx="5">
                  <c:v>0.43072773741292408</c:v>
                </c:pt>
                <c:pt idx="6">
                  <c:v>0.45666460871715525</c:v>
                </c:pt>
                <c:pt idx="7">
                  <c:v>0.48260148002138653</c:v>
                </c:pt>
                <c:pt idx="8">
                  <c:v>0.50853835132561775</c:v>
                </c:pt>
                <c:pt idx="9">
                  <c:v>0.53447522262984892</c:v>
                </c:pt>
                <c:pt idx="10">
                  <c:v>0.56041209393408009</c:v>
                </c:pt>
                <c:pt idx="11">
                  <c:v>0.58634896523831126</c:v>
                </c:pt>
                <c:pt idx="12">
                  <c:v>0.61228583654254243</c:v>
                </c:pt>
                <c:pt idx="13">
                  <c:v>0.63822270784677348</c:v>
                </c:pt>
                <c:pt idx="14">
                  <c:v>0.66415957915100476</c:v>
                </c:pt>
                <c:pt idx="15">
                  <c:v>0.69009645045523604</c:v>
                </c:pt>
                <c:pt idx="16">
                  <c:v>0.71166655242813992</c:v>
                </c:pt>
                <c:pt idx="17">
                  <c:v>0.71166655242813992</c:v>
                </c:pt>
                <c:pt idx="18">
                  <c:v>0.71166655242813992</c:v>
                </c:pt>
                <c:pt idx="19">
                  <c:v>0.71166655242813992</c:v>
                </c:pt>
                <c:pt idx="20">
                  <c:v>0.71166655242813992</c:v>
                </c:pt>
                <c:pt idx="21">
                  <c:v>0.71166655242813992</c:v>
                </c:pt>
                <c:pt idx="22">
                  <c:v>0.71166655242813992</c:v>
                </c:pt>
                <c:pt idx="23">
                  <c:v>0.71166655242813992</c:v>
                </c:pt>
                <c:pt idx="24">
                  <c:v>0.71166655242813992</c:v>
                </c:pt>
                <c:pt idx="25">
                  <c:v>0.71166655242813992</c:v>
                </c:pt>
                <c:pt idx="26">
                  <c:v>0.71166655242813992</c:v>
                </c:pt>
                <c:pt idx="27">
                  <c:v>0.71166655242813992</c:v>
                </c:pt>
                <c:pt idx="28">
                  <c:v>0.71166655242813992</c:v>
                </c:pt>
                <c:pt idx="29">
                  <c:v>0.71166655242813992</c:v>
                </c:pt>
                <c:pt idx="30">
                  <c:v>0.71166655242813992</c:v>
                </c:pt>
                <c:pt idx="31">
                  <c:v>0.71166655242813992</c:v>
                </c:pt>
                <c:pt idx="32">
                  <c:v>0.71166655242813992</c:v>
                </c:pt>
                <c:pt idx="33">
                  <c:v>0.71166655242813992</c:v>
                </c:pt>
                <c:pt idx="34">
                  <c:v>0.71166655242813992</c:v>
                </c:pt>
                <c:pt idx="35">
                  <c:v>0.71166655242813992</c:v>
                </c:pt>
                <c:pt idx="36">
                  <c:v>0.71166655242813992</c:v>
                </c:pt>
                <c:pt idx="37">
                  <c:v>0.71166655242813992</c:v>
                </c:pt>
                <c:pt idx="38">
                  <c:v>0.71166655242813992</c:v>
                </c:pt>
                <c:pt idx="39">
                  <c:v>0.71166655242813992</c:v>
                </c:pt>
                <c:pt idx="40">
                  <c:v>0.71166655242813992</c:v>
                </c:pt>
                <c:pt idx="41">
                  <c:v>0.71166655242813992</c:v>
                </c:pt>
                <c:pt idx="42">
                  <c:v>0.71166655242813992</c:v>
                </c:pt>
                <c:pt idx="43">
                  <c:v>0.71166655242813992</c:v>
                </c:pt>
                <c:pt idx="44">
                  <c:v>0.71166655242813992</c:v>
                </c:pt>
                <c:pt idx="45">
                  <c:v>0.71166655242813992</c:v>
                </c:pt>
                <c:pt idx="46">
                  <c:v>0.71166655242813992</c:v>
                </c:pt>
                <c:pt idx="47">
                  <c:v>0.71166655242813992</c:v>
                </c:pt>
                <c:pt idx="48">
                  <c:v>0.70417797651524694</c:v>
                </c:pt>
                <c:pt idx="49">
                  <c:v>0.6898069974026908</c:v>
                </c:pt>
                <c:pt idx="50">
                  <c:v>0.67601085745463707</c:v>
                </c:pt>
                <c:pt idx="51">
                  <c:v>0.6627557426025853</c:v>
                </c:pt>
                <c:pt idx="52">
                  <c:v>0.650010439860228</c:v>
                </c:pt>
                <c:pt idx="53">
                  <c:v>0.63774609193833687</c:v>
                </c:pt>
                <c:pt idx="54">
                  <c:v>0.62593597912466392</c:v>
                </c:pt>
                <c:pt idx="55">
                  <c:v>0.61455532495876097</c:v>
                </c:pt>
                <c:pt idx="56">
                  <c:v>0.60358112272735454</c:v>
                </c:pt>
                <c:pt idx="57">
                  <c:v>0.59299198022336574</c:v>
                </c:pt>
                <c:pt idx="58">
                  <c:v>0.58276798056434231</c:v>
                </c:pt>
                <c:pt idx="59">
                  <c:v>0.57289055716494663</c:v>
                </c:pt>
                <c:pt idx="60">
                  <c:v>0.56334238121219748</c:v>
                </c:pt>
                <c:pt idx="61">
                  <c:v>0.55410726020871881</c:v>
                </c:pt>
                <c:pt idx="62">
                  <c:v>0.54517004633438459</c:v>
                </c:pt>
                <c:pt idx="63">
                  <c:v>0.53651655353542627</c:v>
                </c:pt>
                <c:pt idx="64">
                  <c:v>0.5281334823864352</c:v>
                </c:pt>
                <c:pt idx="65">
                  <c:v>0.52000835188818229</c:v>
                </c:pt>
                <c:pt idx="66">
                  <c:v>0.51212943746563411</c:v>
                </c:pt>
                <c:pt idx="67">
                  <c:v>0.50448571451838575</c:v>
                </c:pt>
                <c:pt idx="68">
                  <c:v>0.497066806951939</c:v>
                </c:pt>
                <c:pt idx="69">
                  <c:v>0.48986294018451959</c:v>
                </c:pt>
                <c:pt idx="70">
                  <c:v>0.48286489818188355</c:v>
                </c:pt>
                <c:pt idx="71">
                  <c:v>0.47606398412298379</c:v>
                </c:pt>
                <c:pt idx="72">
                  <c:v>0.46945198434349789</c:v>
                </c:pt>
                <c:pt idx="73">
                  <c:v>0.46302113524290206</c:v>
                </c:pt>
                <c:pt idx="74">
                  <c:v>0.45676409287475467</c:v>
                </c:pt>
                <c:pt idx="75">
                  <c:v>0.45067390496975795</c:v>
                </c:pt>
                <c:pt idx="76">
                  <c:v>0.44474398516752428</c:v>
                </c:pt>
                <c:pt idx="77">
                  <c:v>0.43896808925625785</c:v>
                </c:pt>
                <c:pt idx="78">
                  <c:v>0.43334029324015189</c:v>
                </c:pt>
                <c:pt idx="79">
                  <c:v>0.42785497307255499</c:v>
                </c:pt>
                <c:pt idx="80">
                  <c:v>0.42250678590914814</c:v>
                </c:pt>
                <c:pt idx="81">
                  <c:v>0.41729065274977584</c:v>
                </c:pt>
                <c:pt idx="82">
                  <c:v>0.41220174235038837</c:v>
                </c:pt>
                <c:pt idx="83">
                  <c:v>0.40723545629797409</c:v>
                </c:pt>
                <c:pt idx="84">
                  <c:v>0.40238741515156967</c:v>
                </c:pt>
                <c:pt idx="85">
                  <c:v>0.39765344556155113</c:v>
                </c:pt>
                <c:pt idx="86">
                  <c:v>0.39302956828757962</c:v>
                </c:pt>
                <c:pt idx="87">
                  <c:v>0.3885119870428948</c:v>
                </c:pt>
                <c:pt idx="88">
                  <c:v>0.38409707809922555</c:v>
                </c:pt>
                <c:pt idx="89">
                  <c:v>0.37978138059249267</c:v>
                </c:pt>
                <c:pt idx="90">
                  <c:v>0.37556158747479829</c:v>
                </c:pt>
                <c:pt idx="91">
                  <c:v>0.37143453706298735</c:v>
                </c:pt>
                <c:pt idx="92">
                  <c:v>0.36739720513838964</c:v>
                </c:pt>
                <c:pt idx="93">
                  <c:v>0.36344669755625642</c:v>
                </c:pt>
                <c:pt idx="94">
                  <c:v>0.35958024332693456</c:v>
                </c:pt>
                <c:pt idx="95">
                  <c:v>0.35579518813401945</c:v>
                </c:pt>
                <c:pt idx="96">
                  <c:v>0.35208898825762341</c:v>
                </c:pt>
                <c:pt idx="97">
                  <c:v>0.34845920487352422</c:v>
                </c:pt>
                <c:pt idx="98">
                  <c:v>0.3449034987013454</c:v>
                </c:pt>
                <c:pt idx="99">
                  <c:v>0.34141962497708939</c:v>
                </c:pt>
                <c:pt idx="100">
                  <c:v>0.33800542872731848</c:v>
                </c:pt>
                <c:pt idx="101">
                  <c:v>0.33465884032407767</c:v>
                </c:pt>
                <c:pt idx="102">
                  <c:v>0.33137787130129259</c:v>
                </c:pt>
                <c:pt idx="103">
                  <c:v>0.32816061041487227</c:v>
                </c:pt>
                <c:pt idx="104">
                  <c:v>0.32500521993011389</c:v>
                </c:pt>
                <c:pt idx="105">
                  <c:v>0.32190993212125563</c:v>
                </c:pt>
                <c:pt idx="106">
                  <c:v>0.31887304596916838</c:v>
                </c:pt>
                <c:pt idx="107">
                  <c:v>0.31589292404422287</c:v>
                </c:pt>
                <c:pt idx="108">
                  <c:v>0.31296798956233191</c:v>
                </c:pt>
                <c:pt idx="109">
                  <c:v>0.31009672360304447</c:v>
                </c:pt>
                <c:pt idx="110">
                  <c:v>0.30727766247938043</c:v>
                </c:pt>
                <c:pt idx="111">
                  <c:v>0.30450939524983645</c:v>
                </c:pt>
                <c:pt idx="112">
                  <c:v>0.30179056136367716</c:v>
                </c:pt>
                <c:pt idx="113">
                  <c:v>0.29911984843125528</c:v>
                </c:pt>
                <c:pt idx="114">
                  <c:v>0.29649599011168287</c:v>
                </c:pt>
                <c:pt idx="115">
                  <c:v>0.29391776411071169</c:v>
                </c:pt>
                <c:pt idx="116">
                  <c:v>0.2913839902821711</c:v>
                </c:pt>
                <c:pt idx="117">
                  <c:v>0.28889352882676794</c:v>
                </c:pt>
                <c:pt idx="118">
                  <c:v>0.28644527858247326</c:v>
                </c:pt>
                <c:pt idx="119">
                  <c:v>0.28403817540110793</c:v>
                </c:pt>
                <c:pt idx="120">
                  <c:v>0.28167119060609874</c:v>
                </c:pt>
                <c:pt idx="121">
                  <c:v>0.27934332952670948</c:v>
                </c:pt>
                <c:pt idx="122">
                  <c:v>0.27705363010435935</c:v>
                </c:pt>
                <c:pt idx="123">
                  <c:v>0.27480116156692558</c:v>
                </c:pt>
                <c:pt idx="124">
                  <c:v>0.2725850231671923</c:v>
                </c:pt>
                <c:pt idx="125">
                  <c:v>0.27040434298185478</c:v>
                </c:pt>
                <c:pt idx="126">
                  <c:v>0.26825827676771308</c:v>
                </c:pt>
                <c:pt idx="127">
                  <c:v>0.26614600687190426</c:v>
                </c:pt>
                <c:pt idx="128">
                  <c:v>0.26406674119321755</c:v>
                </c:pt>
                <c:pt idx="129">
                  <c:v>0.26201971219171971</c:v>
                </c:pt>
                <c:pt idx="130">
                  <c:v>0.26000417594409109</c:v>
                </c:pt>
                <c:pt idx="131">
                  <c:v>0.25801941124222783</c:v>
                </c:pt>
                <c:pt idx="132">
                  <c:v>0.256064718732817</c:v>
                </c:pt>
                <c:pt idx="133">
                  <c:v>0.25413942009572815</c:v>
                </c:pt>
                <c:pt idx="134">
                  <c:v>0.25224285725919282</c:v>
                </c:pt>
                <c:pt idx="135">
                  <c:v>0.25037439164986547</c:v>
                </c:pt>
                <c:pt idx="136">
                  <c:v>0.24853340347596944</c:v>
                </c:pt>
                <c:pt idx="137">
                  <c:v>0.24671929104183826</c:v>
                </c:pt>
                <c:pt idx="138">
                  <c:v>0.24493147009225974</c:v>
                </c:pt>
                <c:pt idx="139">
                  <c:v>0.24316937318512119</c:v>
                </c:pt>
                <c:pt idx="140">
                  <c:v>0.24143244909094175</c:v>
                </c:pt>
                <c:pt idx="141">
                  <c:v>0.23972016221795633</c:v>
                </c:pt>
                <c:pt idx="142">
                  <c:v>0.23803199206149189</c:v>
                </c:pt>
                <c:pt idx="143">
                  <c:v>0.23636743267644647</c:v>
                </c:pt>
                <c:pt idx="144">
                  <c:v>0.23472599217174892</c:v>
                </c:pt>
                <c:pt idx="145">
                  <c:v>0.23310719222573684</c:v>
                </c:pt>
                <c:pt idx="146">
                  <c:v>0.231510567621451</c:v>
                </c:pt>
                <c:pt idx="147">
                  <c:v>0.22993566580089689</c:v>
                </c:pt>
                <c:pt idx="148">
                  <c:v>0.22838204643737728</c:v>
                </c:pt>
                <c:pt idx="149">
                  <c:v>0.22684928102504592</c:v>
                </c:pt>
                <c:pt idx="150">
                  <c:v>0.22533695248487895</c:v>
                </c:pt>
                <c:pt idx="151">
                  <c:v>0.22384465478630358</c:v>
                </c:pt>
                <c:pt idx="152">
                  <c:v>0.22237199258376211</c:v>
                </c:pt>
                <c:pt idx="153">
                  <c:v>0.22091858086752841</c:v>
                </c:pt>
                <c:pt idx="154">
                  <c:v>0.21948404462812887</c:v>
                </c:pt>
                <c:pt idx="155">
                  <c:v>0.21806801853375385</c:v>
                </c:pt>
                <c:pt idx="156">
                  <c:v>0.21667014662007589</c:v>
                </c:pt>
                <c:pt idx="157">
                  <c:v>0.21529008199192257</c:v>
                </c:pt>
                <c:pt idx="158">
                  <c:v>0.21392748653627749</c:v>
                </c:pt>
                <c:pt idx="159">
                  <c:v>0.2125820306461122</c:v>
                </c:pt>
                <c:pt idx="160">
                  <c:v>0.21125339295457402</c:v>
                </c:pt>
                <c:pt idx="161">
                  <c:v>0.20994126007907979</c:v>
                </c:pt>
                <c:pt idx="162">
                  <c:v>0.20864532637488792</c:v>
                </c:pt>
                <c:pt idx="163">
                  <c:v>0.20736529369774137</c:v>
                </c:pt>
                <c:pt idx="164">
                  <c:v>0.20610087117519418</c:v>
                </c:pt>
                <c:pt idx="165">
                  <c:v>0.20485177498625362</c:v>
                </c:pt>
                <c:pt idx="166">
                  <c:v>0.20361772814898699</c:v>
                </c:pt>
                <c:pt idx="167">
                  <c:v>0.20239846031575953</c:v>
                </c:pt>
                <c:pt idx="168">
                  <c:v>0.20119370757578478</c:v>
                </c:pt>
                <c:pt idx="169">
                  <c:v>0.20000321226468545</c:v>
                </c:pt>
                <c:pt idx="170">
                  <c:v>0.19882672278077557</c:v>
                </c:pt>
                <c:pt idx="171">
                  <c:v>0.19766399340778856</c:v>
                </c:pt>
                <c:pt idx="172">
                  <c:v>0.19651478414378981</c:v>
                </c:pt>
                <c:pt idx="173">
                  <c:v>0.19537886053602219</c:v>
                </c:pt>
                <c:pt idx="174">
                  <c:v>0.19425599352144735</c:v>
                </c:pt>
                <c:pt idx="175">
                  <c:v>0.19314595927275335</c:v>
                </c:pt>
                <c:pt idx="176">
                  <c:v>0.19204853904961272</c:v>
                </c:pt>
                <c:pt idx="177">
                  <c:v>0.19096351905498218</c:v>
                </c:pt>
                <c:pt idx="178">
                  <c:v>0.18989069029624631</c:v>
                </c:pt>
                <c:pt idx="179">
                  <c:v>0.18882984845101586</c:v>
                </c:pt>
                <c:pt idx="180">
                  <c:v>0.18778079373739909</c:v>
                </c:pt>
                <c:pt idx="181">
                  <c:v>0.18674333078857372</c:v>
                </c:pt>
                <c:pt idx="182">
                  <c:v>0.18571726853149365</c:v>
                </c:pt>
                <c:pt idx="183">
                  <c:v>0.18470242006957291</c:v>
                </c:pt>
                <c:pt idx="184">
                  <c:v>0.18369860256919482</c:v>
                </c:pt>
                <c:pt idx="185">
                  <c:v>0.18270563714990185</c:v>
                </c:pt>
                <c:pt idx="186">
                  <c:v>0.18172334877812818</c:v>
                </c:pt>
                <c:pt idx="187">
                  <c:v>0.1807515661643414</c:v>
                </c:pt>
                <c:pt idx="188">
                  <c:v>0.17979012166346722</c:v>
                </c:pt>
                <c:pt idx="189">
                  <c:v>0.17883885117847537</c:v>
                </c:pt>
                <c:pt idx="190">
                  <c:v>0.1778975940670097</c:v>
                </c:pt>
                <c:pt idx="191">
                  <c:v>0.17696619305095207</c:v>
                </c:pt>
                <c:pt idx="192">
                  <c:v>0.17604449412881168</c:v>
                </c:pt>
                <c:pt idx="193">
                  <c:v>0.17513234649083856</c:v>
                </c:pt>
                <c:pt idx="194">
                  <c:v>0.17422960243676208</c:v>
                </c:pt>
                <c:pt idx="195">
                  <c:v>0.17333611729606074</c:v>
                </c:pt>
                <c:pt idx="196">
                  <c:v>0.17245174935067267</c:v>
                </c:pt>
                <c:pt idx="197">
                  <c:v>0.17157635976006011</c:v>
                </c:pt>
                <c:pt idx="198">
                  <c:v>0.17070981248854467</c:v>
                </c:pt>
                <c:pt idx="199">
                  <c:v>0.16985197423483336</c:v>
                </c:pt>
                <c:pt idx="200">
                  <c:v>0.16900271436365924</c:v>
                </c:pt>
                <c:pt idx="201">
                  <c:v>0.16816190483946195</c:v>
                </c:pt>
                <c:pt idx="202">
                  <c:v>0.16732942016203886</c:v>
                </c:pt>
                <c:pt idx="203">
                  <c:v>0.1665051373040978</c:v>
                </c:pt>
                <c:pt idx="204">
                  <c:v>0.16568893565064638</c:v>
                </c:pt>
                <c:pt idx="205">
                  <c:v>0.16488069694015542</c:v>
                </c:pt>
                <c:pt idx="206">
                  <c:v>0.16408030520743624</c:v>
                </c:pt>
                <c:pt idx="207">
                  <c:v>0.16328764672817331</c:v>
                </c:pt>
                <c:pt idx="208">
                  <c:v>0.16250260996505708</c:v>
                </c:pt>
                <c:pt idx="209">
                  <c:v>0.16172508551546355</c:v>
                </c:pt>
                <c:pt idx="210">
                  <c:v>0.16095496606062801</c:v>
                </c:pt>
                <c:pt idx="211">
                  <c:v>0.16019214631626486</c:v>
                </c:pt>
                <c:pt idx="212">
                  <c:v>0.15943652298458438</c:v>
                </c:pt>
                <c:pt idx="213">
                  <c:v>0.15868799470766146</c:v>
                </c:pt>
                <c:pt idx="214">
                  <c:v>0.15794646202211168</c:v>
                </c:pt>
                <c:pt idx="215">
                  <c:v>0.15721182731503208</c:v>
                </c:pt>
                <c:pt idx="216">
                  <c:v>0.1564839947811662</c:v>
                </c:pt>
                <c:pt idx="217">
                  <c:v>0.15576287038125303</c:v>
                </c:pt>
                <c:pt idx="218">
                  <c:v>0.15504836180152251</c:v>
                </c:pt>
                <c:pt idx="219">
                  <c:v>0.15434037841430098</c:v>
                </c:pt>
                <c:pt idx="220">
                  <c:v>0.15363883123969052</c:v>
                </c:pt>
                <c:pt idx="221">
                  <c:v>0.15294363290828922</c:v>
                </c:pt>
                <c:pt idx="222">
                  <c:v>0.15225469762491856</c:v>
                </c:pt>
                <c:pt idx="223">
                  <c:v>0.15157194113332703</c:v>
                </c:pt>
                <c:pt idx="224">
                  <c:v>0.15089528068183894</c:v>
                </c:pt>
                <c:pt idx="225">
                  <c:v>0.15022463498991967</c:v>
                </c:pt>
                <c:pt idx="226">
                  <c:v>0.149559924215628</c:v>
                </c:pt>
                <c:pt idx="227">
                  <c:v>0.14890106992392921</c:v>
                </c:pt>
                <c:pt idx="228">
                  <c:v>0.14824799505584182</c:v>
                </c:pt>
                <c:pt idx="229">
                  <c:v>0.14760062389839274</c:v>
                </c:pt>
                <c:pt idx="230">
                  <c:v>0.14695888205535629</c:v>
                </c:pt>
                <c:pt idx="231">
                  <c:v>0.14632269641875301</c:v>
                </c:pt>
                <c:pt idx="232">
                  <c:v>0.14569199514108599</c:v>
                </c:pt>
                <c:pt idx="233">
                  <c:v>0.14506670760829166</c:v>
                </c:pt>
                <c:pt idx="234">
                  <c:v>0.14444676441338442</c:v>
                </c:pt>
                <c:pt idx="235">
                  <c:v>0.14383209733077429</c:v>
                </c:pt>
                <c:pt idx="236">
                  <c:v>0.1432226392912371</c:v>
                </c:pt>
                <c:pt idx="237">
                  <c:v>0.14261832435751881</c:v>
                </c:pt>
                <c:pt idx="238">
                  <c:v>0.14201908770055446</c:v>
                </c:pt>
                <c:pt idx="239">
                  <c:v>0.14142486557628439</c:v>
                </c:pt>
                <c:pt idx="240">
                  <c:v>0.14083559530304987</c:v>
                </c:pt>
                <c:pt idx="241">
                  <c:v>0.14025121523955175</c:v>
                </c:pt>
                <c:pt idx="242">
                  <c:v>0.13967166476335527</c:v>
                </c:pt>
                <c:pt idx="243">
                  <c:v>0.13909688424992583</c:v>
                </c:pt>
                <c:pt idx="244">
                  <c:v>0.13852681505218026</c:v>
                </c:pt>
                <c:pt idx="245">
                  <c:v>0.1379613994805387</c:v>
                </c:pt>
                <c:pt idx="246">
                  <c:v>0.13740058078346337</c:v>
                </c:pt>
                <c:pt idx="247">
                  <c:v>0.13684430312846957</c:v>
                </c:pt>
                <c:pt idx="248">
                  <c:v>0.13629251158359673</c:v>
                </c:pt>
                <c:pt idx="249">
                  <c:v>0.13574515209932528</c:v>
                </c:pt>
                <c:pt idx="250">
                  <c:v>0.135202171490928</c:v>
                </c:pt>
                <c:pt idx="251">
                  <c:v>0.13466351742124302</c:v>
                </c:pt>
                <c:pt idx="252">
                  <c:v>0.13412913838385715</c:v>
                </c:pt>
                <c:pt idx="253">
                  <c:v>0.13359898368668774</c:v>
                </c:pt>
                <c:pt idx="254">
                  <c:v>0.13307300343595277</c:v>
                </c:pt>
                <c:pt idx="255">
                  <c:v>0.13255114852051766</c:v>
                </c:pt>
                <c:pt idx="256">
                  <c:v>0.13203337059660941</c:v>
                </c:pt>
                <c:pt idx="257">
                  <c:v>0.1315196220728872</c:v>
                </c:pt>
                <c:pt idx="258">
                  <c:v>0.13100985609586052</c:v>
                </c:pt>
                <c:pt idx="259">
                  <c:v>0.13050402653564486</c:v>
                </c:pt>
                <c:pt idx="260">
                  <c:v>0.13000208797204621</c:v>
                </c:pt>
                <c:pt idx="261">
                  <c:v>0.12950399568096557</c:v>
                </c:pt>
                <c:pt idx="262">
                  <c:v>0.12900970562111461</c:v>
                </c:pt>
                <c:pt idx="263">
                  <c:v>0.1285191744210343</c:v>
                </c:pt>
                <c:pt idx="264">
                  <c:v>0.12803235936640919</c:v>
                </c:pt>
                <c:pt idx="265">
                  <c:v>0.12727287540954491</c:v>
                </c:pt>
                <c:pt idx="266">
                  <c:v>0.12631773525404622</c:v>
                </c:pt>
                <c:pt idx="267">
                  <c:v>0.12537330690057785</c:v>
                </c:pt>
                <c:pt idx="268">
                  <c:v>0.12443943077015059</c:v>
                </c:pt>
                <c:pt idx="269">
                  <c:v>0.12351595024440368</c:v>
                </c:pt>
                <c:pt idx="270">
                  <c:v>0.12260271159993548</c:v>
                </c:pt>
                <c:pt idx="271">
                  <c:v>0.1216995639443267</c:v>
                </c:pt>
                <c:pt idx="272">
                  <c:v>0.12080635915380755</c:v>
                </c:pt>
                <c:pt idx="273">
                  <c:v>0.11992295181251995</c:v>
                </c:pt>
                <c:pt idx="274">
                  <c:v>0.11904919915332862</c:v>
                </c:pt>
                <c:pt idx="275">
                  <c:v>0.11818496100013623</c:v>
                </c:pt>
                <c:pt idx="276">
                  <c:v>0.11733009971165857</c:v>
                </c:pt>
                <c:pt idx="277">
                  <c:v>0.11648448012661841</c:v>
                </c:pt>
                <c:pt idx="278">
                  <c:v>0.11564796951031654</c:v>
                </c:pt>
                <c:pt idx="279">
                  <c:v>0.11482043750254116</c:v>
                </c:pt>
                <c:pt idx="280">
                  <c:v>0.11400175606677686</c:v>
                </c:pt>
                <c:pt idx="281">
                  <c:v>0.11319179944067714</c:v>
                </c:pt>
                <c:pt idx="282">
                  <c:v>0.11239044408776355</c:v>
                </c:pt>
                <c:pt idx="283">
                  <c:v>0.1115975686503179</c:v>
                </c:pt>
                <c:pt idx="284">
                  <c:v>0.11081305390343324</c:v>
                </c:pt>
                <c:pt idx="285">
                  <c:v>0.11003678271019159</c:v>
                </c:pt>
                <c:pt idx="286">
                  <c:v>0.10926863997793673</c:v>
                </c:pt>
                <c:pt idx="287">
                  <c:v>0.10850851261561163</c:v>
                </c:pt>
                <c:pt idx="288">
                  <c:v>0.10775628949213099</c:v>
                </c:pt>
                <c:pt idx="289">
                  <c:v>0.10701186139576052</c:v>
                </c:pt>
                <c:pt idx="290">
                  <c:v>0.10627512099447464</c:v>
                </c:pt>
                <c:pt idx="291">
                  <c:v>0.10554596279726643</c:v>
                </c:pt>
                <c:pt idx="292">
                  <c:v>0.10482428311638343</c:v>
                </c:pt>
                <c:pt idx="293">
                  <c:v>0.10410998003046418</c:v>
                </c:pt>
                <c:pt idx="294">
                  <c:v>0.10340295334855062</c:v>
                </c:pt>
                <c:pt idx="295">
                  <c:v>0.10270310457495344</c:v>
                </c:pt>
                <c:pt idx="296">
                  <c:v>0.10201033687494661</c:v>
                </c:pt>
                <c:pt idx="297">
                  <c:v>0.1013245550412693</c:v>
                </c:pt>
                <c:pt idx="298">
                  <c:v>0.10064566546141306</c:v>
                </c:pt>
                <c:pt idx="299">
                  <c:v>9.997357608567381E-2</c:v>
                </c:pt>
                <c:pt idx="300">
                  <c:v>9.9308196395948067E-2</c:v>
                </c:pt>
                <c:pt idx="301">
                  <c:v>9.8649437375253335E-2</c:v>
                </c:pt>
                <c:pt idx="302">
                  <c:v>9.7997211477954121E-2</c:v>
                </c:pt>
                <c:pt idx="303">
                  <c:v>9.735143260067454E-2</c:v>
                </c:pt>
                <c:pt idx="304">
                  <c:v>9.671201605387951E-2</c:v>
                </c:pt>
                <c:pt idx="305">
                  <c:v>9.6078878534107279E-2</c:v>
                </c:pt>
                <c:pt idx="306">
                  <c:v>9.5451938096835942E-2</c:v>
                </c:pt>
                <c:pt idx="307">
                  <c:v>9.4831114129967767E-2</c:v>
                </c:pt>
                <c:pt idx="308">
                  <c:v>9.4216327327915045E-2</c:v>
                </c:pt>
                <c:pt idx="309">
                  <c:v>9.3607499666272187E-2</c:v>
                </c:pt>
                <c:pt idx="310">
                  <c:v>9.3004554377058624E-2</c:v>
                </c:pt>
                <c:pt idx="311">
                  <c:v>9.2407415924518316E-2</c:v>
                </c:pt>
                <c:pt idx="312">
                  <c:v>9.1816009981460972E-2</c:v>
                </c:pt>
                <c:pt idx="313">
                  <c:v>9.1230263406131912E-2</c:v>
                </c:pt>
                <c:pt idx="314">
                  <c:v>9.0650104219596517E-2</c:v>
                </c:pt>
                <c:pt idx="315">
                  <c:v>9.007546158362649E-2</c:v>
                </c:pt>
                <c:pt idx="316">
                  <c:v>8.9506265779075264E-2</c:v>
                </c:pt>
                <c:pt idx="317">
                  <c:v>8.8942448184730072E-2</c:v>
                </c:pt>
                <c:pt idx="318">
                  <c:v>8.8383941256628906E-2</c:v>
                </c:pt>
                <c:pt idx="319">
                  <c:v>8.7830678507830509E-2</c:v>
                </c:pt>
                <c:pt idx="320">
                  <c:v>8.728259448862638E-2</c:v>
                </c:pt>
                <c:pt idx="321">
                  <c:v>8.6739624767183374E-2</c:v>
                </c:pt>
                <c:pt idx="322">
                  <c:v>8.6201705910606691E-2</c:v>
                </c:pt>
                <c:pt idx="323">
                  <c:v>8.5668775466412453E-2</c:v>
                </c:pt>
                <c:pt idx="324">
                  <c:v>8.5140771944400104E-2</c:v>
                </c:pt>
                <c:pt idx="325">
                  <c:v>8.4617634798914515E-2</c:v>
                </c:pt>
                <c:pt idx="326">
                  <c:v>8.409930441148844E-2</c:v>
                </c:pt>
                <c:pt idx="327">
                  <c:v>8.3585722073856006E-2</c:v>
                </c:pt>
                <c:pt idx="328">
                  <c:v>8.3076829971327981E-2</c:v>
                </c:pt>
                <c:pt idx="329">
                  <c:v>8.2572571166520545E-2</c:v>
                </c:pt>
                <c:pt idx="330">
                  <c:v>8.2072889583428371E-2</c:v>
                </c:pt>
                <c:pt idx="331">
                  <c:v>8.1577729991834241E-2</c:v>
                </c:pt>
                <c:pt idx="332">
                  <c:v>8.1087037992046654E-2</c:v>
                </c:pt>
                <c:pt idx="333">
                  <c:v>8.0600759999958096E-2</c:v>
                </c:pt>
                <c:pt idx="334">
                  <c:v>8.0118843232415568E-2</c:v>
                </c:pt>
                <c:pt idx="335">
                  <c:v>7.9641235692896897E-2</c:v>
                </c:pt>
                <c:pt idx="336">
                  <c:v>7.9167886157484366E-2</c:v>
                </c:pt>
                <c:pt idx="337">
                  <c:v>7.8698744161129833E-2</c:v>
                </c:pt>
                <c:pt idx="338">
                  <c:v>7.8233759984203594E-2</c:v>
                </c:pt>
                <c:pt idx="339">
                  <c:v>7.7772884639320528E-2</c:v>
                </c:pt>
                <c:pt idx="340">
                  <c:v>7.7316069858437336E-2</c:v>
                </c:pt>
                <c:pt idx="341">
                  <c:v>7.6863268080213931E-2</c:v>
                </c:pt>
                <c:pt idx="342">
                  <c:v>7.6414432437633448E-2</c:v>
                </c:pt>
                <c:pt idx="343">
                  <c:v>7.5969516745874252E-2</c:v>
                </c:pt>
                <c:pt idx="344">
                  <c:v>7.5528475490428612E-2</c:v>
                </c:pt>
                <c:pt idx="345">
                  <c:v>7.5091263815461967E-2</c:v>
                </c:pt>
                <c:pt idx="346">
                  <c:v>7.4657837512407357E-2</c:v>
                </c:pt>
                <c:pt idx="347">
                  <c:v>7.4228153008789724E-2</c:v>
                </c:pt>
                <c:pt idx="348">
                  <c:v>7.380216735727442E-2</c:v>
                </c:pt>
                <c:pt idx="349">
                  <c:v>7.3379838224935448E-2</c:v>
                </c:pt>
                <c:pt idx="350">
                  <c:v>7.2961123882737663E-2</c:v>
                </c:pt>
                <c:pt idx="351">
                  <c:v>7.2545983195228647E-2</c:v>
                </c:pt>
                <c:pt idx="352">
                  <c:v>7.2134375610435217E-2</c:v>
                </c:pt>
                <c:pt idx="353">
                  <c:v>7.1726261149960002E-2</c:v>
                </c:pt>
                <c:pt idx="354">
                  <c:v>7.1321600399273558E-2</c:v>
                </c:pt>
                <c:pt idx="355">
                  <c:v>7.092035449819771E-2</c:v>
                </c:pt>
                <c:pt idx="356">
                  <c:v>7.0522485131575621E-2</c:v>
                </c:pt>
                <c:pt idx="357">
                  <c:v>7.0127954520124658E-2</c:v>
                </c:pt>
                <c:pt idx="358">
                  <c:v>6.9736725411467873E-2</c:v>
                </c:pt>
                <c:pt idx="359">
                  <c:v>6.9348761071339984E-2</c:v>
                </c:pt>
                <c:pt idx="360">
                  <c:v>6.8964025274964272E-2</c:v>
                </c:pt>
                <c:pt idx="361">
                  <c:v>6.8582482298596315E-2</c:v>
                </c:pt>
                <c:pt idx="362">
                  <c:v>6.8204096911231124E-2</c:v>
                </c:pt>
                <c:pt idx="363">
                  <c:v>6.7828834366469887E-2</c:v>
                </c:pt>
                <c:pt idx="364">
                  <c:v>6.7456660394543025E-2</c:v>
                </c:pt>
                <c:pt idx="365">
                  <c:v>6.7087541194485817E-2</c:v>
                </c:pt>
                <c:pt idx="366">
                  <c:v>6.6721443426463703E-2</c:v>
                </c:pt>
                <c:pt idx="367">
                  <c:v>6.6358334204243655E-2</c:v>
                </c:pt>
                <c:pt idx="368">
                  <c:v>6.5998181087808472E-2</c:v>
                </c:pt>
                <c:pt idx="369">
                  <c:v>6.5640952076111189E-2</c:v>
                </c:pt>
                <c:pt idx="370">
                  <c:v>6.5286615599966222E-2</c:v>
                </c:pt>
                <c:pt idx="371">
                  <c:v>6.4935140515074555E-2</c:v>
                </c:pt>
                <c:pt idx="372">
                  <c:v>6.4586496095179913E-2</c:v>
                </c:pt>
                <c:pt idx="373">
                  <c:v>6.4240652025353284E-2</c:v>
                </c:pt>
                <c:pt idx="374">
                  <c:v>6.3897578395402915E-2</c:v>
                </c:pt>
                <c:pt idx="375">
                  <c:v>6.3557245693407136E-2</c:v>
                </c:pt>
                <c:pt idx="376">
                  <c:v>6.3219624799367491E-2</c:v>
                </c:pt>
                <c:pt idx="377">
                  <c:v>6.2884686978979518E-2</c:v>
                </c:pt>
                <c:pt idx="378">
                  <c:v>6.2552403877518689E-2</c:v>
                </c:pt>
                <c:pt idx="379">
                  <c:v>6.2222747513839223E-2</c:v>
                </c:pt>
                <c:pt idx="380">
                  <c:v>6.1895690274483259E-2</c:v>
                </c:pt>
                <c:pt idx="381">
                  <c:v>6.1571204907897997E-2</c:v>
                </c:pt>
                <c:pt idx="382">
                  <c:v>6.1249264518758957E-2</c:v>
                </c:pt>
                <c:pt idx="383">
                  <c:v>6.0929842562396523E-2</c:v>
                </c:pt>
                <c:pt idx="384">
                  <c:v>6.0612912839324157E-2</c:v>
                </c:pt>
                <c:pt idx="385">
                  <c:v>6.0298449489865971E-2</c:v>
                </c:pt>
                <c:pt idx="386">
                  <c:v>5.9986426988881472E-2</c:v>
                </c:pt>
                <c:pt idx="387">
                  <c:v>5.9676820140585729E-2</c:v>
                </c:pt>
                <c:pt idx="388">
                  <c:v>5.9369604073462819E-2</c:v>
                </c:pt>
                <c:pt idx="389">
                  <c:v>5.906475423527062E-2</c:v>
                </c:pt>
                <c:pt idx="390">
                  <c:v>5.876224638813534E-2</c:v>
                </c:pt>
                <c:pt idx="391">
                  <c:v>5.8462056603733534E-2</c:v>
                </c:pt>
                <c:pt idx="392">
                  <c:v>5.8164161258560158E-2</c:v>
                </c:pt>
                <c:pt idx="393">
                  <c:v>5.7868537029280784E-2</c:v>
                </c:pt>
                <c:pt idx="394">
                  <c:v>5.7575160888166325E-2</c:v>
                </c:pt>
                <c:pt idx="395">
                  <c:v>5.7284010098608486E-2</c:v>
                </c:pt>
                <c:pt idx="396">
                  <c:v>5.6995062210714403E-2</c:v>
                </c:pt>
                <c:pt idx="397">
                  <c:v>5.6708295056978907E-2</c:v>
                </c:pt>
                <c:pt idx="398">
                  <c:v>5.6423686748032817E-2</c:v>
                </c:pt>
                <c:pt idx="399">
                  <c:v>5.6141215668465583E-2</c:v>
                </c:pt>
                <c:pt idx="400">
                  <c:v>5.5860860472721194E-2</c:v>
                </c:pt>
                <c:pt idx="401">
                  <c:v>5.5582600081065359E-2</c:v>
                </c:pt>
                <c:pt idx="402">
                  <c:v>5.5306413675623063E-2</c:v>
                </c:pt>
                <c:pt idx="403">
                  <c:v>5.5032280696484748E-2</c:v>
                </c:pt>
                <c:pt idx="404">
                  <c:v>5.476018083787982E-2</c:v>
                </c:pt>
                <c:pt idx="405">
                  <c:v>5.4490094044416355E-2</c:v>
                </c:pt>
                <c:pt idx="406">
                  <c:v>5.422200050738548E-2</c:v>
                </c:pt>
                <c:pt idx="407">
                  <c:v>5.3955880661129205E-2</c:v>
                </c:pt>
                <c:pt idx="408">
                  <c:v>5.3691715179470592E-2</c:v>
                </c:pt>
                <c:pt idx="409">
                  <c:v>5.3429484972204823E-2</c:v>
                </c:pt>
                <c:pt idx="410">
                  <c:v>5.3169171181650182E-2</c:v>
                </c:pt>
                <c:pt idx="411">
                  <c:v>5.2910755179257737E-2</c:v>
                </c:pt>
                <c:pt idx="412">
                  <c:v>5.2654218562278463E-2</c:v>
                </c:pt>
                <c:pt idx="413">
                  <c:v>5.2399543150486873E-2</c:v>
                </c:pt>
                <c:pt idx="414">
                  <c:v>5.2146710982959914E-2</c:v>
                </c:pt>
                <c:pt idx="415">
                  <c:v>5.1895704314910127E-2</c:v>
                </c:pt>
                <c:pt idx="416">
                  <c:v>5.1646505614572139E-2</c:v>
                </c:pt>
                <c:pt idx="417">
                  <c:v>5.1399097560141223E-2</c:v>
                </c:pt>
                <c:pt idx="418">
                  <c:v>5.1153463036763103E-2</c:v>
                </c:pt>
                <c:pt idx="419">
                  <c:v>5.0909585133574076E-2</c:v>
                </c:pt>
                <c:pt idx="420">
                  <c:v>5.0667447140790245E-2</c:v>
                </c:pt>
                <c:pt idx="421">
                  <c:v>5.0427032546845253E-2</c:v>
                </c:pt>
                <c:pt idx="422">
                  <c:v>5.0188325035575347E-2</c:v>
                </c:pt>
                <c:pt idx="423">
                  <c:v>4.995130848345098E-2</c:v>
                </c:pt>
                <c:pt idx="424">
                  <c:v>4.9715966956854089E-2</c:v>
                </c:pt>
                <c:pt idx="425">
                  <c:v>4.9482284709400137E-2</c:v>
                </c:pt>
                <c:pt idx="426">
                  <c:v>4.9250246179304152E-2</c:v>
                </c:pt>
                <c:pt idx="427">
                  <c:v>4.9019835986789828E-2</c:v>
                </c:pt>
                <c:pt idx="428">
                  <c:v>4.8791038931540985E-2</c:v>
                </c:pt>
                <c:pt idx="429">
                  <c:v>4.8563839990194597E-2</c:v>
                </c:pt>
                <c:pt idx="430">
                  <c:v>4.8338224313874543E-2</c:v>
                </c:pt>
                <c:pt idx="431">
                  <c:v>4.811417722576538E-2</c:v>
                </c:pt>
                <c:pt idx="432">
                  <c:v>4.7891684218725368E-2</c:v>
                </c:pt>
                <c:pt idx="433">
                  <c:v>4.7670730952938056E-2</c:v>
                </c:pt>
                <c:pt idx="434">
                  <c:v>4.7451303253601709E-2</c:v>
                </c:pt>
                <c:pt idx="435">
                  <c:v>4.7233387108655857E-2</c:v>
                </c:pt>
                <c:pt idx="436">
                  <c:v>4.7016968666544305E-2</c:v>
                </c:pt>
                <c:pt idx="437">
                  <c:v>4.6802034234013933E-2</c:v>
                </c:pt>
                <c:pt idx="438">
                  <c:v>4.6588570273948665E-2</c:v>
                </c:pt>
                <c:pt idx="439">
                  <c:v>4.6376563403237876E-2</c:v>
                </c:pt>
                <c:pt idx="440">
                  <c:v>4.6166000390678759E-2</c:v>
                </c:pt>
                <c:pt idx="441">
                  <c:v>4.5956868154911831E-2</c:v>
                </c:pt>
                <c:pt idx="442">
                  <c:v>4.5749153762389229E-2</c:v>
                </c:pt>
                <c:pt idx="443">
                  <c:v>4.5542844425374956E-2</c:v>
                </c:pt>
                <c:pt idx="444">
                  <c:v>4.5337927499976706E-2</c:v>
                </c:pt>
                <c:pt idx="445">
                  <c:v>4.5134390484208607E-2</c:v>
                </c:pt>
                <c:pt idx="446">
                  <c:v>4.4932221016084233E-2</c:v>
                </c:pt>
                <c:pt idx="447">
                  <c:v>4.4731406871739571E-2</c:v>
                </c:pt>
                <c:pt idx="448">
                  <c:v>4.4531935963585241E-2</c:v>
                </c:pt>
                <c:pt idx="449">
                  <c:v>4.4333796338487462E-2</c:v>
                </c:pt>
                <c:pt idx="450">
                  <c:v>4.4136976175977338E-2</c:v>
                </c:pt>
                <c:pt idx="451">
                  <c:v>4.3941463786487833E-2</c:v>
                </c:pt>
                <c:pt idx="452">
                  <c:v>4.3747247609618081E-2</c:v>
                </c:pt>
                <c:pt idx="453">
                  <c:v>4.355431621242447E-2</c:v>
                </c:pt>
                <c:pt idx="454">
                  <c:v>4.3362658287738033E-2</c:v>
                </c:pt>
                <c:pt idx="455">
                  <c:v>4.3172262652507731E-2</c:v>
                </c:pt>
                <c:pt idx="456">
                  <c:v>4.2983118246169086E-2</c:v>
                </c:pt>
                <c:pt idx="457">
                  <c:v>4.2795214129037799E-2</c:v>
                </c:pt>
                <c:pt idx="458">
                  <c:v>4.2608539480727937E-2</c:v>
                </c:pt>
                <c:pt idx="459">
                  <c:v>4.2423083598594154E-2</c:v>
                </c:pt>
                <c:pt idx="460">
                  <c:v>4.2238835896197618E-2</c:v>
                </c:pt>
                <c:pt idx="461">
                  <c:v>4.2055785901795192E-2</c:v>
                </c:pt>
                <c:pt idx="462">
                  <c:v>4.1873923256851527E-2</c:v>
                </c:pt>
                <c:pt idx="463">
                  <c:v>4.169323771457354E-2</c:v>
                </c:pt>
                <c:pt idx="464">
                  <c:v>4.1513719138467117E-2</c:v>
                </c:pt>
                <c:pt idx="465">
                  <c:v>4.1335357500915333E-2</c:v>
                </c:pt>
                <c:pt idx="466">
                  <c:v>4.1158142881778159E-2</c:v>
                </c:pt>
                <c:pt idx="467">
                  <c:v>4.0982065467013086E-2</c:v>
                </c:pt>
                <c:pt idx="468">
                  <c:v>4.0807115547316364E-2</c:v>
                </c:pt>
                <c:pt idx="469">
                  <c:v>4.0633283516784427E-2</c:v>
                </c:pt>
                <c:pt idx="470">
                  <c:v>4.0460559871595386E-2</c:v>
                </c:pt>
                <c:pt idx="471">
                  <c:v>4.0288935208709936E-2</c:v>
                </c:pt>
                <c:pt idx="472">
                  <c:v>4.0118400224591622E-2</c:v>
                </c:pt>
                <c:pt idx="473">
                  <c:v>3.9948945713945978E-2</c:v>
                </c:pt>
                <c:pt idx="474">
                  <c:v>3.9780562568478249E-2</c:v>
                </c:pt>
                <c:pt idx="475">
                  <c:v>3.961324177566946E-2</c:v>
                </c:pt>
                <c:pt idx="476">
                  <c:v>3.9446974417570363E-2</c:v>
                </c:pt>
                <c:pt idx="477">
                  <c:v>3.9281751669613202E-2</c:v>
                </c:pt>
                <c:pt idx="478">
                  <c:v>3.9117564799440757E-2</c:v>
                </c:pt>
                <c:pt idx="479">
                  <c:v>3.8954405165752506E-2</c:v>
                </c:pt>
                <c:pt idx="480">
                  <c:v>3.8792264217167631E-2</c:v>
                </c:pt>
                <c:pt idx="481">
                  <c:v>3.8631133491104475E-2</c:v>
                </c:pt>
                <c:pt idx="482">
                  <c:v>3.8471004612676364E-2</c:v>
                </c:pt>
                <c:pt idx="483">
                  <c:v>3.8311869293603314E-2</c:v>
                </c:pt>
                <c:pt idx="484">
                  <c:v>3.8153719331139542E-2</c:v>
                </c:pt>
                <c:pt idx="485">
                  <c:v>3.799654660701636E-2</c:v>
                </c:pt>
                <c:pt idx="486">
                  <c:v>3.7840343086400378E-2</c:v>
                </c:pt>
                <c:pt idx="487">
                  <c:v>3.7685100816866567E-2</c:v>
                </c:pt>
                <c:pt idx="488">
                  <c:v>3.7530811927386061E-2</c:v>
                </c:pt>
                <c:pt idx="489">
                  <c:v>3.7377468627328526E-2</c:v>
                </c:pt>
                <c:pt idx="490">
                  <c:v>3.7225063205478658E-2</c:v>
                </c:pt>
                <c:pt idx="491">
                  <c:v>3.7073588029066691E-2</c:v>
                </c:pt>
                <c:pt idx="492">
                  <c:v>3.6923035542812753E-2</c:v>
                </c:pt>
                <c:pt idx="493">
                  <c:v>3.6773398267984751E-2</c:v>
                </c:pt>
                <c:pt idx="494">
                  <c:v>3.6624668801469563E-2</c:v>
                </c:pt>
                <c:pt idx="495">
                  <c:v>3.647683981485738E-2</c:v>
                </c:pt>
                <c:pt idx="496">
                  <c:v>3.6329904053538913E-2</c:v>
                </c:pt>
                <c:pt idx="497">
                  <c:v>3.6183854335815405E-2</c:v>
                </c:pt>
                <c:pt idx="498">
                  <c:v>3.6038683552021056E-2</c:v>
                </c:pt>
                <c:pt idx="499">
                  <c:v>3.5894384663657693E-2</c:v>
                </c:pt>
                <c:pt idx="500">
                  <c:v>3.5750950702541716E-2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939-46B0-A2F6-6135ABB95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39504"/>
        <c:axId val="1512540048"/>
      </c:scatterChart>
      <c:valAx>
        <c:axId val="151253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 b="1"/>
                  <a:t>Periodo   [s]</a:t>
                </a:r>
              </a:p>
            </c:rich>
          </c:tx>
          <c:layout>
            <c:manualLayout>
              <c:xMode val="edge"/>
              <c:yMode val="edge"/>
              <c:x val="0.42969346516244677"/>
              <c:y val="0.938402209527730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540048"/>
        <c:crosses val="autoZero"/>
        <c:crossBetween val="midCat"/>
      </c:valAx>
      <c:valAx>
        <c:axId val="151254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 b="1"/>
                  <a:t>Pseudo</a:t>
                </a:r>
                <a:r>
                  <a:rPr lang="it-IT" sz="1050" b="1" baseline="0"/>
                  <a:t> Accelerazioni    [m/s</a:t>
                </a:r>
                <a:r>
                  <a:rPr lang="it-IT" sz="105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²]</a:t>
                </a:r>
                <a:r>
                  <a:rPr lang="it-IT" sz="1050" b="1" baseline="0"/>
                  <a:t> </a:t>
                </a:r>
                <a:endParaRPr lang="it-IT" sz="1050" b="1"/>
              </a:p>
            </c:rich>
          </c:tx>
          <c:layout>
            <c:manualLayout>
              <c:xMode val="edge"/>
              <c:yMode val="edge"/>
              <c:x val="1.2759168517471688E-2"/>
              <c:y val="0.259995082314057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53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171451</xdr:rowOff>
    </xdr:from>
    <xdr:ext cx="4810125" cy="478428"/>
    <xdr:pic>
      <xdr:nvPicPr>
        <xdr:cNvPr id="2" name="Immagine 1" descr="Cattura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171451"/>
          <a:ext cx="4810125" cy="4784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38100</xdr:rowOff>
    </xdr:from>
    <xdr:to>
      <xdr:col>10</xdr:col>
      <xdr:colOff>428973</xdr:colOff>
      <xdr:row>9</xdr:row>
      <xdr:rowOff>200332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38100"/>
          <a:ext cx="2495898" cy="220058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52</xdr:row>
      <xdr:rowOff>161925</xdr:rowOff>
    </xdr:from>
    <xdr:to>
      <xdr:col>1</xdr:col>
      <xdr:colOff>1440458</xdr:colOff>
      <xdr:row>59</xdr:row>
      <xdr:rowOff>70017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0610850"/>
          <a:ext cx="1202333" cy="1241592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80</xdr:row>
      <xdr:rowOff>133350</xdr:rowOff>
    </xdr:from>
    <xdr:to>
      <xdr:col>5</xdr:col>
      <xdr:colOff>2569321</xdr:colOff>
      <xdr:row>88</xdr:row>
      <xdr:rowOff>47884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20059650"/>
          <a:ext cx="2074021" cy="151473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10</xdr:col>
      <xdr:colOff>293103</xdr:colOff>
      <xdr:row>94</xdr:row>
      <xdr:rowOff>81457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17068800"/>
          <a:ext cx="2179053" cy="1605457"/>
        </a:xfrm>
        <a:prstGeom prst="rect">
          <a:avLst/>
        </a:prstGeom>
      </xdr:spPr>
    </xdr:pic>
    <xdr:clientData/>
  </xdr:twoCellAnchor>
  <xdr:twoCellAnchor editAs="oneCell">
    <xdr:from>
      <xdr:col>19</xdr:col>
      <xdr:colOff>590550</xdr:colOff>
      <xdr:row>194</xdr:row>
      <xdr:rowOff>24695</xdr:rowOff>
    </xdr:from>
    <xdr:to>
      <xdr:col>25</xdr:col>
      <xdr:colOff>610533</xdr:colOff>
      <xdr:row>201</xdr:row>
      <xdr:rowOff>28840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9475" y="38534270"/>
          <a:ext cx="4953933" cy="140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118</xdr:row>
      <xdr:rowOff>109535</xdr:rowOff>
    </xdr:from>
    <xdr:to>
      <xdr:col>8</xdr:col>
      <xdr:colOff>19050</xdr:colOff>
      <xdr:row>149</xdr:row>
      <xdr:rowOff>123824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118</xdr:row>
      <xdr:rowOff>76200</xdr:rowOff>
    </xdr:from>
    <xdr:to>
      <xdr:col>3</xdr:col>
      <xdr:colOff>161925</xdr:colOff>
      <xdr:row>149</xdr:row>
      <xdr:rowOff>90489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179916</xdr:colOff>
      <xdr:row>42</xdr:row>
      <xdr:rowOff>31748</xdr:rowOff>
    </xdr:from>
    <xdr:to>
      <xdr:col>27</xdr:col>
      <xdr:colOff>296334</xdr:colOff>
      <xdr:row>60</xdr:row>
      <xdr:rowOff>116416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508000</xdr:colOff>
      <xdr:row>80</xdr:row>
      <xdr:rowOff>137583</xdr:rowOff>
    </xdr:from>
    <xdr:to>
      <xdr:col>18</xdr:col>
      <xdr:colOff>581025</xdr:colOff>
      <xdr:row>112</xdr:row>
      <xdr:rowOff>80433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466725</xdr:colOff>
      <xdr:row>27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la/Desktop/FONDAZIONI%20DIRETTE%20IN%20ZONA%20SISM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FOGLIO DEPOSITO"/>
      <sheetName val="DATI"/>
      <sheetName val="VER. GEO CONDIZIONI NON DRENATE"/>
      <sheetName val="VER. GEO CONDIZIONI DRENATE"/>
      <sheetName val="SPETTRO DI PROGETTO ORIZZONTALE"/>
      <sheetName val="FORMULE"/>
      <sheetName val="tabelle NTC 08"/>
      <sheetName val="ANALISI SISMICA PSEUDO-STATICA "/>
    </sheetNames>
    <sheetDataSet>
      <sheetData sheetId="0"/>
      <sheetData sheetId="1">
        <row r="16">
          <cell r="I16" t="str">
            <v>si</v>
          </cell>
        </row>
        <row r="17">
          <cell r="I17" t="str">
            <v>no</v>
          </cell>
        </row>
      </sheetData>
      <sheetData sheetId="2">
        <row r="51">
          <cell r="E51">
            <v>2.2999999999999998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ostru.com/geoapp/parametri-sismici.aspx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showRowColHeaders="0" tabSelected="1" workbookViewId="0">
      <selection activeCell="G15" sqref="G15:I15"/>
    </sheetView>
  </sheetViews>
  <sheetFormatPr defaultRowHeight="15" x14ac:dyDescent="0.25"/>
  <cols>
    <col min="1" max="1" width="3" customWidth="1"/>
  </cols>
  <sheetData>
    <row r="1" spans="2:12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 x14ac:dyDescent="0.25">
      <c r="B5" s="74" t="s">
        <v>597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x14ac:dyDescent="0.25">
      <c r="B6" s="74" t="s">
        <v>593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5.75" x14ac:dyDescent="0.25">
      <c r="B7" s="74" t="s">
        <v>609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s="317" customFormat="1" ht="15.75" x14ac:dyDescent="0.25">
      <c r="B8" s="74" t="s">
        <v>599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</row>
    <row r="9" spans="2:12" ht="15.75" x14ac:dyDescent="0.25">
      <c r="B9" s="74" t="s">
        <v>594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5.75" x14ac:dyDescent="0.25">
      <c r="B10" s="74" t="s">
        <v>598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 x14ac:dyDescent="0.25">
      <c r="B11" s="74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.75" x14ac:dyDescent="0.25">
      <c r="B12" s="518" t="s">
        <v>610</v>
      </c>
      <c r="C12" s="518"/>
      <c r="D12" s="518"/>
      <c r="E12" s="2"/>
      <c r="F12" s="2"/>
      <c r="G12" s="2"/>
      <c r="H12" s="2"/>
      <c r="I12" s="2"/>
      <c r="J12" s="2"/>
      <c r="K12" s="2"/>
      <c r="L12" s="2"/>
    </row>
    <row r="13" spans="2:12" x14ac:dyDescent="0.25">
      <c r="B13" s="517" t="s">
        <v>22</v>
      </c>
      <c r="C13" s="517"/>
      <c r="D13" s="517"/>
      <c r="E13" s="2"/>
      <c r="F13" s="2"/>
      <c r="G13" s="515" t="s">
        <v>21</v>
      </c>
      <c r="H13" s="515"/>
      <c r="I13" s="515"/>
      <c r="J13" s="2"/>
      <c r="K13" s="2"/>
      <c r="L13" s="2"/>
    </row>
    <row r="14" spans="2:12" ht="15.75" x14ac:dyDescent="0.25">
      <c r="B14" s="74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 x14ac:dyDescent="0.25">
      <c r="B15" s="14"/>
      <c r="G15" s="516" t="s">
        <v>22</v>
      </c>
      <c r="H15" s="516"/>
      <c r="I15" s="516"/>
    </row>
  </sheetData>
  <sheetProtection password="FA0B" sheet="1" objects="1" scenarios="1" selectLockedCells="1"/>
  <mergeCells count="4">
    <mergeCell ref="G13:I13"/>
    <mergeCell ref="G15:I15"/>
    <mergeCell ref="B13:D13"/>
    <mergeCell ref="B12:D12"/>
  </mergeCells>
  <hyperlinks>
    <hyperlink ref="B13" r:id="rId1"/>
    <hyperlink ref="G15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68"/>
  <sheetViews>
    <sheetView zoomScaleNormal="100" workbookViewId="0">
      <selection activeCell="F22" sqref="F22"/>
    </sheetView>
  </sheetViews>
  <sheetFormatPr defaultRowHeight="15" x14ac:dyDescent="0.25"/>
  <cols>
    <col min="2" max="2" width="48" customWidth="1"/>
    <col min="4" max="4" width="11.85546875" customWidth="1"/>
    <col min="6" max="6" width="46.42578125" customWidth="1"/>
    <col min="9" max="9" width="10" customWidth="1"/>
    <col min="11" max="11" width="10.140625" bestFit="1" customWidth="1"/>
    <col min="12" max="12" width="10" customWidth="1"/>
    <col min="13" max="13" width="9.7109375" bestFit="1" customWidth="1"/>
    <col min="14" max="14" width="16.28515625" customWidth="1"/>
    <col min="15" max="15" width="11.5703125" customWidth="1"/>
    <col min="16" max="16" width="10.28515625" customWidth="1"/>
    <col min="17" max="17" width="10.140625" customWidth="1"/>
    <col min="18" max="19" width="11.42578125" customWidth="1"/>
    <col min="20" max="20" width="12.28515625" customWidth="1"/>
    <col min="22" max="22" width="16.42578125" customWidth="1"/>
    <col min="23" max="23" width="10.42578125" customWidth="1"/>
    <col min="24" max="24" width="11.85546875" customWidth="1"/>
    <col min="25" max="25" width="13.85546875" customWidth="1"/>
    <col min="26" max="26" width="15.42578125" customWidth="1"/>
    <col min="28" max="28" width="10.42578125" customWidth="1"/>
    <col min="30" max="30" width="12.7109375" bestFit="1" customWidth="1"/>
    <col min="40" max="40" width="10.5703125" customWidth="1"/>
  </cols>
  <sheetData>
    <row r="1" spans="1:21" x14ac:dyDescent="0.25">
      <c r="B1" t="s">
        <v>106</v>
      </c>
      <c r="Q1" s="32">
        <f>'FOGLIO DEPOSITO'!X246</f>
        <v>30</v>
      </c>
      <c r="R1" s="32">
        <f>S1-DATI!E46</f>
        <v>18.799999999999997</v>
      </c>
      <c r="S1" s="141">
        <f>Q1</f>
        <v>30</v>
      </c>
      <c r="U1" s="106" t="s">
        <v>107</v>
      </c>
    </row>
    <row r="2" spans="1:21" x14ac:dyDescent="0.25">
      <c r="P2" s="142">
        <v>0</v>
      </c>
      <c r="Q2" s="30">
        <f t="shared" ref="Q2:Q33" si="0">$Q$1/$P$152*P2</f>
        <v>0</v>
      </c>
      <c r="R2" s="30">
        <f t="shared" ref="R2:R33" si="1">$R$1/$P$152*P2</f>
        <v>0</v>
      </c>
      <c r="S2" s="144"/>
      <c r="T2" s="144"/>
      <c r="U2">
        <v>0</v>
      </c>
    </row>
    <row r="3" spans="1:21" ht="23.25" x14ac:dyDescent="0.25">
      <c r="A3" s="4" t="s">
        <v>108</v>
      </c>
      <c r="B3" t="s">
        <v>109</v>
      </c>
      <c r="P3" s="142">
        <f t="shared" ref="P3:P34" si="2">P2+1</f>
        <v>1</v>
      </c>
      <c r="Q3" s="30">
        <f t="shared" si="0"/>
        <v>0.2</v>
      </c>
      <c r="R3" s="30">
        <f t="shared" si="1"/>
        <v>0.12533333333333332</v>
      </c>
      <c r="S3" s="144"/>
      <c r="T3" s="144"/>
      <c r="U3">
        <f t="shared" ref="U3:U22" si="3">U2+5</f>
        <v>5</v>
      </c>
    </row>
    <row r="4" spans="1:21" x14ac:dyDescent="0.25">
      <c r="P4" s="142">
        <f t="shared" si="2"/>
        <v>2</v>
      </c>
      <c r="Q4" s="30">
        <f t="shared" si="0"/>
        <v>0.4</v>
      </c>
      <c r="R4" s="30">
        <f t="shared" si="1"/>
        <v>0.25066666666666665</v>
      </c>
      <c r="S4" s="144"/>
      <c r="T4" s="144"/>
      <c r="U4">
        <f t="shared" si="3"/>
        <v>10</v>
      </c>
    </row>
    <row r="5" spans="1:21" ht="23.25" x14ac:dyDescent="0.25">
      <c r="A5" s="4" t="s">
        <v>110</v>
      </c>
      <c r="B5" t="s">
        <v>111</v>
      </c>
      <c r="P5" s="142">
        <f t="shared" si="2"/>
        <v>3</v>
      </c>
      <c r="Q5" s="30">
        <f t="shared" si="0"/>
        <v>0.60000000000000009</v>
      </c>
      <c r="R5" s="30">
        <f t="shared" si="1"/>
        <v>0.376</v>
      </c>
      <c r="S5" s="144"/>
      <c r="T5" s="144"/>
      <c r="U5">
        <f t="shared" si="3"/>
        <v>15</v>
      </c>
    </row>
    <row r="6" spans="1:21" x14ac:dyDescent="0.25">
      <c r="P6" s="142">
        <f t="shared" si="2"/>
        <v>4</v>
      </c>
      <c r="Q6" s="30">
        <f t="shared" si="0"/>
        <v>0.8</v>
      </c>
      <c r="R6" s="30">
        <f t="shared" si="1"/>
        <v>0.5013333333333333</v>
      </c>
      <c r="S6" s="144"/>
      <c r="T6" s="144"/>
      <c r="U6">
        <f t="shared" si="3"/>
        <v>20</v>
      </c>
    </row>
    <row r="7" spans="1:21" ht="23.25" x14ac:dyDescent="0.25">
      <c r="A7" s="4" t="s">
        <v>112</v>
      </c>
      <c r="B7" t="s">
        <v>113</v>
      </c>
      <c r="P7" s="142">
        <f t="shared" si="2"/>
        <v>5</v>
      </c>
      <c r="Q7" s="30">
        <f t="shared" si="0"/>
        <v>1</v>
      </c>
      <c r="R7" s="30">
        <f t="shared" si="1"/>
        <v>0.62666666666666659</v>
      </c>
      <c r="S7" s="144"/>
      <c r="T7" s="144"/>
      <c r="U7">
        <f t="shared" si="3"/>
        <v>25</v>
      </c>
    </row>
    <row r="8" spans="1:21" x14ac:dyDescent="0.25">
      <c r="P8" s="142">
        <f t="shared" si="2"/>
        <v>6</v>
      </c>
      <c r="Q8" s="30">
        <f t="shared" si="0"/>
        <v>1.2000000000000002</v>
      </c>
      <c r="R8" s="30">
        <f t="shared" si="1"/>
        <v>0.752</v>
      </c>
      <c r="S8" s="144"/>
      <c r="T8" s="144"/>
      <c r="U8">
        <f t="shared" si="3"/>
        <v>30</v>
      </c>
    </row>
    <row r="9" spans="1:21" ht="15.75" thickBot="1" x14ac:dyDescent="0.3">
      <c r="P9" s="142">
        <f t="shared" si="2"/>
        <v>7</v>
      </c>
      <c r="Q9" s="30">
        <f t="shared" si="0"/>
        <v>1.4000000000000001</v>
      </c>
      <c r="R9" s="30">
        <f t="shared" si="1"/>
        <v>0.8773333333333333</v>
      </c>
      <c r="S9" s="144"/>
      <c r="T9" s="144"/>
      <c r="U9">
        <f t="shared" si="3"/>
        <v>35</v>
      </c>
    </row>
    <row r="10" spans="1:21" ht="16.5" thickTop="1" thickBot="1" x14ac:dyDescent="0.3">
      <c r="A10" s="2" t="s">
        <v>114</v>
      </c>
      <c r="B10" s="300"/>
      <c r="C10" s="11" t="s">
        <v>115</v>
      </c>
      <c r="D10" s="7" t="str">
        <f>IF(C10="Q","",IF(C10="N","","FATAL ERROR! Inserisci si oppure no"))</f>
        <v/>
      </c>
      <c r="E10">
        <v>1</v>
      </c>
      <c r="P10" s="142">
        <f t="shared" si="2"/>
        <v>8</v>
      </c>
      <c r="Q10" s="30">
        <f t="shared" si="0"/>
        <v>1.6</v>
      </c>
      <c r="R10" s="30">
        <f t="shared" si="1"/>
        <v>1.0026666666666666</v>
      </c>
      <c r="S10" s="144"/>
      <c r="T10" s="144"/>
      <c r="U10">
        <f t="shared" si="3"/>
        <v>40</v>
      </c>
    </row>
    <row r="11" spans="1:21" ht="15.75" thickTop="1" x14ac:dyDescent="0.25">
      <c r="E11">
        <v>2</v>
      </c>
      <c r="P11" s="142">
        <f t="shared" si="2"/>
        <v>9</v>
      </c>
      <c r="Q11" s="30">
        <f t="shared" si="0"/>
        <v>1.8</v>
      </c>
      <c r="R11" s="30">
        <f t="shared" si="1"/>
        <v>1.1279999999999999</v>
      </c>
      <c r="S11" s="144"/>
      <c r="T11" s="144"/>
      <c r="U11">
        <f t="shared" si="3"/>
        <v>45</v>
      </c>
    </row>
    <row r="12" spans="1:21" x14ac:dyDescent="0.25">
      <c r="E12">
        <v>3</v>
      </c>
      <c r="P12" s="142">
        <f t="shared" si="2"/>
        <v>10</v>
      </c>
      <c r="Q12" s="144">
        <f t="shared" si="0"/>
        <v>2</v>
      </c>
      <c r="R12" s="30">
        <f t="shared" si="1"/>
        <v>1.2533333333333332</v>
      </c>
      <c r="S12" s="144"/>
      <c r="T12" s="144"/>
      <c r="U12">
        <f t="shared" si="3"/>
        <v>50</v>
      </c>
    </row>
    <row r="13" spans="1:21" x14ac:dyDescent="0.25">
      <c r="P13" s="142">
        <f t="shared" si="2"/>
        <v>11</v>
      </c>
      <c r="Q13" s="30">
        <f t="shared" si="0"/>
        <v>2.2000000000000002</v>
      </c>
      <c r="R13" s="30">
        <f t="shared" si="1"/>
        <v>1.3786666666666665</v>
      </c>
      <c r="S13" s="144"/>
      <c r="T13" s="144"/>
      <c r="U13">
        <f t="shared" si="3"/>
        <v>55</v>
      </c>
    </row>
    <row r="14" spans="1:21" x14ac:dyDescent="0.25">
      <c r="B14" t="s">
        <v>564</v>
      </c>
      <c r="P14" s="142">
        <f t="shared" si="2"/>
        <v>12</v>
      </c>
      <c r="Q14" s="30">
        <f t="shared" si="0"/>
        <v>2.4000000000000004</v>
      </c>
      <c r="R14" s="30">
        <f t="shared" si="1"/>
        <v>1.504</v>
      </c>
      <c r="S14" s="144"/>
      <c r="T14" s="144"/>
      <c r="U14">
        <f t="shared" si="3"/>
        <v>60</v>
      </c>
    </row>
    <row r="15" spans="1:21" x14ac:dyDescent="0.25">
      <c r="B15" t="s">
        <v>565</v>
      </c>
      <c r="P15" s="142">
        <f t="shared" si="2"/>
        <v>13</v>
      </c>
      <c r="Q15" s="30">
        <f t="shared" si="0"/>
        <v>2.6</v>
      </c>
      <c r="R15" s="30">
        <f t="shared" si="1"/>
        <v>1.6293333333333333</v>
      </c>
      <c r="S15" s="144"/>
      <c r="T15" s="144"/>
      <c r="U15">
        <f t="shared" si="3"/>
        <v>65</v>
      </c>
    </row>
    <row r="16" spans="1:21" x14ac:dyDescent="0.25">
      <c r="B16" t="s">
        <v>566</v>
      </c>
      <c r="P16" s="142">
        <f t="shared" si="2"/>
        <v>14</v>
      </c>
      <c r="Q16" s="30">
        <f t="shared" si="0"/>
        <v>2.8000000000000003</v>
      </c>
      <c r="R16" s="30">
        <f t="shared" si="1"/>
        <v>1.7546666666666666</v>
      </c>
      <c r="S16" s="144"/>
      <c r="T16" s="144"/>
      <c r="U16">
        <f t="shared" si="3"/>
        <v>70</v>
      </c>
    </row>
    <row r="17" spans="2:21" x14ac:dyDescent="0.25">
      <c r="P17" s="142">
        <f t="shared" si="2"/>
        <v>15</v>
      </c>
      <c r="Q17" s="30">
        <f t="shared" si="0"/>
        <v>3</v>
      </c>
      <c r="R17" s="30">
        <f t="shared" si="1"/>
        <v>1.88</v>
      </c>
      <c r="S17" s="144"/>
      <c r="T17" s="144"/>
      <c r="U17">
        <f t="shared" si="3"/>
        <v>75</v>
      </c>
    </row>
    <row r="18" spans="2:21" x14ac:dyDescent="0.25">
      <c r="P18" s="142">
        <f t="shared" si="2"/>
        <v>16</v>
      </c>
      <c r="Q18" s="30">
        <f t="shared" si="0"/>
        <v>3.2</v>
      </c>
      <c r="R18" s="30">
        <f t="shared" si="1"/>
        <v>2.0053333333333332</v>
      </c>
      <c r="S18" s="144"/>
      <c r="T18" s="144"/>
      <c r="U18">
        <f t="shared" si="3"/>
        <v>80</v>
      </c>
    </row>
    <row r="19" spans="2:21" x14ac:dyDescent="0.25">
      <c r="P19" s="142">
        <f t="shared" si="2"/>
        <v>17</v>
      </c>
      <c r="Q19" s="30">
        <f t="shared" si="0"/>
        <v>3.4000000000000004</v>
      </c>
      <c r="R19" s="30">
        <f t="shared" si="1"/>
        <v>2.1306666666666665</v>
      </c>
      <c r="S19" s="144"/>
      <c r="T19" s="144"/>
      <c r="U19">
        <f t="shared" si="3"/>
        <v>85</v>
      </c>
    </row>
    <row r="20" spans="2:21" x14ac:dyDescent="0.25">
      <c r="P20" s="142">
        <f t="shared" si="2"/>
        <v>18</v>
      </c>
      <c r="Q20" s="30">
        <f t="shared" si="0"/>
        <v>3.6</v>
      </c>
      <c r="R20" s="30">
        <f t="shared" si="1"/>
        <v>2.2559999999999998</v>
      </c>
      <c r="S20" s="144"/>
      <c r="T20" s="144"/>
      <c r="U20">
        <f t="shared" si="3"/>
        <v>90</v>
      </c>
    </row>
    <row r="21" spans="2:21" x14ac:dyDescent="0.25">
      <c r="P21" s="142">
        <f t="shared" si="2"/>
        <v>19</v>
      </c>
      <c r="Q21" s="30">
        <f t="shared" si="0"/>
        <v>3.8000000000000003</v>
      </c>
      <c r="R21" s="30">
        <f t="shared" si="1"/>
        <v>2.3813333333333331</v>
      </c>
      <c r="S21" s="144"/>
      <c r="T21" s="144"/>
      <c r="U21">
        <f t="shared" si="3"/>
        <v>95</v>
      </c>
    </row>
    <row r="22" spans="2:21" x14ac:dyDescent="0.25">
      <c r="P22" s="142">
        <f t="shared" si="2"/>
        <v>20</v>
      </c>
      <c r="Q22" s="30">
        <f t="shared" si="0"/>
        <v>4</v>
      </c>
      <c r="R22" s="30">
        <f t="shared" si="1"/>
        <v>2.5066666666666664</v>
      </c>
      <c r="S22" s="144"/>
      <c r="T22" s="144"/>
      <c r="U22">
        <f t="shared" si="3"/>
        <v>100</v>
      </c>
    </row>
    <row r="23" spans="2:21" x14ac:dyDescent="0.25">
      <c r="P23" s="142">
        <f t="shared" si="2"/>
        <v>21</v>
      </c>
      <c r="Q23" s="30">
        <f t="shared" si="0"/>
        <v>4.2</v>
      </c>
      <c r="R23" s="30">
        <f t="shared" si="1"/>
        <v>2.6319999999999997</v>
      </c>
      <c r="S23" s="144"/>
      <c r="T23" s="144"/>
    </row>
    <row r="24" spans="2:21" x14ac:dyDescent="0.25">
      <c r="P24" s="142">
        <f t="shared" si="2"/>
        <v>22</v>
      </c>
      <c r="Q24" s="30">
        <f t="shared" si="0"/>
        <v>4.4000000000000004</v>
      </c>
      <c r="R24" s="30">
        <f t="shared" si="1"/>
        <v>2.757333333333333</v>
      </c>
      <c r="S24" s="144"/>
      <c r="T24" s="144"/>
    </row>
    <row r="25" spans="2:21" ht="15.75" thickBot="1" x14ac:dyDescent="0.3">
      <c r="P25" s="142">
        <f t="shared" si="2"/>
        <v>23</v>
      </c>
      <c r="Q25" s="30">
        <f t="shared" si="0"/>
        <v>4.6000000000000005</v>
      </c>
      <c r="R25" s="30">
        <f t="shared" si="1"/>
        <v>2.8826666666666663</v>
      </c>
      <c r="S25" s="144"/>
      <c r="T25" s="144"/>
    </row>
    <row r="26" spans="2:21" ht="17.25" thickTop="1" thickBot="1" x14ac:dyDescent="0.3">
      <c r="B26" t="s">
        <v>117</v>
      </c>
      <c r="E26" s="4">
        <v>1</v>
      </c>
      <c r="F26" s="5" t="s">
        <v>118</v>
      </c>
      <c r="G26" s="20" t="e">
        <f>IF(#REF!='FOGLIO DEPOSITO'!F26,1,IF(#REF!='FOGLIO DEPOSITO'!F27,2,IF(#REF!='FOGLIO DEPOSITO'!F28,3,"")))</f>
        <v>#REF!</v>
      </c>
      <c r="H26" s="4"/>
      <c r="I26" t="s">
        <v>119</v>
      </c>
      <c r="P26" s="142">
        <f t="shared" si="2"/>
        <v>24</v>
      </c>
      <c r="Q26" s="30">
        <f t="shared" si="0"/>
        <v>4.8000000000000007</v>
      </c>
      <c r="R26" s="30">
        <f t="shared" si="1"/>
        <v>3.008</v>
      </c>
      <c r="S26" s="144"/>
      <c r="T26" s="144"/>
    </row>
    <row r="27" spans="2:21" ht="15.75" thickTop="1" x14ac:dyDescent="0.25">
      <c r="B27" t="s">
        <v>120</v>
      </c>
      <c r="E27" s="4">
        <v>2</v>
      </c>
      <c r="F27" s="5" t="s">
        <v>121</v>
      </c>
      <c r="G27" s="4"/>
      <c r="H27" s="4"/>
      <c r="I27" t="s">
        <v>116</v>
      </c>
      <c r="P27" s="142">
        <f t="shared" si="2"/>
        <v>25</v>
      </c>
      <c r="Q27" s="30">
        <f t="shared" si="0"/>
        <v>5</v>
      </c>
      <c r="R27" s="30">
        <f t="shared" si="1"/>
        <v>3.1333333333333333</v>
      </c>
      <c r="S27" s="144"/>
      <c r="T27" s="144"/>
    </row>
    <row r="28" spans="2:21" x14ac:dyDescent="0.25">
      <c r="E28" s="4">
        <v>3</v>
      </c>
      <c r="F28" s="5" t="s">
        <v>122</v>
      </c>
      <c r="G28" s="4"/>
      <c r="H28" s="4"/>
      <c r="P28" s="142">
        <f t="shared" si="2"/>
        <v>26</v>
      </c>
      <c r="Q28" s="30">
        <f t="shared" si="0"/>
        <v>5.2</v>
      </c>
      <c r="R28" s="30">
        <f t="shared" si="1"/>
        <v>3.2586666666666666</v>
      </c>
      <c r="S28" s="144"/>
      <c r="T28" s="144"/>
    </row>
    <row r="29" spans="2:21" x14ac:dyDescent="0.25">
      <c r="P29" s="142">
        <f t="shared" si="2"/>
        <v>27</v>
      </c>
      <c r="Q29" s="30">
        <f t="shared" si="0"/>
        <v>5.4</v>
      </c>
      <c r="R29" s="30">
        <f t="shared" si="1"/>
        <v>3.3839999999999999</v>
      </c>
      <c r="S29" s="144"/>
      <c r="T29" s="144"/>
    </row>
    <row r="30" spans="2:21" x14ac:dyDescent="0.25">
      <c r="P30" s="142">
        <f t="shared" si="2"/>
        <v>28</v>
      </c>
      <c r="Q30" s="30">
        <f t="shared" si="0"/>
        <v>5.6000000000000005</v>
      </c>
      <c r="R30" s="30">
        <f t="shared" si="1"/>
        <v>3.5093333333333332</v>
      </c>
      <c r="S30" s="144"/>
      <c r="T30" s="144"/>
    </row>
    <row r="31" spans="2:21" x14ac:dyDescent="0.25">
      <c r="P31" s="142">
        <f t="shared" si="2"/>
        <v>29</v>
      </c>
      <c r="Q31" s="30">
        <f t="shared" si="0"/>
        <v>5.8000000000000007</v>
      </c>
      <c r="R31" s="30">
        <f t="shared" si="1"/>
        <v>3.6346666666666665</v>
      </c>
      <c r="S31" s="144"/>
      <c r="T31" s="144"/>
    </row>
    <row r="32" spans="2:21" x14ac:dyDescent="0.25">
      <c r="P32" s="142">
        <f t="shared" si="2"/>
        <v>30</v>
      </c>
      <c r="Q32" s="30">
        <f t="shared" si="0"/>
        <v>6</v>
      </c>
      <c r="R32" s="30">
        <f t="shared" si="1"/>
        <v>3.76</v>
      </c>
      <c r="S32" s="144"/>
      <c r="T32" s="144"/>
    </row>
    <row r="33" spans="2:20" x14ac:dyDescent="0.25">
      <c r="P33" s="142">
        <f t="shared" si="2"/>
        <v>31</v>
      </c>
      <c r="Q33" s="30">
        <f t="shared" si="0"/>
        <v>6.2</v>
      </c>
      <c r="R33" s="30">
        <f t="shared" si="1"/>
        <v>3.8853333333333331</v>
      </c>
      <c r="S33" s="144"/>
      <c r="T33" s="144"/>
    </row>
    <row r="34" spans="2:20" x14ac:dyDescent="0.25">
      <c r="B34" s="1" t="s">
        <v>123</v>
      </c>
      <c r="C34" s="2"/>
      <c r="D34" s="4"/>
      <c r="E34" s="2"/>
      <c r="F34" s="2"/>
      <c r="G34" s="2"/>
      <c r="H34" s="2"/>
      <c r="P34" s="142">
        <f t="shared" si="2"/>
        <v>32</v>
      </c>
      <c r="Q34" s="30">
        <f t="shared" ref="Q34:Q65" si="4">$Q$1/$P$152*P34</f>
        <v>6.4</v>
      </c>
      <c r="R34" s="30">
        <f t="shared" ref="R34:R65" si="5">$R$1/$P$152*P34</f>
        <v>4.0106666666666664</v>
      </c>
      <c r="S34" s="144"/>
      <c r="T34" s="144"/>
    </row>
    <row r="35" spans="2:20" x14ac:dyDescent="0.25">
      <c r="B35" s="13" t="s">
        <v>124</v>
      </c>
      <c r="C35" s="2"/>
      <c r="D35" s="4"/>
      <c r="E35" s="2"/>
      <c r="F35" s="2"/>
      <c r="G35" s="2"/>
      <c r="H35" s="2"/>
      <c r="P35" s="142">
        <f t="shared" ref="P35:P67" si="6">P34+1</f>
        <v>33</v>
      </c>
      <c r="Q35" s="30">
        <f t="shared" si="4"/>
        <v>6.6000000000000005</v>
      </c>
      <c r="R35" s="30">
        <f t="shared" si="5"/>
        <v>4.1360000000000001</v>
      </c>
      <c r="S35" s="144"/>
      <c r="T35" s="144"/>
    </row>
    <row r="36" spans="2:20" x14ac:dyDescent="0.25">
      <c r="B36" s="13" t="s">
        <v>125</v>
      </c>
      <c r="C36" s="2"/>
      <c r="D36" s="4"/>
      <c r="E36" s="2"/>
      <c r="F36" s="2"/>
      <c r="G36" s="2"/>
      <c r="H36" s="2"/>
      <c r="P36" s="142">
        <f t="shared" si="6"/>
        <v>34</v>
      </c>
      <c r="Q36" s="30">
        <f t="shared" si="4"/>
        <v>6.8000000000000007</v>
      </c>
      <c r="R36" s="30">
        <f t="shared" si="5"/>
        <v>4.261333333333333</v>
      </c>
      <c r="S36" s="144"/>
      <c r="T36" s="144"/>
    </row>
    <row r="37" spans="2:20" x14ac:dyDescent="0.25">
      <c r="B37" s="13" t="s">
        <v>126</v>
      </c>
      <c r="C37" s="2"/>
      <c r="D37" s="4"/>
      <c r="E37" s="2"/>
      <c r="F37" s="2"/>
      <c r="G37" s="2"/>
      <c r="H37" s="2"/>
      <c r="P37" s="142">
        <f t="shared" si="6"/>
        <v>35</v>
      </c>
      <c r="Q37" s="30">
        <f t="shared" si="4"/>
        <v>7</v>
      </c>
      <c r="R37" s="30">
        <f t="shared" si="5"/>
        <v>4.3866666666666667</v>
      </c>
      <c r="S37" s="144"/>
      <c r="T37" s="144"/>
    </row>
    <row r="38" spans="2:20" x14ac:dyDescent="0.25">
      <c r="B38" s="2" t="s">
        <v>127</v>
      </c>
      <c r="C38" s="2"/>
      <c r="D38" s="2"/>
      <c r="E38" s="2"/>
      <c r="F38" s="2"/>
      <c r="G38" s="2"/>
      <c r="H38" s="2"/>
      <c r="P38" s="142">
        <f t="shared" si="6"/>
        <v>36</v>
      </c>
      <c r="Q38" s="30">
        <f t="shared" si="4"/>
        <v>7.2</v>
      </c>
      <c r="R38" s="30">
        <f t="shared" si="5"/>
        <v>4.5119999999999996</v>
      </c>
      <c r="S38" s="144"/>
      <c r="T38" s="144"/>
    </row>
    <row r="39" spans="2:20" ht="15.75" thickBot="1" x14ac:dyDescent="0.3">
      <c r="B39" s="2"/>
      <c r="C39" s="2"/>
      <c r="D39" s="300" t="s">
        <v>128</v>
      </c>
      <c r="E39" s="300" t="s">
        <v>129</v>
      </c>
      <c r="F39" s="300" t="s">
        <v>130</v>
      </c>
      <c r="G39" s="2"/>
      <c r="H39" s="2"/>
      <c r="P39" s="142">
        <f t="shared" si="6"/>
        <v>37</v>
      </c>
      <c r="Q39" s="30">
        <f t="shared" si="4"/>
        <v>7.4</v>
      </c>
      <c r="R39" s="30">
        <f t="shared" si="5"/>
        <v>4.6373333333333333</v>
      </c>
      <c r="S39" s="144"/>
      <c r="T39" s="144"/>
    </row>
    <row r="40" spans="2:20" ht="16.5" thickTop="1" thickBot="1" x14ac:dyDescent="0.3">
      <c r="B40" s="2" t="s">
        <v>131</v>
      </c>
      <c r="C40" s="300" t="s">
        <v>132</v>
      </c>
      <c r="D40" s="29" t="e">
        <f>#REF!+MAXA('ANALISI DELLE SPINTE'!Z94,'ANALISI DELLE SPINTE'!Z111)</f>
        <v>#REF!</v>
      </c>
      <c r="E40" s="28"/>
      <c r="F40" s="28"/>
      <c r="G40" s="4" t="s">
        <v>5</v>
      </c>
      <c r="P40" s="142">
        <f t="shared" si="6"/>
        <v>38</v>
      </c>
      <c r="Q40" s="30">
        <f t="shared" si="4"/>
        <v>7.6000000000000005</v>
      </c>
      <c r="R40" s="30">
        <f t="shared" si="5"/>
        <v>4.7626666666666662</v>
      </c>
      <c r="S40" s="144"/>
      <c r="T40" s="144"/>
    </row>
    <row r="41" spans="2:20" ht="16.5" thickTop="1" thickBot="1" x14ac:dyDescent="0.3">
      <c r="B41" s="2" t="s">
        <v>133</v>
      </c>
      <c r="C41" s="300" t="s">
        <v>134</v>
      </c>
      <c r="D41" s="29"/>
      <c r="E41" s="29"/>
      <c r="F41" s="29"/>
      <c r="G41" s="4" t="s">
        <v>5</v>
      </c>
      <c r="P41" s="142">
        <f t="shared" si="6"/>
        <v>39</v>
      </c>
      <c r="Q41" s="30">
        <f t="shared" si="4"/>
        <v>7.8000000000000007</v>
      </c>
      <c r="R41" s="30">
        <f t="shared" si="5"/>
        <v>4.8879999999999999</v>
      </c>
      <c r="S41" s="144"/>
      <c r="T41" s="144"/>
    </row>
    <row r="42" spans="2:20" ht="16.5" thickTop="1" thickBot="1" x14ac:dyDescent="0.3">
      <c r="B42" s="2" t="s">
        <v>135</v>
      </c>
      <c r="C42" s="300" t="s">
        <v>136</v>
      </c>
      <c r="D42" s="29" t="e">
        <f>#REF!</f>
        <v>#REF!</v>
      </c>
      <c r="E42" s="29"/>
      <c r="F42" s="29"/>
      <c r="G42" s="4" t="s">
        <v>5</v>
      </c>
      <c r="P42" s="142">
        <f t="shared" si="6"/>
        <v>40</v>
      </c>
      <c r="Q42" s="30">
        <f t="shared" si="4"/>
        <v>8</v>
      </c>
      <c r="R42" s="30">
        <f t="shared" si="5"/>
        <v>5.0133333333333328</v>
      </c>
      <c r="S42" s="144"/>
      <c r="T42" s="144"/>
    </row>
    <row r="43" spans="2:20" ht="16.5" thickTop="1" thickBot="1" x14ac:dyDescent="0.3">
      <c r="B43" s="2" t="s">
        <v>137</v>
      </c>
      <c r="C43" s="300" t="s">
        <v>138</v>
      </c>
      <c r="D43" s="28"/>
      <c r="E43" s="28"/>
      <c r="F43" s="28"/>
      <c r="G43" s="4" t="s">
        <v>6</v>
      </c>
      <c r="P43" s="142">
        <f t="shared" si="6"/>
        <v>41</v>
      </c>
      <c r="Q43" s="30">
        <f t="shared" si="4"/>
        <v>8.2000000000000011</v>
      </c>
      <c r="R43" s="30">
        <f t="shared" si="5"/>
        <v>5.1386666666666665</v>
      </c>
      <c r="S43" s="144"/>
      <c r="T43" s="144"/>
    </row>
    <row r="44" spans="2:20" ht="16.5" thickTop="1" thickBot="1" x14ac:dyDescent="0.3">
      <c r="B44" s="2" t="s">
        <v>139</v>
      </c>
      <c r="C44" s="300" t="s">
        <v>140</v>
      </c>
      <c r="D44" s="29">
        <v>0</v>
      </c>
      <c r="E44" s="29"/>
      <c r="F44" s="29"/>
      <c r="G44" s="4" t="s">
        <v>6</v>
      </c>
      <c r="P44" s="142">
        <f t="shared" si="6"/>
        <v>42</v>
      </c>
      <c r="Q44" s="30">
        <f t="shared" si="4"/>
        <v>8.4</v>
      </c>
      <c r="R44" s="30">
        <f t="shared" si="5"/>
        <v>5.2639999999999993</v>
      </c>
      <c r="S44" s="144"/>
      <c r="T44" s="144"/>
    </row>
    <row r="45" spans="2:20" ht="15.75" thickTop="1" x14ac:dyDescent="0.25">
      <c r="C45" s="300"/>
      <c r="D45" s="18"/>
      <c r="E45" s="18"/>
      <c r="F45" s="18"/>
      <c r="G45" s="4"/>
      <c r="P45" s="142">
        <f t="shared" si="6"/>
        <v>43</v>
      </c>
      <c r="Q45" s="30">
        <f t="shared" si="4"/>
        <v>8.6</v>
      </c>
      <c r="R45" s="30">
        <f t="shared" si="5"/>
        <v>5.3893333333333331</v>
      </c>
      <c r="S45" s="144"/>
      <c r="T45" s="144"/>
    </row>
    <row r="46" spans="2:20" x14ac:dyDescent="0.25">
      <c r="B46" s="2" t="s">
        <v>141</v>
      </c>
      <c r="C46" s="300" t="s">
        <v>142</v>
      </c>
      <c r="D46" s="27" t="e">
        <f>(D41^2+D42^2)^0.5</f>
        <v>#REF!</v>
      </c>
      <c r="E46" s="27">
        <f>(E41^2+E42^2)^0.5</f>
        <v>0</v>
      </c>
      <c r="F46" s="27">
        <f>(F41^2+F42^2)^0.5</f>
        <v>0</v>
      </c>
      <c r="G46" s="4" t="s">
        <v>5</v>
      </c>
      <c r="P46" s="142">
        <f t="shared" si="6"/>
        <v>44</v>
      </c>
      <c r="Q46" s="30">
        <f t="shared" si="4"/>
        <v>8.8000000000000007</v>
      </c>
      <c r="R46" s="30">
        <f t="shared" si="5"/>
        <v>5.5146666666666659</v>
      </c>
      <c r="S46" s="144"/>
      <c r="T46" s="144"/>
    </row>
    <row r="47" spans="2:20" x14ac:dyDescent="0.25">
      <c r="B47" s="2"/>
      <c r="H47" s="2"/>
      <c r="P47" s="142">
        <f t="shared" si="6"/>
        <v>45</v>
      </c>
      <c r="Q47" s="30">
        <f t="shared" si="4"/>
        <v>9</v>
      </c>
      <c r="R47" s="30">
        <f t="shared" si="5"/>
        <v>5.64</v>
      </c>
      <c r="S47" s="144"/>
      <c r="T47" s="144"/>
    </row>
    <row r="48" spans="2:20" ht="15.75" x14ac:dyDescent="0.25">
      <c r="B48" s="23" t="s">
        <v>143</v>
      </c>
      <c r="C48" s="300"/>
      <c r="D48" s="18"/>
      <c r="E48" s="4"/>
      <c r="F48" s="2"/>
      <c r="G48" s="2"/>
      <c r="H48" s="2"/>
      <c r="P48" s="142">
        <f t="shared" si="6"/>
        <v>46</v>
      </c>
      <c r="Q48" s="30">
        <f t="shared" si="4"/>
        <v>9.2000000000000011</v>
      </c>
      <c r="R48" s="30">
        <f t="shared" si="5"/>
        <v>5.7653333333333325</v>
      </c>
      <c r="S48" s="144"/>
      <c r="T48" s="144"/>
    </row>
    <row r="49" spans="2:20" x14ac:dyDescent="0.25">
      <c r="B49" s="2" t="s">
        <v>144</v>
      </c>
      <c r="C49" s="300"/>
      <c r="D49" s="18"/>
      <c r="E49" s="4"/>
      <c r="F49" s="2"/>
      <c r="G49" s="2"/>
      <c r="H49" s="2"/>
      <c r="P49" s="142">
        <f t="shared" si="6"/>
        <v>47</v>
      </c>
      <c r="Q49" s="30">
        <f t="shared" si="4"/>
        <v>9.4</v>
      </c>
      <c r="R49" s="30">
        <f t="shared" si="5"/>
        <v>5.8906666666666663</v>
      </c>
      <c r="S49" s="144"/>
      <c r="T49" s="144"/>
    </row>
    <row r="50" spans="2:20" x14ac:dyDescent="0.25">
      <c r="B50" s="2" t="s">
        <v>145</v>
      </c>
      <c r="C50" s="300"/>
      <c r="D50" s="18"/>
      <c r="E50" s="4"/>
      <c r="F50" s="2"/>
      <c r="G50" s="2"/>
      <c r="H50" s="2"/>
      <c r="P50" s="142">
        <f t="shared" si="6"/>
        <v>48</v>
      </c>
      <c r="Q50" s="30">
        <f t="shared" si="4"/>
        <v>9.6000000000000014</v>
      </c>
      <c r="R50" s="30">
        <f t="shared" si="5"/>
        <v>6.016</v>
      </c>
      <c r="S50" s="144"/>
      <c r="T50" s="144"/>
    </row>
    <row r="51" spans="2:20" x14ac:dyDescent="0.25">
      <c r="B51" s="2" t="s">
        <v>146</v>
      </c>
      <c r="C51" s="300"/>
      <c r="D51" s="18"/>
      <c r="E51" s="4"/>
      <c r="F51" s="2"/>
      <c r="G51" s="2"/>
      <c r="H51" s="2"/>
      <c r="P51" s="142">
        <f t="shared" si="6"/>
        <v>49</v>
      </c>
      <c r="Q51" s="30">
        <f t="shared" si="4"/>
        <v>9.8000000000000007</v>
      </c>
      <c r="R51" s="30">
        <f t="shared" si="5"/>
        <v>6.1413333333333329</v>
      </c>
      <c r="S51" s="144"/>
      <c r="T51" s="144"/>
    </row>
    <row r="52" spans="2:20" x14ac:dyDescent="0.25">
      <c r="B52" s="2" t="s">
        <v>147</v>
      </c>
      <c r="C52" s="300"/>
      <c r="D52" s="18"/>
      <c r="E52" s="4"/>
      <c r="F52" s="2"/>
      <c r="G52" s="2"/>
      <c r="H52" s="2"/>
      <c r="P52" s="142">
        <f t="shared" si="6"/>
        <v>50</v>
      </c>
      <c r="Q52" s="30">
        <f t="shared" si="4"/>
        <v>10</v>
      </c>
      <c r="R52" s="30">
        <f t="shared" si="5"/>
        <v>6.2666666666666666</v>
      </c>
      <c r="S52" s="144"/>
      <c r="T52" s="144"/>
    </row>
    <row r="53" spans="2:20" x14ac:dyDescent="0.25">
      <c r="B53" s="26"/>
      <c r="C53" s="26"/>
      <c r="D53" s="26"/>
      <c r="E53" s="26"/>
      <c r="F53" s="26"/>
      <c r="P53" s="142">
        <f t="shared" si="6"/>
        <v>51</v>
      </c>
      <c r="Q53" s="30">
        <f t="shared" si="4"/>
        <v>10.200000000000001</v>
      </c>
      <c r="R53" s="30">
        <f t="shared" si="5"/>
        <v>6.3919999999999995</v>
      </c>
      <c r="S53" s="144"/>
      <c r="T53" s="144"/>
    </row>
    <row r="54" spans="2:20" x14ac:dyDescent="0.25">
      <c r="B54" s="26"/>
      <c r="C54" s="26"/>
      <c r="D54" s="26"/>
      <c r="E54" s="26"/>
      <c r="F54" s="26"/>
      <c r="P54" s="142">
        <f t="shared" si="6"/>
        <v>52</v>
      </c>
      <c r="Q54" s="30">
        <f t="shared" si="4"/>
        <v>10.4</v>
      </c>
      <c r="R54" s="30">
        <f t="shared" si="5"/>
        <v>6.5173333333333332</v>
      </c>
      <c r="S54" s="144"/>
      <c r="T54" s="144"/>
    </row>
    <row r="55" spans="2:20" x14ac:dyDescent="0.25">
      <c r="B55" s="259"/>
      <c r="C55" s="259"/>
      <c r="D55" s="259"/>
      <c r="E55" s="259"/>
      <c r="F55" s="259"/>
      <c r="P55" s="142">
        <f t="shared" si="6"/>
        <v>53</v>
      </c>
      <c r="Q55" s="30">
        <f t="shared" si="4"/>
        <v>10.600000000000001</v>
      </c>
      <c r="R55" s="30">
        <f t="shared" si="5"/>
        <v>6.6426666666666661</v>
      </c>
      <c r="S55" s="144"/>
      <c r="T55" s="144"/>
    </row>
    <row r="56" spans="2:20" x14ac:dyDescent="0.25">
      <c r="B56" s="259"/>
      <c r="C56" s="259"/>
      <c r="D56" s="259"/>
      <c r="E56" s="259"/>
      <c r="F56" s="259"/>
      <c r="P56" s="142">
        <f t="shared" si="6"/>
        <v>54</v>
      </c>
      <c r="Q56" s="30">
        <f t="shared" si="4"/>
        <v>10.8</v>
      </c>
      <c r="R56" s="30">
        <f t="shared" si="5"/>
        <v>6.7679999999999998</v>
      </c>
      <c r="S56" s="144"/>
      <c r="T56" s="144"/>
    </row>
    <row r="57" spans="2:20" x14ac:dyDescent="0.25">
      <c r="B57" s="26"/>
      <c r="C57" s="26"/>
      <c r="D57" s="26"/>
      <c r="E57" s="26"/>
      <c r="F57" s="26"/>
      <c r="P57" s="142">
        <f t="shared" si="6"/>
        <v>55</v>
      </c>
      <c r="Q57" s="30">
        <f t="shared" si="4"/>
        <v>11</v>
      </c>
      <c r="R57" s="30">
        <f t="shared" si="5"/>
        <v>6.8933333333333326</v>
      </c>
      <c r="S57" s="144"/>
      <c r="T57" s="144"/>
    </row>
    <row r="58" spans="2:20" x14ac:dyDescent="0.25">
      <c r="B58" s="21"/>
      <c r="C58" s="43"/>
      <c r="D58" s="121"/>
      <c r="E58" s="18"/>
      <c r="F58" s="26"/>
      <c r="P58" s="142">
        <f t="shared" si="6"/>
        <v>56</v>
      </c>
      <c r="Q58" s="30">
        <f t="shared" si="4"/>
        <v>11.200000000000001</v>
      </c>
      <c r="R58" s="30">
        <f t="shared" si="5"/>
        <v>7.0186666666666664</v>
      </c>
      <c r="S58" s="144"/>
      <c r="T58" s="144"/>
    </row>
    <row r="59" spans="2:20" x14ac:dyDescent="0.25">
      <c r="B59" s="21"/>
      <c r="C59" s="43"/>
      <c r="D59" s="121"/>
      <c r="E59" s="18"/>
      <c r="F59" s="26"/>
      <c r="P59" s="142">
        <f t="shared" si="6"/>
        <v>57</v>
      </c>
      <c r="Q59" s="30">
        <f t="shared" si="4"/>
        <v>11.4</v>
      </c>
      <c r="R59" s="30">
        <f t="shared" si="5"/>
        <v>7.1439999999999992</v>
      </c>
      <c r="S59" s="144"/>
      <c r="T59" s="144"/>
    </row>
    <row r="60" spans="2:20" x14ac:dyDescent="0.25">
      <c r="B60" s="257"/>
      <c r="C60" s="257"/>
      <c r="D60" s="258"/>
      <c r="E60" s="18"/>
      <c r="F60" s="26"/>
      <c r="P60" s="142">
        <f t="shared" si="6"/>
        <v>58</v>
      </c>
      <c r="Q60" s="30">
        <f t="shared" si="4"/>
        <v>11.600000000000001</v>
      </c>
      <c r="R60" s="30">
        <f t="shared" si="5"/>
        <v>7.269333333333333</v>
      </c>
      <c r="S60" s="144"/>
      <c r="T60" s="144"/>
    </row>
    <row r="61" spans="2:20" x14ac:dyDescent="0.25">
      <c r="B61" s="34"/>
      <c r="C61" s="34"/>
      <c r="D61" s="26"/>
      <c r="E61" s="26"/>
      <c r="F61" s="26"/>
      <c r="P61" s="142">
        <f t="shared" si="6"/>
        <v>59</v>
      </c>
      <c r="Q61" s="30">
        <f t="shared" si="4"/>
        <v>11.8</v>
      </c>
      <c r="R61" s="30">
        <f t="shared" si="5"/>
        <v>7.3946666666666658</v>
      </c>
      <c r="S61" s="144"/>
      <c r="T61" s="144"/>
    </row>
    <row r="62" spans="2:20" x14ac:dyDescent="0.25">
      <c r="P62" s="142">
        <f t="shared" si="6"/>
        <v>60</v>
      </c>
      <c r="Q62" s="30">
        <f t="shared" si="4"/>
        <v>12</v>
      </c>
      <c r="R62" s="30">
        <f t="shared" si="5"/>
        <v>7.52</v>
      </c>
      <c r="S62" s="144"/>
      <c r="T62" s="144"/>
    </row>
    <row r="63" spans="2:20" ht="15.75" x14ac:dyDescent="0.25">
      <c r="B63" s="37" t="s">
        <v>148</v>
      </c>
      <c r="C63" s="38"/>
      <c r="D63" s="38"/>
      <c r="E63" s="38"/>
      <c r="F63" s="38"/>
      <c r="G63" s="39"/>
      <c r="H63" s="225"/>
      <c r="I63" s="200"/>
      <c r="J63" s="200"/>
      <c r="K63" s="200"/>
      <c r="L63" s="201"/>
      <c r="P63" s="142">
        <f t="shared" si="6"/>
        <v>61</v>
      </c>
      <c r="Q63" s="30">
        <f t="shared" si="4"/>
        <v>12.200000000000001</v>
      </c>
      <c r="R63" s="30">
        <f t="shared" si="5"/>
        <v>7.6453333333333324</v>
      </c>
      <c r="S63" s="144"/>
      <c r="T63" s="144"/>
    </row>
    <row r="64" spans="2:20" ht="15.75" x14ac:dyDescent="0.25">
      <c r="B64" s="40"/>
      <c r="C64" s="21"/>
      <c r="D64" s="548" t="s">
        <v>149</v>
      </c>
      <c r="E64" s="548"/>
      <c r="F64" s="548" t="s">
        <v>150</v>
      </c>
      <c r="G64" s="549"/>
      <c r="H64" s="161"/>
      <c r="I64" s="26"/>
      <c r="J64" s="26"/>
      <c r="K64" s="26"/>
      <c r="L64" s="143"/>
      <c r="P64" s="142">
        <f t="shared" si="6"/>
        <v>62</v>
      </c>
      <c r="Q64" s="30">
        <f t="shared" si="4"/>
        <v>12.4</v>
      </c>
      <c r="R64" s="30">
        <f t="shared" si="5"/>
        <v>7.7706666666666662</v>
      </c>
      <c r="S64" s="144"/>
      <c r="T64" s="144"/>
    </row>
    <row r="65" spans="2:20" x14ac:dyDescent="0.25">
      <c r="B65" s="40"/>
      <c r="C65" s="21"/>
      <c r="D65" s="550" t="s">
        <v>151</v>
      </c>
      <c r="E65" s="550"/>
      <c r="F65" s="550" t="s">
        <v>152</v>
      </c>
      <c r="G65" s="551"/>
      <c r="H65" s="161"/>
      <c r="I65" s="26"/>
      <c r="J65" s="26"/>
      <c r="K65" s="26"/>
      <c r="L65" s="143"/>
      <c r="P65" s="142">
        <f t="shared" si="6"/>
        <v>63</v>
      </c>
      <c r="Q65" s="30">
        <f t="shared" si="4"/>
        <v>12.600000000000001</v>
      </c>
      <c r="R65" s="30">
        <f t="shared" si="5"/>
        <v>7.895999999999999</v>
      </c>
      <c r="S65" s="144"/>
      <c r="T65" s="144"/>
    </row>
    <row r="66" spans="2:20" x14ac:dyDescent="0.25">
      <c r="B66" s="40"/>
      <c r="C66" s="299" t="s">
        <v>128</v>
      </c>
      <c r="D66" s="303">
        <v>0.9</v>
      </c>
      <c r="E66" s="303">
        <f>IF('FOGLIO DEPOSITO'!B222='FOGLIO DEPOSITO'!I72,1,1.3)</f>
        <v>1.3</v>
      </c>
      <c r="F66" s="303">
        <v>1</v>
      </c>
      <c r="G66" s="41">
        <v>1</v>
      </c>
      <c r="H66" s="161"/>
      <c r="I66" s="252" t="s">
        <v>153</v>
      </c>
      <c r="J66" s="26"/>
      <c r="K66" s="26"/>
      <c r="L66" s="143"/>
      <c r="P66" s="142">
        <f t="shared" si="6"/>
        <v>64</v>
      </c>
      <c r="Q66" s="30">
        <f t="shared" ref="Q66:Q97" si="7">$Q$1/$P$152*P66</f>
        <v>12.8</v>
      </c>
      <c r="R66" s="30">
        <f t="shared" ref="R66:R97" si="8">$R$1/$P$152*P66</f>
        <v>8.0213333333333328</v>
      </c>
      <c r="S66" s="144"/>
      <c r="T66" s="144"/>
    </row>
    <row r="67" spans="2:20" x14ac:dyDescent="0.25">
      <c r="B67" s="40"/>
      <c r="C67" s="299" t="s">
        <v>129</v>
      </c>
      <c r="D67" s="303">
        <v>0</v>
      </c>
      <c r="E67" s="303">
        <f>IF('FOGLIO DEPOSITO'!B222='FOGLIO DEPOSITO'!I72,1,1.5)</f>
        <v>1.5</v>
      </c>
      <c r="F67" s="303">
        <v>0</v>
      </c>
      <c r="G67" s="41">
        <f>IF('FOGLIO DEPOSITO'!B222='FOGLIO DEPOSITO'!I72,1,1.3)</f>
        <v>1.3</v>
      </c>
      <c r="H67" s="161"/>
      <c r="I67" s="252" t="s">
        <v>154</v>
      </c>
      <c r="J67" s="26"/>
      <c r="K67" s="26"/>
      <c r="L67" s="143"/>
      <c r="P67" s="142">
        <f t="shared" si="6"/>
        <v>65</v>
      </c>
      <c r="Q67" s="30">
        <f t="shared" si="7"/>
        <v>13</v>
      </c>
      <c r="R67" s="30">
        <f t="shared" si="8"/>
        <v>8.1466666666666665</v>
      </c>
      <c r="S67" s="144"/>
      <c r="T67" s="144"/>
    </row>
    <row r="68" spans="2:20" x14ac:dyDescent="0.25">
      <c r="B68" s="40"/>
      <c r="C68" s="299" t="s">
        <v>130</v>
      </c>
      <c r="D68" s="303">
        <v>0</v>
      </c>
      <c r="E68" s="303">
        <f>IF('FOGLIO DEPOSITO'!B222='FOGLIO DEPOSITO'!I72,1,1.5)</f>
        <v>1.5</v>
      </c>
      <c r="F68" s="303">
        <v>0</v>
      </c>
      <c r="G68" s="41">
        <f>IF('FOGLIO DEPOSITO'!B222='FOGLIO DEPOSITO'!I72,1,1.3)</f>
        <v>1.3</v>
      </c>
      <c r="H68" s="161"/>
      <c r="I68" s="252" t="s">
        <v>155</v>
      </c>
      <c r="J68" s="26"/>
      <c r="K68" s="26"/>
      <c r="L68" s="143"/>
      <c r="P68" s="142">
        <f t="shared" ref="P68:P72" si="9">P67+1</f>
        <v>66</v>
      </c>
      <c r="Q68" s="30">
        <f t="shared" si="7"/>
        <v>13.200000000000001</v>
      </c>
      <c r="R68" s="30">
        <f t="shared" si="8"/>
        <v>8.2720000000000002</v>
      </c>
      <c r="S68" s="144"/>
      <c r="T68" s="144"/>
    </row>
    <row r="69" spans="2:20" ht="15.75" thickBot="1" x14ac:dyDescent="0.3">
      <c r="B69" s="40"/>
      <c r="C69" s="21"/>
      <c r="D69" s="21"/>
      <c r="E69" s="18"/>
      <c r="F69" s="21"/>
      <c r="G69" s="42"/>
      <c r="H69" s="161"/>
      <c r="I69" s="21" t="s">
        <v>156</v>
      </c>
      <c r="J69" s="26"/>
      <c r="K69" s="26"/>
      <c r="L69" s="143"/>
      <c r="P69" s="142">
        <f t="shared" si="9"/>
        <v>67</v>
      </c>
      <c r="Q69" s="30">
        <f t="shared" si="7"/>
        <v>13.4</v>
      </c>
      <c r="R69" s="30">
        <f t="shared" si="8"/>
        <v>8.3973333333333322</v>
      </c>
      <c r="S69" s="144"/>
      <c r="T69" s="144"/>
    </row>
    <row r="70" spans="2:20" ht="17.25" thickTop="1" thickBot="1" x14ac:dyDescent="0.3">
      <c r="B70" s="40"/>
      <c r="C70" s="21"/>
      <c r="D70" s="299" t="s">
        <v>157</v>
      </c>
      <c r="E70" s="299" t="s">
        <v>158</v>
      </c>
      <c r="F70" s="21"/>
      <c r="G70" s="42"/>
      <c r="H70" s="161"/>
      <c r="I70" s="22">
        <f>IF(DATI!C80='FOGLIO DEPOSITO'!I66,1,IF(DATI!C80='FOGLIO DEPOSITO'!I67,2,IF(DATI!C80='FOGLIO DEPOSITO'!I68,3,0)))</f>
        <v>3</v>
      </c>
      <c r="J70" s="26"/>
      <c r="K70" s="26"/>
      <c r="L70" s="143"/>
      <c r="P70" s="142">
        <f t="shared" si="9"/>
        <v>68</v>
      </c>
      <c r="Q70" s="30">
        <f t="shared" si="7"/>
        <v>13.600000000000001</v>
      </c>
      <c r="R70" s="30">
        <f t="shared" si="8"/>
        <v>8.5226666666666659</v>
      </c>
      <c r="S70" s="144"/>
      <c r="T70" s="144"/>
    </row>
    <row r="71" spans="2:20" ht="15.75" thickTop="1" x14ac:dyDescent="0.25">
      <c r="B71" s="40"/>
      <c r="C71" s="299" t="s">
        <v>159</v>
      </c>
      <c r="D71" s="303">
        <v>1</v>
      </c>
      <c r="E71" s="303">
        <v>1.25</v>
      </c>
      <c r="F71" s="21"/>
      <c r="G71" s="42"/>
      <c r="H71" s="161"/>
      <c r="I71" s="26"/>
      <c r="J71" s="26"/>
      <c r="K71" s="26"/>
      <c r="L71" s="143"/>
      <c r="P71" s="142">
        <f t="shared" si="9"/>
        <v>69</v>
      </c>
      <c r="Q71" s="30">
        <f t="shared" si="7"/>
        <v>13.8</v>
      </c>
      <c r="R71" s="30">
        <f t="shared" si="8"/>
        <v>8.6479999999999997</v>
      </c>
      <c r="S71" s="144"/>
      <c r="T71" s="144"/>
    </row>
    <row r="72" spans="2:20" x14ac:dyDescent="0.25">
      <c r="B72" s="40"/>
      <c r="C72" s="299" t="s">
        <v>160</v>
      </c>
      <c r="D72" s="303">
        <v>1</v>
      </c>
      <c r="E72" s="303">
        <v>1.25</v>
      </c>
      <c r="F72" s="21"/>
      <c r="G72" s="42"/>
      <c r="H72" s="161"/>
      <c r="I72" s="26" t="s">
        <v>161</v>
      </c>
      <c r="J72" s="26"/>
      <c r="K72" s="26"/>
      <c r="L72" s="143"/>
      <c r="P72" s="142">
        <f t="shared" si="9"/>
        <v>70</v>
      </c>
      <c r="Q72" s="30">
        <f t="shared" si="7"/>
        <v>14</v>
      </c>
      <c r="R72" s="30">
        <f t="shared" si="8"/>
        <v>8.7733333333333334</v>
      </c>
      <c r="S72" s="144"/>
      <c r="T72" s="144"/>
    </row>
    <row r="73" spans="2:20" x14ac:dyDescent="0.25">
      <c r="B73" s="40"/>
      <c r="C73" s="299" t="s">
        <v>162</v>
      </c>
      <c r="D73" s="303">
        <v>1</v>
      </c>
      <c r="E73" s="303">
        <v>1.4</v>
      </c>
      <c r="F73" s="21"/>
      <c r="G73" s="42"/>
      <c r="H73" s="161"/>
      <c r="I73" s="26" t="str">
        <f>IF('ANALISI DELLE SPINTE'!C73='FOGLIO DEPOSITO'!N181,'FOGLIO DEPOSITO'!I72,IF('ANALISI DELLE SPINTE'!C73='FOGLIO DEPOSITO'!N182,'FOGLIO DEPOSITO'!I72,"STATICA"))</f>
        <v xml:space="preserve">SISMICA </v>
      </c>
      <c r="J73" s="26"/>
      <c r="K73" s="26"/>
      <c r="L73" s="143"/>
      <c r="P73" s="142">
        <f t="shared" ref="P73:P125" si="10">P72+1</f>
        <v>71</v>
      </c>
      <c r="Q73" s="30">
        <f t="shared" si="7"/>
        <v>14.200000000000001</v>
      </c>
      <c r="R73" s="30">
        <f t="shared" si="8"/>
        <v>8.8986666666666654</v>
      </c>
      <c r="S73" s="144"/>
      <c r="T73" s="144"/>
    </row>
    <row r="74" spans="2:20" x14ac:dyDescent="0.25">
      <c r="B74" s="40"/>
      <c r="C74" s="43" t="s">
        <v>163</v>
      </c>
      <c r="D74" s="303">
        <v>1</v>
      </c>
      <c r="E74" s="303">
        <v>1</v>
      </c>
      <c r="F74" s="21"/>
      <c r="G74" s="42"/>
      <c r="H74" s="161"/>
      <c r="I74" s="26"/>
      <c r="J74" s="26"/>
      <c r="K74" s="26"/>
      <c r="L74" s="143"/>
      <c r="P74" s="142">
        <f t="shared" si="10"/>
        <v>72</v>
      </c>
      <c r="Q74" s="30">
        <f t="shared" si="7"/>
        <v>14.4</v>
      </c>
      <c r="R74" s="30">
        <f t="shared" si="8"/>
        <v>9.0239999999999991</v>
      </c>
      <c r="S74" s="144"/>
      <c r="T74" s="144"/>
    </row>
    <row r="75" spans="2:20" x14ac:dyDescent="0.25">
      <c r="B75" s="40"/>
      <c r="C75" s="21"/>
      <c r="D75" s="21"/>
      <c r="E75" s="18"/>
      <c r="F75" s="21"/>
      <c r="G75" s="42"/>
      <c r="H75" s="161"/>
      <c r="I75" s="26"/>
      <c r="J75" s="26"/>
      <c r="K75" s="26"/>
      <c r="L75" s="143"/>
      <c r="P75" s="142">
        <f t="shared" si="10"/>
        <v>73</v>
      </c>
      <c r="Q75" s="30">
        <f t="shared" si="7"/>
        <v>14.600000000000001</v>
      </c>
      <c r="R75" s="30">
        <f t="shared" si="8"/>
        <v>9.1493333333333329</v>
      </c>
      <c r="S75" s="144"/>
      <c r="T75" s="144"/>
    </row>
    <row r="76" spans="2:20" x14ac:dyDescent="0.25">
      <c r="B76" s="40"/>
      <c r="C76" s="21"/>
      <c r="D76" s="299" t="s">
        <v>164</v>
      </c>
      <c r="E76" s="299" t="s">
        <v>165</v>
      </c>
      <c r="F76" s="299" t="s">
        <v>166</v>
      </c>
      <c r="G76" s="42"/>
      <c r="H76" s="161"/>
      <c r="I76" s="26"/>
      <c r="J76" s="26"/>
      <c r="K76" s="26"/>
      <c r="L76" s="143"/>
      <c r="P76" s="142">
        <f t="shared" si="10"/>
        <v>74</v>
      </c>
      <c r="Q76" s="30">
        <f t="shared" si="7"/>
        <v>14.8</v>
      </c>
      <c r="R76" s="30">
        <f t="shared" si="8"/>
        <v>9.2746666666666666</v>
      </c>
      <c r="S76" s="144"/>
      <c r="T76" s="144"/>
    </row>
    <row r="77" spans="2:20" x14ac:dyDescent="0.25">
      <c r="B77" s="161"/>
      <c r="C77" s="250" t="s">
        <v>167</v>
      </c>
      <c r="D77" s="303">
        <v>1</v>
      </c>
      <c r="E77" s="303">
        <v>1</v>
      </c>
      <c r="F77" s="303">
        <v>1.4</v>
      </c>
      <c r="G77" s="42"/>
      <c r="H77" s="161"/>
      <c r="I77" s="26"/>
      <c r="J77" s="26"/>
      <c r="K77" s="26"/>
      <c r="L77" s="143"/>
      <c r="P77" s="142">
        <f t="shared" si="10"/>
        <v>75</v>
      </c>
      <c r="Q77" s="30">
        <f t="shared" si="7"/>
        <v>15</v>
      </c>
      <c r="R77" s="30">
        <f t="shared" si="8"/>
        <v>9.3999999999999986</v>
      </c>
      <c r="S77" s="144"/>
      <c r="T77" s="144"/>
    </row>
    <row r="78" spans="2:20" x14ac:dyDescent="0.25">
      <c r="B78" s="185"/>
      <c r="C78" s="251" t="s">
        <v>168</v>
      </c>
      <c r="D78" s="44">
        <v>1</v>
      </c>
      <c r="E78" s="44">
        <v>1</v>
      </c>
      <c r="F78" s="44">
        <v>1.1000000000000001</v>
      </c>
      <c r="G78" s="45"/>
      <c r="H78" s="185"/>
      <c r="I78" s="31"/>
      <c r="J78" s="31"/>
      <c r="K78" s="31"/>
      <c r="L78" s="186"/>
      <c r="P78" s="142">
        <f t="shared" si="10"/>
        <v>76</v>
      </c>
      <c r="Q78" s="30">
        <f t="shared" si="7"/>
        <v>15.200000000000001</v>
      </c>
      <c r="R78" s="30">
        <f t="shared" si="8"/>
        <v>9.5253333333333323</v>
      </c>
      <c r="S78" s="144"/>
      <c r="T78" s="144"/>
    </row>
    <row r="79" spans="2:20" x14ac:dyDescent="0.25">
      <c r="P79" s="142">
        <f t="shared" si="10"/>
        <v>77</v>
      </c>
      <c r="Q79" s="30">
        <f t="shared" si="7"/>
        <v>15.4</v>
      </c>
      <c r="R79" s="30">
        <f t="shared" si="8"/>
        <v>9.6506666666666661</v>
      </c>
      <c r="S79" s="144"/>
      <c r="T79" s="144"/>
    </row>
    <row r="80" spans="2:20" x14ac:dyDescent="0.25">
      <c r="P80" s="142">
        <f t="shared" si="10"/>
        <v>78</v>
      </c>
      <c r="Q80" s="30">
        <f t="shared" si="7"/>
        <v>15.600000000000001</v>
      </c>
      <c r="R80" s="30">
        <f t="shared" si="8"/>
        <v>9.7759999999999998</v>
      </c>
      <c r="S80" s="144"/>
      <c r="T80" s="144"/>
    </row>
    <row r="81" spans="2:20" x14ac:dyDescent="0.25">
      <c r="B81" s="1" t="s">
        <v>169</v>
      </c>
      <c r="C81" s="2"/>
      <c r="D81" s="2"/>
      <c r="E81" s="2"/>
      <c r="P81" s="142">
        <f t="shared" si="10"/>
        <v>79</v>
      </c>
      <c r="Q81" s="30">
        <f t="shared" si="7"/>
        <v>15.8</v>
      </c>
      <c r="R81" s="30">
        <f t="shared" si="8"/>
        <v>9.9013333333333318</v>
      </c>
      <c r="S81" s="144"/>
      <c r="T81" s="144"/>
    </row>
    <row r="82" spans="2:20" ht="15.75" thickBot="1" x14ac:dyDescent="0.3">
      <c r="B82" s="1"/>
      <c r="C82" s="2"/>
      <c r="D82" s="2"/>
      <c r="E82" s="2"/>
      <c r="P82" s="142">
        <f t="shared" si="10"/>
        <v>80</v>
      </c>
      <c r="Q82" s="30">
        <f t="shared" si="7"/>
        <v>16</v>
      </c>
      <c r="R82" s="30">
        <f t="shared" si="8"/>
        <v>10.026666666666666</v>
      </c>
      <c r="S82" s="144"/>
      <c r="T82" s="144"/>
    </row>
    <row r="83" spans="2:20" ht="16.5" thickTop="1" thickBot="1" x14ac:dyDescent="0.3">
      <c r="B83" s="2" t="s">
        <v>170</v>
      </c>
      <c r="C83" s="300" t="s">
        <v>171</v>
      </c>
      <c r="D83" s="29" t="e">
        <f>#REF!</f>
        <v>#REF!</v>
      </c>
      <c r="E83" s="4" t="s">
        <v>1</v>
      </c>
      <c r="P83" s="142">
        <f t="shared" si="10"/>
        <v>81</v>
      </c>
      <c r="Q83" s="30">
        <f t="shared" si="7"/>
        <v>16.2</v>
      </c>
      <c r="R83" s="30">
        <f t="shared" si="8"/>
        <v>10.151999999999999</v>
      </c>
      <c r="S83" s="144"/>
      <c r="T83" s="144"/>
    </row>
    <row r="84" spans="2:20" ht="16.5" thickTop="1" thickBot="1" x14ac:dyDescent="0.3">
      <c r="B84" s="2" t="s">
        <v>172</v>
      </c>
      <c r="C84" s="300" t="s">
        <v>2</v>
      </c>
      <c r="D84" s="29">
        <f>'FOGLIO DEPOSITO'!N258</f>
        <v>1</v>
      </c>
      <c r="E84" s="4" t="s">
        <v>1</v>
      </c>
      <c r="P84" s="142">
        <f t="shared" ref="P84:P91" si="11">P83+1</f>
        <v>82</v>
      </c>
      <c r="Q84" s="30">
        <f t="shared" si="7"/>
        <v>16.400000000000002</v>
      </c>
      <c r="R84" s="30">
        <f t="shared" si="8"/>
        <v>10.277333333333333</v>
      </c>
      <c r="S84" s="144"/>
      <c r="T84" s="144"/>
    </row>
    <row r="85" spans="2:20" ht="16.5" thickTop="1" thickBot="1" x14ac:dyDescent="0.3">
      <c r="B85" s="2" t="s">
        <v>173</v>
      </c>
      <c r="C85" s="300" t="s">
        <v>142</v>
      </c>
      <c r="D85" s="29">
        <f>'FOGLIO DEPOSITO'!D121</f>
        <v>0</v>
      </c>
      <c r="E85" s="4" t="s">
        <v>1</v>
      </c>
      <c r="P85" s="142">
        <f t="shared" si="11"/>
        <v>83</v>
      </c>
      <c r="Q85" s="30">
        <f t="shared" si="7"/>
        <v>16.600000000000001</v>
      </c>
      <c r="R85" s="30">
        <f t="shared" si="8"/>
        <v>10.402666666666667</v>
      </c>
      <c r="S85" s="144"/>
      <c r="T85" s="144"/>
    </row>
    <row r="86" spans="2:20" ht="15.75" thickTop="1" x14ac:dyDescent="0.25">
      <c r="P86" s="142">
        <f t="shared" si="11"/>
        <v>84</v>
      </c>
      <c r="Q86" s="30">
        <f t="shared" si="7"/>
        <v>16.8</v>
      </c>
      <c r="R86" s="30">
        <f t="shared" si="8"/>
        <v>10.527999999999999</v>
      </c>
      <c r="S86" s="144"/>
      <c r="T86" s="144"/>
    </row>
    <row r="87" spans="2:20" x14ac:dyDescent="0.25">
      <c r="P87" s="142">
        <f t="shared" si="11"/>
        <v>85</v>
      </c>
      <c r="Q87" s="30">
        <f t="shared" si="7"/>
        <v>17</v>
      </c>
      <c r="R87" s="30">
        <f t="shared" si="8"/>
        <v>10.653333333333332</v>
      </c>
      <c r="S87" s="144"/>
      <c r="T87" s="144"/>
    </row>
    <row r="88" spans="2:20" x14ac:dyDescent="0.25">
      <c r="E88" s="7" t="str">
        <f>IF('FOGLIO DEPOSITO'!D301="SI","",IF('FOGLIO DEPOSITO'!D301="no","","FATAL ERROR! Inserisci si oppure no"))</f>
        <v/>
      </c>
      <c r="P88" s="142">
        <f t="shared" si="11"/>
        <v>86</v>
      </c>
      <c r="Q88" s="30">
        <f t="shared" si="7"/>
        <v>17.2</v>
      </c>
      <c r="R88" s="30">
        <f t="shared" si="8"/>
        <v>10.778666666666666</v>
      </c>
      <c r="S88" s="144"/>
      <c r="T88" s="144"/>
    </row>
    <row r="89" spans="2:20" x14ac:dyDescent="0.25">
      <c r="P89" s="142">
        <f t="shared" si="11"/>
        <v>87</v>
      </c>
      <c r="Q89" s="30">
        <f t="shared" si="7"/>
        <v>17.400000000000002</v>
      </c>
      <c r="R89" s="30">
        <f t="shared" si="8"/>
        <v>10.904</v>
      </c>
      <c r="S89" s="144"/>
      <c r="T89" s="144"/>
    </row>
    <row r="90" spans="2:20" x14ac:dyDescent="0.25">
      <c r="P90" s="142">
        <f t="shared" si="11"/>
        <v>88</v>
      </c>
      <c r="Q90" s="30">
        <f t="shared" si="7"/>
        <v>17.600000000000001</v>
      </c>
      <c r="R90" s="30">
        <f t="shared" si="8"/>
        <v>11.029333333333332</v>
      </c>
      <c r="S90" s="144"/>
      <c r="T90" s="144"/>
    </row>
    <row r="91" spans="2:20" x14ac:dyDescent="0.25">
      <c r="P91" s="142">
        <f t="shared" si="11"/>
        <v>89</v>
      </c>
      <c r="Q91" s="30">
        <f t="shared" si="7"/>
        <v>17.8</v>
      </c>
      <c r="R91" s="30">
        <f t="shared" si="8"/>
        <v>11.154666666666666</v>
      </c>
      <c r="S91" s="144"/>
      <c r="T91" s="144"/>
    </row>
    <row r="92" spans="2:20" x14ac:dyDescent="0.25">
      <c r="P92" s="142">
        <f t="shared" si="10"/>
        <v>90</v>
      </c>
      <c r="Q92" s="30">
        <f t="shared" si="7"/>
        <v>18</v>
      </c>
      <c r="R92" s="30">
        <f t="shared" si="8"/>
        <v>11.28</v>
      </c>
      <c r="S92" s="144"/>
      <c r="T92" s="144"/>
    </row>
    <row r="93" spans="2:20" x14ac:dyDescent="0.25">
      <c r="B93" s="300" t="s">
        <v>174</v>
      </c>
      <c r="C93" s="8">
        <f>'FOGLIO DEPOSITO'!D43*DATI!$E$83+'FOGLIO DEPOSITO'!E43*DATI!$E$84+'FOGLIO DEPOSITO'!F43*DATI!$E$85</f>
        <v>0</v>
      </c>
      <c r="D93" s="4" t="s">
        <v>6</v>
      </c>
      <c r="P93" s="142">
        <f t="shared" si="10"/>
        <v>91</v>
      </c>
      <c r="Q93" s="30">
        <f t="shared" si="7"/>
        <v>18.2</v>
      </c>
      <c r="R93" s="30">
        <f t="shared" si="8"/>
        <v>11.405333333333333</v>
      </c>
      <c r="S93" s="144"/>
      <c r="T93" s="144"/>
    </row>
    <row r="94" spans="2:20" x14ac:dyDescent="0.25">
      <c r="P94" s="142">
        <f t="shared" si="10"/>
        <v>92</v>
      </c>
      <c r="Q94" s="30">
        <f t="shared" si="7"/>
        <v>18.400000000000002</v>
      </c>
      <c r="R94" s="30">
        <f t="shared" si="8"/>
        <v>11.530666666666665</v>
      </c>
      <c r="S94" s="144"/>
      <c r="T94" s="144"/>
    </row>
    <row r="95" spans="2:20" x14ac:dyDescent="0.25">
      <c r="P95" s="142">
        <f t="shared" si="10"/>
        <v>93</v>
      </c>
      <c r="Q95" s="30">
        <f t="shared" si="7"/>
        <v>18.600000000000001</v>
      </c>
      <c r="R95" s="30">
        <f t="shared" si="8"/>
        <v>11.655999999999999</v>
      </c>
      <c r="S95" s="144"/>
      <c r="T95" s="144"/>
    </row>
    <row r="96" spans="2:20" x14ac:dyDescent="0.25">
      <c r="B96" s="300" t="s">
        <v>174</v>
      </c>
      <c r="C96" s="8">
        <f>'FOGLIO DEPOSITO'!D43*DATI!$E$83+'FOGLIO DEPOSITO'!E43*DATI!$E$84+'FOGLIO DEPOSITO'!F43*DATI!$E$85</f>
        <v>0</v>
      </c>
      <c r="D96" s="4" t="s">
        <v>6</v>
      </c>
      <c r="P96" s="142">
        <f t="shared" si="10"/>
        <v>94</v>
      </c>
      <c r="Q96" s="30">
        <f t="shared" si="7"/>
        <v>18.8</v>
      </c>
      <c r="R96" s="30">
        <f t="shared" si="8"/>
        <v>11.781333333333333</v>
      </c>
      <c r="S96" s="144"/>
      <c r="T96" s="144"/>
    </row>
    <row r="97" spans="2:20" x14ac:dyDescent="0.25">
      <c r="P97" s="142">
        <f t="shared" si="10"/>
        <v>95</v>
      </c>
      <c r="Q97" s="30">
        <f t="shared" si="7"/>
        <v>19</v>
      </c>
      <c r="R97" s="30">
        <f t="shared" si="8"/>
        <v>11.906666666666666</v>
      </c>
      <c r="S97" s="144"/>
      <c r="T97" s="144"/>
    </row>
    <row r="98" spans="2:20" x14ac:dyDescent="0.25">
      <c r="P98" s="142">
        <f t="shared" si="10"/>
        <v>96</v>
      </c>
      <c r="Q98" s="30">
        <f t="shared" ref="Q98:Q129" si="12">$Q$1/$P$152*P98</f>
        <v>19.200000000000003</v>
      </c>
      <c r="R98" s="30">
        <f t="shared" ref="R98:R129" si="13">$R$1/$P$152*P98</f>
        <v>12.032</v>
      </c>
      <c r="S98" s="144"/>
      <c r="T98" s="144"/>
    </row>
    <row r="99" spans="2:20" ht="15.75" thickBot="1" x14ac:dyDescent="0.3">
      <c r="P99" s="142">
        <f t="shared" si="10"/>
        <v>97</v>
      </c>
      <c r="Q99" s="30">
        <f t="shared" si="12"/>
        <v>19.400000000000002</v>
      </c>
      <c r="R99" s="30">
        <f t="shared" si="13"/>
        <v>12.157333333333332</v>
      </c>
      <c r="S99" s="144"/>
      <c r="T99" s="144"/>
    </row>
    <row r="100" spans="2:20" ht="16.5" thickTop="1" thickBot="1" x14ac:dyDescent="0.3">
      <c r="B100" s="315" t="s">
        <v>175</v>
      </c>
      <c r="C100" s="315"/>
      <c r="D100" s="315"/>
      <c r="E100" s="315"/>
      <c r="F100" s="3" t="e">
        <f>MAXA(#REF!,#REF!)</f>
        <v>#REF!</v>
      </c>
      <c r="G100" s="5" t="s">
        <v>1</v>
      </c>
      <c r="I100" s="28" t="e">
        <f>IF(DATI!E62="si",'FOGLIO DEPOSITO'!D299,'FOGLIO DEPOSITO'!F100+1)</f>
        <v>#REF!</v>
      </c>
      <c r="P100" s="142">
        <f t="shared" si="10"/>
        <v>98</v>
      </c>
      <c r="Q100" s="30">
        <f t="shared" si="12"/>
        <v>19.600000000000001</v>
      </c>
      <c r="R100" s="30">
        <f t="shared" si="13"/>
        <v>12.282666666666666</v>
      </c>
      <c r="S100" s="144"/>
      <c r="T100" s="144"/>
    </row>
    <row r="101" spans="2:20" ht="15.75" thickTop="1" x14ac:dyDescent="0.25">
      <c r="P101" s="142">
        <f t="shared" si="10"/>
        <v>99</v>
      </c>
      <c r="Q101" s="30">
        <f t="shared" si="12"/>
        <v>19.8</v>
      </c>
      <c r="R101" s="30">
        <f t="shared" si="13"/>
        <v>12.407999999999999</v>
      </c>
      <c r="S101" s="144"/>
      <c r="T101" s="144"/>
    </row>
    <row r="102" spans="2:20" x14ac:dyDescent="0.25">
      <c r="P102" s="142">
        <f t="shared" si="10"/>
        <v>100</v>
      </c>
      <c r="Q102" s="30">
        <f t="shared" si="12"/>
        <v>20</v>
      </c>
      <c r="R102" s="30">
        <f t="shared" si="13"/>
        <v>12.533333333333333</v>
      </c>
      <c r="S102" s="144"/>
      <c r="T102" s="144"/>
    </row>
    <row r="103" spans="2:20" x14ac:dyDescent="0.25">
      <c r="C103" s="36" t="e">
        <f>SUM(#REF!)</f>
        <v>#REF!</v>
      </c>
      <c r="P103" s="142">
        <f t="shared" si="10"/>
        <v>101</v>
      </c>
      <c r="Q103" s="30">
        <f t="shared" si="12"/>
        <v>20.200000000000003</v>
      </c>
      <c r="R103" s="30">
        <f t="shared" si="13"/>
        <v>12.658666666666665</v>
      </c>
    </row>
    <row r="104" spans="2:20" x14ac:dyDescent="0.25">
      <c r="P104" s="142">
        <f t="shared" si="10"/>
        <v>102</v>
      </c>
      <c r="Q104" s="30">
        <f t="shared" si="12"/>
        <v>20.400000000000002</v>
      </c>
      <c r="R104" s="30">
        <f t="shared" si="13"/>
        <v>12.783999999999999</v>
      </c>
    </row>
    <row r="105" spans="2:20" x14ac:dyDescent="0.25">
      <c r="P105" s="142">
        <f t="shared" si="10"/>
        <v>103</v>
      </c>
      <c r="Q105" s="30">
        <f t="shared" si="12"/>
        <v>20.6</v>
      </c>
      <c r="R105" s="30">
        <f t="shared" si="13"/>
        <v>12.909333333333333</v>
      </c>
    </row>
    <row r="106" spans="2:20" x14ac:dyDescent="0.25">
      <c r="P106" s="142">
        <f t="shared" si="10"/>
        <v>104</v>
      </c>
      <c r="Q106" s="30">
        <f t="shared" si="12"/>
        <v>20.8</v>
      </c>
      <c r="R106" s="30">
        <f t="shared" si="13"/>
        <v>13.034666666666666</v>
      </c>
    </row>
    <row r="107" spans="2:20" x14ac:dyDescent="0.25">
      <c r="P107" s="142">
        <f t="shared" si="10"/>
        <v>105</v>
      </c>
      <c r="Q107" s="30">
        <f t="shared" si="12"/>
        <v>21</v>
      </c>
      <c r="R107" s="30">
        <f t="shared" si="13"/>
        <v>13.159999999999998</v>
      </c>
    </row>
    <row r="108" spans="2:20" ht="21" x14ac:dyDescent="0.25">
      <c r="B108" s="300" t="s">
        <v>176</v>
      </c>
      <c r="C108" s="3" t="e">
        <f>'FOGLIO DEPOSITO'!K108</f>
        <v>#REF!</v>
      </c>
      <c r="D108" s="4" t="s">
        <v>1</v>
      </c>
      <c r="F108" s="4" t="s">
        <v>177</v>
      </c>
      <c r="G108" s="3">
        <v>0</v>
      </c>
      <c r="H108" s="4" t="s">
        <v>1</v>
      </c>
      <c r="I108" s="2"/>
      <c r="J108" s="300" t="s">
        <v>176</v>
      </c>
      <c r="K108" s="3" t="e">
        <f>IF(#REF!=0,'FOGLIO DEPOSITO'!D84,IF(G108&gt;'FOGLIO DEPOSITO'!D84/2,0,'FOGLIO DEPOSITO'!D84-2*G108))</f>
        <v>#REF!</v>
      </c>
      <c r="L108" s="4" t="s">
        <v>1</v>
      </c>
      <c r="P108" s="142">
        <f t="shared" si="10"/>
        <v>106</v>
      </c>
      <c r="Q108" s="30">
        <f t="shared" si="12"/>
        <v>21.200000000000003</v>
      </c>
      <c r="R108" s="30">
        <f t="shared" si="13"/>
        <v>13.285333333333332</v>
      </c>
    </row>
    <row r="109" spans="2:20" x14ac:dyDescent="0.25">
      <c r="P109" s="142">
        <f t="shared" si="10"/>
        <v>107</v>
      </c>
      <c r="Q109" s="30">
        <f t="shared" si="12"/>
        <v>21.400000000000002</v>
      </c>
      <c r="R109" s="30">
        <f t="shared" si="13"/>
        <v>13.410666666666666</v>
      </c>
    </row>
    <row r="110" spans="2:20" ht="21" x14ac:dyDescent="0.25">
      <c r="B110" s="300" t="s">
        <v>176</v>
      </c>
      <c r="C110" s="3" t="e">
        <f>'FOGLIO DEPOSITO'!K110</f>
        <v>#REF!</v>
      </c>
      <c r="D110" s="4" t="s">
        <v>1</v>
      </c>
      <c r="F110" s="4" t="s">
        <v>177</v>
      </c>
      <c r="G110" s="3">
        <v>0</v>
      </c>
      <c r="H110" s="4" t="s">
        <v>1</v>
      </c>
      <c r="J110" s="300" t="s">
        <v>176</v>
      </c>
      <c r="K110" s="3" t="e">
        <f>IF(#REF!=0,'FOGLIO DEPOSITO'!D84,IF('FOGLIO DEPOSITO'!G110&gt;'FOGLIO DEPOSITO'!D84/2,0,'FOGLIO DEPOSITO'!D84-2*'FOGLIO DEPOSITO'!G110))</f>
        <v>#REF!</v>
      </c>
      <c r="L110" s="4" t="s">
        <v>1</v>
      </c>
      <c r="P110" s="142">
        <f t="shared" si="10"/>
        <v>108</v>
      </c>
      <c r="Q110" s="30">
        <f t="shared" si="12"/>
        <v>21.6</v>
      </c>
      <c r="R110" s="30">
        <f t="shared" si="13"/>
        <v>13.536</v>
      </c>
    </row>
    <row r="111" spans="2:20" x14ac:dyDescent="0.25">
      <c r="P111" s="142">
        <f t="shared" si="10"/>
        <v>109</v>
      </c>
      <c r="Q111" s="30">
        <f t="shared" si="12"/>
        <v>21.8</v>
      </c>
      <c r="R111" s="30">
        <f t="shared" si="13"/>
        <v>13.661333333333332</v>
      </c>
    </row>
    <row r="112" spans="2:20" x14ac:dyDescent="0.25">
      <c r="P112" s="142">
        <f t="shared" si="10"/>
        <v>110</v>
      </c>
      <c r="Q112" s="30">
        <f t="shared" si="12"/>
        <v>22</v>
      </c>
      <c r="R112" s="30">
        <f t="shared" si="13"/>
        <v>13.786666666666665</v>
      </c>
    </row>
    <row r="113" spans="2:18" ht="15.75" thickBot="1" x14ac:dyDescent="0.3">
      <c r="P113" s="142">
        <f t="shared" si="10"/>
        <v>111</v>
      </c>
      <c r="Q113" s="30">
        <f t="shared" si="12"/>
        <v>22.200000000000003</v>
      </c>
      <c r="R113" s="30">
        <f t="shared" si="13"/>
        <v>13.911999999999999</v>
      </c>
    </row>
    <row r="114" spans="2:18" ht="16.5" thickTop="1" thickBot="1" x14ac:dyDescent="0.3">
      <c r="B114" s="58"/>
      <c r="C114" s="12"/>
      <c r="P114" s="142">
        <f t="shared" si="10"/>
        <v>112</v>
      </c>
      <c r="Q114" s="30">
        <f t="shared" si="12"/>
        <v>22.400000000000002</v>
      </c>
      <c r="R114" s="30">
        <f t="shared" si="13"/>
        <v>14.037333333333333</v>
      </c>
    </row>
    <row r="115" spans="2:18" ht="16.5" thickTop="1" thickBot="1" x14ac:dyDescent="0.3">
      <c r="B115" s="58"/>
      <c r="C115" s="12"/>
      <c r="P115" s="142">
        <f t="shared" si="10"/>
        <v>113</v>
      </c>
      <c r="Q115" s="30">
        <f t="shared" si="12"/>
        <v>22.6</v>
      </c>
      <c r="R115" s="30">
        <f t="shared" si="13"/>
        <v>14.162666666666667</v>
      </c>
    </row>
    <row r="116" spans="2:18" ht="16.5" thickTop="1" thickBot="1" x14ac:dyDescent="0.3">
      <c r="B116" s="58"/>
      <c r="C116" s="12"/>
      <c r="P116" s="142">
        <f t="shared" si="10"/>
        <v>114</v>
      </c>
      <c r="Q116" s="30">
        <f t="shared" si="12"/>
        <v>22.8</v>
      </c>
      <c r="R116" s="30">
        <f t="shared" si="13"/>
        <v>14.287999999999998</v>
      </c>
    </row>
    <row r="117" spans="2:18" ht="15.75" thickTop="1" x14ac:dyDescent="0.25">
      <c r="P117" s="142">
        <f t="shared" si="10"/>
        <v>115</v>
      </c>
      <c r="Q117" s="30">
        <f t="shared" si="12"/>
        <v>23</v>
      </c>
      <c r="R117" s="30">
        <f t="shared" si="13"/>
        <v>14.413333333333332</v>
      </c>
    </row>
    <row r="118" spans="2:18" ht="15.75" thickBot="1" x14ac:dyDescent="0.3">
      <c r="P118" s="142">
        <f t="shared" si="10"/>
        <v>116</v>
      </c>
      <c r="Q118" s="30">
        <f t="shared" si="12"/>
        <v>23.200000000000003</v>
      </c>
      <c r="R118" s="30">
        <f t="shared" si="13"/>
        <v>14.538666666666666</v>
      </c>
    </row>
    <row r="119" spans="2:18" ht="19.5" thickTop="1" thickBot="1" x14ac:dyDescent="0.3">
      <c r="B119" s="2" t="s">
        <v>178</v>
      </c>
      <c r="C119" s="46" t="s">
        <v>74</v>
      </c>
      <c r="D119" s="49">
        <f>'FOGLIO DEPOSITO'!N272+'FOGLIO DEPOSITO'!N259/2</f>
        <v>1.2749999999999999</v>
      </c>
      <c r="P119" s="142">
        <f t="shared" si="10"/>
        <v>117</v>
      </c>
      <c r="Q119" s="30">
        <f t="shared" si="12"/>
        <v>23.400000000000002</v>
      </c>
      <c r="R119" s="30">
        <f t="shared" si="13"/>
        <v>14.664</v>
      </c>
    </row>
    <row r="120" spans="2:18" ht="19.5" thickTop="1" thickBot="1" x14ac:dyDescent="0.3">
      <c r="B120" s="2" t="s">
        <v>179</v>
      </c>
      <c r="C120" s="46" t="s">
        <v>76</v>
      </c>
      <c r="D120" s="49">
        <f>'FOGLIO DEPOSITO'!D212+'FOGLIO DEPOSITO'!N259/2+D211</f>
        <v>3.9750100000000002</v>
      </c>
      <c r="P120" s="142">
        <f t="shared" si="10"/>
        <v>118</v>
      </c>
      <c r="Q120" s="30">
        <f t="shared" si="12"/>
        <v>23.6</v>
      </c>
      <c r="R120" s="30">
        <f t="shared" si="13"/>
        <v>14.789333333333332</v>
      </c>
    </row>
    <row r="121" spans="2:18" ht="19.5" thickTop="1" thickBot="1" x14ac:dyDescent="0.3">
      <c r="B121" s="2" t="s">
        <v>71</v>
      </c>
      <c r="C121" s="46" t="s">
        <v>72</v>
      </c>
      <c r="D121" s="49">
        <f>'FOGLIO DEPOSITO'!N271</f>
        <v>0</v>
      </c>
      <c r="P121" s="142">
        <f t="shared" si="10"/>
        <v>119</v>
      </c>
      <c r="Q121" s="30">
        <f t="shared" si="12"/>
        <v>23.8</v>
      </c>
      <c r="R121" s="30">
        <f t="shared" si="13"/>
        <v>14.914666666666665</v>
      </c>
    </row>
    <row r="122" spans="2:18" ht="16.5" thickTop="1" thickBot="1" x14ac:dyDescent="0.3">
      <c r="P122" s="142">
        <f t="shared" si="10"/>
        <v>120</v>
      </c>
      <c r="Q122" s="30">
        <f t="shared" si="12"/>
        <v>24</v>
      </c>
      <c r="R122" s="30">
        <f t="shared" si="13"/>
        <v>15.04</v>
      </c>
    </row>
    <row r="123" spans="2:18" ht="16.5" thickTop="1" thickBot="1" x14ac:dyDescent="0.3">
      <c r="B123" s="2" t="s">
        <v>54</v>
      </c>
      <c r="D123" s="49">
        <f>DATI!E37</f>
        <v>30</v>
      </c>
      <c r="P123" s="142">
        <f t="shared" si="10"/>
        <v>121</v>
      </c>
      <c r="Q123" s="30">
        <f t="shared" si="12"/>
        <v>24.200000000000003</v>
      </c>
      <c r="R123" s="30">
        <f t="shared" si="13"/>
        <v>15.165333333333333</v>
      </c>
    </row>
    <row r="124" spans="2:18" ht="16.5" thickTop="1" thickBot="1" x14ac:dyDescent="0.3">
      <c r="B124" s="2" t="s">
        <v>58</v>
      </c>
      <c r="D124" s="49">
        <f>'FOGLIO DEPOSITO'!N259</f>
        <v>0.15</v>
      </c>
      <c r="P124" s="142">
        <f t="shared" si="10"/>
        <v>122</v>
      </c>
      <c r="Q124" s="30">
        <f t="shared" si="12"/>
        <v>24.400000000000002</v>
      </c>
      <c r="R124" s="30">
        <f t="shared" si="13"/>
        <v>15.290666666666665</v>
      </c>
    </row>
    <row r="125" spans="2:18" ht="15.75" thickTop="1" x14ac:dyDescent="0.25">
      <c r="P125" s="142">
        <f t="shared" si="10"/>
        <v>123</v>
      </c>
      <c r="Q125" s="30">
        <f t="shared" si="12"/>
        <v>24.6</v>
      </c>
      <c r="R125" s="30">
        <f t="shared" si="13"/>
        <v>15.415999999999999</v>
      </c>
    </row>
    <row r="126" spans="2:18" x14ac:dyDescent="0.25">
      <c r="P126" s="142">
        <f t="shared" ref="P126:P136" si="14">P125+1</f>
        <v>124</v>
      </c>
      <c r="Q126" s="30">
        <f t="shared" si="12"/>
        <v>24.8</v>
      </c>
      <c r="R126" s="30">
        <f t="shared" si="13"/>
        <v>15.541333333333332</v>
      </c>
    </row>
    <row r="127" spans="2:18" x14ac:dyDescent="0.25">
      <c r="P127" s="142">
        <f t="shared" si="14"/>
        <v>125</v>
      </c>
      <c r="Q127" s="30">
        <f t="shared" si="12"/>
        <v>25</v>
      </c>
      <c r="R127" s="30">
        <f t="shared" si="13"/>
        <v>15.666666666666666</v>
      </c>
    </row>
    <row r="128" spans="2:18" x14ac:dyDescent="0.25">
      <c r="B128" s="6"/>
      <c r="C128" s="21"/>
      <c r="D128" s="53" t="s">
        <v>180</v>
      </c>
      <c r="E128" s="4"/>
      <c r="F128" s="6"/>
      <c r="G128" s="4"/>
      <c r="P128" s="142">
        <f t="shared" si="14"/>
        <v>126</v>
      </c>
      <c r="Q128" s="30">
        <f t="shared" si="12"/>
        <v>25.200000000000003</v>
      </c>
      <c r="R128" s="30">
        <f t="shared" si="13"/>
        <v>15.791999999999998</v>
      </c>
    </row>
    <row r="129" spans="2:24" x14ac:dyDescent="0.25">
      <c r="B129" s="2"/>
      <c r="C129" s="21"/>
      <c r="D129" s="63" t="e">
        <f>IF(B146&gt;=G144,1,-1)*(B146-G144)/(F137)*IF(B146&gt;=G144,F139,F138)+IF(B146&gt;=G144,G144,B146)</f>
        <v>#REF!</v>
      </c>
      <c r="E129" s="64"/>
      <c r="F129" s="4"/>
      <c r="G129" s="4"/>
      <c r="P129" s="142">
        <f t="shared" si="14"/>
        <v>127</v>
      </c>
      <c r="Q129" s="30">
        <f t="shared" si="12"/>
        <v>25.400000000000002</v>
      </c>
      <c r="R129" s="30">
        <f t="shared" si="13"/>
        <v>15.917333333333332</v>
      </c>
    </row>
    <row r="130" spans="2:24" x14ac:dyDescent="0.25">
      <c r="B130" s="2"/>
      <c r="C130" s="21"/>
      <c r="D130" s="65"/>
      <c r="E130" s="66"/>
      <c r="F130" s="4"/>
      <c r="G130" s="4"/>
      <c r="P130" s="142">
        <f t="shared" si="14"/>
        <v>128</v>
      </c>
      <c r="Q130" s="30">
        <f t="shared" ref="Q130:Q152" si="15">$Q$1/$P$152*P130</f>
        <v>25.6</v>
      </c>
      <c r="R130" s="30">
        <f t="shared" ref="R130:R152" si="16">$R$1/$P$152*P130</f>
        <v>16.042666666666666</v>
      </c>
    </row>
    <row r="131" spans="2:24" ht="18" x14ac:dyDescent="0.25">
      <c r="B131" s="2"/>
      <c r="C131" s="67"/>
      <c r="D131" s="68"/>
      <c r="E131" s="66"/>
      <c r="F131" s="51" t="s">
        <v>181</v>
      </c>
      <c r="G131" s="304" t="e">
        <f>IF((#REF!/(F137*#REF!)*(1+(IF('FOGLIO DEPOSITO'!X248="sx",-1,1))*6*'FOGLIO DEPOSITO'!L142/(F137)))&lt;0,0,(#REF!/(F137*#REF!)*(1+(IF('FOGLIO DEPOSITO'!X248="sx",-1,1))*6*'FOGLIO DEPOSITO'!L142/(F137))))</f>
        <v>#REF!</v>
      </c>
      <c r="P131" s="142">
        <f t="shared" si="14"/>
        <v>129</v>
      </c>
      <c r="Q131" s="30">
        <f t="shared" si="15"/>
        <v>25.8</v>
      </c>
      <c r="R131" s="30">
        <f t="shared" si="16"/>
        <v>16.167999999999999</v>
      </c>
    </row>
    <row r="132" spans="2:24" x14ac:dyDescent="0.25">
      <c r="B132" s="2"/>
      <c r="C132" s="528" t="s">
        <v>182</v>
      </c>
      <c r="D132" s="529"/>
      <c r="E132" s="66"/>
      <c r="F132" s="4"/>
      <c r="G132" s="4"/>
      <c r="P132" s="142">
        <f t="shared" si="14"/>
        <v>130</v>
      </c>
      <c r="Q132" s="30">
        <f t="shared" si="15"/>
        <v>26</v>
      </c>
      <c r="R132" s="30">
        <f t="shared" si="16"/>
        <v>16.293333333333333</v>
      </c>
    </row>
    <row r="133" spans="2:24" x14ac:dyDescent="0.25">
      <c r="B133" s="304" t="e">
        <f>IF((#REF!/(F137*#REF!)*(1-(IF('FOGLIO DEPOSITO'!X248="sx",-1,1))*6*'FOGLIO DEPOSITO'!L142/(F137)))&lt;0,0,(#REF!/(F137*#REF!)*(1-(IF('FOGLIO DEPOSITO'!X248="sx",-1,1))*6*'FOGLIO DEPOSITO'!L142/(F137))))</f>
        <v>#REF!</v>
      </c>
      <c r="C133" s="40"/>
      <c r="D133" s="68"/>
      <c r="E133" s="66"/>
      <c r="F133" s="4"/>
      <c r="G133" s="4"/>
      <c r="P133" s="142">
        <f t="shared" si="14"/>
        <v>131</v>
      </c>
      <c r="Q133" s="30">
        <f t="shared" si="15"/>
        <v>26.200000000000003</v>
      </c>
      <c r="R133" s="30">
        <f t="shared" si="16"/>
        <v>16.418666666666667</v>
      </c>
    </row>
    <row r="134" spans="2:24" x14ac:dyDescent="0.25">
      <c r="B134" s="2"/>
      <c r="C134" s="69"/>
      <c r="D134" s="70"/>
      <c r="E134" s="71"/>
      <c r="F134" s="4"/>
      <c r="G134" s="4"/>
      <c r="P134" s="142">
        <f t="shared" si="14"/>
        <v>132</v>
      </c>
      <c r="Q134" s="30">
        <f t="shared" si="15"/>
        <v>26.400000000000002</v>
      </c>
      <c r="R134" s="30">
        <f t="shared" si="16"/>
        <v>16.544</v>
      </c>
    </row>
    <row r="135" spans="2:24" x14ac:dyDescent="0.25">
      <c r="I135" s="346" t="e">
        <f>IF(F139&lt;=I139,"Asse neutro su zatt sx","Asse neutro su zatt dx")</f>
        <v>#REF!</v>
      </c>
      <c r="J135" s="182"/>
      <c r="K135" s="182"/>
      <c r="P135" s="142">
        <f t="shared" si="14"/>
        <v>133</v>
      </c>
      <c r="Q135" s="30">
        <f t="shared" si="15"/>
        <v>26.6</v>
      </c>
      <c r="R135" s="30">
        <f t="shared" si="16"/>
        <v>16.669333333333331</v>
      </c>
    </row>
    <row r="136" spans="2:24" x14ac:dyDescent="0.25">
      <c r="I136" s="25" t="e">
        <f>IF(F139&lt;=I139,1,0)</f>
        <v>#REF!</v>
      </c>
      <c r="P136" s="142">
        <f t="shared" si="14"/>
        <v>134</v>
      </c>
      <c r="Q136" s="30">
        <f t="shared" si="15"/>
        <v>26.8</v>
      </c>
      <c r="R136" s="30">
        <f t="shared" si="16"/>
        <v>16.794666666666664</v>
      </c>
    </row>
    <row r="137" spans="2:24" x14ac:dyDescent="0.25">
      <c r="B137" t="s">
        <v>461</v>
      </c>
      <c r="E137" s="344" t="s">
        <v>462</v>
      </c>
      <c r="F137" s="345" t="e">
        <f>#REF!</f>
        <v>#REF!</v>
      </c>
      <c r="P137" s="142">
        <f t="shared" ref="P137:P152" si="17">P136+1</f>
        <v>135</v>
      </c>
      <c r="Q137" s="30">
        <f t="shared" si="15"/>
        <v>27</v>
      </c>
      <c r="R137" s="30">
        <f t="shared" si="16"/>
        <v>16.919999999999998</v>
      </c>
    </row>
    <row r="138" spans="2:24" x14ac:dyDescent="0.25">
      <c r="E138" s="182" t="s">
        <v>496</v>
      </c>
      <c r="F138" s="116" t="e">
        <f>F137-'FOGLIO DEPOSITO'!N272-'FOGLIO DEPOSITO'!N259/2</f>
        <v>#REF!</v>
      </c>
      <c r="G138" s="524" t="s">
        <v>492</v>
      </c>
      <c r="H138" s="525"/>
      <c r="I138" s="342" t="e">
        <f>IF('FOGLIO DEPOSITO'!X248="sx",'FOGLIO DEPOSITO'!F137-(F137*ABS(G144)/(ABS(B146)+ABS(G144))),F137*ABS(G144)/(ABS(B146)+ABS(G144)))</f>
        <v>#REF!</v>
      </c>
      <c r="J138" t="s">
        <v>493</v>
      </c>
      <c r="P138" s="142">
        <f t="shared" si="17"/>
        <v>136</v>
      </c>
      <c r="Q138" s="30">
        <f t="shared" si="15"/>
        <v>27.200000000000003</v>
      </c>
      <c r="R138" s="30">
        <f t="shared" si="16"/>
        <v>17.045333333333332</v>
      </c>
    </row>
    <row r="139" spans="2:24" x14ac:dyDescent="0.25">
      <c r="E139" s="182" t="s">
        <v>495</v>
      </c>
      <c r="F139" s="116" t="e">
        <f>F137-F138</f>
        <v>#REF!</v>
      </c>
      <c r="G139" s="524"/>
      <c r="H139" s="525"/>
      <c r="I139" s="342" t="e">
        <f>F137*ABS(G144)/(ABS(B146)+ABS(G144))</f>
        <v>#REF!</v>
      </c>
      <c r="J139" t="s">
        <v>494</v>
      </c>
      <c r="P139" s="142">
        <f t="shared" si="17"/>
        <v>137</v>
      </c>
      <c r="Q139" s="30">
        <f t="shared" si="15"/>
        <v>27.400000000000002</v>
      </c>
      <c r="R139" s="30">
        <f t="shared" si="16"/>
        <v>17.170666666666666</v>
      </c>
    </row>
    <row r="140" spans="2:24" x14ac:dyDescent="0.25">
      <c r="I140" s="342" t="e">
        <f>-I144/I142</f>
        <v>#REF!</v>
      </c>
      <c r="P140" s="142">
        <f t="shared" si="17"/>
        <v>138</v>
      </c>
      <c r="Q140" s="30">
        <f t="shared" si="15"/>
        <v>27.6</v>
      </c>
      <c r="R140" s="30">
        <f t="shared" si="16"/>
        <v>17.295999999999999</v>
      </c>
    </row>
    <row r="141" spans="2:24" x14ac:dyDescent="0.25">
      <c r="C141" s="21"/>
      <c r="D141" s="53" t="s">
        <v>180</v>
      </c>
      <c r="E141" s="338"/>
      <c r="F141" s="319"/>
      <c r="G141" s="338"/>
      <c r="H141" s="2"/>
      <c r="K141" s="305" t="s">
        <v>183</v>
      </c>
      <c r="L141" s="3" t="e">
        <f>#REF!</f>
        <v>#REF!</v>
      </c>
      <c r="P141" s="142">
        <f t="shared" si="17"/>
        <v>139</v>
      </c>
      <c r="Q141" s="30">
        <f t="shared" si="15"/>
        <v>27.8</v>
      </c>
      <c r="R141" s="30">
        <f t="shared" si="16"/>
        <v>17.421333333333333</v>
      </c>
      <c r="X141" t="e">
        <f>VLOOKUP(V150,AD150:AG158,2,FALSE)</f>
        <v>#N/A</v>
      </c>
    </row>
    <row r="142" spans="2:24" x14ac:dyDescent="0.25">
      <c r="B142" s="318"/>
      <c r="C142" s="21"/>
      <c r="D142" s="63" t="e">
        <f>IF(B146&gt;=G144,1,-1)*(B146-G144)/(F137)*IF(B146&gt;=G144,F139,F138)+IF(B146&gt;=G144,G144,B146)</f>
        <v>#REF!</v>
      </c>
      <c r="E142" s="64"/>
      <c r="F142" s="338"/>
      <c r="G142" s="338"/>
      <c r="H142" s="339" t="s">
        <v>194</v>
      </c>
      <c r="I142" s="349" t="e">
        <f>(MAXA(B146,G144)-MINA(B146,G144))/F137</f>
        <v>#REF!</v>
      </c>
      <c r="K142" s="51" t="s">
        <v>184</v>
      </c>
      <c r="L142" s="3" t="e">
        <f>#REF!</f>
        <v>#REF!</v>
      </c>
      <c r="P142" s="142">
        <f t="shared" si="17"/>
        <v>140</v>
      </c>
      <c r="Q142" s="30">
        <f t="shared" si="15"/>
        <v>28</v>
      </c>
      <c r="R142" s="30">
        <f t="shared" si="16"/>
        <v>17.546666666666667</v>
      </c>
    </row>
    <row r="143" spans="2:24" x14ac:dyDescent="0.25">
      <c r="B143" s="318"/>
      <c r="C143" s="21"/>
      <c r="D143" s="65"/>
      <c r="E143" s="66"/>
      <c r="F143" s="338"/>
      <c r="G143" s="338"/>
      <c r="H143" s="339" t="s">
        <v>95</v>
      </c>
      <c r="I143" s="349" t="e">
        <f>IF(I145&lt;0,0,IF(B146&gt;=G144,-1,1)*MINA(B146,G144)/I142)</f>
        <v>#REF!</v>
      </c>
      <c r="K143" s="300" t="s">
        <v>185</v>
      </c>
      <c r="L143" s="78">
        <f>('FOGLIO DEPOSITO'!D119+'FOGLIO DEPOSITO'!D120)/6</f>
        <v>0.87500166666666657</v>
      </c>
      <c r="P143" s="142">
        <f t="shared" si="17"/>
        <v>141</v>
      </c>
      <c r="Q143" s="30">
        <f t="shared" si="15"/>
        <v>28.200000000000003</v>
      </c>
      <c r="R143" s="30">
        <f t="shared" si="16"/>
        <v>17.671999999999997</v>
      </c>
    </row>
    <row r="144" spans="2:24" ht="18" x14ac:dyDescent="0.25">
      <c r="B144" s="318"/>
      <c r="C144" s="67"/>
      <c r="D144" s="68"/>
      <c r="E144" s="66"/>
      <c r="F144" s="51" t="s">
        <v>181</v>
      </c>
      <c r="G144" s="337" t="e">
        <f>(#REF!/(F137*#REF!)*(1+(IF('FOGLIO DEPOSITO'!X248="sx",-1,1))*6*'FOGLIO DEPOSITO'!L142/(F137)))</f>
        <v>#REF!</v>
      </c>
      <c r="H144" s="245" t="s">
        <v>501</v>
      </c>
      <c r="I144" s="349" t="e">
        <f>IF(I146=13,MAXA(B146,G144),MIN(B146,G144))</f>
        <v>#REF!</v>
      </c>
      <c r="P144" s="142">
        <f t="shared" si="17"/>
        <v>142</v>
      </c>
      <c r="Q144" s="30">
        <f t="shared" si="15"/>
        <v>28.400000000000002</v>
      </c>
      <c r="R144" s="30">
        <f t="shared" si="16"/>
        <v>17.797333333333331</v>
      </c>
    </row>
    <row r="145" spans="2:41" x14ac:dyDescent="0.25">
      <c r="B145" s="318"/>
      <c r="C145" s="528" t="s">
        <v>182</v>
      </c>
      <c r="D145" s="529"/>
      <c r="E145" s="66"/>
      <c r="F145" s="338"/>
      <c r="G145" s="338"/>
      <c r="H145" s="339" t="s">
        <v>502</v>
      </c>
      <c r="I145" s="349" t="e">
        <f>B146*G144/1000</f>
        <v>#REF!</v>
      </c>
      <c r="P145" s="142">
        <f t="shared" si="17"/>
        <v>143</v>
      </c>
      <c r="Q145" s="30">
        <f t="shared" si="15"/>
        <v>28.6</v>
      </c>
      <c r="R145" s="30">
        <f t="shared" si="16"/>
        <v>17.922666666666665</v>
      </c>
      <c r="V145" s="534" t="s">
        <v>551</v>
      </c>
      <c r="W145" s="535"/>
      <c r="X145" s="535"/>
      <c r="Y145" s="535"/>
      <c r="Z145" s="535"/>
      <c r="AA145" s="535"/>
      <c r="AB145" s="536"/>
    </row>
    <row r="146" spans="2:41" x14ac:dyDescent="0.25">
      <c r="B146" s="337" t="e">
        <f>(#REF!/(F137*#REF!)*(1-(IF('FOGLIO DEPOSITO'!X248="sx",-1,1))*6*'FOGLIO DEPOSITO'!L142/(F137)))</f>
        <v>#REF!</v>
      </c>
      <c r="C146" s="40"/>
      <c r="D146" s="68"/>
      <c r="E146" s="66"/>
      <c r="F146" s="338"/>
      <c r="G146" s="338"/>
      <c r="H146" s="350" t="s">
        <v>503</v>
      </c>
      <c r="I146" s="340" t="e">
        <f>IF(B146&lt;G144,13,24)</f>
        <v>#REF!</v>
      </c>
      <c r="P146" s="142">
        <f t="shared" si="17"/>
        <v>144</v>
      </c>
      <c r="Q146" s="30">
        <f t="shared" si="15"/>
        <v>28.8</v>
      </c>
      <c r="R146" s="30">
        <f t="shared" si="16"/>
        <v>18.047999999999998</v>
      </c>
      <c r="V146" s="531" t="s">
        <v>205</v>
      </c>
      <c r="W146" s="532"/>
      <c r="X146" s="532"/>
      <c r="Y146" s="532"/>
      <c r="Z146" s="532"/>
      <c r="AA146" s="532"/>
      <c r="AB146" s="533"/>
    </row>
    <row r="147" spans="2:41" x14ac:dyDescent="0.25">
      <c r="B147" s="318"/>
      <c r="C147" s="69"/>
      <c r="D147" s="70"/>
      <c r="E147" s="71"/>
      <c r="F147" s="338"/>
      <c r="G147" s="338"/>
      <c r="H147" s="343"/>
      <c r="J147" s="321" t="s">
        <v>543</v>
      </c>
      <c r="P147" s="142">
        <f t="shared" si="17"/>
        <v>145</v>
      </c>
      <c r="Q147" s="30">
        <f t="shared" si="15"/>
        <v>29</v>
      </c>
      <c r="R147" s="30">
        <f t="shared" si="16"/>
        <v>18.173333333333332</v>
      </c>
      <c r="V147" s="214"/>
      <c r="W147" s="35"/>
      <c r="X147" s="35"/>
      <c r="Y147" s="35"/>
      <c r="Z147" s="35"/>
      <c r="AA147" s="35"/>
      <c r="AB147" s="142"/>
    </row>
    <row r="148" spans="2:41" x14ac:dyDescent="0.25">
      <c r="B148" s="2"/>
      <c r="C148" s="2"/>
      <c r="D148" s="2"/>
      <c r="E148" s="54"/>
      <c r="F148" s="2"/>
      <c r="G148" s="2"/>
      <c r="H148" s="2"/>
      <c r="K148" s="282" t="e">
        <f>#REF!*K154</f>
        <v>#REF!</v>
      </c>
      <c r="P148" s="142">
        <f t="shared" si="17"/>
        <v>146</v>
      </c>
      <c r="Q148" s="30">
        <f t="shared" si="15"/>
        <v>29.200000000000003</v>
      </c>
      <c r="R148" s="30">
        <f t="shared" si="16"/>
        <v>18.298666666666666</v>
      </c>
      <c r="V148" s="215" t="s">
        <v>202</v>
      </c>
      <c r="W148" s="35"/>
      <c r="X148" s="35"/>
      <c r="Y148" s="35"/>
      <c r="Z148" s="35" t="s">
        <v>208</v>
      </c>
      <c r="AA148" s="35"/>
      <c r="AB148" s="142"/>
    </row>
    <row r="149" spans="2:41" ht="18.75" x14ac:dyDescent="0.25">
      <c r="B149" s="2"/>
      <c r="C149" s="2"/>
      <c r="D149" s="2"/>
      <c r="E149" s="54"/>
      <c r="F149" s="2"/>
      <c r="G149" s="51" t="s">
        <v>186</v>
      </c>
      <c r="H149" s="2"/>
      <c r="J149" s="24" t="s">
        <v>187</v>
      </c>
      <c r="P149" s="142">
        <f t="shared" si="17"/>
        <v>147</v>
      </c>
      <c r="Q149" s="30">
        <f t="shared" si="15"/>
        <v>29.400000000000002</v>
      </c>
      <c r="R149" s="30">
        <f t="shared" si="16"/>
        <v>18.423999999999999</v>
      </c>
      <c r="V149" s="110" t="s">
        <v>10</v>
      </c>
      <c r="W149" s="175" t="s">
        <v>211</v>
      </c>
      <c r="X149" s="176" t="s">
        <v>207</v>
      </c>
      <c r="Y149" s="35"/>
      <c r="Z149" s="110" t="s">
        <v>10</v>
      </c>
      <c r="AA149" s="175" t="s">
        <v>211</v>
      </c>
      <c r="AB149" s="176" t="s">
        <v>207</v>
      </c>
      <c r="AD149" s="368"/>
      <c r="AE149" s="368" t="s">
        <v>552</v>
      </c>
      <c r="AF149" s="368" t="s">
        <v>553</v>
      </c>
      <c r="AG149" s="368" t="s">
        <v>554</v>
      </c>
    </row>
    <row r="150" spans="2:41" x14ac:dyDescent="0.25">
      <c r="B150" s="2"/>
      <c r="C150" s="2"/>
      <c r="D150" s="21"/>
      <c r="E150" s="54"/>
      <c r="F150" s="2"/>
      <c r="G150" s="304" t="e">
        <f>G131-K152-IF(M154="Sx",K150,K148)</f>
        <v>#REF!</v>
      </c>
      <c r="H150" s="2"/>
      <c r="J150" s="245" t="s">
        <v>100</v>
      </c>
      <c r="K150" s="282" t="e">
        <f>SUM(#REF!)*K154</f>
        <v>#REF!</v>
      </c>
      <c r="P150" s="142">
        <f t="shared" si="17"/>
        <v>148</v>
      </c>
      <c r="Q150" s="30">
        <f t="shared" si="15"/>
        <v>29.6</v>
      </c>
      <c r="R150" s="30">
        <f t="shared" si="16"/>
        <v>18.549333333333333</v>
      </c>
      <c r="V150" s="381">
        <f>IF('ANALISI DELLE SPINTE'!J129='FOGLIO DEPOSITO'!$AD$171,"",M166)</f>
        <v>0</v>
      </c>
      <c r="W150" s="34"/>
      <c r="X150" s="154" t="e">
        <f>X166*VLOOKUP(V150,AD150:AG158,2,FALSE)+VLOOKUP(V150,AD150:AG158,3,FALSE)+VLOOKUP(V150,AD150:AG158,4,FALSE)</f>
        <v>#N/A</v>
      </c>
      <c r="Y150" s="35"/>
      <c r="Z150" s="367">
        <f t="shared" ref="Z150:Z158" si="18">V150</f>
        <v>0</v>
      </c>
      <c r="AA150" s="34"/>
      <c r="AB150" s="213" t="e">
        <f>AB166*VLOOKUP(V150,AD150:AG158,2,FALSE)+VLOOKUP(V150,AD150:AG158,3,FALSE)+VLOOKUP(V150,AD150:AG158,4,FALSE)</f>
        <v>#N/A</v>
      </c>
      <c r="AC150" s="326" t="e">
        <f>VLOOKUP(V150,AD150:AG158,2,FALSE)+VLOOKUP(V150,AD150:AG158,3,FALSE)+VLOOKUP(V150,AD150:AG158,4,FALSE)</f>
        <v>#N/A</v>
      </c>
      <c r="AD150" s="379" t="e">
        <f>#REF!</f>
        <v>#REF!</v>
      </c>
      <c r="AE150" s="370" t="e">
        <f>#REF!</f>
        <v>#REF!</v>
      </c>
      <c r="AF150" s="371" t="e">
        <f>#REF!</f>
        <v>#REF!</v>
      </c>
      <c r="AG150" s="371" t="e">
        <f>#REF!</f>
        <v>#REF!</v>
      </c>
    </row>
    <row r="151" spans="2:41" ht="18" x14ac:dyDescent="0.25">
      <c r="B151" s="538" t="s">
        <v>188</v>
      </c>
      <c r="C151" s="538"/>
      <c r="D151" s="21"/>
      <c r="E151" s="53" t="s">
        <v>189</v>
      </c>
      <c r="F151" s="73"/>
      <c r="G151" s="2"/>
      <c r="H151" s="2"/>
      <c r="J151" s="24" t="s">
        <v>190</v>
      </c>
      <c r="P151" s="142">
        <f t="shared" si="17"/>
        <v>149</v>
      </c>
      <c r="Q151" s="30">
        <f t="shared" si="15"/>
        <v>29.8</v>
      </c>
      <c r="R151" s="30">
        <f t="shared" si="16"/>
        <v>18.674666666666667</v>
      </c>
      <c r="V151" s="177">
        <f>IF('ANALISI DELLE SPINTE'!J130='FOGLIO DEPOSITO'!$AD$171,"",M167)</f>
        <v>11.200000000000001</v>
      </c>
      <c r="W151" s="34"/>
      <c r="X151" s="213" t="e">
        <f>X167*VLOOKUP(V150,AD150:AG158,2,FALSE)+VLOOKUP(V150,AD150:AG158,3,FALSE)+VLOOKUP(V150,AD150:AG158,4,FALSE)</f>
        <v>#N/A</v>
      </c>
      <c r="Y151" s="35"/>
      <c r="Z151" s="177">
        <f t="shared" si="18"/>
        <v>11.200000000000001</v>
      </c>
      <c r="AA151" s="34"/>
      <c r="AB151" s="213" t="e">
        <f>AB167*VLOOKUP(V150,AD150:AG158,2,FALSE)+VLOOKUP(V150,AD150:AG158,3,FALSE)+VLOOKUP(V150,AD150:AG158,4,FALSE)</f>
        <v>#N/A</v>
      </c>
      <c r="AD151" s="369" t="e">
        <f>#REF!</f>
        <v>#REF!</v>
      </c>
      <c r="AE151" s="370" t="e">
        <f>#REF!</f>
        <v>#REF!</v>
      </c>
      <c r="AF151" s="371" t="e">
        <f>#REF!</f>
        <v>#REF!</v>
      </c>
      <c r="AG151" s="371" t="e">
        <f>#REF!</f>
        <v>#REF!</v>
      </c>
    </row>
    <row r="152" spans="2:41" x14ac:dyDescent="0.25">
      <c r="B152" s="2"/>
      <c r="C152" s="2"/>
      <c r="D152" s="21"/>
      <c r="E152" s="59" t="e">
        <f>-(D129-K152-IF(M154="dx",K150,0))</f>
        <v>#REF!</v>
      </c>
      <c r="F152" s="541" t="s">
        <v>191</v>
      </c>
      <c r="G152" s="2"/>
      <c r="H152" s="15"/>
      <c r="K152" s="282" t="e">
        <f>#REF!*K154</f>
        <v>#REF!</v>
      </c>
      <c r="P152" s="142">
        <f t="shared" si="17"/>
        <v>150</v>
      </c>
      <c r="Q152" s="30">
        <f t="shared" si="15"/>
        <v>30</v>
      </c>
      <c r="R152" s="30">
        <f t="shared" si="16"/>
        <v>18.799999999999997</v>
      </c>
      <c r="V152" s="180">
        <f>IF('ANALISI DELLE SPINTE'!J131='FOGLIO DEPOSITO'!$AD$171,"",M168)</f>
        <v>11.200000000000001</v>
      </c>
      <c r="W152" s="32"/>
      <c r="X152" s="213" t="e">
        <f>X168*VLOOKUP(V150,AD150:AG158,2,FALSE)+VLOOKUP(V150,AD150:AG158,3,FALSE)+VLOOKUP(V150,AD150:AG158,4,FALSE)</f>
        <v>#N/A</v>
      </c>
      <c r="Y152" s="35"/>
      <c r="Z152" s="180">
        <f t="shared" si="18"/>
        <v>11.200000000000001</v>
      </c>
      <c r="AA152" s="32"/>
      <c r="AB152" s="156" t="e">
        <f>AB168*VLOOKUP(V150,AD150:AG158,2,FALSE)+VLOOKUP(V150,AD150:AG158,3,FALSE)+VLOOKUP(V150,AD150:AG158,4,FALSE)</f>
        <v>#N/A</v>
      </c>
      <c r="AD152" s="369" t="e">
        <f>#REF!</f>
        <v>#REF!</v>
      </c>
      <c r="AE152" s="370" t="e">
        <f>#REF!</f>
        <v>#REF!</v>
      </c>
      <c r="AF152" s="371" t="e">
        <f>#REF!</f>
        <v>#REF!</v>
      </c>
      <c r="AG152" s="371" t="e">
        <f>#REF!</f>
        <v>#REF!</v>
      </c>
    </row>
    <row r="153" spans="2:41" x14ac:dyDescent="0.25">
      <c r="B153" s="2"/>
      <c r="C153" s="2"/>
      <c r="D153" s="21"/>
      <c r="E153" s="42"/>
      <c r="F153" s="542"/>
      <c r="G153" s="2"/>
      <c r="H153" s="2"/>
      <c r="V153" s="177">
        <f>IF('ANALISI DELLE SPINTE'!J132='FOGLIO DEPOSITO'!$AD$171,"",M169)</f>
        <v>11.200000000000001</v>
      </c>
      <c r="W153" s="34"/>
      <c r="X153" s="154" t="e">
        <f>X169*VLOOKUP(V150,AD150:AG158,2,FALSE)+VLOOKUP(V150,AD150:AG158,3,FALSE)+VLOOKUP(V150,AD150:AG158,4,FALSE)</f>
        <v>#N/A</v>
      </c>
      <c r="Y153" s="35"/>
      <c r="Z153" s="177">
        <f t="shared" si="18"/>
        <v>11.200000000000001</v>
      </c>
      <c r="AA153" s="34"/>
      <c r="AB153" s="213" t="e">
        <f>AB169*VLOOKUP(V150,AD150:AG158,2,FALSE)+VLOOKUP(V150,AD150:AG158,3,FALSE)+VLOOKUP(V150,AD150:AG158,4,FALSE)</f>
        <v>#N/A</v>
      </c>
      <c r="AD153" s="369" t="e">
        <f>#REF!</f>
        <v>#REF!</v>
      </c>
      <c r="AE153" s="370" t="e">
        <f>#REF!</f>
        <v>#REF!</v>
      </c>
      <c r="AF153" s="371" t="e">
        <f>#REF!</f>
        <v>#REF!</v>
      </c>
      <c r="AG153" s="371" t="e">
        <f>#REF!</f>
        <v>#REF!</v>
      </c>
    </row>
    <row r="154" spans="2:41" x14ac:dyDescent="0.25">
      <c r="B154" s="2"/>
      <c r="C154" s="2"/>
      <c r="D154" s="546" t="s">
        <v>192</v>
      </c>
      <c r="E154" s="547"/>
      <c r="F154" s="38"/>
      <c r="G154" s="2"/>
      <c r="H154" s="4"/>
      <c r="J154" t="s">
        <v>193</v>
      </c>
      <c r="K154" s="25">
        <f>'FOGLIO DEPOSITO'!N258</f>
        <v>1</v>
      </c>
      <c r="L154" s="283" t="s">
        <v>194</v>
      </c>
      <c r="M154" s="89" t="str">
        <f>'FOGLIO DEPOSITO'!X248</f>
        <v>dx</v>
      </c>
      <c r="V154" s="177" t="e">
        <f>IF('ANALISI DELLE SPINTE'!#REF!='FOGLIO DEPOSITO'!$AD$171,"",M170)</f>
        <v>#REF!</v>
      </c>
      <c r="W154" s="34"/>
      <c r="X154" s="213" t="e">
        <f>X170*VLOOKUP(V150,AD150:AG158,2,FALSE)+VLOOKUP(V150,AD150:AG158,3,FALSE)+VLOOKUP(V150,AD150:AG158,4,FALSE)</f>
        <v>#N/A</v>
      </c>
      <c r="Y154" s="35"/>
      <c r="Z154" s="177" t="e">
        <f t="shared" si="18"/>
        <v>#REF!</v>
      </c>
      <c r="AA154" s="34"/>
      <c r="AB154" s="213" t="e">
        <f>AB170*VLOOKUP(V150,AD150:AG158,2,FALSE)+VLOOKUP(V150,AD150:AG158,3,FALSE)+VLOOKUP(V150,AD150:AG158,4,FALSE)</f>
        <v>#N/A</v>
      </c>
      <c r="AD154" s="369" t="e">
        <f>#REF!</f>
        <v>#REF!</v>
      </c>
      <c r="AE154" s="370" t="e">
        <f>#REF!</f>
        <v>#REF!</v>
      </c>
      <c r="AF154" s="371" t="e">
        <f>#REF!</f>
        <v>#REF!</v>
      </c>
      <c r="AG154" s="371" t="e">
        <f>#REF!</f>
        <v>#REF!</v>
      </c>
    </row>
    <row r="155" spans="2:41" x14ac:dyDescent="0.25">
      <c r="B155" s="2"/>
      <c r="C155" s="2"/>
      <c r="D155" s="539" t="s">
        <v>195</v>
      </c>
      <c r="E155" s="540"/>
      <c r="F155" s="2"/>
      <c r="G155" s="2"/>
      <c r="H155" s="4"/>
      <c r="V155" s="180" t="e">
        <f>IF('ANALISI DELLE SPINTE'!#REF!='FOGLIO DEPOSITO'!$AD$171,"",M171)</f>
        <v>#REF!</v>
      </c>
      <c r="W155" s="32"/>
      <c r="X155" s="213" t="e">
        <f>X171*VLOOKUP(V150,AD150:AG158,2,FALSE)+VLOOKUP(V150,AD150:AG158,3,FALSE)+VLOOKUP(V150,AD150:AG158,4,FALSE)</f>
        <v>#N/A</v>
      </c>
      <c r="Y155" s="35"/>
      <c r="Z155" s="180" t="e">
        <f t="shared" si="18"/>
        <v>#REF!</v>
      </c>
      <c r="AA155" s="32"/>
      <c r="AB155" s="156" t="e">
        <f>AB171*VLOOKUP(V150,AD150:AG158,2,FALSE)+VLOOKUP(V150,AD150:AG158,3,FALSE)+VLOOKUP(V150,AD150:AG158,4,FALSE)</f>
        <v>#N/A</v>
      </c>
      <c r="AD155" s="369" t="e">
        <f>#REF!</f>
        <v>#REF!</v>
      </c>
      <c r="AE155" s="370" t="e">
        <f>#REF!</f>
        <v>#REF!</v>
      </c>
      <c r="AF155" s="371" t="e">
        <f>#REF!</f>
        <v>#REF!</v>
      </c>
      <c r="AG155" s="371" t="e">
        <f>#REF!</f>
        <v>#REF!</v>
      </c>
    </row>
    <row r="156" spans="2:41" ht="18" x14ac:dyDescent="0.25">
      <c r="B156" s="2"/>
      <c r="C156" s="2"/>
      <c r="D156" s="40"/>
      <c r="E156" s="56"/>
      <c r="F156" s="57" t="s">
        <v>189</v>
      </c>
      <c r="G156" s="2"/>
      <c r="H156" s="4"/>
      <c r="J156" t="s">
        <v>196</v>
      </c>
      <c r="M156" s="108" t="s">
        <v>197</v>
      </c>
      <c r="N156" s="280" t="e">
        <f>#REF!*K154</f>
        <v>#REF!</v>
      </c>
      <c r="V156" s="380" t="e">
        <f>IF('ANALISI DELLE SPINTE'!#REF!='FOGLIO DEPOSITO'!$AD$171,"",M172)</f>
        <v>#REF!</v>
      </c>
      <c r="W156" s="34"/>
      <c r="X156" s="154" t="e">
        <f>X172*VLOOKUP(V150,AD150:AG158,2,FALSE)+VLOOKUP(V150,AD150:AG158,3,FALSE)+VLOOKUP(V150,AD150:AG158,4,FALSE)</f>
        <v>#N/A</v>
      </c>
      <c r="Y156" s="35"/>
      <c r="Z156" s="177" t="e">
        <f t="shared" si="18"/>
        <v>#REF!</v>
      </c>
      <c r="AA156" s="34"/>
      <c r="AB156" s="213" t="e">
        <f>AB172*VLOOKUP(V150,AD150:AG158,2,FALSE)+VLOOKUP(V150,AD150:AG158,3,FALSE)+VLOOKUP(V150,AD150:AG158,4,FALSE)</f>
        <v>#N/A</v>
      </c>
      <c r="AD156" s="369" t="e">
        <f>#REF!</f>
        <v>#REF!</v>
      </c>
      <c r="AE156" s="370" t="e">
        <f>#REF!</f>
        <v>#REF!</v>
      </c>
      <c r="AF156" s="371" t="e">
        <f>#REF!</f>
        <v>#REF!</v>
      </c>
      <c r="AG156" s="371" t="e">
        <f>#REF!</f>
        <v>#REF!</v>
      </c>
    </row>
    <row r="157" spans="2:41" x14ac:dyDescent="0.25">
      <c r="B157" s="2"/>
      <c r="C157" s="537" t="s">
        <v>186</v>
      </c>
      <c r="D157" s="55"/>
      <c r="E157" s="54"/>
      <c r="F157" s="60" t="e">
        <f>-(D129-K152-IF(M154="sx",K150,0))</f>
        <v>#REF!</v>
      </c>
      <c r="G157" s="2"/>
      <c r="H157" s="4"/>
      <c r="J157" t="s">
        <v>198</v>
      </c>
      <c r="M157" s="108" t="s">
        <v>199</v>
      </c>
      <c r="N157" s="280" t="e">
        <f>#REF!*K154</f>
        <v>#REF!</v>
      </c>
      <c r="V157" s="177" t="e">
        <f>IF('ANALISI DELLE SPINTE'!#REF!='FOGLIO DEPOSITO'!$AD$171,"",M173)</f>
        <v>#REF!</v>
      </c>
      <c r="W157" s="34"/>
      <c r="X157" s="213" t="e">
        <f>X173*VLOOKUP(V150,AD150:AG158,2,FALSE)+VLOOKUP(V150,AD150:AG158,3,FALSE)+VLOOKUP(V150,AD150:AG158,4,FALSE)</f>
        <v>#N/A</v>
      </c>
      <c r="Y157" s="35"/>
      <c r="Z157" s="177" t="e">
        <f t="shared" si="18"/>
        <v>#REF!</v>
      </c>
      <c r="AA157" s="34"/>
      <c r="AB157" s="213" t="e">
        <f>AB173*VLOOKUP(V150,AD150:AG158,2,FALSE)+VLOOKUP(V150,AD150:AG158,3,FALSE)+VLOOKUP(V150,AD150:AG158,4,FALSE)</f>
        <v>#N/A</v>
      </c>
      <c r="AD157" s="377" t="e">
        <f>#REF!</f>
        <v>#REF!</v>
      </c>
      <c r="AE157" s="370" t="e">
        <f>#REF!</f>
        <v>#REF!</v>
      </c>
      <c r="AF157" s="371" t="e">
        <f>#REF!</f>
        <v>#REF!</v>
      </c>
      <c r="AG157" s="371" t="e">
        <f>#REF!</f>
        <v>#REF!</v>
      </c>
    </row>
    <row r="158" spans="2:41" x14ac:dyDescent="0.25">
      <c r="B158" s="2"/>
      <c r="C158" s="537"/>
      <c r="D158" s="21"/>
      <c r="E158" s="54"/>
      <c r="F158" s="2"/>
      <c r="G158" s="2"/>
      <c r="H158" s="4"/>
      <c r="J158" t="s">
        <v>200</v>
      </c>
      <c r="M158" s="108" t="s">
        <v>201</v>
      </c>
      <c r="N158" s="280" t="e">
        <f>#REF!*K154</f>
        <v>#REF!</v>
      </c>
      <c r="V158" s="382" t="e">
        <f>IF('ANALISI DELLE SPINTE'!#REF!='FOGLIO DEPOSITO'!$AD$171,"",M174)</f>
        <v>#REF!</v>
      </c>
      <c r="W158" s="32"/>
      <c r="X158" s="156" t="e">
        <f>X174*VLOOKUP(V150,AD150:AG158,2,FALSE)+VLOOKUP(V150,AD150:AG158,3,FALSE)+VLOOKUP(V150,AD150:AG158,4,FALSE)</f>
        <v>#N/A</v>
      </c>
      <c r="Y158" s="94"/>
      <c r="Z158" s="180" t="e">
        <f t="shared" si="18"/>
        <v>#REF!</v>
      </c>
      <c r="AA158" s="32"/>
      <c r="AB158" s="156" t="e">
        <f>AB174*VLOOKUP(V150,AD150:AG158,2,FALSE)+VLOOKUP(V150,AD150:AG158,3,FALSE)+VLOOKUP(V150,AD150:AG158,4,FALSE)</f>
        <v>#N/A</v>
      </c>
      <c r="AD158" s="378" t="e">
        <f>#REF!</f>
        <v>#REF!</v>
      </c>
      <c r="AE158" s="370" t="e">
        <f>#REF!</f>
        <v>#REF!</v>
      </c>
      <c r="AF158" s="371" t="e">
        <f>#REF!</f>
        <v>#REF!</v>
      </c>
      <c r="AG158" s="371" t="e">
        <f>#REF!</f>
        <v>#REF!</v>
      </c>
    </row>
    <row r="159" spans="2:41" ht="15.75" x14ac:dyDescent="0.25">
      <c r="B159" s="2"/>
      <c r="C159" s="304" t="e">
        <f>B133-K152-IF(M154="Dx",K150,K148)</f>
        <v>#REF!</v>
      </c>
      <c r="D159" s="21"/>
      <c r="E159" s="284"/>
      <c r="F159" s="2"/>
      <c r="G159" s="2"/>
      <c r="H159" s="4"/>
      <c r="J159" s="317"/>
      <c r="M159" s="108"/>
      <c r="V159" s="104"/>
      <c r="W159" s="364"/>
      <c r="X159" s="364"/>
      <c r="Y159" s="364"/>
      <c r="Z159" s="104"/>
      <c r="AA159" s="104"/>
      <c r="AB159" s="364"/>
    </row>
    <row r="160" spans="2:41" x14ac:dyDescent="0.25">
      <c r="E160" s="132"/>
      <c r="AM160" s="530" t="s">
        <v>202</v>
      </c>
      <c r="AN160" s="530"/>
      <c r="AO160" s="530"/>
    </row>
    <row r="161" spans="2:41" x14ac:dyDescent="0.25">
      <c r="V161" s="534" t="s">
        <v>203</v>
      </c>
      <c r="W161" s="535"/>
      <c r="X161" s="535"/>
      <c r="Y161" s="535"/>
      <c r="Z161" s="535"/>
      <c r="AA161" s="535"/>
      <c r="AB161" s="536"/>
      <c r="AM161" s="222" t="s">
        <v>204</v>
      </c>
    </row>
    <row r="162" spans="2:41" ht="18.75" x14ac:dyDescent="0.25">
      <c r="M162" s="543" t="s">
        <v>205</v>
      </c>
      <c r="N162" s="544"/>
      <c r="O162" s="544"/>
      <c r="P162" s="544"/>
      <c r="Q162" s="544"/>
      <c r="R162" s="544"/>
      <c r="S162" s="544"/>
      <c r="T162" s="545"/>
      <c r="V162" s="531" t="s">
        <v>205</v>
      </c>
      <c r="W162" s="532"/>
      <c r="X162" s="532"/>
      <c r="Y162" s="532"/>
      <c r="Z162" s="532"/>
      <c r="AA162" s="532"/>
      <c r="AB162" s="533"/>
      <c r="AM162" s="229" t="s">
        <v>206</v>
      </c>
      <c r="AN162" s="217" t="s">
        <v>207</v>
      </c>
    </row>
    <row r="163" spans="2:41" x14ac:dyDescent="0.25">
      <c r="M163" s="161"/>
      <c r="N163" s="26"/>
      <c r="O163" s="26"/>
      <c r="P163" s="26"/>
      <c r="Q163" s="26"/>
      <c r="R163" s="26"/>
      <c r="S163" s="200"/>
      <c r="T163" s="143"/>
      <c r="V163" s="214"/>
      <c r="W163" s="35"/>
      <c r="X163" s="35"/>
      <c r="Y163" s="35"/>
      <c r="Z163" s="35"/>
      <c r="AA163" s="35"/>
      <c r="AB163" s="142"/>
      <c r="AM163" s="220"/>
      <c r="AN163" s="218">
        <f>'FOGLIO DEPOSITO'!G225+'FOGLIO DEPOSITO'!H225+'FOGLIO DEPOSITO'!I225</f>
        <v>0</v>
      </c>
      <c r="AO163" s="354">
        <f>'FOGLIO DEPOSITO'!K225</f>
        <v>0</v>
      </c>
    </row>
    <row r="164" spans="2:41" x14ac:dyDescent="0.25">
      <c r="B164" s="305"/>
      <c r="C164" s="3"/>
      <c r="D164" s="52"/>
      <c r="E164" s="300"/>
      <c r="F164" s="4"/>
      <c r="M164" s="543" t="s">
        <v>202</v>
      </c>
      <c r="N164" s="544"/>
      <c r="O164" s="544"/>
      <c r="P164" s="545"/>
      <c r="Q164" s="543" t="s">
        <v>208</v>
      </c>
      <c r="R164" s="544"/>
      <c r="S164" s="544"/>
      <c r="T164" s="545"/>
      <c r="V164" s="215" t="s">
        <v>202</v>
      </c>
      <c r="W164" s="35"/>
      <c r="X164" s="35"/>
      <c r="Y164" s="35"/>
      <c r="Z164" s="35" t="s">
        <v>208</v>
      </c>
      <c r="AA164" s="35"/>
      <c r="AB164" s="142"/>
      <c r="AD164" t="s">
        <v>209</v>
      </c>
      <c r="AM164" s="220">
        <f>IF(AN163&lt;0,IF(AN164&lt;0,IF('ANALISI DELLE SPINTE'!C86='ANALISI DELLE SPINTE'!C85,0,'ANALISI DELLE SPINTE'!D86),IF('ANALISI DELLE SPINTE'!C86='ANALISI DELLE SPINTE'!C85,0,IF('ANALISI DELLE SPINTE'!C86='ANALISI DELLE SPINTE'!C85,'ANALISI DELLE SPINTE'!C86,-('ANALISI DELLE SPINTE'!C86-'ANALISI DELLE SPINTE'!C85)/(AN164-AN163)*AN163))),0)</f>
        <v>0</v>
      </c>
      <c r="AN164" s="218">
        <f>'FOGLIO DEPOSITO'!G226+'FOGLIO DEPOSITO'!H226+'FOGLIO DEPOSITO'!I226</f>
        <v>93.376893449429545</v>
      </c>
      <c r="AO164">
        <f>'FOGLIO DEPOSITO'!K226</f>
        <v>93.376893449429545</v>
      </c>
    </row>
    <row r="165" spans="2:41" ht="18.75" x14ac:dyDescent="0.25">
      <c r="B165" s="305"/>
      <c r="C165" s="3"/>
      <c r="D165" s="52"/>
      <c r="E165" s="300"/>
      <c r="F165" s="4"/>
      <c r="H165" s="565" t="s">
        <v>210</v>
      </c>
      <c r="I165" s="566"/>
      <c r="J165" s="567"/>
      <c r="M165" s="110" t="s">
        <v>10</v>
      </c>
      <c r="N165" s="175" t="s">
        <v>211</v>
      </c>
      <c r="O165" s="110" t="s">
        <v>10</v>
      </c>
      <c r="P165" s="176" t="s">
        <v>207</v>
      </c>
      <c r="Q165" s="173" t="s">
        <v>10</v>
      </c>
      <c r="R165" s="175" t="s">
        <v>211</v>
      </c>
      <c r="S165" s="110" t="s">
        <v>10</v>
      </c>
      <c r="T165" s="176" t="s">
        <v>207</v>
      </c>
      <c r="V165" s="110" t="s">
        <v>10</v>
      </c>
      <c r="W165" s="175" t="s">
        <v>211</v>
      </c>
      <c r="X165" s="176" t="s">
        <v>207</v>
      </c>
      <c r="Y165" s="35"/>
      <c r="Z165" s="110" t="s">
        <v>10</v>
      </c>
      <c r="AA165" s="175" t="s">
        <v>211</v>
      </c>
      <c r="AB165" s="176" t="s">
        <v>207</v>
      </c>
      <c r="AD165" t="s">
        <v>212</v>
      </c>
      <c r="AM165" s="221">
        <f>IF(AN164&lt;0,IF(AN165&lt;0,IF('ANALISI DELLE SPINTE'!C87='ANALISI DELLE SPINTE'!C86,0,'ANALISI DELLE SPINTE'!D87-'ANALISI DELLE SPINTE'!D86),IF('ANALISI DELLE SPINTE'!C87='ANALISI DELLE SPINTE'!C86,0,IF('ANALISI DELLE SPINTE'!C87='ANALISI DELLE SPINTE'!C86,'ANALISI DELLE SPINTE'!C87,-('ANALISI DELLE SPINTE'!C87-'ANALISI DELLE SPINTE'!C86)/(AN165-AN164)*AN164))),0)</f>
        <v>0</v>
      </c>
      <c r="AN165" s="219">
        <f>'FOGLIO DEPOSITO'!G227+'FOGLIO DEPOSITO'!H227+'FOGLIO DEPOSITO'!I227</f>
        <v>93.376893449429545</v>
      </c>
      <c r="AO165">
        <f>'FOGLIO DEPOSITO'!K227</f>
        <v>93.376893449429545</v>
      </c>
    </row>
    <row r="166" spans="2:41" x14ac:dyDescent="0.25">
      <c r="B166" s="305"/>
      <c r="C166" s="3"/>
      <c r="D166" s="52"/>
      <c r="E166" s="300"/>
      <c r="F166" s="4"/>
      <c r="H166" s="568" t="s">
        <v>213</v>
      </c>
      <c r="I166" s="569"/>
      <c r="J166" s="570"/>
      <c r="M166" s="187">
        <f>'ANALISI DELLE SPINTE'!C85</f>
        <v>0</v>
      </c>
      <c r="N166" s="188">
        <f>'FOGLIO DEPOSITO'!J225</f>
        <v>0</v>
      </c>
      <c r="O166" s="187">
        <f>IF('ANALISI DELLE SPINTE'!J128='FOGLIO DEPOSITO'!AD165,"",M166)</f>
        <v>0</v>
      </c>
      <c r="P166" s="190">
        <f>IF('ANALISI DELLE SPINTE'!J128='FOGLIO DEPOSITO'!AD165,"",'FOGLIO DEPOSITO'!AN163)</f>
        <v>0</v>
      </c>
      <c r="Q166" s="189">
        <f>'ANALISI DELLE SPINTE'!C102</f>
        <v>0</v>
      </c>
      <c r="R166" s="188">
        <f>'FOGLIO DEPOSITO'!J242</f>
        <v>0</v>
      </c>
      <c r="S166" s="187">
        <f>IF('ANALISI DELLE SPINTE'!J125='FOGLIO DEPOSITO'!$AD$168,"",Q166)</f>
        <v>0</v>
      </c>
      <c r="T166" s="190">
        <f>IF('ANALISI DELLE SPINTE'!J125='FOGLIO DEPOSITO'!$AD$168,"",'FOGLIO DEPOSITO'!AN176)</f>
        <v>0</v>
      </c>
      <c r="V166" s="177">
        <f>IF('ANALISI DELLE SPINTE'!J129='FOGLIO DEPOSITO'!$AD$171,"",M166)</f>
        <v>0</v>
      </c>
      <c r="W166" s="34"/>
      <c r="X166" s="34">
        <f>IF('ANALISI DELLE SPINTE'!J129='FOGLIO DEPOSITO'!$AD$171,"",'FOGLIO DEPOSITO'!K225)</f>
        <v>0</v>
      </c>
      <c r="Y166" s="35"/>
      <c r="Z166" s="160">
        <f>IF('ANALISI DELLE SPINTE'!J126='FOGLIO DEPOSITO'!$AD$174,"",Q166)</f>
        <v>0</v>
      </c>
      <c r="AA166" s="34"/>
      <c r="AB166" s="213">
        <f>IF('ANALISI DELLE SPINTE'!J126='FOGLIO DEPOSITO'!$AD$174,"",'FOGLIO DEPOSITO'!K242)</f>
        <v>0</v>
      </c>
      <c r="AM166" s="220">
        <f>IF(($AM$164+$AM$165)=0,0,IF(AN165&lt;0,IF(AN166&lt;0,IF('ANALISI DELLE SPINTE'!C88='ANALISI DELLE SPINTE'!C87,0,'ANALISI DELLE SPINTE'!D88-'ANALISI DELLE SPINTE'!D87),IF('ANALISI DELLE SPINTE'!C88='ANALISI DELLE SPINTE'!C87,0,IF('ANALISI DELLE SPINTE'!C88='ANALISI DELLE SPINTE'!C87,'ANALISI DELLE SPINTE'!C88,-('ANALISI DELLE SPINTE'!C88-'ANALISI DELLE SPINTE'!C87)/(AN166-AN165)*AN165))),0))</f>
        <v>0</v>
      </c>
      <c r="AN166" s="218">
        <f>IF('ANALISI DELLE SPINTE'!D43=0,"",'FOGLIO DEPOSITO'!G228+'FOGLIO DEPOSITO'!H228+'FOGLIO DEPOSITO'!I228)</f>
        <v>59.491925871429096</v>
      </c>
      <c r="AO166">
        <f>'FOGLIO DEPOSITO'!K228</f>
        <v>59.491925871429096</v>
      </c>
    </row>
    <row r="167" spans="2:41" x14ac:dyDescent="0.25">
      <c r="B167" s="305"/>
      <c r="C167" s="3"/>
      <c r="D167" s="52"/>
      <c r="E167" s="300"/>
      <c r="F167" s="4"/>
      <c r="H167" s="161"/>
      <c r="I167" s="26"/>
      <c r="J167" s="143"/>
      <c r="M167" s="187">
        <f>'ANALISI DELLE SPINTE'!C86</f>
        <v>11.200000000000001</v>
      </c>
      <c r="N167" s="188">
        <f>'FOGLIO DEPOSITO'!J226</f>
        <v>212.8</v>
      </c>
      <c r="O167" s="187">
        <f>IF('ANALISI DELLE SPINTE'!J128='FOGLIO DEPOSITO'!AD165,"",M167)</f>
        <v>11.200000000000001</v>
      </c>
      <c r="P167" s="190">
        <f>IF('ANALISI DELLE SPINTE'!J128='FOGLIO DEPOSITO'!AD165,"",'FOGLIO DEPOSITO'!AN164)</f>
        <v>93.376893449429545</v>
      </c>
      <c r="Q167" s="189">
        <f>'ANALISI DELLE SPINTE'!C103</f>
        <v>11.200000000000001</v>
      </c>
      <c r="R167" s="188">
        <f>'FOGLIO DEPOSITO'!J243</f>
        <v>212.8</v>
      </c>
      <c r="S167" s="187">
        <f>IF('ANALISI DELLE SPINTE'!J125='FOGLIO DEPOSITO'!$AD$168,"",Q167)</f>
        <v>11.200000000000001</v>
      </c>
      <c r="T167" s="190">
        <f>IF('ANALISI DELLE SPINTE'!J125='FOGLIO DEPOSITO'!$AD$168,"",'FOGLIO DEPOSITO'!AN177)</f>
        <v>93.376893449429545</v>
      </c>
      <c r="V167" s="177">
        <f>IF('ANALISI DELLE SPINTE'!J129='FOGLIO DEPOSITO'!$AD$171,"",M167)</f>
        <v>11.200000000000001</v>
      </c>
      <c r="W167" s="34"/>
      <c r="X167" s="34">
        <f>IF('ANALISI DELLE SPINTE'!J129='FOGLIO DEPOSITO'!$AD$171,"",'FOGLIO DEPOSITO'!K226)</f>
        <v>93.376893449429545</v>
      </c>
      <c r="Y167" s="35"/>
      <c r="Z167" s="160">
        <f>IF('ANALISI DELLE SPINTE'!J126='FOGLIO DEPOSITO'!$AD$174,"",Q167)</f>
        <v>11.200000000000001</v>
      </c>
      <c r="AA167" s="34"/>
      <c r="AB167" s="213">
        <f>IF('ANALISI DELLE SPINTE'!J126='FOGLIO DEPOSITO'!$AD$174,"",'FOGLIO DEPOSITO'!K243)</f>
        <v>93.376893449429545</v>
      </c>
      <c r="AD167" t="s">
        <v>214</v>
      </c>
      <c r="AM167" s="220">
        <f>IF(($AM$164+$AM$165)=0,0,IF(AN166&lt;0,IF(AN167&lt;0,IF('ANALISI DELLE SPINTE'!C89='ANALISI DELLE SPINTE'!C88,0,'ANALISI DELLE SPINTE'!D89-'ANALISI DELLE SPINTE'!D88),IF('ANALISI DELLE SPINTE'!C89='ANALISI DELLE SPINTE'!C88,0,IF('ANALISI DELLE SPINTE'!C89='ANALISI DELLE SPINTE'!C88,'ANALISI DELLE SPINTE'!C89,-('ANALISI DELLE SPINTE'!C89-'ANALISI DELLE SPINTE'!C88)/(AN167-AN166)*AN166))),0))</f>
        <v>0</v>
      </c>
      <c r="AN167" s="218">
        <f>IF('ANALISI DELLE SPINTE'!D43=0,"",'FOGLIO DEPOSITO'!G229+'FOGLIO DEPOSITO'!H229+'FOGLIO DEPOSITO'!I229)</f>
        <v>150.78597633414202</v>
      </c>
      <c r="AO167">
        <f>'FOGLIO DEPOSITO'!K229</f>
        <v>150.78597633414202</v>
      </c>
    </row>
    <row r="168" spans="2:41" x14ac:dyDescent="0.25">
      <c r="B168" s="305"/>
      <c r="C168" s="3"/>
      <c r="D168" s="52"/>
      <c r="E168" s="300"/>
      <c r="F168" s="4"/>
      <c r="H168" s="568" t="s">
        <v>215</v>
      </c>
      <c r="I168" s="569"/>
      <c r="J168" s="570"/>
      <c r="M168" s="191">
        <f>'ANALISI DELLE SPINTE'!C87</f>
        <v>11.200000000000001</v>
      </c>
      <c r="N168" s="192">
        <f>'FOGLIO DEPOSITO'!J227</f>
        <v>212.8</v>
      </c>
      <c r="O168" s="191">
        <f>IF('ANALISI DELLE SPINTE'!J128='FOGLIO DEPOSITO'!AD165,"",M168)</f>
        <v>11.200000000000001</v>
      </c>
      <c r="P168" s="194">
        <f>IF('ANALISI DELLE SPINTE'!J128='FOGLIO DEPOSITO'!AD165,"",'FOGLIO DEPOSITO'!AN165)</f>
        <v>93.376893449429545</v>
      </c>
      <c r="Q168" s="193">
        <f>'ANALISI DELLE SPINTE'!C104</f>
        <v>11.200000000000001</v>
      </c>
      <c r="R168" s="192">
        <f>'FOGLIO DEPOSITO'!J244</f>
        <v>212.8</v>
      </c>
      <c r="S168" s="191">
        <f>IF('ANALISI DELLE SPINTE'!J125='FOGLIO DEPOSITO'!$AD$168,"",Q168)</f>
        <v>11.200000000000001</v>
      </c>
      <c r="T168" s="194">
        <f>IF('ANALISI DELLE SPINTE'!J125='FOGLIO DEPOSITO'!$AD$168,"",'FOGLIO DEPOSITO'!AN178)</f>
        <v>93.376893449429545</v>
      </c>
      <c r="V168" s="180">
        <f>IF('ANALISI DELLE SPINTE'!J129='FOGLIO DEPOSITO'!$AD$171,"",M168)</f>
        <v>11.200000000000001</v>
      </c>
      <c r="W168" s="32"/>
      <c r="X168" s="32">
        <f>IF('ANALISI DELLE SPINTE'!J129='FOGLIO DEPOSITO'!$AD$171,"",'FOGLIO DEPOSITO'!K227)</f>
        <v>93.376893449429545</v>
      </c>
      <c r="Y168" s="35"/>
      <c r="Z168" s="159">
        <f>IF('ANALISI DELLE SPINTE'!J126='FOGLIO DEPOSITO'!$AD$174,"",Q168)</f>
        <v>11.200000000000001</v>
      </c>
      <c r="AA168" s="32"/>
      <c r="AB168" s="156">
        <f>IF('ANALISI DELLE SPINTE'!J126='FOGLIO DEPOSITO'!$AD$174,"",'FOGLIO DEPOSITO'!K244)</f>
        <v>93.376893449429545</v>
      </c>
      <c r="AD168" t="s">
        <v>216</v>
      </c>
      <c r="AM168" s="221">
        <f>IF(($AM$164+$AM$165)=0,0,IF(AN167&lt;0,IF(AN168&lt;0,IF('ANALISI DELLE SPINTE'!C90='ANALISI DELLE SPINTE'!C89,0,'ANALISI DELLE SPINTE'!D90-'ANALISI DELLE SPINTE'!D89),IF('ANALISI DELLE SPINTE'!C90='ANALISI DELLE SPINTE'!C89,0,IF('ANALISI DELLE SPINTE'!C90='ANALISI DELLE SPINTE'!C89,'ANALISI DELLE SPINTE'!C90,-('ANALISI DELLE SPINTE'!C90-'ANALISI DELLE SPINTE'!C89)/(AN168-AN167)*AN167))),0))</f>
        <v>0</v>
      </c>
      <c r="AN168" s="219">
        <f>IF('ANALISI DELLE SPINTE'!D43=0,"",'FOGLIO DEPOSITO'!G230+'FOGLIO DEPOSITO'!H230+'FOGLIO DEPOSITO'!I230)</f>
        <v>150.78597633414202</v>
      </c>
      <c r="AO168">
        <f>'FOGLIO DEPOSITO'!K230</f>
        <v>150.78597633414202</v>
      </c>
    </row>
    <row r="169" spans="2:41" x14ac:dyDescent="0.25">
      <c r="B169" s="305"/>
      <c r="C169" s="3"/>
      <c r="D169" s="52"/>
      <c r="E169" s="300"/>
      <c r="F169" s="4"/>
      <c r="H169" s="568" t="s">
        <v>217</v>
      </c>
      <c r="I169" s="569"/>
      <c r="J169" s="570"/>
      <c r="M169" s="187">
        <f>IF('FOGLIO DEPOSITO'!J228="",M168,'ANALISI DELLE SPINTE'!C88)</f>
        <v>11.200000000000001</v>
      </c>
      <c r="N169" s="188">
        <f>IF('FOGLIO DEPOSITO'!J228="",N168,'FOGLIO DEPOSITO'!J228)</f>
        <v>212.8</v>
      </c>
      <c r="O169" s="187">
        <f>IF('ANALISI DELLE SPINTE'!J128='FOGLIO DEPOSITO'!AD165,"",M169)</f>
        <v>11.200000000000001</v>
      </c>
      <c r="P169" s="190">
        <f>IF('ANALISI DELLE SPINTE'!J128='FOGLIO DEPOSITO'!AD165,"",IF('FOGLIO DEPOSITO'!J228="",P168,'FOGLIO DEPOSITO'!AN166))</f>
        <v>59.491925871429096</v>
      </c>
      <c r="Q169" s="189">
        <f>IF('FOGLIO DEPOSITO'!J245="",Q168,'ANALISI DELLE SPINTE'!C105)</f>
        <v>11.200000000000001</v>
      </c>
      <c r="R169" s="188">
        <f>IF('FOGLIO DEPOSITO'!J245="",R168,'FOGLIO DEPOSITO'!J245)</f>
        <v>212.8</v>
      </c>
      <c r="S169" s="187">
        <f>IF('ANALISI DELLE SPINTE'!J125='FOGLIO DEPOSITO'!$AD$168,"",Q169)</f>
        <v>11.200000000000001</v>
      </c>
      <c r="T169" s="190">
        <f>IF('ANALISI DELLE SPINTE'!J125='FOGLIO DEPOSITO'!$AD$168,"",IF('FOGLIO DEPOSITO'!J245="",T168,'FOGLIO DEPOSITO'!AN179))</f>
        <v>93.46065933494549</v>
      </c>
      <c r="V169" s="177">
        <f>IF('ANALISI DELLE SPINTE'!J129='FOGLIO DEPOSITO'!$AD$171,"",M169)</f>
        <v>11.200000000000001</v>
      </c>
      <c r="W169" s="34"/>
      <c r="X169" s="34">
        <f>IF('ANALISI DELLE SPINTE'!J129='FOGLIO DEPOSITO'!$AD$171,"",IF('FOGLIO DEPOSITO'!J228="",$X$168,'FOGLIO DEPOSITO'!K228))</f>
        <v>59.491925871429096</v>
      </c>
      <c r="Y169" s="35"/>
      <c r="Z169" s="160">
        <f>IF('ANALISI DELLE SPINTE'!J126='FOGLIO DEPOSITO'!$AD$174,"",Q169)</f>
        <v>11.200000000000001</v>
      </c>
      <c r="AA169" s="34"/>
      <c r="AB169" s="213">
        <f>IF('ANALISI DELLE SPINTE'!J126='FOGLIO DEPOSITO'!$AD$174,"",IF('FOGLIO DEPOSITO'!J245="",$AB$168,'FOGLIO DEPOSITO'!K245))</f>
        <v>93.46065933494549</v>
      </c>
      <c r="AM169" s="220">
        <f>IF(($AM$164+$AM$165)=0,0,IF(AN168&lt;0,IF(AN169&lt;0,IF('ANALISI DELLE SPINTE'!C91='ANALISI DELLE SPINTE'!C90,0,'ANALISI DELLE SPINTE'!D91-'ANALISI DELLE SPINTE'!D90),IF('ANALISI DELLE SPINTE'!C91='ANALISI DELLE SPINTE'!C90,0,IF('ANALISI DELLE SPINTE'!C91='ANALISI DELLE SPINTE'!C90,'ANALISI DELLE SPINTE'!C91,-('ANALISI DELLE SPINTE'!C91-'ANALISI DELLE SPINTE'!C90)/(AN169-AN168)*AN168))),0))</f>
        <v>0</v>
      </c>
      <c r="AN169" s="218">
        <f>IF('ANALISI DELLE SPINTE'!D50=0,"",'FOGLIO DEPOSITO'!G231+'FOGLIO DEPOSITO'!H231+'FOGLIO DEPOSITO'!I231)</f>
        <v>158.8971120213927</v>
      </c>
      <c r="AO169">
        <f>'FOGLIO DEPOSITO'!K231</f>
        <v>158.8971120213927</v>
      </c>
    </row>
    <row r="170" spans="2:41" x14ac:dyDescent="0.25">
      <c r="B170" s="305"/>
      <c r="C170" s="3"/>
      <c r="D170" s="52"/>
      <c r="E170" s="300"/>
      <c r="F170" s="4"/>
      <c r="H170" s="161"/>
      <c r="I170" s="26"/>
      <c r="J170" s="143"/>
      <c r="M170" s="187">
        <f>IF('FOGLIO DEPOSITO'!J228="",M168,'ANALISI DELLE SPINTE'!C89)</f>
        <v>21.602666666666668</v>
      </c>
      <c r="N170" s="188">
        <f>IF('FOGLIO DEPOSITO'!J228="",N168,'FOGLIO DEPOSITO'!J229)</f>
        <v>420.85333333333335</v>
      </c>
      <c r="O170" s="187">
        <f>IF('ANALISI DELLE SPINTE'!J128='FOGLIO DEPOSITO'!AD165,"",M170)</f>
        <v>21.602666666666668</v>
      </c>
      <c r="P170" s="190">
        <f>IF('ANALISI DELLE SPINTE'!J128='FOGLIO DEPOSITO'!AD165,"",IF('FOGLIO DEPOSITO'!J228="",P168,'FOGLIO DEPOSITO'!AN167))</f>
        <v>150.78597633414202</v>
      </c>
      <c r="Q170" s="189">
        <f>IF('FOGLIO DEPOSITO'!J245="",Q168,'ANALISI DELLE SPINTE'!C106)</f>
        <v>21.602666666666668</v>
      </c>
      <c r="R170" s="188">
        <f>IF('FOGLIO DEPOSITO'!J245="",R168,'FOGLIO DEPOSITO'!J246)</f>
        <v>420.85333333333335</v>
      </c>
      <c r="S170" s="187">
        <f>IF('ANALISI DELLE SPINTE'!J125='FOGLIO DEPOSITO'!$AD$168,"",Q170)</f>
        <v>21.602666666666668</v>
      </c>
      <c r="T170" s="190">
        <f>IF('ANALISI DELLE SPINTE'!J125='FOGLIO DEPOSITO'!$AD$168,"",IF('FOGLIO DEPOSITO'!J245="",T168,'FOGLIO DEPOSITO'!AN180))</f>
        <v>191.71020577263263</v>
      </c>
      <c r="V170" s="177">
        <f>IF('ANALISI DELLE SPINTE'!J129='FOGLIO DEPOSITO'!$AD$171,"",M170)</f>
        <v>21.602666666666668</v>
      </c>
      <c r="W170" s="34"/>
      <c r="X170" s="34">
        <f>IF('ANALISI DELLE SPINTE'!J129='FOGLIO DEPOSITO'!$AD$171,"",IF('FOGLIO DEPOSITO'!J229="",$X$168,'FOGLIO DEPOSITO'!K229))</f>
        <v>150.78597633414202</v>
      </c>
      <c r="Y170" s="35"/>
      <c r="Z170" s="160">
        <f>IF('ANALISI DELLE SPINTE'!J126='FOGLIO DEPOSITO'!$AD$174,"",Q170)</f>
        <v>21.602666666666668</v>
      </c>
      <c r="AA170" s="34"/>
      <c r="AB170" s="213">
        <f>IF('ANALISI DELLE SPINTE'!J126='FOGLIO DEPOSITO'!$AD$174,"",IF('FOGLIO DEPOSITO'!J246="",$AB$168,'FOGLIO DEPOSITO'!K246))</f>
        <v>191.71020577263263</v>
      </c>
      <c r="AD170" t="s">
        <v>218</v>
      </c>
      <c r="AM170" s="220">
        <f>IF(($AM$164+$AM$165)=0,0,IF(AN169&lt;0,IF(AN170&lt;0,IF('ANALISI DELLE SPINTE'!C92='ANALISI DELLE SPINTE'!C91,0,'ANALISI DELLE SPINTE'!D92-'ANALISI DELLE SPINTE'!D91),IF('ANALISI DELLE SPINTE'!C92='ANALISI DELLE SPINTE'!C91,0,IF('ANALISI DELLE SPINTE'!C92='ANALISI DELLE SPINTE'!C91,'ANALISI DELLE SPINTE'!C92,-('ANALISI DELLE SPINTE'!C92-'ANALISI DELLE SPINTE'!C91)/(AN170-AN169)*AN169))),0))</f>
        <v>0</v>
      </c>
      <c r="AN170" s="218">
        <f>IF('ANALISI DELLE SPINTE'!D50=0,"",'FOGLIO DEPOSITO'!G232+'FOGLIO DEPOSITO'!H232+'FOGLIO DEPOSITO'!I232)</f>
        <v>222.30694673883855</v>
      </c>
      <c r="AO170">
        <f>'FOGLIO DEPOSITO'!K232</f>
        <v>222.30694673883855</v>
      </c>
    </row>
    <row r="171" spans="2:41" x14ac:dyDescent="0.25">
      <c r="B171" s="305"/>
      <c r="C171" s="3"/>
      <c r="D171" s="52"/>
      <c r="E171" s="300"/>
      <c r="F171" s="4"/>
      <c r="H171" s="568" t="s">
        <v>219</v>
      </c>
      <c r="I171" s="569"/>
      <c r="J171" s="570"/>
      <c r="M171" s="191">
        <f>IF('FOGLIO DEPOSITO'!J228="",M168,'ANALISI DELLE SPINTE'!C90)</f>
        <v>21.602666666666668</v>
      </c>
      <c r="N171" s="192">
        <f>IF('FOGLIO DEPOSITO'!J228="",N168,'FOGLIO DEPOSITO'!J230)</f>
        <v>420.85333333333335</v>
      </c>
      <c r="O171" s="191">
        <f>IF('ANALISI DELLE SPINTE'!J128='FOGLIO DEPOSITO'!AD165,"",M171)</f>
        <v>21.602666666666668</v>
      </c>
      <c r="P171" s="194">
        <f>IF('ANALISI DELLE SPINTE'!J128='FOGLIO DEPOSITO'!AD165,"",IF('FOGLIO DEPOSITO'!J228="",P168,'FOGLIO DEPOSITO'!AN168))</f>
        <v>150.78597633414202</v>
      </c>
      <c r="Q171" s="193">
        <f>IF('FOGLIO DEPOSITO'!J245="",Q168,'ANALISI DELLE SPINTE'!C107)</f>
        <v>21.602666666666668</v>
      </c>
      <c r="R171" s="192">
        <f>IF('FOGLIO DEPOSITO'!J245="",R168,'FOGLIO DEPOSITO'!J247)</f>
        <v>420.85333333333335</v>
      </c>
      <c r="S171" s="191">
        <f>IF('ANALISI DELLE SPINTE'!J125='FOGLIO DEPOSITO'!$AD$168,"",Q171)</f>
        <v>21.602666666666668</v>
      </c>
      <c r="T171" s="194">
        <f>IF('ANALISI DELLE SPINTE'!J125='FOGLIO DEPOSITO'!$AD$168,"",IF('FOGLIO DEPOSITO'!J245="",T168,'FOGLIO DEPOSITO'!AN181))</f>
        <v>191.71020577263263</v>
      </c>
      <c r="V171" s="180">
        <f>IF('ANALISI DELLE SPINTE'!J129='FOGLIO DEPOSITO'!$AD$171,"",M171)</f>
        <v>21.602666666666668</v>
      </c>
      <c r="W171" s="32"/>
      <c r="X171" s="32">
        <f>IF('ANALISI DELLE SPINTE'!J129='FOGLIO DEPOSITO'!$AD$171,"",IF('FOGLIO DEPOSITO'!J230="",$X$168,'FOGLIO DEPOSITO'!K230))</f>
        <v>150.78597633414202</v>
      </c>
      <c r="Y171" s="35"/>
      <c r="Z171" s="159">
        <f>IF('ANALISI DELLE SPINTE'!J126='FOGLIO DEPOSITO'!$AD$174,"",Q171)</f>
        <v>21.602666666666668</v>
      </c>
      <c r="AA171" s="32"/>
      <c r="AB171" s="156">
        <f>IF('ANALISI DELLE SPINTE'!J126='FOGLIO DEPOSITO'!$AD$174,"",IF('FOGLIO DEPOSITO'!J247="",$AB$168,'FOGLIO DEPOSITO'!K247))</f>
        <v>191.71020577263263</v>
      </c>
      <c r="AD171" t="s">
        <v>220</v>
      </c>
      <c r="AM171" s="221">
        <f>IF(($AM$164+$AM$165)=0,0,IF(AN170&lt;0,IF(AN171&lt;0,IF('ANALISI DELLE SPINTE'!C93='ANALISI DELLE SPINTE'!C92,0,'ANALISI DELLE SPINTE'!D93-'ANALISI DELLE SPINTE'!D92),IF('ANALISI DELLE SPINTE'!C93='ANALISI DELLE SPINTE'!C92,0,IF('ANALISI DELLE SPINTE'!C93='ANALISI DELLE SPINTE'!C92,'ANALISI DELLE SPINTE'!C93,-('ANALISI DELLE SPINTE'!C93-'ANALISI DELLE SPINTE'!C92)/(AN171-AN170)*AN170))),0))</f>
        <v>0</v>
      </c>
      <c r="AN171" s="219">
        <f>IF('ANALISI DELLE SPINTE'!D50=0,"",'FOGLIO DEPOSITO'!G233+'FOGLIO DEPOSITO'!H233+'FOGLIO DEPOSITO'!I233)</f>
        <v>222.30694673883855</v>
      </c>
      <c r="AO171">
        <f>'FOGLIO DEPOSITO'!K233</f>
        <v>222.30694673883855</v>
      </c>
    </row>
    <row r="172" spans="2:41" x14ac:dyDescent="0.25">
      <c r="B172" s="305"/>
      <c r="C172" s="3"/>
      <c r="D172" s="52"/>
      <c r="E172" s="300"/>
      <c r="F172" s="4"/>
      <c r="H172" s="562" t="s">
        <v>221</v>
      </c>
      <c r="I172" s="563"/>
      <c r="J172" s="564"/>
      <c r="M172" s="187">
        <f>IF('FOGLIO DEPOSITO'!J231="",M171,'ANALISI DELLE SPINTE'!C91)</f>
        <v>21.602666666666668</v>
      </c>
      <c r="N172" s="188">
        <f>IF('FOGLIO DEPOSITO'!J231="",N171,'FOGLIO DEPOSITO'!J231)</f>
        <v>420.85333333333335</v>
      </c>
      <c r="O172" s="187">
        <f>IF('ANALISI DELLE SPINTE'!J128='FOGLIO DEPOSITO'!AD165,"",M172)</f>
        <v>21.602666666666668</v>
      </c>
      <c r="P172" s="190">
        <f>IF('ANALISI DELLE SPINTE'!J128='FOGLIO DEPOSITO'!AD165,"",IF('FOGLIO DEPOSITO'!J231="",P171,'FOGLIO DEPOSITO'!AN169))</f>
        <v>158.8971120213927</v>
      </c>
      <c r="Q172" s="189">
        <f>IF('FOGLIO DEPOSITO'!J248="",Q171,'ANALISI DELLE SPINTE'!C108)</f>
        <v>21.602666666666668</v>
      </c>
      <c r="R172" s="188">
        <f>IF('FOGLIO DEPOSITO'!J248="",R171,'FOGLIO DEPOSITO'!J248)</f>
        <v>420.85333333333335</v>
      </c>
      <c r="S172" s="187">
        <f>IF('ANALISI DELLE SPINTE'!J125='FOGLIO DEPOSITO'!$AD$168,"",Q172)</f>
        <v>21.602666666666668</v>
      </c>
      <c r="T172" s="190">
        <f>IF('ANALISI DELLE SPINTE'!J125='FOGLIO DEPOSITO'!$AD$168,"",IF('FOGLIO DEPOSITO'!J248="",T171,'FOGLIO DEPOSITO'!AN182))</f>
        <v>158.8971120213927</v>
      </c>
      <c r="V172" s="177">
        <f>IF('ANALISI DELLE SPINTE'!J129='FOGLIO DEPOSITO'!$AD$171,"",M172)</f>
        <v>21.602666666666668</v>
      </c>
      <c r="W172" s="34"/>
      <c r="X172" s="34">
        <f>IF('ANALISI DELLE SPINTE'!J129='FOGLIO DEPOSITO'!$AD$171,"",IF('FOGLIO DEPOSITO'!J231="",$X$171,'FOGLIO DEPOSITO'!K231))</f>
        <v>158.8971120213927</v>
      </c>
      <c r="Y172" s="35"/>
      <c r="Z172" s="160">
        <f>IF('ANALISI DELLE SPINTE'!J126='FOGLIO DEPOSITO'!$AD$174,"",Q172)</f>
        <v>21.602666666666668</v>
      </c>
      <c r="AA172" s="34"/>
      <c r="AB172" s="213">
        <f>IF('ANALISI DELLE SPINTE'!J126='FOGLIO DEPOSITO'!$AD$174,"",IF('FOGLIO DEPOSITO'!J248="",$AB$171,'FOGLIO DEPOSITO'!K248))</f>
        <v>158.8971120213927</v>
      </c>
    </row>
    <row r="173" spans="2:41" x14ac:dyDescent="0.25">
      <c r="B173" s="305"/>
      <c r="C173" s="3"/>
      <c r="D173" s="52"/>
      <c r="E173" s="300"/>
      <c r="F173" s="4"/>
      <c r="M173" s="187">
        <f>IF('FOGLIO DEPOSITO'!J231="",M171,'ANALISI DELLE SPINTE'!C92)</f>
        <v>30</v>
      </c>
      <c r="N173" s="188">
        <f>IF('FOGLIO DEPOSITO'!J231="",N171,'FOGLIO DEPOSITO'!J232)</f>
        <v>588.79999999999995</v>
      </c>
      <c r="O173" s="187">
        <f>IF('ANALISI DELLE SPINTE'!J128='FOGLIO DEPOSITO'!AD165,"",M173)</f>
        <v>30</v>
      </c>
      <c r="P173" s="190">
        <f>IF('ANALISI DELLE SPINTE'!J128='FOGLIO DEPOSITO'!AD165,"",IF('FOGLIO DEPOSITO'!J231="",P171,'FOGLIO DEPOSITO'!AN170))</f>
        <v>222.30694673883855</v>
      </c>
      <c r="Q173" s="189">
        <f>IF('FOGLIO DEPOSITO'!J248="",Q171,'ANALISI DELLE SPINTE'!C109)</f>
        <v>30</v>
      </c>
      <c r="R173" s="188">
        <f>IF('FOGLIO DEPOSITO'!J248="",R171,'FOGLIO DEPOSITO'!J249)</f>
        <v>588.79999999999995</v>
      </c>
      <c r="S173" s="187">
        <f>IF('ANALISI DELLE SPINTE'!J125='FOGLIO DEPOSITO'!$AD$168,"",Q173)</f>
        <v>30</v>
      </c>
      <c r="T173" s="190">
        <f>IF('ANALISI DELLE SPINTE'!J125='FOGLIO DEPOSITO'!$AD$168,"",IF('FOGLIO DEPOSITO'!J248="",T171,'FOGLIO DEPOSITO'!AN183))</f>
        <v>222.30694673883855</v>
      </c>
      <c r="V173" s="177">
        <f>IF('ANALISI DELLE SPINTE'!J129='FOGLIO DEPOSITO'!$AD$171,"",M173)</f>
        <v>30</v>
      </c>
      <c r="W173" s="34"/>
      <c r="X173" s="34">
        <f>IF('ANALISI DELLE SPINTE'!J129='FOGLIO DEPOSITO'!$AD$171,"",IF('FOGLIO DEPOSITO'!J232="",$X$171,'FOGLIO DEPOSITO'!K232))</f>
        <v>222.30694673883855</v>
      </c>
      <c r="Y173" s="35"/>
      <c r="Z173" s="160">
        <f>IF('ANALISI DELLE SPINTE'!J126='FOGLIO DEPOSITO'!$AD$174,"",Q173)</f>
        <v>30</v>
      </c>
      <c r="AA173" s="34"/>
      <c r="AB173" s="213">
        <f>IF('ANALISI DELLE SPINTE'!J126='FOGLIO DEPOSITO'!$AD$174,"",IF('FOGLIO DEPOSITO'!J249="",$AB$171,'FOGLIO DEPOSITO'!K249))</f>
        <v>222.30694673883855</v>
      </c>
      <c r="AD173" t="s">
        <v>222</v>
      </c>
      <c r="AM173" s="530" t="s">
        <v>208</v>
      </c>
      <c r="AN173" s="530"/>
      <c r="AO173" s="530"/>
    </row>
    <row r="174" spans="2:41" x14ac:dyDescent="0.25">
      <c r="B174" s="305"/>
      <c r="C174" s="3"/>
      <c r="D174" s="52"/>
      <c r="E174" s="300"/>
      <c r="F174" s="4"/>
      <c r="H174" s="109" t="s">
        <v>223</v>
      </c>
      <c r="I174" s="82"/>
      <c r="J174" s="246"/>
      <c r="M174" s="191">
        <f>IF('FOGLIO DEPOSITO'!J231="",M171,'ANALISI DELLE SPINTE'!C93)</f>
        <v>30</v>
      </c>
      <c r="N174" s="192">
        <f>IF('FOGLIO DEPOSITO'!J231="",N171,'FOGLIO DEPOSITO'!J233)</f>
        <v>588.79999999999995</v>
      </c>
      <c r="O174" s="191">
        <f>IF('ANALISI DELLE SPINTE'!J128='FOGLIO DEPOSITO'!AD165,"",M174)</f>
        <v>30</v>
      </c>
      <c r="P174" s="194">
        <f>IF('ANALISI DELLE SPINTE'!J128='FOGLIO DEPOSITO'!AD165,"",IF('FOGLIO DEPOSITO'!J231="",P171,'FOGLIO DEPOSITO'!AN171))</f>
        <v>222.30694673883855</v>
      </c>
      <c r="Q174" s="193">
        <f>IF('FOGLIO DEPOSITO'!J248="",Q171,'ANALISI DELLE SPINTE'!C110)</f>
        <v>30</v>
      </c>
      <c r="R174" s="192">
        <f>IF('FOGLIO DEPOSITO'!J248="",R171,'FOGLIO DEPOSITO'!J250)</f>
        <v>588.79999999999995</v>
      </c>
      <c r="S174" s="187">
        <f>IF('ANALISI DELLE SPINTE'!J125='FOGLIO DEPOSITO'!$AD$168,"",Q174)</f>
        <v>30</v>
      </c>
      <c r="T174" s="194">
        <f>IF('ANALISI DELLE SPINTE'!J125='FOGLIO DEPOSITO'!$AD$168,"",IF('FOGLIO DEPOSITO'!J248="",T171,'FOGLIO DEPOSITO'!AN184))</f>
        <v>222.30694673883855</v>
      </c>
      <c r="V174" s="180">
        <f>IF('ANALISI DELLE SPINTE'!J129='FOGLIO DEPOSITO'!$AD$171,"",M174)</f>
        <v>30</v>
      </c>
      <c r="W174" s="32"/>
      <c r="X174" s="32">
        <f>IF('ANALISI DELLE SPINTE'!J129='FOGLIO DEPOSITO'!$AD$171,"",IF('FOGLIO DEPOSITO'!J233="",$X$171,'FOGLIO DEPOSITO'!K233))</f>
        <v>222.30694673883855</v>
      </c>
      <c r="Y174" s="94"/>
      <c r="Z174" s="159">
        <f>IF('ANALISI DELLE SPINTE'!J126='FOGLIO DEPOSITO'!$AD$174,"",Q174)</f>
        <v>30</v>
      </c>
      <c r="AA174" s="32"/>
      <c r="AB174" s="156">
        <f>IF('ANALISI DELLE SPINTE'!J126='FOGLIO DEPOSITO'!$AD$174,"",IF('FOGLIO DEPOSITO'!J250="",$AB$171,'FOGLIO DEPOSITO'!K250))</f>
        <v>222.30694673883855</v>
      </c>
      <c r="AD174" t="s">
        <v>224</v>
      </c>
      <c r="AM174" s="222" t="s">
        <v>204</v>
      </c>
    </row>
    <row r="175" spans="2:41" ht="18.75" x14ac:dyDescent="0.25">
      <c r="B175" s="305"/>
      <c r="C175" s="3"/>
      <c r="D175" s="52"/>
      <c r="E175" s="300"/>
      <c r="F175" s="4"/>
      <c r="H175" s="247" t="s">
        <v>225</v>
      </c>
      <c r="I175" s="227"/>
      <c r="J175" s="248"/>
      <c r="N175" s="223"/>
      <c r="O175" s="526">
        <v>1</v>
      </c>
      <c r="P175" s="526"/>
      <c r="Q175" s="104"/>
      <c r="R175" s="298"/>
      <c r="S175" s="559">
        <v>2</v>
      </c>
      <c r="T175" s="559"/>
      <c r="V175" s="104"/>
      <c r="W175" s="298"/>
      <c r="X175" s="298">
        <v>3</v>
      </c>
      <c r="Y175" s="298"/>
      <c r="Z175" s="104"/>
      <c r="AA175" s="104"/>
      <c r="AB175" s="298">
        <v>4</v>
      </c>
      <c r="AM175" s="229" t="s">
        <v>206</v>
      </c>
      <c r="AN175" s="217" t="s">
        <v>207</v>
      </c>
    </row>
    <row r="176" spans="2:41" x14ac:dyDescent="0.25">
      <c r="B176" s="305"/>
      <c r="C176" s="3"/>
      <c r="D176" s="52"/>
      <c r="E176" s="300"/>
      <c r="F176" s="4"/>
      <c r="H176" s="26"/>
      <c r="I176" s="34"/>
      <c r="AM176" s="220"/>
      <c r="AN176" s="218">
        <f>'FOGLIO DEPOSITO'!G242+'FOGLIO DEPOSITO'!H242+'FOGLIO DEPOSITO'!I242</f>
        <v>0</v>
      </c>
      <c r="AO176">
        <f>'FOGLIO DEPOSITO'!K242</f>
        <v>0</v>
      </c>
    </row>
    <row r="177" spans="2:41" x14ac:dyDescent="0.25">
      <c r="B177" s="305"/>
      <c r="C177" s="3"/>
      <c r="D177" s="52"/>
      <c r="E177" s="300"/>
      <c r="F177" s="4"/>
      <c r="O177" s="25" t="s">
        <v>94</v>
      </c>
      <c r="P177" s="25" t="s">
        <v>97</v>
      </c>
      <c r="Q177" s="25" t="s">
        <v>99</v>
      </c>
      <c r="R177" s="83" t="s">
        <v>227</v>
      </c>
      <c r="S177" s="83" t="s">
        <v>483</v>
      </c>
      <c r="AM177" s="220">
        <f>IF(AN176&lt;0,IF(AN177&lt;0,IF('ANALISI DELLE SPINTE'!C103='ANALISI DELLE SPINTE'!C102,0,'ANALISI DELLE SPINTE'!D103),IF('ANALISI DELLE SPINTE'!C103='ANALISI DELLE SPINTE'!C102,0,IF('ANALISI DELLE SPINTE'!C103='ANALISI DELLE SPINTE'!C102,'ANALISI DELLE SPINTE'!C103,-('ANALISI DELLE SPINTE'!C103-'ANALISI DELLE SPINTE'!C102)/(AN177-AN176)*AN176))),0)</f>
        <v>0</v>
      </c>
      <c r="AN177" s="218">
        <f>'FOGLIO DEPOSITO'!G243+'FOGLIO DEPOSITO'!H243+'FOGLIO DEPOSITO'!I243</f>
        <v>93.376893449429545</v>
      </c>
      <c r="AO177">
        <f>'FOGLIO DEPOSITO'!K243</f>
        <v>93.376893449429545</v>
      </c>
    </row>
    <row r="178" spans="2:41" x14ac:dyDescent="0.25">
      <c r="B178" s="305"/>
      <c r="C178" s="3"/>
      <c r="D178" s="2"/>
      <c r="E178" s="2"/>
      <c r="F178" s="4"/>
      <c r="H178" s="560" t="s">
        <v>226</v>
      </c>
      <c r="I178" s="561"/>
      <c r="K178" s="209" t="s">
        <v>226</v>
      </c>
      <c r="L178" s="210"/>
      <c r="N178" s="24" t="str">
        <f>K178</f>
        <v>Rankine</v>
      </c>
      <c r="O178" s="255">
        <f>H179</f>
        <v>0.36103348349818304</v>
      </c>
      <c r="P178" s="255">
        <f>H180</f>
        <v>0.39046170695558291</v>
      </c>
      <c r="Q178" s="255">
        <f>H181</f>
        <v>0.30725852452246849</v>
      </c>
      <c r="R178" s="255">
        <v>0</v>
      </c>
      <c r="S178" s="255">
        <v>0</v>
      </c>
      <c r="AM178" s="221">
        <f>IF(AN177&lt;0,IF(AN178&lt;0,IF('ANALISI DELLE SPINTE'!C104='ANALISI DELLE SPINTE'!C103,0,'ANALISI DELLE SPINTE'!D104-'ANALISI DELLE SPINTE'!D103),IF('ANALISI DELLE SPINTE'!C104='ANALISI DELLE SPINTE'!C103,0,IF('ANALISI DELLE SPINTE'!C104='ANALISI DELLE SPINTE'!C103,'ANALISI DELLE SPINTE'!C104,-('ANALISI DELLE SPINTE'!C104-'ANALISI DELLE SPINTE'!C103)/(AN178-AN177)*AN177))),0)</f>
        <v>0</v>
      </c>
      <c r="AN178" s="219">
        <f>'FOGLIO DEPOSITO'!G244+'FOGLIO DEPOSITO'!H244+'FOGLIO DEPOSITO'!I244</f>
        <v>93.376893449429545</v>
      </c>
      <c r="AO178">
        <f>'FOGLIO DEPOSITO'!K244</f>
        <v>93.376893449429545</v>
      </c>
    </row>
    <row r="179" spans="2:41" x14ac:dyDescent="0.25">
      <c r="B179" s="305"/>
      <c r="C179" s="3"/>
      <c r="D179" s="2"/>
      <c r="E179" s="2"/>
      <c r="F179" s="4"/>
      <c r="H179" s="161">
        <f>(TAN((45-'ANALISI DELLE SPINTE'!D31/2)*PI()/180))^2</f>
        <v>0.36103348349818304</v>
      </c>
      <c r="I179" s="143"/>
      <c r="K179" s="209" t="s">
        <v>228</v>
      </c>
      <c r="L179" s="210"/>
      <c r="N179" s="24" t="str">
        <f>K179</f>
        <v>Muller-Breslau</v>
      </c>
      <c r="O179" s="255">
        <f>H184</f>
        <v>0.36103361147480711</v>
      </c>
      <c r="P179" s="255">
        <f>H185</f>
        <v>0.3904618339162011</v>
      </c>
      <c r="Q179" s="255">
        <f>H186</f>
        <v>0.30725865252011036</v>
      </c>
      <c r="R179" s="255">
        <v>0</v>
      </c>
      <c r="S179" s="255">
        <v>0</v>
      </c>
      <c r="T179" t="s">
        <v>229</v>
      </c>
      <c r="AM179" s="220">
        <f>IF(($AM$177+$AM$178)=0,0,IF(AN178&lt;0,IF(AN179&lt;0,IF('ANALISI DELLE SPINTE'!C105='ANALISI DELLE SPINTE'!C104,0,'ANALISI DELLE SPINTE'!D105-'ANALISI DELLE SPINTE'!D104),IF('ANALISI DELLE SPINTE'!C105='ANALISI DELLE SPINTE'!C104,0,IF('ANALISI DELLE SPINTE'!C105='ANALISI DELLE SPINTE'!C104,'ANALISI DELLE SPINTE'!C105,-('ANALISI DELLE SPINTE'!C105-'ANALISI DELLE SPINTE'!C104)/(AN179-AN178)*AN178))),0))</f>
        <v>0</v>
      </c>
      <c r="AN179" s="218">
        <f>IF('ANALISI DELLE SPINTE'!D43=0,"",'FOGLIO DEPOSITO'!G245+'FOGLIO DEPOSITO'!H245+'FOGLIO DEPOSITO'!I245)</f>
        <v>93.46065933494549</v>
      </c>
      <c r="AO179">
        <f>'FOGLIO DEPOSITO'!K245</f>
        <v>93.46065933494549</v>
      </c>
    </row>
    <row r="180" spans="2:41" x14ac:dyDescent="0.25">
      <c r="B180" s="305"/>
      <c r="C180" s="3"/>
      <c r="D180" s="2"/>
      <c r="H180" s="161">
        <f>(TAN((45-'ANALISI DELLE SPINTE'!D38/2)*PI()/180))^2</f>
        <v>0.39046170695558291</v>
      </c>
      <c r="I180" s="143"/>
      <c r="K180" s="211" t="s">
        <v>230</v>
      </c>
      <c r="L180" s="212"/>
      <c r="N180" s="24" t="str">
        <f>K180</f>
        <v>Lancellotta</v>
      </c>
      <c r="O180" s="256">
        <f>H189</f>
        <v>0.36103348349818315</v>
      </c>
      <c r="P180" s="256">
        <f>H190</f>
        <v>0.39046170695558297</v>
      </c>
      <c r="Q180" s="256">
        <f>H191</f>
        <v>0.30725852452246843</v>
      </c>
      <c r="R180" s="255">
        <v>0</v>
      </c>
      <c r="S180" s="255">
        <v>0</v>
      </c>
      <c r="T180" t="s">
        <v>231</v>
      </c>
      <c r="AM180" s="220">
        <f>IF(($AM$177+$AM$178)=0,0,IF(AN179&lt;0,IF(AN180&lt;0,IF('ANALISI DELLE SPINTE'!C106='ANALISI DELLE SPINTE'!C105,0,'ANALISI DELLE SPINTE'!D106-'ANALISI DELLE SPINTE'!D105),IF('ANALISI DELLE SPINTE'!C106='ANALISI DELLE SPINTE'!C105,0,IF('ANALISI DELLE SPINTE'!C106='ANALISI DELLE SPINTE'!C105,'ANALISI DELLE SPINTE'!C106,-('ANALISI DELLE SPINTE'!C106-'ANALISI DELLE SPINTE'!C105)/(AN180-AN179)*AN179))),0))</f>
        <v>0</v>
      </c>
      <c r="AN180" s="218">
        <f>IF('ANALISI DELLE SPINTE'!D43=0,"",'FOGLIO DEPOSITO'!G246+'FOGLIO DEPOSITO'!H246+'FOGLIO DEPOSITO'!I246)</f>
        <v>191.71020577263263</v>
      </c>
      <c r="AO180">
        <f>'FOGLIO DEPOSITO'!K246</f>
        <v>191.71020577263263</v>
      </c>
    </row>
    <row r="181" spans="2:41" x14ac:dyDescent="0.25">
      <c r="H181" s="185">
        <f>(TAN((45-'ANALISI DELLE SPINTE'!D45/2)*PI()/180))^2</f>
        <v>0.30725852452246849</v>
      </c>
      <c r="I181" s="186"/>
      <c r="N181" s="253" t="s">
        <v>232</v>
      </c>
      <c r="O181" s="231">
        <f>IFERROR(IF(T188&gt;=0,N188,U188),U188)</f>
        <v>0.41923878646175688</v>
      </c>
      <c r="P181" s="255">
        <f>IFERROR(IF(T189&gt;=0,N189,U189),U189)</f>
        <v>0.45117968159137756</v>
      </c>
      <c r="Q181" s="255">
        <f>IFERROR(IF(T190&gt;=0,N190,U190),U190)</f>
        <v>0.36072719944410481</v>
      </c>
      <c r="R181" s="255">
        <f>S188</f>
        <v>4.6661724038224064E-2</v>
      </c>
      <c r="S181" s="255">
        <f>DATI!E25</f>
        <v>9.3323448076448129E-2</v>
      </c>
      <c r="AM181" s="221">
        <f>IF(($AM$177+$AM$178)=0,0,IF(AN180&lt;0,IF(AN181&lt;0,IF('ANALISI DELLE SPINTE'!C107='ANALISI DELLE SPINTE'!C106,0,'ANALISI DELLE SPINTE'!D107-'ANALISI DELLE SPINTE'!D106),IF('ANALISI DELLE SPINTE'!C107='ANALISI DELLE SPINTE'!C106,0,IF('ANALISI DELLE SPINTE'!C107='ANALISI DELLE SPINTE'!C106,'ANALISI DELLE SPINTE'!C107,-('ANALISI DELLE SPINTE'!C107-'ANALISI DELLE SPINTE'!C106)/(AN181-AN180)*AN180))),0))</f>
        <v>0</v>
      </c>
      <c r="AN181" s="219">
        <f>IF('ANALISI DELLE SPINTE'!D43=0,"",'FOGLIO DEPOSITO'!G247+'FOGLIO DEPOSITO'!H247+'FOGLIO DEPOSITO'!I247)</f>
        <v>191.71020577263263</v>
      </c>
      <c r="AO181">
        <f>'FOGLIO DEPOSITO'!K247</f>
        <v>191.71020577263263</v>
      </c>
    </row>
    <row r="182" spans="2:41" x14ac:dyDescent="0.25">
      <c r="N182" s="254" t="s">
        <v>233</v>
      </c>
      <c r="O182" s="255">
        <f>IFERROR(IF(T188&gt;=0,O188,W188),W188)</f>
        <v>0.42548739471746355</v>
      </c>
      <c r="P182" s="255">
        <f>IFERROR(IF(T189&gt;=0,O189,W189),W189)</f>
        <v>0.4577246208808658</v>
      </c>
      <c r="Q182" s="255">
        <f>IFERROR(IF(T190&gt;=0,O190,W190),W190)</f>
        <v>0.36643457483933434</v>
      </c>
      <c r="R182" s="255">
        <f>S188</f>
        <v>4.6661724038224064E-2</v>
      </c>
      <c r="S182" s="255">
        <f>DATI!E25</f>
        <v>9.3323448076448129E-2</v>
      </c>
      <c r="AM182" s="220">
        <f>IF(($AM$177+$AM$178)=0,0,IF(AN181&lt;0,IF(AN182&lt;0,IF('ANALISI DELLE SPINTE'!C108='ANALISI DELLE SPINTE'!C107,0,'ANALISI DELLE SPINTE'!D108-'ANALISI DELLE SPINTE'!D107),IF('ANALISI DELLE SPINTE'!C108='ANALISI DELLE SPINTE'!C107,0,IF('ANALISI DELLE SPINTE'!C108='ANALISI DELLE SPINTE'!C107,'ANALISI DELLE SPINTE'!C108,-('ANALISI DELLE SPINTE'!C108-'ANALISI DELLE SPINTE'!C107)/(AN182-AN181)*AN181))),0))</f>
        <v>0</v>
      </c>
      <c r="AN182" s="218">
        <f>IF('ANALISI DELLE SPINTE'!D50=0,"",'FOGLIO DEPOSITO'!G248+'FOGLIO DEPOSITO'!H248+'FOGLIO DEPOSITO'!I248)</f>
        <v>158.8971120213927</v>
      </c>
      <c r="AO182">
        <f>'FOGLIO DEPOSITO'!K248</f>
        <v>158.8971120213927</v>
      </c>
    </row>
    <row r="183" spans="2:41" x14ac:dyDescent="0.25">
      <c r="H183" s="560" t="s">
        <v>228</v>
      </c>
      <c r="I183" s="561"/>
      <c r="N183" s="24" t="s">
        <v>484</v>
      </c>
      <c r="O183" s="255">
        <f>1-SIN(RADIANS('ANALISI DELLE SPINTE'!D31))</f>
        <v>0.53052843721410925</v>
      </c>
      <c r="P183" s="255">
        <f>1-SIN(RADIANS('ANALISI DELLE SPINTE'!D38))</f>
        <v>0.5616288532109226</v>
      </c>
      <c r="Q183" s="255">
        <f>1-SIN(RADIANS('ANALISI DELLE SPINTE'!D45))</f>
        <v>0.4700807357667951</v>
      </c>
      <c r="R183" s="103">
        <v>0</v>
      </c>
      <c r="S183" s="255">
        <v>0</v>
      </c>
      <c r="AM183" s="220">
        <f>IF(($AM$177+$AM$178)=0,0,IF(AN182&lt;0,IF(AN183&lt;0,IF('ANALISI DELLE SPINTE'!C109='ANALISI DELLE SPINTE'!C108,0,'ANALISI DELLE SPINTE'!D109-'ANALISI DELLE SPINTE'!D108),IF('ANALISI DELLE SPINTE'!C109='ANALISI DELLE SPINTE'!C108,0,IF('ANALISI DELLE SPINTE'!C109='ANALISI DELLE SPINTE'!C108,'ANALISI DELLE SPINTE'!C109,-('ANALISI DELLE SPINTE'!C109-'ANALISI DELLE SPINTE'!C108)/(AN183-AN182)*AN182))),0))</f>
        <v>0</v>
      </c>
      <c r="AN183" s="218">
        <f>IF('ANALISI DELLE SPINTE'!D50=0,"",'FOGLIO DEPOSITO'!G249+'FOGLIO DEPOSITO'!H249+'FOGLIO DEPOSITO'!I249)</f>
        <v>222.30694673883855</v>
      </c>
      <c r="AO183">
        <f>'FOGLIO DEPOSITO'!K249</f>
        <v>222.30694673883855</v>
      </c>
    </row>
    <row r="184" spans="2:41" x14ac:dyDescent="0.25">
      <c r="H184" s="161">
        <f>(COS(RADIANS('ANALISI DELLE SPINTE'!D31-'ANALISI DELLE SPINTE'!D61)))^2/(COS(RADIANS('ANALISI DELLE SPINTE'!D61))^2*COS(RADIANS('ANALISI DELLE SPINTE'!D61+'ANALISI DELLE SPINTE'!D35))*(1+((SIN(RADIANS('ANALISI DELLE SPINTE'!D31+'ANALISI DELLE SPINTE'!D35))*SIN(RADIANS('ANALISI DELLE SPINTE'!D31-'ANALISI DELLE SPINTE'!D54)))/(COS(RADIANS('ANALISI DELLE SPINTE'!D35+'ANALISI DELLE SPINTE'!D61))*COS(RADIANS('ANALISI DELLE SPINTE'!D61-'ANALISI DELLE SPINTE'!D54))))^0.5)^2)</f>
        <v>0.36103361147480711</v>
      </c>
      <c r="I184" s="104">
        <f>(COS(RADIANS('ANALISI DELLE SPINTE'!D31-'ANALISI DELLE SPINTE'!D61)))^2/(COS(RADIANS('ANALISI DELLE SPINTE'!D61))^2*COS(RADIANS('ANALISI DELLE SPINTE'!D61+'ANALISI DELLE SPINTE'!D35)))</f>
        <v>0.77959672808129854</v>
      </c>
      <c r="N184" s="321" t="s">
        <v>482</v>
      </c>
      <c r="O184" s="255">
        <f>O183</f>
        <v>0.53052843721410925</v>
      </c>
      <c r="P184" s="255">
        <f>P183</f>
        <v>0.5616288532109226</v>
      </c>
      <c r="Q184" s="255">
        <f>Q183</f>
        <v>0.4700807357667951</v>
      </c>
      <c r="R184" s="255">
        <f>S188</f>
        <v>4.6661724038224064E-2</v>
      </c>
      <c r="S184" s="255">
        <f>DATI!E25</f>
        <v>9.3323448076448129E-2</v>
      </c>
      <c r="AM184" s="221">
        <f>IF(($AM$177+$AM$178)=0,0,IF(AN183&lt;0,IF(AN184&lt;0,IF('ANALISI DELLE SPINTE'!C110='ANALISI DELLE SPINTE'!C109,0,'ANALISI DELLE SPINTE'!D110-'ANALISI DELLE SPINTE'!D109),IF('ANALISI DELLE SPINTE'!C110='ANALISI DELLE SPINTE'!C109,0,IF('ANALISI DELLE SPINTE'!C110='ANALISI DELLE SPINTE'!C109,'ANALISI DELLE SPINTE'!C110,-('ANALISI DELLE SPINTE'!C110-'ANALISI DELLE SPINTE'!C109)/(AN184-AN183)*AN183))),0))</f>
        <v>0</v>
      </c>
      <c r="AN184" s="219">
        <f>IF('ANALISI DELLE SPINTE'!D50=0,"",'FOGLIO DEPOSITO'!G250+'FOGLIO DEPOSITO'!H250+'FOGLIO DEPOSITO'!I250)</f>
        <v>222.30694673883855</v>
      </c>
      <c r="AO184">
        <f>'FOGLIO DEPOSITO'!K250</f>
        <v>222.30694673883855</v>
      </c>
    </row>
    <row r="185" spans="2:41" x14ac:dyDescent="0.25">
      <c r="H185" s="161">
        <f>(COS(RADIANS('ANALISI DELLE SPINTE'!D38-'ANALISI DELLE SPINTE'!D61)))^2/(COS(RADIANS('ANALISI DELLE SPINTE'!D61))^2*COS(RADIANS('ANALISI DELLE SPINTE'!D61+'ANALISI DELLE SPINTE'!D42))*(1+((SIN(RADIANS('ANALISI DELLE SPINTE'!D38+'ANALISI DELLE SPINTE'!D42))*SIN(RADIANS('ANALISI DELLE SPINTE'!D38-'ANALISI DELLE SPINTE'!D54)))/(COS(RADIANS('ANALISI DELLE SPINTE'!D42+'ANALISI DELLE SPINTE'!D61))*COS(RADIANS('ANALISI DELLE SPINTE'!D61-'ANALISI DELLE SPINTE'!D54))))^0.5)^2)</f>
        <v>0.3904618339162011</v>
      </c>
      <c r="I185" s="362">
        <f>(COS(RADIANS('ANALISI DELLE SPINTE'!D38-'ANALISI DELLE SPINTE'!D61)))^2/(COS(RADIANS('ANALISI DELLE SPINTE'!D61))^2*COS(RADIANS('ANALISI DELLE SPINTE'!D61+'ANALISI DELLE SPINTE'!D42)))</f>
        <v>0.80783100033314648</v>
      </c>
    </row>
    <row r="186" spans="2:41" x14ac:dyDescent="0.25">
      <c r="H186" s="185">
        <f>(COS(RADIANS('ANALISI DELLE SPINTE'!D45-'ANALISI DELLE SPINTE'!D61)))^2/(COS(RADIANS('ANALISI DELLE SPINTE'!D61))^2*COS(RADIANS('ANALISI DELLE SPINTE'!D61+'ANALISI DELLE SPINTE'!D49))*(1+((SIN(RADIANS('ANALISI DELLE SPINTE'!D45+'ANALISI DELLE SPINTE'!D49))*SIN(RADIANS('ANALISI DELLE SPINTE'!D45-'ANALISI DELLE SPINTE'!D54)))/(COS(RADIANS('ANALISI DELLE SPINTE'!D49+'ANALISI DELLE SPINTE'!D61))*COS(RADIANS('ANALISI DELLE SPINTE'!D61-'ANALISI DELLE SPINTE'!D54))))^0.5)^2)</f>
        <v>0.30725865252011036</v>
      </c>
      <c r="I186" s="363">
        <f>(COS(RADIANS('ANALISI DELLE SPINTE'!D45-'ANALISI DELLE SPINTE'!D61)))^2/(COS(RADIANS('ANALISI DELLE SPINTE'!D61))^2*COS(RADIANS('ANALISI DELLE SPINTE'!D61+'ANALISI DELLE SPINTE'!D49)))</f>
        <v>0.71918587299262526</v>
      </c>
      <c r="N186" s="519" t="s">
        <v>234</v>
      </c>
      <c r="O186" s="520"/>
      <c r="P186" s="119"/>
      <c r="Q186" s="119"/>
      <c r="R186" s="119"/>
      <c r="S186" s="119"/>
      <c r="T186" s="119"/>
      <c r="U186" s="119"/>
      <c r="V186" s="119"/>
      <c r="W186" s="336"/>
      <c r="Y186" s="519" t="s">
        <v>228</v>
      </c>
      <c r="Z186" s="520"/>
      <c r="AA186" s="119"/>
      <c r="AB186" s="119"/>
      <c r="AC186" s="119"/>
      <c r="AD186" s="119"/>
      <c r="AE186" s="119"/>
      <c r="AF186" s="119"/>
      <c r="AG186" s="119"/>
      <c r="AH186" s="336"/>
    </row>
    <row r="187" spans="2:41" ht="15.75" thickBot="1" x14ac:dyDescent="0.3">
      <c r="N187" s="202" t="s">
        <v>235</v>
      </c>
      <c r="O187" s="203" t="s">
        <v>236</v>
      </c>
      <c r="P187" s="203" t="s">
        <v>237</v>
      </c>
      <c r="Q187" s="203" t="s">
        <v>238</v>
      </c>
      <c r="R187" s="332" t="s">
        <v>239</v>
      </c>
      <c r="S187" s="332" t="s">
        <v>240</v>
      </c>
      <c r="T187" s="333" t="s">
        <v>480</v>
      </c>
      <c r="U187" s="334" t="s">
        <v>235</v>
      </c>
      <c r="V187" s="335" t="s">
        <v>481</v>
      </c>
      <c r="W187" s="334" t="s">
        <v>236</v>
      </c>
      <c r="Y187" s="361" t="s">
        <v>544</v>
      </c>
      <c r="Z187" s="360"/>
      <c r="AA187" s="360" t="s">
        <v>237</v>
      </c>
      <c r="AB187" s="360"/>
      <c r="AC187" s="332"/>
      <c r="AD187" s="332"/>
      <c r="AE187" s="333" t="s">
        <v>480</v>
      </c>
      <c r="AF187" s="361" t="s">
        <v>544</v>
      </c>
      <c r="AG187" s="335"/>
      <c r="AH187" s="334"/>
    </row>
    <row r="188" spans="2:41" ht="16.5" thickTop="1" thickBot="1" x14ac:dyDescent="0.3">
      <c r="H188" s="519" t="s">
        <v>230</v>
      </c>
      <c r="I188" s="527"/>
      <c r="N188" s="208">
        <f>(SIN(RADIANS('ANALISI DELLE SPINTE'!D60+'ANALISI DELLE SPINTE'!D31-P188))^2)/(COS(RADIANS(P188))*SIN(RADIANS('ANALISI DELLE SPINTE'!D60))^2*SIN(RADIANS('ANALISI DELLE SPINTE'!D60-'ANALISI DELLE SPINTE'!D35-P188))*(1+((SIN(RADIANS('ANALISI DELLE SPINTE'!D31+'ANALISI DELLE SPINTE'!D35))*SIN(RADIANS('ANALISI DELLE SPINTE'!D31-'ANALISI DELLE SPINTE'!D54-P188)))/(SIN(RADIANS('ANALISI DELLE SPINTE'!D60+'ANALISI DELLE SPINTE'!D35+P188))*SIN(RADIANS('ANALISI DELLE SPINTE'!D60+'ANALISI DELLE SPINTE'!D54))))^0.5)^2)</f>
        <v>0.41923878646175688</v>
      </c>
      <c r="O188" s="130">
        <f>(SIN(RADIANS('ANALISI DELLE SPINTE'!D60+'ANALISI DELLE SPINTE'!D31-Q188))^2)/(COS(RADIANS(Q188))*SIN(RADIANS('ANALISI DELLE SPINTE'!D60))^2*SIN(RADIANS('ANALISI DELLE SPINTE'!D60-'ANALISI DELLE SPINTE'!D35-Q188))*(1+((SIN(RADIANS('ANALISI DELLE SPINTE'!D31+'ANALISI DELLE SPINTE'!D35))*SIN(RADIANS('ANALISI DELLE SPINTE'!D31-'ANALISI DELLE SPINTE'!D54-Q188)))/(SIN(RADIANS('ANALISI DELLE SPINTE'!D60+'ANALISI DELLE SPINTE'!D35+Q188))*SIN(RADIANS('ANALISI DELLE SPINTE'!D60+'ANALISI DELLE SPINTE'!D54))))^0.5)^2)</f>
        <v>0.42548739471746355</v>
      </c>
      <c r="P188" s="204">
        <f>180/PI()*IF('ANALISI DELLE SPINTE'!D36&lt;='FOGLIO DEPOSITO'!C226,1,('ANALISI DELLE SPINTE'!D32/('ANALISI DELLE SPINTE'!D32-'ANALISI DELLE SPINTE'!D59)))*ATAN(R188/(1+S188))</f>
        <v>5.0951869914411745</v>
      </c>
      <c r="Q188" s="204">
        <f>180/PI()*IF('ANALISI DELLE SPINTE'!D36&lt;='FOGLIO DEPOSITO'!C226,1,('ANALISI DELLE SPINTE'!D32/('ANALISI DELLE SPINTE'!D32-'ANALISI DELLE SPINTE'!D59)))*ATAN(R188/(1-S188))</f>
        <v>5.5909404839675769</v>
      </c>
      <c r="R188" s="199">
        <f>DATI!E25</f>
        <v>9.3323448076448129E-2</v>
      </c>
      <c r="S188" s="199">
        <f>0.5*R188</f>
        <v>4.6661724038224064E-2</v>
      </c>
      <c r="T188" s="33">
        <f>'ANALISI DELLE SPINTE'!D31-'FOGLIO DEPOSITO'!P188</f>
        <v>22.904813008558826</v>
      </c>
      <c r="U188" s="35">
        <f>(SIN(RADIANS('ANALISI DELLE SPINTE'!D60+'ANALISI DELLE SPINTE'!D31-'FOGLIO DEPOSITO'!P188))^2)/(COS(RADIANS(P188)*(SIN(RADIANS('ANALISI DELLE SPINTE'!D60))^2)*SIN(RADIANS('ANALISI DELLE SPINTE'!D60-'FOGLIO DEPOSITO'!P188-'ANALISI DELLE SPINTE'!D35))))</f>
        <v>0.85186213885732753</v>
      </c>
      <c r="V188" s="33">
        <f>'ANALISI DELLE SPINTE'!D31-'FOGLIO DEPOSITO'!P188</f>
        <v>22.904813008558826</v>
      </c>
      <c r="W188" s="142">
        <f>(SIN(RADIANS('ANALISI DELLE SPINTE'!D60+'ANALISI DELLE SPINTE'!D31-'FOGLIO DEPOSITO'!Q188))^2)/(COS(RADIANS(Q188)*(SIN(RADIANS('ANALISI DELLE SPINTE'!D60))^2)*SIN(RADIANS('ANALISI DELLE SPINTE'!D60-'FOGLIO DEPOSITO'!Q188-'ANALISI DELLE SPINTE'!D35))))</f>
        <v>0.85872051595748777</v>
      </c>
      <c r="Y188" s="208">
        <f>(SIN(RADIANS('ANALISI DELLE SPINTE'!D60+'ANALISI DELLE SPINTE'!D31-AA188))^2)/(COS(RADIANS(AA188))*SIN(RADIANS('ANALISI DELLE SPINTE'!D60))^2*SIN(RADIANS('ANALISI DELLE SPINTE'!D60-'ANALISI DELLE SPINTE'!D35-AA188))*(1+((SIN(RADIANS('ANALISI DELLE SPINTE'!D31+'ANALISI DELLE SPINTE'!D35))*SIN(RADIANS('ANALISI DELLE SPINTE'!D31-'ANALISI DELLE SPINTE'!D54-AA188)))/(SIN(RADIANS('ANALISI DELLE SPINTE'!D60+'ANALISI DELLE SPINTE'!D35+AA188))*SIN(RADIANS('ANALISI DELLE SPINTE'!D60+'ANALISI DELLE SPINTE'!D54))))^0.5)^2)</f>
        <v>0.36103361147480711</v>
      </c>
      <c r="Z188" s="130"/>
      <c r="AA188" s="204">
        <v>0</v>
      </c>
      <c r="AB188" s="204"/>
      <c r="AC188" s="199"/>
      <c r="AD188" s="199"/>
      <c r="AE188" s="33">
        <f>'ANALISI DELLE SPINTE'!D31-'FOGLIO DEPOSITO'!P188</f>
        <v>22.904813008558826</v>
      </c>
      <c r="AF188" s="35">
        <f>(SIN(RADIANS('ANALISI DELLE SPINTE'!D60+'ANALISI DELLE SPINTE'!D31-'FOGLIO DEPOSITO'!AA188))^2)/(COS(RADIANS(AA188)*(SIN(RADIANS('ANALISI DELLE SPINTE'!D60))^2)*SIN(RADIANS('ANALISI DELLE SPINTE'!D60-'FOGLIO DEPOSITO'!AA188-'ANALISI DELLE SPINTE'!D35))))</f>
        <v>0.77959672808116875</v>
      </c>
      <c r="AG188" s="33"/>
      <c r="AH188" s="142"/>
    </row>
    <row r="189" spans="2:41" ht="15.75" thickTop="1" x14ac:dyDescent="0.25">
      <c r="H189" s="205">
        <f>((COS(RADIANS('ANALISI DELLE SPINTE'!D35))/(1+SIN(RADIANS('ANALISI DELLE SPINTE'!D31))))*(COS(RADIANS('ANALISI DELLE SPINTE'!D35))-(SIN(RADIANS('ANALISI DELLE SPINTE'!D31))^2-SIN(RADIANS('ANALISI DELLE SPINTE'!D35))^2)^0.5))*EXP(-I189*TAN(RADIANS('ANALISI DELLE SPINTE'!D31)))</f>
        <v>0.36103348349818315</v>
      </c>
      <c r="I189" s="195">
        <f>(ASIN(SIN(RADIANS('ANALISI DELLE SPINTE'!D35))/SIN(RADIANS('ANALISI DELLE SPINTE'!D31)))-RADIANS('ANALISI DELLE SPINTE'!D35))</f>
        <v>0</v>
      </c>
      <c r="N189" s="208">
        <f>(SIN(RADIANS('ANALISI DELLE SPINTE'!D60+'ANALISI DELLE SPINTE'!D38-P189))^2)/(COS(RADIANS(P189))*SIN(RADIANS('ANALISI DELLE SPINTE'!D60))^2*SIN(RADIANS('ANALISI DELLE SPINTE'!D60-'ANALISI DELLE SPINTE'!D42-P189))*(1+((SIN(RADIANS('ANALISI DELLE SPINTE'!D38+'ANALISI DELLE SPINTE'!D42))*SIN(RADIANS('ANALISI DELLE SPINTE'!D38-'ANALISI DELLE SPINTE'!D54-P189)))/(SIN(RADIANS('ANALISI DELLE SPINTE'!D60+'ANALISI DELLE SPINTE'!D42+P189))*SIN(RADIANS('ANALISI DELLE SPINTE'!D60+'ANALISI DELLE SPINTE'!D54))))^0.5)^2)</f>
        <v>0.45117968159137756</v>
      </c>
      <c r="O189" s="130">
        <f>(SIN(RADIANS('ANALISI DELLE SPINTE'!D60+'ANALISI DELLE SPINTE'!D38-Q189))^2)/(COS(RADIANS(Q189))*SIN(RADIANS('ANALISI DELLE SPINTE'!D60))^2*SIN(RADIANS('ANALISI DELLE SPINTE'!D60-'ANALISI DELLE SPINTE'!D42-Q189))*(1+((SIN(RADIANS('ANALISI DELLE SPINTE'!D38+'ANALISI DELLE SPINTE'!D42))*SIN(RADIANS('ANALISI DELLE SPINTE'!D38-'ANALISI DELLE SPINTE'!D54-Q189)))/(SIN(RADIANS('ANALISI DELLE SPINTE'!D60+'ANALISI DELLE SPINTE'!D42+Q189))*SIN(RADIANS('ANALISI DELLE SPINTE'!D60+'ANALISI DELLE SPINTE'!D54))))^0.5)^2)</f>
        <v>0.4577246208808658</v>
      </c>
      <c r="P189" s="204">
        <f>180/PI()*IF(('ANALISI DELLE SPINTE'!D43+'ANALISI DELLE SPINTE'!D36)&lt;='FOGLIO DEPOSITO'!C226,1,('ANALISI DELLE SPINTE'!D39/('ANALISI DELLE SPINTE'!D39-'ANALISI DELLE SPINTE'!D59)))*ATAN(R188/(1+S188))</f>
        <v>5.0951869914411745</v>
      </c>
      <c r="Q189" s="204">
        <f>180/PI()*IF(('ANALISI DELLE SPINTE'!D43+'ANALISI DELLE SPINTE'!D36)&lt;='FOGLIO DEPOSITO'!C226,1,('ANALISI DELLE SPINTE'!D39/('ANALISI DELLE SPINTE'!D39-'ANALISI DELLE SPINTE'!D59)))*ATAN(R188/(1-S188))</f>
        <v>5.5909404839675769</v>
      </c>
      <c r="R189" s="26"/>
      <c r="S189" s="26"/>
      <c r="T189" s="33">
        <f>'ANALISI DELLE SPINTE'!D38-'FOGLIO DEPOSITO'!P189</f>
        <v>20.904813008558826</v>
      </c>
      <c r="U189" s="35">
        <f>(SIN(RADIANS('ANALISI DELLE SPINTE'!D60+'ANALISI DELLE SPINTE'!D38-'FOGLIO DEPOSITO'!P189))^2)/(COS(RADIANS(P189)*(SIN(RADIANS('ANALISI DELLE SPINTE'!D60))^2)*SIN(RADIANS('ANALISI DELLE SPINTE'!D60-'FOGLIO DEPOSITO'!P189-'ANALISI DELLE SPINTE'!D42))))</f>
        <v>0.87611688853282588</v>
      </c>
      <c r="V189" s="33">
        <f>'ANALISI DELLE SPINTE'!D38-'FOGLIO DEPOSITO'!P189</f>
        <v>20.904813008558826</v>
      </c>
      <c r="W189" s="142">
        <f>(SIN(RADIANS('ANALISI DELLE SPINTE'!D60+'ANALISI DELLE SPINTE'!D38-'FOGLIO DEPOSITO'!Q189))^2)/(COS(RADIANS(Q189)*(SIN(RADIANS('ANALISI DELLE SPINTE'!D60))^2)*SIN(RADIANS('ANALISI DELLE SPINTE'!D60-'FOGLIO DEPOSITO'!Q189-'ANALISI DELLE SPINTE'!D42))))</f>
        <v>0.88255305552929741</v>
      </c>
      <c r="Y189" s="208">
        <f>(SIN(RADIANS('ANALISI DELLE SPINTE'!D60+'ANALISI DELLE SPINTE'!D38-AA189))^2)/(COS(RADIANS(AA189))*SIN(RADIANS('ANALISI DELLE SPINTE'!D60))^2*SIN(RADIANS('ANALISI DELLE SPINTE'!D60-'ANALISI DELLE SPINTE'!D42-AA189))*(1+((SIN(RADIANS('ANALISI DELLE SPINTE'!D38+'ANALISI DELLE SPINTE'!D42))*SIN(RADIANS('ANALISI DELLE SPINTE'!D38-'ANALISI DELLE SPINTE'!D54-AA189)))/(SIN(RADIANS('ANALISI DELLE SPINTE'!D60+'ANALISI DELLE SPINTE'!D42+AA189))*SIN(RADIANS('ANALISI DELLE SPINTE'!D60+'ANALISI DELLE SPINTE'!D54))))^0.5)^2)</f>
        <v>0.3904618339162011</v>
      </c>
      <c r="Z189" s="130"/>
      <c r="AA189" s="204">
        <v>0</v>
      </c>
      <c r="AB189" s="204"/>
      <c r="AC189" s="26"/>
      <c r="AD189" s="26"/>
      <c r="AE189" s="33">
        <f>'ANALISI DELLE SPINTE'!D38-'FOGLIO DEPOSITO'!P189</f>
        <v>20.904813008558826</v>
      </c>
      <c r="AF189" s="35">
        <f>(SIN(RADIANS('ANALISI DELLE SPINTE'!D60+'ANALISI DELLE SPINTE'!D38-'FOGLIO DEPOSITO'!AA189))^2)/(COS(RADIANS(AA189)*(SIN(RADIANS('ANALISI DELLE SPINTE'!D60))^2)*SIN(RADIANS('ANALISI DELLE SPINTE'!D60-'FOGLIO DEPOSITO'!AA189-'ANALISI DELLE SPINTE'!D42))))</f>
        <v>0.80783100033301192</v>
      </c>
      <c r="AG189" s="33"/>
      <c r="AH189" s="142"/>
    </row>
    <row r="190" spans="2:41" x14ac:dyDescent="0.25">
      <c r="H190" s="206">
        <f>((COS(RADIANS('ANALISI DELLE SPINTE'!D42))/(1+SIN(RADIANS('ANALISI DELLE SPINTE'!D38))))*(COS(RADIANS('ANALISI DELLE SPINTE'!D42))-(SIN(RADIANS('ANALISI DELLE SPINTE'!D38))^2-SIN(RADIANS('ANALISI DELLE SPINTE'!D42))^2)^0.5))*EXP(-I190*TAN(RADIANS('ANALISI DELLE SPINTE'!D38)))</f>
        <v>0.39046170695558297</v>
      </c>
      <c r="I190" s="196">
        <f>(ASIN(SIN(RADIANS('ANALISI DELLE SPINTE'!D42))/SIN(RADIANS('ANALISI DELLE SPINTE'!D38)))-RADIANS('ANALISI DELLE SPINTE'!D42))</f>
        <v>0</v>
      </c>
      <c r="N190" s="208">
        <f>(SIN(RADIANS('ANALISI DELLE SPINTE'!D60+'ANALISI DELLE SPINTE'!D45-P190))^2)/(COS(RADIANS(P190))*SIN(RADIANS('ANALISI DELLE SPINTE'!D60))^2*SIN(RADIANS('ANALISI DELLE SPINTE'!D60-'ANALISI DELLE SPINTE'!D49-P190))*(1+((SIN(RADIANS('ANALISI DELLE SPINTE'!D45+'ANALISI DELLE SPINTE'!D49))*SIN(RADIANS('ANALISI DELLE SPINTE'!D45-'ANALISI DELLE SPINTE'!D54-P190)))/(SIN(RADIANS('ANALISI DELLE SPINTE'!D60+'ANALISI DELLE SPINTE'!D49+P190))*SIN(RADIANS('ANALISI DELLE SPINTE'!D60+'ANALISI DELLE SPINTE'!D54))))^0.5)^2)</f>
        <v>0.36072719944410481</v>
      </c>
      <c r="O190" s="130">
        <f>(SIN(RADIANS('ANALISI DELLE SPINTE'!D60+'ANALISI DELLE SPINTE'!D45-Q190))^2)/(COS(RADIANS(Q190))*SIN(RADIANS('ANALISI DELLE SPINTE'!D60))^2*SIN(RADIANS('ANALISI DELLE SPINTE'!D60-'ANALISI DELLE SPINTE'!D49-Q190))*(1+((SIN(RADIANS('ANALISI DELLE SPINTE'!D45+'ANALISI DELLE SPINTE'!D49))*SIN(RADIANS('ANALISI DELLE SPINTE'!D45-'ANALISI DELLE SPINTE'!D54-Q190)))/(SIN(RADIANS('ANALISI DELLE SPINTE'!D60+'ANALISI DELLE SPINTE'!D49+Q190))*SIN(RADIANS('ANALISI DELLE SPINTE'!D60+'ANALISI DELLE SPINTE'!D54))))^0.5)^2)</f>
        <v>0.36643457483933434</v>
      </c>
      <c r="P190" s="204">
        <f>180/PI()*IF(('ANALISI DELLE SPINTE'!D36+'ANALISI DELLE SPINTE'!D43+'ANALISI DELLE SPINTE'!D50)&lt;='FOGLIO DEPOSITO'!C226,1,('ANALISI DELLE SPINTE'!D46/('ANALISI DELLE SPINTE'!D46-'ANALISI DELLE SPINTE'!D59)))*ATAN(R188/(1+S188))</f>
        <v>5.0951869914411745</v>
      </c>
      <c r="Q190" s="204">
        <f>180/PI()*IF(('ANALISI DELLE SPINTE'!D36+'ANALISI DELLE SPINTE'!D43+'ANALISI DELLE SPINTE'!D50)&lt;='FOGLIO DEPOSITO'!C226,1,('ANALISI DELLE SPINTE'!D46/('ANALISI DELLE SPINTE'!D46-'ANALISI DELLE SPINTE'!D59)))*ATAN(R188/(1-S188))</f>
        <v>5.5909404839675769</v>
      </c>
      <c r="R190" s="26"/>
      <c r="S190" s="26"/>
      <c r="T190" s="33">
        <f>'ANALISI DELLE SPINTE'!D45-'FOGLIO DEPOSITO'!P190</f>
        <v>26.904813008558826</v>
      </c>
      <c r="U190" s="35">
        <f>(SIN(RADIANS('ANALISI DELLE SPINTE'!D60+'ANALISI DELLE SPINTE'!D45-'FOGLIO DEPOSITO'!P190))^2)/(COS(RADIANS(P190)*(SIN(RADIANS('ANALISI DELLE SPINTE'!D60))^2)*SIN(RADIANS('ANALISI DELLE SPINTE'!D60-'FOGLIO DEPOSITO'!P190-'ANALISI DELLE SPINTE'!D49))))</f>
        <v>0.7983651620712463</v>
      </c>
      <c r="V190" s="33">
        <f>'ANALISI DELLE SPINTE'!D45-'FOGLIO DEPOSITO'!P190</f>
        <v>26.904813008558826</v>
      </c>
      <c r="W190" s="142">
        <f>(SIN(RADIANS('ANALISI DELLE SPINTE'!D60+'ANALISI DELLE SPINTE'!D45-'FOGLIO DEPOSITO'!Q190))^2)/(COS(RADIANS(Q190)*(SIN(RADIANS('ANALISI DELLE SPINTE'!D60))^2)*SIN(RADIANS('ANALISI DELLE SPINTE'!D60-'FOGLIO DEPOSITO'!Q190-'ANALISI DELLE SPINTE'!D49))))</f>
        <v>0.80597165193779519</v>
      </c>
      <c r="Y190" s="208">
        <f>(SIN(RADIANS('ANALISI DELLE SPINTE'!D60+'ANALISI DELLE SPINTE'!D45-AA190))^2)/(COS(RADIANS(AA190))*SIN(RADIANS('ANALISI DELLE SPINTE'!D60))^2*SIN(RADIANS('ANALISI DELLE SPINTE'!D60-'ANALISI DELLE SPINTE'!D49-AA190))*(1+((SIN(RADIANS('ANALISI DELLE SPINTE'!D45+'ANALISI DELLE SPINTE'!D49))*SIN(RADIANS('ANALISI DELLE SPINTE'!D45-'ANALISI DELLE SPINTE'!D54-AA190)))/(SIN(RADIANS('ANALISI DELLE SPINTE'!D60+'ANALISI DELLE SPINTE'!D49+AA190))*SIN(RADIANS('ANALISI DELLE SPINTE'!D60+'ANALISI DELLE SPINTE'!D54))))^0.5)^2)</f>
        <v>0.30725865252011042</v>
      </c>
      <c r="Z190" s="130"/>
      <c r="AA190" s="204">
        <v>0</v>
      </c>
      <c r="AB190" s="204"/>
      <c r="AC190" s="26"/>
      <c r="AD190" s="26"/>
      <c r="AE190" s="33">
        <f>'ANALISI DELLE SPINTE'!D45-'FOGLIO DEPOSITO'!P190</f>
        <v>26.904813008558826</v>
      </c>
      <c r="AF190" s="35">
        <f>(SIN(RADIANS('ANALISI DELLE SPINTE'!D60+'ANALISI DELLE SPINTE'!D45-'FOGLIO DEPOSITO'!AA190))^2)/(COS(RADIANS(AA190)*(SIN(RADIANS('ANALISI DELLE SPINTE'!D60))^2)*SIN(RADIANS('ANALISI DELLE SPINTE'!D60-'FOGLIO DEPOSITO'!AA190-'ANALISI DELLE SPINTE'!D49))))</f>
        <v>0.71918587299250558</v>
      </c>
      <c r="AG190" s="33"/>
      <c r="AH190" s="142"/>
    </row>
    <row r="191" spans="2:41" x14ac:dyDescent="0.25">
      <c r="H191" s="207">
        <f>((COS(RADIANS('ANALISI DELLE SPINTE'!D49))/(1+SIN(RADIANS('ANALISI DELLE SPINTE'!D45))))*(COS(RADIANS('ANALISI DELLE SPINTE'!D49))-(SIN(RADIANS('ANALISI DELLE SPINTE'!D45))^2-SIN(RADIANS('ANALISI DELLE SPINTE'!D49))^2)^0.5))*EXP(-I191*TAN(RADIANS('ANALISI DELLE SPINTE'!D45)))</f>
        <v>0.30725852452246843</v>
      </c>
      <c r="I191" s="197">
        <f>(ASIN(SIN(RADIANS('ANALISI DELLE SPINTE'!D49))/SIN(RADIANS('ANALISI DELLE SPINTE'!D45)))-RADIANS('ANALISI DELLE SPINTE'!D49))</f>
        <v>0</v>
      </c>
      <c r="N191" s="161"/>
      <c r="O191" s="26"/>
      <c r="P191" s="26"/>
      <c r="Q191" s="26"/>
      <c r="R191" s="26"/>
      <c r="S191" s="26"/>
      <c r="T191" s="26"/>
      <c r="U191" s="26"/>
      <c r="V191" s="26"/>
      <c r="W191" s="143"/>
      <c r="Y191" s="161"/>
      <c r="Z191" s="26"/>
      <c r="AA191" s="26"/>
      <c r="AB191" s="26"/>
      <c r="AC191" s="26"/>
      <c r="AD191" s="26"/>
      <c r="AE191" s="26"/>
      <c r="AF191" s="26"/>
      <c r="AG191" s="26"/>
      <c r="AH191" s="143"/>
    </row>
    <row r="192" spans="2:41" x14ac:dyDescent="0.25">
      <c r="N192" s="185"/>
      <c r="O192" s="31"/>
      <c r="P192" s="31"/>
      <c r="Q192" s="31"/>
      <c r="R192" s="31"/>
      <c r="S192" s="31"/>
      <c r="T192" s="31"/>
      <c r="U192" s="31"/>
      <c r="V192" s="31"/>
      <c r="W192" s="186"/>
      <c r="Y192" s="185"/>
      <c r="Z192" s="31"/>
      <c r="AA192" s="31"/>
      <c r="AB192" s="31"/>
      <c r="AC192" s="31"/>
      <c r="AD192" s="31"/>
      <c r="AE192" s="31"/>
      <c r="AF192" s="31"/>
      <c r="AG192" s="31"/>
      <c r="AH192" s="186"/>
    </row>
    <row r="195" spans="2:19" ht="15.75" thickBot="1" x14ac:dyDescent="0.3">
      <c r="M195" t="s">
        <v>241</v>
      </c>
    </row>
    <row r="196" spans="2:19" ht="16.5" thickTop="1" thickBot="1" x14ac:dyDescent="0.3">
      <c r="C196" s="108" t="s">
        <v>242</v>
      </c>
      <c r="D196" s="122">
        <f>90-'FOGLIO DEPOSITO'!D201</f>
        <v>1.9098593170951972E-5</v>
      </c>
    </row>
    <row r="197" spans="2:19" ht="15.75" thickTop="1" x14ac:dyDescent="0.25">
      <c r="G197" t="s">
        <v>243</v>
      </c>
      <c r="H197" s="25">
        <f>10</f>
        <v>10</v>
      </c>
      <c r="J197" t="s">
        <v>244</v>
      </c>
      <c r="K197" s="25">
        <v>450</v>
      </c>
      <c r="M197" s="225"/>
      <c r="N197" s="297" t="s">
        <v>245</v>
      </c>
      <c r="O197" s="239" t="s">
        <v>246</v>
      </c>
      <c r="P197" s="239" t="s">
        <v>247</v>
      </c>
      <c r="Q197" s="200"/>
      <c r="R197" s="200" t="s">
        <v>13</v>
      </c>
      <c r="S197" s="201" t="s">
        <v>248</v>
      </c>
    </row>
    <row r="198" spans="2:19" x14ac:dyDescent="0.25">
      <c r="B198" s="2" t="s">
        <v>249</v>
      </c>
      <c r="C198" s="295" t="s">
        <v>70</v>
      </c>
      <c r="D198" s="81">
        <f>TAN('FOGLIO DEPOSITO'!D196*PI()/180)</f>
        <v>3.333333333320285E-7</v>
      </c>
      <c r="G198" t="s">
        <v>250</v>
      </c>
      <c r="H198" s="25">
        <v>15</v>
      </c>
      <c r="J198" t="s">
        <v>251</v>
      </c>
      <c r="K198" s="25">
        <v>430</v>
      </c>
      <c r="M198" s="161" t="s">
        <v>13</v>
      </c>
      <c r="N198" s="35">
        <v>1</v>
      </c>
      <c r="O198" s="240">
        <v>1</v>
      </c>
      <c r="P198" s="241">
        <v>1</v>
      </c>
      <c r="Q198" s="26"/>
      <c r="R198" s="26" t="s">
        <v>171</v>
      </c>
      <c r="S198" s="143" t="s">
        <v>252</v>
      </c>
    </row>
    <row r="199" spans="2:19" x14ac:dyDescent="0.25">
      <c r="G199" t="s">
        <v>253</v>
      </c>
      <c r="H199" s="25">
        <v>20</v>
      </c>
      <c r="M199" s="161" t="s">
        <v>171</v>
      </c>
      <c r="N199" s="35">
        <f>MIN(1.4-0.4*DATI!E7*DATI!E6/DATI!E12,1.2)</f>
        <v>1.153137262900265</v>
      </c>
      <c r="O199" s="240">
        <f>1.1*DATI!E8^(-0.2)</f>
        <v>1.3569975897683932</v>
      </c>
      <c r="P199" s="241">
        <v>1.2</v>
      </c>
      <c r="Q199" s="26"/>
      <c r="R199" s="26" t="s">
        <v>254</v>
      </c>
      <c r="S199" s="143" t="s">
        <v>255</v>
      </c>
    </row>
    <row r="200" spans="2:19" ht="15.75" thickBot="1" x14ac:dyDescent="0.3">
      <c r="G200" t="s">
        <v>256</v>
      </c>
      <c r="H200" s="25">
        <v>25</v>
      </c>
      <c r="M200" s="161" t="s">
        <v>254</v>
      </c>
      <c r="N200" s="35">
        <f>MIN(1.7-0.6*DATI!E7*DATI!E6/DATI!E12,1.5)</f>
        <v>1.3297058943503977</v>
      </c>
      <c r="O200" s="240">
        <f>1.05*DATI!E8^(-0.33)</f>
        <v>1.4847278140515663</v>
      </c>
      <c r="P200" s="242">
        <v>1.2</v>
      </c>
      <c r="Q200" s="26"/>
      <c r="R200" s="26" t="s">
        <v>257</v>
      </c>
      <c r="S200" s="143" t="s">
        <v>258</v>
      </c>
    </row>
    <row r="201" spans="2:19" ht="16.5" thickTop="1" thickBot="1" x14ac:dyDescent="0.3">
      <c r="B201" s="2" t="s">
        <v>259</v>
      </c>
      <c r="C201" s="6" t="s">
        <v>260</v>
      </c>
      <c r="D201" s="261">
        <f>D202</f>
        <v>89.999980901406829</v>
      </c>
      <c r="G201" t="s">
        <v>261</v>
      </c>
      <c r="H201" s="25">
        <v>30</v>
      </c>
      <c r="M201" s="161" t="s">
        <v>257</v>
      </c>
      <c r="N201" s="35">
        <f>MIN(2.4-1.5*DATI!E7*DATI!E6/DATI!E12,1.8)</f>
        <v>1.4742647358759942</v>
      </c>
      <c r="O201" s="243">
        <f>1.25*DATI!E8^(-0.5)</f>
        <v>2.1128856368212916</v>
      </c>
      <c r="P201" s="241">
        <v>1.4</v>
      </c>
      <c r="Q201" s="26"/>
      <c r="R201" s="26" t="s">
        <v>262</v>
      </c>
      <c r="S201" s="143"/>
    </row>
    <row r="202" spans="2:19" ht="16.5" thickTop="1" thickBot="1" x14ac:dyDescent="0.3">
      <c r="D202">
        <f>90-DEGREES(ATAN(('FOGLIO DEPOSITO'!D210-'FOGLIO DEPOSITO'!D209)/DATI!E37))</f>
        <v>89.999980901406829</v>
      </c>
      <c r="G202" t="s">
        <v>263</v>
      </c>
      <c r="H202" s="25">
        <v>35</v>
      </c>
      <c r="M202" s="185" t="s">
        <v>262</v>
      </c>
      <c r="N202" s="94">
        <f>MIN(2-1.1*DATI!E7*DATI!E6/DATI!E12,1.6)</f>
        <v>1.321127472975729</v>
      </c>
      <c r="O202" s="244">
        <f>1.15*DATI!E8^(-0.4)</f>
        <v>1.7501312623411667</v>
      </c>
      <c r="P202" s="31"/>
      <c r="Q202" s="31"/>
      <c r="R202" s="31"/>
      <c r="S202" s="186"/>
    </row>
    <row r="203" spans="2:19" ht="15.75" thickTop="1" x14ac:dyDescent="0.25">
      <c r="C203" s="2"/>
      <c r="D203" s="260">
        <f>'geom masse muro+tensioni'!$F$8</f>
        <v>5.0009999999999971E-2</v>
      </c>
      <c r="G203" t="s">
        <v>264</v>
      </c>
      <c r="H203" s="25">
        <v>40</v>
      </c>
    </row>
    <row r="204" spans="2:19" x14ac:dyDescent="0.25">
      <c r="G204" t="s">
        <v>265</v>
      </c>
      <c r="H204" s="25">
        <v>45</v>
      </c>
    </row>
    <row r="205" spans="2:19" x14ac:dyDescent="0.25">
      <c r="C205" t="s">
        <v>266</v>
      </c>
      <c r="G205" t="s">
        <v>267</v>
      </c>
      <c r="H205" s="25">
        <v>50</v>
      </c>
      <c r="M205" t="s">
        <v>268</v>
      </c>
    </row>
    <row r="206" spans="2:19" x14ac:dyDescent="0.25">
      <c r="C206" t="s">
        <v>269</v>
      </c>
      <c r="G206" t="s">
        <v>270</v>
      </c>
      <c r="H206" s="25">
        <v>55</v>
      </c>
      <c r="M206">
        <f>IF((IF('FOGLIO DEPOSITO'!H307="si",0,IF(DATI!E62="no",0,7/12*DATI!E25*'ANALISI DELLE SPINTE'!D59*(DATI!E37+'FOGLIO DEPOSITO'!N271-DATI!E63))))&lt;0,0,IF('FOGLIO DEPOSITO'!H307="si",0,IF(DATI!E62="no",0,7/12*DATI!E25*'ANALISI DELLE SPINTE'!D59*(DATI!E37+'FOGLIO DEPOSITO'!N271-DATI!E63))))</f>
        <v>0</v>
      </c>
    </row>
    <row r="207" spans="2:19" x14ac:dyDescent="0.25">
      <c r="C207" t="s">
        <v>271</v>
      </c>
      <c r="G207" t="s">
        <v>272</v>
      </c>
      <c r="H207" s="25">
        <v>60</v>
      </c>
    </row>
    <row r="209" spans="2:26" ht="18.75" thickBot="1" x14ac:dyDescent="0.3">
      <c r="B209" s="262" t="s">
        <v>66</v>
      </c>
      <c r="C209" s="263" t="s">
        <v>67</v>
      </c>
      <c r="D209" s="264">
        <f>'FOGLIO DEPOSITO'!N263-'FOGLIO DEPOSITO'!N259</f>
        <v>5.0000000000000017E-2</v>
      </c>
    </row>
    <row r="210" spans="2:26" ht="19.5" thickTop="1" thickBot="1" x14ac:dyDescent="0.3">
      <c r="B210" s="40" t="s">
        <v>273</v>
      </c>
      <c r="C210" s="265" t="s">
        <v>274</v>
      </c>
      <c r="D210" s="266">
        <f>'FOGLIO DEPOSITO'!B229-'FOGLIO DEPOSITO'!N259</f>
        <v>5.0010000000000027E-2</v>
      </c>
      <c r="G210" s="136" t="s">
        <v>275</v>
      </c>
      <c r="H210" s="25"/>
    </row>
    <row r="211" spans="2:26" ht="15.75" thickTop="1" x14ac:dyDescent="0.25">
      <c r="B211" s="40" t="s">
        <v>276</v>
      </c>
      <c r="C211" s="31"/>
      <c r="D211" s="267">
        <f>'FOGLIO DEPOSITO'!D203+'FOGLIO DEPOSITO'!N259</f>
        <v>0.20000999999999997</v>
      </c>
      <c r="G211" s="301" t="s">
        <v>13</v>
      </c>
      <c r="H211" s="301" t="s">
        <v>277</v>
      </c>
      <c r="J211" s="276" t="s">
        <v>278</v>
      </c>
      <c r="K211" s="277">
        <f>DATI!E83</f>
        <v>1</v>
      </c>
    </row>
    <row r="212" spans="2:26" x14ac:dyDescent="0.25">
      <c r="B212" s="269" t="s">
        <v>279</v>
      </c>
      <c r="C212" s="119"/>
      <c r="D212" s="270">
        <f>IF('FOGLIO DEPOSITO'!M274='FOGLIO DEPOSITO'!C207,'FOGLIO DEPOSITO'!N273,IF('FOGLIO DEPOSITO'!M274='FOGLIO DEPOSITO'!C206,'FOGLIO DEPOSITO'!N273-'FOGLIO DEPOSITO'!D210,'FOGLIO DEPOSITO'!N273-'FOGLIO DEPOSITO'!D210-'FOGLIO DEPOSITO'!N259/2))</f>
        <v>3.7</v>
      </c>
      <c r="G212" s="301" t="s">
        <v>280</v>
      </c>
      <c r="H212" s="301" t="s">
        <v>280</v>
      </c>
      <c r="J212" s="276" t="s">
        <v>281</v>
      </c>
      <c r="K212" s="277">
        <f>DATI!E84</f>
        <v>1</v>
      </c>
    </row>
    <row r="213" spans="2:26" x14ac:dyDescent="0.25">
      <c r="B213" s="268" t="s">
        <v>282</v>
      </c>
      <c r="F213" s="245" t="s">
        <v>283</v>
      </c>
      <c r="G213" s="301">
        <v>0.31</v>
      </c>
      <c r="H213" s="301">
        <v>0.31</v>
      </c>
      <c r="J213" s="276" t="s">
        <v>284</v>
      </c>
      <c r="K213" s="277">
        <f>DATI!E85</f>
        <v>1</v>
      </c>
    </row>
    <row r="214" spans="2:26" x14ac:dyDescent="0.25">
      <c r="F214" s="245" t="s">
        <v>285</v>
      </c>
      <c r="G214" s="301">
        <v>0.28999999999999998</v>
      </c>
      <c r="H214" s="301">
        <v>0.24</v>
      </c>
      <c r="J214" s="279" t="s">
        <v>286</v>
      </c>
    </row>
    <row r="215" spans="2:26" x14ac:dyDescent="0.25">
      <c r="F215" s="245" t="s">
        <v>287</v>
      </c>
      <c r="G215" s="301">
        <v>0.2</v>
      </c>
      <c r="H215" s="301">
        <v>0.18</v>
      </c>
    </row>
    <row r="216" spans="2:26" x14ac:dyDescent="0.25">
      <c r="F216" s="234"/>
      <c r="G216" s="72" t="s">
        <v>288</v>
      </c>
      <c r="H216" s="72" t="s">
        <v>288</v>
      </c>
      <c r="I216" s="25"/>
    </row>
    <row r="217" spans="2:26" x14ac:dyDescent="0.25">
      <c r="F217" s="234"/>
      <c r="G217" s="235">
        <f>IF(DATI!E13&lt;=0.1,G215,IF(DATI!E13&lt;=0.2,G214,G213))</f>
        <v>0.31</v>
      </c>
      <c r="H217" s="235">
        <f>IF(DATI!E13&lt;=0.1,H215,IF(DATI!E13&lt;=0.2,H214,H213))</f>
        <v>0.31</v>
      </c>
      <c r="I217" s="25"/>
    </row>
    <row r="218" spans="2:26" x14ac:dyDescent="0.25">
      <c r="H218" s="25"/>
      <c r="I218" s="25"/>
    </row>
    <row r="219" spans="2:26" x14ac:dyDescent="0.25">
      <c r="H219" s="25"/>
      <c r="I219" s="25"/>
    </row>
    <row r="220" spans="2:26" x14ac:dyDescent="0.25">
      <c r="B220" s="16" t="s">
        <v>289</v>
      </c>
      <c r="C220" s="2"/>
      <c r="D220" s="2"/>
    </row>
    <row r="221" spans="2:26" ht="15.75" thickBot="1" x14ac:dyDescent="0.3">
      <c r="B221" s="16"/>
      <c r="C221" s="2"/>
      <c r="D221" s="2"/>
      <c r="M221" s="523" t="s">
        <v>531</v>
      </c>
      <c r="N221" s="523"/>
      <c r="O221" s="523"/>
      <c r="P221" s="523"/>
      <c r="Q221" s="523"/>
    </row>
    <row r="222" spans="2:26" ht="17.25" thickTop="1" thickBot="1" x14ac:dyDescent="0.3">
      <c r="B222" s="20" t="s">
        <v>290</v>
      </c>
      <c r="C222" s="2"/>
    </row>
    <row r="223" spans="2:26" ht="16.5" thickTop="1" thickBot="1" x14ac:dyDescent="0.3">
      <c r="G223" s="522" t="s">
        <v>443</v>
      </c>
      <c r="H223" s="522"/>
      <c r="I223" s="522"/>
      <c r="J223" s="521" t="s">
        <v>519</v>
      </c>
      <c r="K223" s="521"/>
      <c r="M223" s="522" t="s">
        <v>443</v>
      </c>
      <c r="N223" s="522"/>
      <c r="O223" s="522"/>
      <c r="P223" s="521" t="s">
        <v>519</v>
      </c>
      <c r="Q223" s="521"/>
      <c r="V223" s="6" t="s">
        <v>20</v>
      </c>
      <c r="W223" s="122">
        <f>DATI!E42</f>
        <v>28</v>
      </c>
      <c r="Y223" s="355">
        <f>IF(DATI!E58=0,IF('FOGLIO DEPOSITO'!W223='FOGLIO DEPOSITO'!W229,1,0),IF('FOGLIO DEPOSITO'!W223='FOGLIO DEPOSITO'!W229,IF('FOGLIO DEPOSITO'!W229='FOGLIO DEPOSITO'!W235,1,0),0))</f>
        <v>0</v>
      </c>
      <c r="Z223" s="2" t="s">
        <v>523</v>
      </c>
    </row>
    <row r="224" spans="2:26" ht="20.25" thickTop="1" thickBot="1" x14ac:dyDescent="0.3">
      <c r="G224" s="183" t="s">
        <v>451</v>
      </c>
      <c r="H224" s="183" t="s">
        <v>452</v>
      </c>
      <c r="I224" s="184" t="s">
        <v>453</v>
      </c>
      <c r="J224" s="175" t="s">
        <v>454</v>
      </c>
      <c r="K224" s="176" t="s">
        <v>455</v>
      </c>
      <c r="M224" s="183" t="s">
        <v>510</v>
      </c>
      <c r="N224" s="183" t="s">
        <v>527</v>
      </c>
      <c r="O224" s="184" t="s">
        <v>512</v>
      </c>
      <c r="P224" s="175" t="s">
        <v>454</v>
      </c>
      <c r="Q224" s="176" t="s">
        <v>455</v>
      </c>
      <c r="V224" s="6" t="s">
        <v>393</v>
      </c>
      <c r="W224" s="158">
        <f>DATI!E43</f>
        <v>19</v>
      </c>
      <c r="Y224" s="353">
        <f>IF(DATI!E58=0,IF('FOGLIO DEPOSITO'!W224='FOGLIO DEPOSITO'!W230,1,0),IF('FOGLIO DEPOSITO'!W224='FOGLIO DEPOSITO'!W230,IF('FOGLIO DEPOSITO'!W230='FOGLIO DEPOSITO'!W236,1,0),0))</f>
        <v>0</v>
      </c>
      <c r="Z224" s="318" t="s">
        <v>524</v>
      </c>
    </row>
    <row r="225" spans="2:26" ht="16.5" thickTop="1" thickBot="1" x14ac:dyDescent="0.3">
      <c r="G225" s="162">
        <f>('ANALISI DELLE SPINTE'!F85*'FOGLIO DEPOSITO'!C242-'ANALISI DELLE SPINTE'!G85+'FOGLIO DEPOSITO'!D242)*'FOGLIO DEPOSITO'!$K$211*H236</f>
        <v>0</v>
      </c>
      <c r="H225" s="162">
        <f>'ANALISI DELLE SPINTE'!J85*'ANALISI DELLE SPINTE'!F85*'FOGLIO DEPOSITO'!$K$212</f>
        <v>0</v>
      </c>
      <c r="I225" s="167">
        <f>'ANALISI DELLE SPINTE'!K85*'ANALISI DELLE SPINTE'!F85*'FOGLIO DEPOSITO'!$K$213</f>
        <v>0</v>
      </c>
      <c r="J225" s="171">
        <f>'FOGLIO DEPOSITO'!C242+'ANALISI DELLE SPINTE'!K85+'ANALISI DELLE SPINTE'!J85</f>
        <v>0</v>
      </c>
      <c r="K225" s="216">
        <f>IF(('FOGLIO DEPOSITO'!G225+'FOGLIO DEPOSITO'!H225+'FOGLIO DEPOSITO'!I225)&lt;0,0,('FOGLIO DEPOSITO'!G225+'FOGLIO DEPOSITO'!H225+'FOGLIO DEPOSITO'!I225)+'ANALISI DELLE SPINTE'!$C$97-'FOGLIO DEPOSITO'!D242)+IF('FOGLIO DEPOSITO'!AA262="",0,'FOGLIO DEPOSITO'!AA262)/('FOGLIO DEPOSITO'!N258*'FOGLIO DEPOSITO'!W227)</f>
        <v>0</v>
      </c>
      <c r="M225" s="162">
        <f t="shared" ref="M225:M233" si="19">G225/$K$211</f>
        <v>0</v>
      </c>
      <c r="N225" s="162">
        <f t="shared" ref="N225:N233" si="20">H225/$K$212</f>
        <v>0</v>
      </c>
      <c r="O225" s="162">
        <f t="shared" ref="O225:O233" si="21">I225/$K$213</f>
        <v>0</v>
      </c>
      <c r="P225" s="171">
        <f>'FOGLIO DEPOSITO'!C242+'ANALISI DELLE SPINTE'!K85+'ANALISI DELLE SPINTE'!J85</f>
        <v>0</v>
      </c>
      <c r="Q225" s="216">
        <f>IF(('FOGLIO DEPOSITO'!M225+'FOGLIO DEPOSITO'!N225+'FOGLIO DEPOSITO'!O225)&lt;0,0,('FOGLIO DEPOSITO'!M225+'FOGLIO DEPOSITO'!N225+'FOGLIO DEPOSITO'!O225)+'ANALISI DELLE SPINTE'!$C$97-'FOGLIO DEPOSITO'!D242)+IF('FOGLIO DEPOSITO'!AA262="",0,'FOGLIO DEPOSITO'!AA262)/('FOGLIO DEPOSITO'!N258*'FOGLIO DEPOSITO'!W227)</f>
        <v>0</v>
      </c>
      <c r="V225" s="300" t="s">
        <v>395</v>
      </c>
      <c r="W225" s="127">
        <f>DATI!E44</f>
        <v>0</v>
      </c>
      <c r="Y225" s="353">
        <f>IF(DATI!E58=0,IF('FOGLIO DEPOSITO'!W225='FOGLIO DEPOSITO'!W231,1,0),IF('FOGLIO DEPOSITO'!W225='FOGLIO DEPOSITO'!W231,IF('FOGLIO DEPOSITO'!W231='FOGLIO DEPOSITO'!W237,1,0),0))</f>
        <v>0</v>
      </c>
      <c r="Z225" s="318" t="s">
        <v>525</v>
      </c>
    </row>
    <row r="226" spans="2:26" ht="16.5" thickTop="1" thickBot="1" x14ac:dyDescent="0.3">
      <c r="B226" t="s">
        <v>291</v>
      </c>
      <c r="C226" s="157">
        <f>IF('FOGLIO DEPOSITO'!H307="si",DATI!E37+'FOGLIO DEPOSITO'!N271+10,IF(DATI!E62="SI",DATI!E63,DATI!E37+'FOGLIO DEPOSITO'!N271+10))</f>
        <v>40</v>
      </c>
      <c r="G226" s="162">
        <f>('ANALISI DELLE SPINTE'!F86*'FOGLIO DEPOSITO'!C243-'ANALISI DELLE SPINTE'!G86+'FOGLIO DEPOSITO'!D243)*'FOGLIO DEPOSITO'!$K$211*H236</f>
        <v>93.376893449429545</v>
      </c>
      <c r="H226" s="162">
        <f>'ANALISI DELLE SPINTE'!J86*'ANALISI DELLE SPINTE'!F86*'FOGLIO DEPOSITO'!$K$212</f>
        <v>0</v>
      </c>
      <c r="I226" s="167">
        <f>'ANALISI DELLE SPINTE'!K86*'ANALISI DELLE SPINTE'!F86*'FOGLIO DEPOSITO'!$K$213</f>
        <v>0</v>
      </c>
      <c r="J226" s="171">
        <f>'FOGLIO DEPOSITO'!C243+'ANALISI DELLE SPINTE'!K86+'ANALISI DELLE SPINTE'!J86</f>
        <v>212.8</v>
      </c>
      <c r="K226" s="179">
        <f>IF(('FOGLIO DEPOSITO'!G226+'FOGLIO DEPOSITO'!H226+'FOGLIO DEPOSITO'!I226)&lt;0,(IF('ANALISI DELLE SPINTE'!C86&lt;'ANALISI DELLE SPINTE'!$C$96,'ANALISI DELLE SPINTE'!$D$59*'ANALISI DELLE SPINTE'!C86,'ANALISI DELLE SPINTE'!$C$97)),('FOGLIO DEPOSITO'!G226+'FOGLIO DEPOSITO'!H226+'FOGLIO DEPOSITO'!I226)+'ANALISI DELLE SPINTE'!$C$97)+IF('FOGLIO DEPOSITO'!AA262="",0,'FOGLIO DEPOSITO'!AA262)/('FOGLIO DEPOSITO'!N258*'FOGLIO DEPOSITO'!W227)</f>
        <v>93.376893449429545</v>
      </c>
      <c r="M226" s="162">
        <f t="shared" si="19"/>
        <v>93.376893449429545</v>
      </c>
      <c r="N226" s="162">
        <f t="shared" si="20"/>
        <v>0</v>
      </c>
      <c r="O226" s="162">
        <f t="shared" si="21"/>
        <v>0</v>
      </c>
      <c r="P226" s="171">
        <f>'FOGLIO DEPOSITO'!C243+'ANALISI DELLE SPINTE'!K86+'ANALISI DELLE SPINTE'!J86</f>
        <v>212.8</v>
      </c>
      <c r="Q226" s="179">
        <f>IF(('FOGLIO DEPOSITO'!M226+'FOGLIO DEPOSITO'!N226+'FOGLIO DEPOSITO'!O226)&lt;0,(IF('ANALISI DELLE SPINTE'!C86&lt;'ANALISI DELLE SPINTE'!$C$96,'ANALISI DELLE SPINTE'!$D$59*'ANALISI DELLE SPINTE'!C86,'ANALISI DELLE SPINTE'!$C$97)),('FOGLIO DEPOSITO'!M226+'FOGLIO DEPOSITO'!N226+'FOGLIO DEPOSITO'!O226)+'ANALISI DELLE SPINTE'!$C$97)+IF('FOGLIO DEPOSITO'!AA262="",0,'FOGLIO DEPOSITO'!AA262)/('FOGLIO DEPOSITO'!N258*'FOGLIO DEPOSITO'!W227)</f>
        <v>93.376893449429545</v>
      </c>
      <c r="V226" s="300" t="s">
        <v>397</v>
      </c>
      <c r="W226" s="127">
        <f>DATI!E45</f>
        <v>0</v>
      </c>
      <c r="Y226" s="353">
        <f>IF(DATI!E58=0,IF('FOGLIO DEPOSITO'!W226='FOGLIO DEPOSITO'!W232,1,0),IF('FOGLIO DEPOSITO'!W226='FOGLIO DEPOSITO'!W232,IF('FOGLIO DEPOSITO'!W232='FOGLIO DEPOSITO'!W238,1,0),0))</f>
        <v>0</v>
      </c>
      <c r="Z226" s="318" t="s">
        <v>526</v>
      </c>
    </row>
    <row r="227" spans="2:26" ht="16.5" thickTop="1" thickBot="1" x14ac:dyDescent="0.3">
      <c r="G227" s="166">
        <f>('ANALISI DELLE SPINTE'!F87*'FOGLIO DEPOSITO'!C244-'ANALISI DELLE SPINTE'!G87+'FOGLIO DEPOSITO'!D244)*'FOGLIO DEPOSITO'!$K$211*H236</f>
        <v>93.376893449429545</v>
      </c>
      <c r="H227" s="164">
        <f>'ANALISI DELLE SPINTE'!J87*'ANALISI DELLE SPINTE'!F87*'FOGLIO DEPOSITO'!$K$212</f>
        <v>0</v>
      </c>
      <c r="I227" s="168">
        <f>'ANALISI DELLE SPINTE'!K87*'ANALISI DELLE SPINTE'!F87*'FOGLIO DEPOSITO'!$K$213</f>
        <v>0</v>
      </c>
      <c r="J227" s="172">
        <f>'FOGLIO DEPOSITO'!C244+'ANALISI DELLE SPINTE'!K87+'ANALISI DELLE SPINTE'!J87</f>
        <v>212.8</v>
      </c>
      <c r="K227" s="181">
        <f>IF(('FOGLIO DEPOSITO'!G227+'FOGLIO DEPOSITO'!H227+'FOGLIO DEPOSITO'!I227)&lt;0,(IF('ANALISI DELLE SPINTE'!C87&lt;'ANALISI DELLE SPINTE'!$C$96,'ANALISI DELLE SPINTE'!$D$59*'ANALISI DELLE SPINTE'!C87,'ANALISI DELLE SPINTE'!$C$97)),('FOGLIO DEPOSITO'!G227+'FOGLIO DEPOSITO'!H227+'FOGLIO DEPOSITO'!I227)+'ANALISI DELLE SPINTE'!$C$97)+IF('FOGLIO DEPOSITO'!AA262="",0,'FOGLIO DEPOSITO'!AA262)/('FOGLIO DEPOSITO'!N258*'FOGLIO DEPOSITO'!W227)</f>
        <v>93.376893449429545</v>
      </c>
      <c r="M227" s="164">
        <f t="shared" si="19"/>
        <v>93.376893449429545</v>
      </c>
      <c r="N227" s="164">
        <f t="shared" si="20"/>
        <v>0</v>
      </c>
      <c r="O227" s="164">
        <f t="shared" si="21"/>
        <v>0</v>
      </c>
      <c r="P227" s="171">
        <f>'FOGLIO DEPOSITO'!C244+'ANALISI DELLE SPINTE'!K87+'ANALISI DELLE SPINTE'!J87</f>
        <v>212.8</v>
      </c>
      <c r="Q227" s="181">
        <f>IF(('FOGLIO DEPOSITO'!M227+'FOGLIO DEPOSITO'!N227+'FOGLIO DEPOSITO'!O227)&lt;0,(IF('ANALISI DELLE SPINTE'!C87&lt;'ANALISI DELLE SPINTE'!$C$96,'ANALISI DELLE SPINTE'!$D$59*'ANALISI DELLE SPINTE'!C87,'ANALISI DELLE SPINTE'!$C$97)),('FOGLIO DEPOSITO'!M227+'FOGLIO DEPOSITO'!N227+'FOGLIO DEPOSITO'!O227)+'ANALISI DELLE SPINTE'!$C$97)+IF('FOGLIO DEPOSITO'!AA262="",0,'FOGLIO DEPOSITO'!AA262)/('FOGLIO DEPOSITO'!N258*'FOGLIO DEPOSITO'!W227)</f>
        <v>93.376893449429545</v>
      </c>
      <c r="V227" s="6" t="s">
        <v>399</v>
      </c>
      <c r="W227" s="126">
        <f>IF('FOGLIO DEPOSITO'!Y228=1,'FOGLIO DEPOSITO'!H308,DATI!E46)</f>
        <v>11.200000000000001</v>
      </c>
      <c r="Y227" s="353"/>
      <c r="Z227" s="318"/>
    </row>
    <row r="228" spans="2:26" ht="16.5" thickTop="1" thickBot="1" x14ac:dyDescent="0.3">
      <c r="G228" s="162">
        <f>IF('ANALISI DELLE SPINTE'!D43=0,"",('ANALISI DELLE SPINTE'!F88*'FOGLIO DEPOSITO'!C245-'ANALISI DELLE SPINTE'!G88+'FOGLIO DEPOSITO'!D245)*'FOGLIO DEPOSITO'!$K$211*H236)</f>
        <v>59.491925871429096</v>
      </c>
      <c r="H228" s="162">
        <f>IF('ANALISI DELLE SPINTE'!$D$43=0,"",'ANALISI DELLE SPINTE'!J88*'ANALISI DELLE SPINTE'!F88*'FOGLIO DEPOSITO'!$K$212)</f>
        <v>0</v>
      </c>
      <c r="I228" s="167">
        <f>IF('ANALISI DELLE SPINTE'!$D$43=0,"",'ANALISI DELLE SPINTE'!K88*'ANALISI DELLE SPINTE'!F88*'FOGLIO DEPOSITO'!$K$213)</f>
        <v>0</v>
      </c>
      <c r="J228" s="171">
        <f>IF('ANALISI DELLE SPINTE'!D43=0,"",'FOGLIO DEPOSITO'!C245+'ANALISI DELLE SPINTE'!K88+'ANALISI DELLE SPINTE'!J88)</f>
        <v>212.8</v>
      </c>
      <c r="K228" s="179">
        <f>IF('ANALISI DELLE SPINTE'!D43=0,"",IF(('FOGLIO DEPOSITO'!G228+'FOGLIO DEPOSITO'!H228+'FOGLIO DEPOSITO'!I228)&lt;0,(IF('ANALISI DELLE SPINTE'!C88&lt;'ANALISI DELLE SPINTE'!$C$96,'ANALISI DELLE SPINTE'!$D$59*'ANALISI DELLE SPINTE'!C88,'ANALISI DELLE SPINTE'!$C$97)),('FOGLIO DEPOSITO'!G228+'FOGLIO DEPOSITO'!H228+'FOGLIO DEPOSITO'!I228)+'ANALISI DELLE SPINTE'!$C$97)+IF('FOGLIO DEPOSITO'!AA265="",0,'FOGLIO DEPOSITO'!AA265)/('FOGLIO DEPOSITO'!N258*'FOGLIO DEPOSITO'!W233))</f>
        <v>59.491925871429096</v>
      </c>
      <c r="M228" s="162">
        <f t="shared" si="19"/>
        <v>59.491925871429096</v>
      </c>
      <c r="N228" s="162">
        <f t="shared" si="20"/>
        <v>0</v>
      </c>
      <c r="O228" s="162">
        <f t="shared" si="21"/>
        <v>0</v>
      </c>
      <c r="P228" s="171">
        <f>'FOGLIO DEPOSITO'!C245+'ANALISI DELLE SPINTE'!K88+'ANALISI DELLE SPINTE'!J88</f>
        <v>212.8</v>
      </c>
      <c r="Q228" s="179">
        <f>IF('ANALISI DELLE SPINTE'!D43=0,"",IF(('FOGLIO DEPOSITO'!M228+'FOGLIO DEPOSITO'!N228+'FOGLIO DEPOSITO'!O228)&lt;0,(IF('ANALISI DELLE SPINTE'!C88&lt;'ANALISI DELLE SPINTE'!$C$96,'ANALISI DELLE SPINTE'!$D$59*'ANALISI DELLE SPINTE'!C88,'ANALISI DELLE SPINTE'!$C$97)),('FOGLIO DEPOSITO'!M228+'FOGLIO DEPOSITO'!N228+'FOGLIO DEPOSITO'!O228)+'ANALISI DELLE SPINTE'!$C$97)+IF('FOGLIO DEPOSITO'!AA265="",0,'FOGLIO DEPOSITO'!AA265)/('FOGLIO DEPOSITO'!N258*'FOGLIO DEPOSITO'!W233))</f>
        <v>59.491925871429096</v>
      </c>
      <c r="V228" s="6"/>
      <c r="W228" s="75"/>
      <c r="Y228" s="10">
        <f>Y223*Y224*Y225*Y226</f>
        <v>0</v>
      </c>
      <c r="Z228" s="2"/>
    </row>
    <row r="229" spans="2:26" ht="16.5" thickTop="1" thickBot="1" x14ac:dyDescent="0.3">
      <c r="B229" s="123">
        <f>'FOGLIO DEPOSITO'!N264+0.00001</f>
        <v>0.20001000000000002</v>
      </c>
      <c r="D229" s="373">
        <f>0.79999+0.00001</f>
        <v>0.79999999999999993</v>
      </c>
      <c r="G229" s="162">
        <f>IF('ANALISI DELLE SPINTE'!D43=0,"",('ANALISI DELLE SPINTE'!F89*'FOGLIO DEPOSITO'!C246-'ANALISI DELLE SPINTE'!G89+'FOGLIO DEPOSITO'!D246)*'FOGLIO DEPOSITO'!$K$211*H236)</f>
        <v>150.78597633414202</v>
      </c>
      <c r="H229" s="162">
        <f>IF('ANALISI DELLE SPINTE'!$D$43=0,"",'ANALISI DELLE SPINTE'!J89*'ANALISI DELLE SPINTE'!F89*'FOGLIO DEPOSITO'!$K$212)</f>
        <v>0</v>
      </c>
      <c r="I229" s="167">
        <f>IF('ANALISI DELLE SPINTE'!$D$43=0,"",'ANALISI DELLE SPINTE'!K89*'ANALISI DELLE SPINTE'!F89*'FOGLIO DEPOSITO'!$K$213)</f>
        <v>0</v>
      </c>
      <c r="J229" s="171">
        <f>IF('ANALISI DELLE SPINTE'!D43=0,"",'FOGLIO DEPOSITO'!C246+'ANALISI DELLE SPINTE'!K89+'ANALISI DELLE SPINTE'!J89)</f>
        <v>420.85333333333335</v>
      </c>
      <c r="K229" s="179">
        <f>IF('ANALISI DELLE SPINTE'!D43=0,"",IF(('FOGLIO DEPOSITO'!G229+'FOGLIO DEPOSITO'!H229+'FOGLIO DEPOSITO'!I229)&lt;0,(IF('ANALISI DELLE SPINTE'!C89&lt;'ANALISI DELLE SPINTE'!$C$96,'ANALISI DELLE SPINTE'!$D$59*'ANALISI DELLE SPINTE'!C89,'ANALISI DELLE SPINTE'!$C$97)),('FOGLIO DEPOSITO'!G229+'FOGLIO DEPOSITO'!H229+'FOGLIO DEPOSITO'!I229)+'ANALISI DELLE SPINTE'!$C$97)+IF('FOGLIO DEPOSITO'!AA265="",0,'FOGLIO DEPOSITO'!AA265)/('FOGLIO DEPOSITO'!N258*'FOGLIO DEPOSITO'!W233))</f>
        <v>150.78597633414202</v>
      </c>
      <c r="M229" s="162">
        <f t="shared" si="19"/>
        <v>150.78597633414202</v>
      </c>
      <c r="N229" s="162">
        <f t="shared" si="20"/>
        <v>0</v>
      </c>
      <c r="O229" s="162">
        <f t="shared" si="21"/>
        <v>0</v>
      </c>
      <c r="P229" s="171">
        <f>'FOGLIO DEPOSITO'!C246+'ANALISI DELLE SPINTE'!K89+'ANALISI DELLE SPINTE'!J89</f>
        <v>420.85333333333335</v>
      </c>
      <c r="Q229" s="179">
        <f>IF('ANALISI DELLE SPINTE'!D43=0,"",IF(('FOGLIO DEPOSITO'!M229+'FOGLIO DEPOSITO'!N229+'FOGLIO DEPOSITO'!O229)&lt;0,(IF('ANALISI DELLE SPINTE'!C89&lt;'ANALISI DELLE SPINTE'!$C$96,'ANALISI DELLE SPINTE'!$D$59*'ANALISI DELLE SPINTE'!C89,'ANALISI DELLE SPINTE'!$C$97)),('FOGLIO DEPOSITO'!M229+'FOGLIO DEPOSITO'!N229+'FOGLIO DEPOSITO'!O229)+'ANALISI DELLE SPINTE'!$C$97)+IF('FOGLIO DEPOSITO'!AA265="",0,'FOGLIO DEPOSITO'!AA265)/('FOGLIO DEPOSITO'!N258*'FOGLIO DEPOSITO'!W233))</f>
        <v>150.78597633414202</v>
      </c>
      <c r="V229" s="6" t="s">
        <v>20</v>
      </c>
      <c r="W229" s="122">
        <f>DATI!E48</f>
        <v>26</v>
      </c>
    </row>
    <row r="230" spans="2:26" ht="16.5" thickTop="1" thickBot="1" x14ac:dyDescent="0.3">
      <c r="B230" t="s">
        <v>556</v>
      </c>
      <c r="G230" s="164">
        <f>IF('ANALISI DELLE SPINTE'!D43=0,"",('ANALISI DELLE SPINTE'!F90*'FOGLIO DEPOSITO'!C247-'ANALISI DELLE SPINTE'!G90+'FOGLIO DEPOSITO'!D247)*'FOGLIO DEPOSITO'!K211*H236)</f>
        <v>150.78597633414202</v>
      </c>
      <c r="H230" s="164">
        <f>IF('ANALISI DELLE SPINTE'!$D$43=0,"",'ANALISI DELLE SPINTE'!J90*'ANALISI DELLE SPINTE'!F90*'FOGLIO DEPOSITO'!$K$212)</f>
        <v>0</v>
      </c>
      <c r="I230" s="168">
        <f>IF('ANALISI DELLE SPINTE'!$D$43=0,"",'ANALISI DELLE SPINTE'!K90*'ANALISI DELLE SPINTE'!F90*'FOGLIO DEPOSITO'!$K$213)</f>
        <v>0</v>
      </c>
      <c r="J230" s="172">
        <f>IF('ANALISI DELLE SPINTE'!D43=0,"",'FOGLIO DEPOSITO'!C247+'ANALISI DELLE SPINTE'!K90+'ANALISI DELLE SPINTE'!J90)</f>
        <v>420.85333333333335</v>
      </c>
      <c r="K230" s="181">
        <f>IF('ANALISI DELLE SPINTE'!D43=0,"",IF(('FOGLIO DEPOSITO'!G230+'FOGLIO DEPOSITO'!H230+'FOGLIO DEPOSITO'!I230)&lt;0,(IF('ANALISI DELLE SPINTE'!C90&lt;'ANALISI DELLE SPINTE'!$C$96,'ANALISI DELLE SPINTE'!$D$59*'ANALISI DELLE SPINTE'!C90,'ANALISI DELLE SPINTE'!$C$97)),('FOGLIO DEPOSITO'!G230+'FOGLIO DEPOSITO'!H230+'FOGLIO DEPOSITO'!I230)+'ANALISI DELLE SPINTE'!$C$97)+IF('FOGLIO DEPOSITO'!AA265="",0,'FOGLIO DEPOSITO'!AA265)/('FOGLIO DEPOSITO'!N258*'FOGLIO DEPOSITO'!W233))</f>
        <v>150.78597633414202</v>
      </c>
      <c r="M230" s="164">
        <f t="shared" si="19"/>
        <v>150.78597633414202</v>
      </c>
      <c r="N230" s="164">
        <f t="shared" si="20"/>
        <v>0</v>
      </c>
      <c r="O230" s="164">
        <f t="shared" si="21"/>
        <v>0</v>
      </c>
      <c r="P230" s="171">
        <f>'FOGLIO DEPOSITO'!C247+'ANALISI DELLE SPINTE'!K90+'ANALISI DELLE SPINTE'!J90</f>
        <v>420.85333333333335</v>
      </c>
      <c r="Q230" s="181">
        <f>IF('ANALISI DELLE SPINTE'!D43=0,"",IF(('FOGLIO DEPOSITO'!M230+'FOGLIO DEPOSITO'!N230+'FOGLIO DEPOSITO'!O230)&lt;0,(IF('ANALISI DELLE SPINTE'!C90&lt;'ANALISI DELLE SPINTE'!$C$96,'ANALISI DELLE SPINTE'!$D$59*'ANALISI DELLE SPINTE'!C90,'ANALISI DELLE SPINTE'!$C$97)),('FOGLIO DEPOSITO'!M230+'FOGLIO DEPOSITO'!N230+'FOGLIO DEPOSITO'!O230)+'ANALISI DELLE SPINTE'!$C$97)+IF('FOGLIO DEPOSITO'!AA265="",0,'FOGLIO DEPOSITO'!AA265)/('FOGLIO DEPOSITO'!N258*'FOGLIO DEPOSITO'!W233))</f>
        <v>150.78597633414202</v>
      </c>
      <c r="V230" s="6" t="s">
        <v>393</v>
      </c>
      <c r="W230" s="158">
        <f>DATI!E49</f>
        <v>20</v>
      </c>
    </row>
    <row r="231" spans="2:26" ht="16.5" thickTop="1" thickBot="1" x14ac:dyDescent="0.3">
      <c r="G231" s="162">
        <f>IF('ANALISI DELLE SPINTE'!D50=0,"",('ANALISI DELLE SPINTE'!F91*'FOGLIO DEPOSITO'!C248-'ANALISI DELLE SPINTE'!G91+'FOGLIO DEPOSITO'!D248)*'FOGLIO DEPOSITO'!K211*H236)</f>
        <v>158.8971120213927</v>
      </c>
      <c r="H231" s="162">
        <f>IF('ANALISI DELLE SPINTE'!$D$50=0,"",'ANALISI DELLE SPINTE'!J91*'ANALISI DELLE SPINTE'!F91*'FOGLIO DEPOSITO'!$K$212)</f>
        <v>0</v>
      </c>
      <c r="I231" s="167">
        <f>IF('ANALISI DELLE SPINTE'!$D$50=0,"",'ANALISI DELLE SPINTE'!K91*'ANALISI DELLE SPINTE'!F91*'FOGLIO DEPOSITO'!$K$213)</f>
        <v>0</v>
      </c>
      <c r="J231" s="171">
        <f>IF('ANALISI DELLE SPINTE'!D50=0,"",'FOGLIO DEPOSITO'!C248+'ANALISI DELLE SPINTE'!K91+'ANALISI DELLE SPINTE'!J91)</f>
        <v>420.85333333333335</v>
      </c>
      <c r="K231" s="179">
        <f>IF('ANALISI DELLE SPINTE'!D50=0,"",IF(('FOGLIO DEPOSITO'!G231+'FOGLIO DEPOSITO'!H231+'FOGLIO DEPOSITO'!I231)&lt;0,(IF('ANALISI DELLE SPINTE'!C91&lt;'ANALISI DELLE SPINTE'!$C$96,'ANALISI DELLE SPINTE'!$D$59*'ANALISI DELLE SPINTE'!C91,'ANALISI DELLE SPINTE'!$C$97)),('FOGLIO DEPOSITO'!G231+'FOGLIO DEPOSITO'!H231+'FOGLIO DEPOSITO'!I231)+'ANALISI DELLE SPINTE'!$C$97)+IF('FOGLIO DEPOSITO'!AA268="",0,'FOGLIO DEPOSITO'!AA268)/('FOGLIO DEPOSITO'!N258*'FOGLIO DEPOSITO'!W239))</f>
        <v>158.8971120213927</v>
      </c>
      <c r="M231" s="162">
        <f t="shared" si="19"/>
        <v>158.8971120213927</v>
      </c>
      <c r="N231" s="162">
        <f t="shared" si="20"/>
        <v>0</v>
      </c>
      <c r="O231" s="162">
        <f t="shared" si="21"/>
        <v>0</v>
      </c>
      <c r="P231" s="171">
        <f>'FOGLIO DEPOSITO'!C248+'ANALISI DELLE SPINTE'!K91+'ANALISI DELLE SPINTE'!J91</f>
        <v>420.85333333333335</v>
      </c>
      <c r="Q231" s="179">
        <f>IF('ANALISI DELLE SPINTE'!D50=0,"",IF(('FOGLIO DEPOSITO'!M231+'FOGLIO DEPOSITO'!N231+'FOGLIO DEPOSITO'!O231)&lt;0,(IF('ANALISI DELLE SPINTE'!C91&lt;'ANALISI DELLE SPINTE'!$C$96,'ANALISI DELLE SPINTE'!$D$59*'ANALISI DELLE SPINTE'!C91,'ANALISI DELLE SPINTE'!$C$97)),('FOGLIO DEPOSITO'!M231+'FOGLIO DEPOSITO'!N231+'FOGLIO DEPOSITO'!O231)+'ANALISI DELLE SPINTE'!$C$97)+IF('FOGLIO DEPOSITO'!AA268="",0,'FOGLIO DEPOSITO'!AA268)/('FOGLIO DEPOSITO'!N258*'FOGLIO DEPOSITO'!W239))</f>
        <v>158.8971120213927</v>
      </c>
      <c r="V231" s="300" t="s">
        <v>395</v>
      </c>
      <c r="W231" s="127">
        <f>DATI!E50</f>
        <v>25</v>
      </c>
    </row>
    <row r="232" spans="2:26" ht="16.5" thickTop="1" thickBot="1" x14ac:dyDescent="0.3">
      <c r="G232" s="162">
        <f>IF('ANALISI DELLE SPINTE'!D50=0,"",('ANALISI DELLE SPINTE'!F92*'FOGLIO DEPOSITO'!C249-'ANALISI DELLE SPINTE'!G92+'FOGLIO DEPOSITO'!D249)*'FOGLIO DEPOSITO'!K211*H236)</f>
        <v>222.30694673883855</v>
      </c>
      <c r="H232" s="162">
        <f>IF('ANALISI DELLE SPINTE'!$D$50=0,"",'ANALISI DELLE SPINTE'!J92*'ANALISI DELLE SPINTE'!F92*'FOGLIO DEPOSITO'!$K$212)</f>
        <v>0</v>
      </c>
      <c r="I232" s="167">
        <f>IF('ANALISI DELLE SPINTE'!$D$50=0,"",'ANALISI DELLE SPINTE'!K92*'ANALISI DELLE SPINTE'!F92*'FOGLIO DEPOSITO'!$K$213)</f>
        <v>0</v>
      </c>
      <c r="J232" s="171">
        <f>IF('ANALISI DELLE SPINTE'!D50=0,"",'FOGLIO DEPOSITO'!C249+'ANALISI DELLE SPINTE'!K92+'ANALISI DELLE SPINTE'!J92)</f>
        <v>588.79999999999995</v>
      </c>
      <c r="K232" s="179">
        <f>IF('ANALISI DELLE SPINTE'!D50=0,"",IF(('FOGLIO DEPOSITO'!G232+'FOGLIO DEPOSITO'!H232+'FOGLIO DEPOSITO'!I232)&lt;0,(IF('ANALISI DELLE SPINTE'!C92&lt;'ANALISI DELLE SPINTE'!$C$96,'ANALISI DELLE SPINTE'!$D$59*'ANALISI DELLE SPINTE'!C92,'ANALISI DELLE SPINTE'!$C$97)),('FOGLIO DEPOSITO'!G232+'FOGLIO DEPOSITO'!H232+'FOGLIO DEPOSITO'!I232)+'ANALISI DELLE SPINTE'!$C$97)+IF('FOGLIO DEPOSITO'!AA268="",0,'FOGLIO DEPOSITO'!AA268)/('FOGLIO DEPOSITO'!N258*'FOGLIO DEPOSITO'!W239))</f>
        <v>222.30694673883855</v>
      </c>
      <c r="M232" s="162">
        <f t="shared" si="19"/>
        <v>222.30694673883855</v>
      </c>
      <c r="N232" s="162">
        <f t="shared" si="20"/>
        <v>0</v>
      </c>
      <c r="O232" s="162">
        <f t="shared" si="21"/>
        <v>0</v>
      </c>
      <c r="P232" s="171">
        <f>'FOGLIO DEPOSITO'!C249+'ANALISI DELLE SPINTE'!K92+'ANALISI DELLE SPINTE'!J92</f>
        <v>588.79999999999995</v>
      </c>
      <c r="Q232" s="179">
        <f>IF('ANALISI DELLE SPINTE'!D50=0,"",IF(('FOGLIO DEPOSITO'!M232+'FOGLIO DEPOSITO'!N232+'FOGLIO DEPOSITO'!O232)&lt;0,(IF('ANALISI DELLE SPINTE'!C92&lt;'ANALISI DELLE SPINTE'!$C$96,'ANALISI DELLE SPINTE'!$D$59*'ANALISI DELLE SPINTE'!C92,'ANALISI DELLE SPINTE'!$C$97)),('FOGLIO DEPOSITO'!M232+'FOGLIO DEPOSITO'!N232+'FOGLIO DEPOSITO'!O232)+'ANALISI DELLE SPINTE'!$C$97)+IF('FOGLIO DEPOSITO'!AA268="",0,'FOGLIO DEPOSITO'!AA268)/('FOGLIO DEPOSITO'!N258*'FOGLIO DEPOSITO'!W239))</f>
        <v>222.30694673883855</v>
      </c>
      <c r="V232" s="300" t="s">
        <v>397</v>
      </c>
      <c r="W232" s="127">
        <f>DATI!E51</f>
        <v>5</v>
      </c>
    </row>
    <row r="233" spans="2:26" ht="16.5" thickTop="1" thickBot="1" x14ac:dyDescent="0.3">
      <c r="G233" s="164">
        <f>IF('ANALISI DELLE SPINTE'!D50=0,"",('ANALISI DELLE SPINTE'!F93*'FOGLIO DEPOSITO'!C250-'ANALISI DELLE SPINTE'!G93+'FOGLIO DEPOSITO'!D250)*'FOGLIO DEPOSITO'!$K$211*H236)</f>
        <v>222.30694673883855</v>
      </c>
      <c r="H233" s="164">
        <f>IF('ANALISI DELLE SPINTE'!$D$50=0,"",'ANALISI DELLE SPINTE'!J93*'ANALISI DELLE SPINTE'!F93*'FOGLIO DEPOSITO'!$K$212)</f>
        <v>0</v>
      </c>
      <c r="I233" s="168">
        <f>IF('ANALISI DELLE SPINTE'!$D$50=0,"",'ANALISI DELLE SPINTE'!K93*'ANALISI DELLE SPINTE'!F93*'FOGLIO DEPOSITO'!$K$213)</f>
        <v>0</v>
      </c>
      <c r="J233" s="172">
        <f>IF('ANALISI DELLE SPINTE'!D50=0,"",'FOGLIO DEPOSITO'!C250+'ANALISI DELLE SPINTE'!K93+'ANALISI DELLE SPINTE'!J93)</f>
        <v>588.79999999999995</v>
      </c>
      <c r="K233" s="181">
        <f>IF('ANALISI DELLE SPINTE'!D50=0,"",IF(('FOGLIO DEPOSITO'!G233+'FOGLIO DEPOSITO'!H233+'FOGLIO DEPOSITO'!I233)&lt;0,(IF('ANALISI DELLE SPINTE'!C93&lt;'ANALISI DELLE SPINTE'!$C$96,'ANALISI DELLE SPINTE'!$D$59*'ANALISI DELLE SPINTE'!C93,'ANALISI DELLE SPINTE'!$C$97)),('FOGLIO DEPOSITO'!G233+'FOGLIO DEPOSITO'!H233+'FOGLIO DEPOSITO'!I233)+'ANALISI DELLE SPINTE'!$C$97)+IF('FOGLIO DEPOSITO'!AA268="",0,'FOGLIO DEPOSITO'!AA268)/('FOGLIO DEPOSITO'!N258*'FOGLIO DEPOSITO'!W239))</f>
        <v>222.30694673883855</v>
      </c>
      <c r="M233" s="162">
        <f t="shared" si="19"/>
        <v>222.30694673883855</v>
      </c>
      <c r="N233" s="162">
        <f t="shared" si="20"/>
        <v>0</v>
      </c>
      <c r="O233" s="162">
        <f t="shared" si="21"/>
        <v>0</v>
      </c>
      <c r="P233" s="171">
        <f>'FOGLIO DEPOSITO'!C250+'ANALISI DELLE SPINTE'!K93+'ANALISI DELLE SPINTE'!J93</f>
        <v>588.79999999999995</v>
      </c>
      <c r="Q233" s="181">
        <f>IF('ANALISI DELLE SPINTE'!D50=0,"",IF(('FOGLIO DEPOSITO'!M233+'FOGLIO DEPOSITO'!N233+'FOGLIO DEPOSITO'!O233)&lt;0,(IF('ANALISI DELLE SPINTE'!C93&lt;'ANALISI DELLE SPINTE'!$C$96,'ANALISI DELLE SPINTE'!$D$59*'ANALISI DELLE SPINTE'!C93,'ANALISI DELLE SPINTE'!$C$97)),('FOGLIO DEPOSITO'!M233+'FOGLIO DEPOSITO'!N233+'FOGLIO DEPOSITO'!O233)+'ANALISI DELLE SPINTE'!$C$97)+IF('FOGLIO DEPOSITO'!AA268="",0,'FOGLIO DEPOSITO'!AA268)/('FOGLIO DEPOSITO'!N258*'FOGLIO DEPOSITO'!W239))</f>
        <v>222.30694673883855</v>
      </c>
      <c r="V233" s="6" t="s">
        <v>399</v>
      </c>
      <c r="W233" s="126">
        <f>IF('FOGLIO DEPOSITO'!Y228=1,0,DATI!E52)</f>
        <v>10.402666666666667</v>
      </c>
    </row>
    <row r="234" spans="2:26" ht="16.5" thickTop="1" thickBot="1" x14ac:dyDescent="0.3">
      <c r="G234" s="162"/>
      <c r="H234" s="162"/>
      <c r="I234" s="162"/>
      <c r="J234" s="171"/>
      <c r="K234" s="171"/>
      <c r="M234" s="162"/>
      <c r="N234" s="162"/>
      <c r="O234" s="162"/>
      <c r="P234" s="171"/>
      <c r="Q234" s="171"/>
      <c r="V234" s="6"/>
      <c r="W234" s="75"/>
    </row>
    <row r="235" spans="2:26" ht="16.5" thickTop="1" thickBot="1" x14ac:dyDescent="0.3">
      <c r="G235" s="162"/>
      <c r="H235" s="162"/>
      <c r="I235" s="162"/>
      <c r="J235" s="171"/>
      <c r="K235" s="171"/>
      <c r="M235" s="162"/>
      <c r="N235" s="162"/>
      <c r="O235" s="162"/>
      <c r="P235" s="171"/>
      <c r="Q235" s="171"/>
      <c r="V235" s="6" t="s">
        <v>20</v>
      </c>
      <c r="W235" s="122">
        <f>DATI!E54</f>
        <v>32</v>
      </c>
    </row>
    <row r="236" spans="2:26" ht="16.5" thickTop="1" thickBot="1" x14ac:dyDescent="0.3">
      <c r="G236" s="357" t="s">
        <v>533</v>
      </c>
      <c r="H236" s="182">
        <f>IF('ANALISI DELLE SPINTE'!C73='FOGLIO DEPOSITO'!N181,1+'FOGLIO DEPOSITO'!S188,IF('ANALISI DELLE SPINTE'!C73='FOGLIO DEPOSITO'!N182,1-'FOGLIO DEPOSITO'!S188,1))</f>
        <v>1.0466617240382241</v>
      </c>
      <c r="I236" s="162"/>
      <c r="J236" s="171"/>
      <c r="K236" s="171"/>
      <c r="M236" s="162"/>
      <c r="N236" s="162"/>
      <c r="O236" s="162"/>
      <c r="P236" s="171"/>
      <c r="Q236" s="171"/>
      <c r="V236" s="6" t="s">
        <v>393</v>
      </c>
      <c r="W236" s="158">
        <f>DATI!E55</f>
        <v>20</v>
      </c>
    </row>
    <row r="237" spans="2:26" ht="16.5" thickTop="1" thickBot="1" x14ac:dyDescent="0.3">
      <c r="G237" s="162"/>
      <c r="H237" s="162"/>
      <c r="I237" s="162"/>
      <c r="J237" s="171"/>
      <c r="M237" s="162"/>
      <c r="N237" s="162"/>
      <c r="O237" s="162"/>
      <c r="P237" s="171"/>
      <c r="Q237" s="317"/>
      <c r="V237" s="300" t="s">
        <v>395</v>
      </c>
      <c r="W237" s="127">
        <f>DATI!E56</f>
        <v>0</v>
      </c>
    </row>
    <row r="238" spans="2:26" ht="16.5" thickTop="1" thickBot="1" x14ac:dyDescent="0.3">
      <c r="G238" s="162"/>
      <c r="H238" s="162"/>
      <c r="I238" s="162"/>
      <c r="J238" s="171"/>
      <c r="K238" s="317"/>
      <c r="M238" s="162"/>
      <c r="N238" s="162"/>
      <c r="O238" s="162"/>
      <c r="P238" s="171"/>
      <c r="Q238" s="317"/>
      <c r="V238" s="300" t="s">
        <v>397</v>
      </c>
      <c r="W238" s="127">
        <f>DATI!E57</f>
        <v>0</v>
      </c>
    </row>
    <row r="239" spans="2:26" ht="15.75" thickTop="1" x14ac:dyDescent="0.25">
      <c r="C239" t="s">
        <v>561</v>
      </c>
      <c r="G239" s="35"/>
      <c r="M239" s="35"/>
      <c r="N239" s="317"/>
      <c r="O239" s="317"/>
      <c r="P239" s="317"/>
      <c r="Q239" s="317"/>
      <c r="V239" s="6" t="s">
        <v>399</v>
      </c>
      <c r="W239" s="128">
        <f>IF('FOGLIO DEPOSITO'!Y228=1,0,DATI!E58)</f>
        <v>8.3973333333333304</v>
      </c>
    </row>
    <row r="240" spans="2:26" x14ac:dyDescent="0.25">
      <c r="G240" s="522" t="s">
        <v>443</v>
      </c>
      <c r="H240" s="522"/>
      <c r="I240" s="522"/>
      <c r="J240" s="521" t="s">
        <v>519</v>
      </c>
      <c r="K240" s="521"/>
      <c r="M240" s="522" t="s">
        <v>443</v>
      </c>
      <c r="N240" s="522"/>
      <c r="O240" s="522"/>
      <c r="P240" s="521" t="s">
        <v>519</v>
      </c>
      <c r="Q240" s="521"/>
    </row>
    <row r="241" spans="3:24" ht="18.75" x14ac:dyDescent="0.25">
      <c r="C241" s="120" t="s">
        <v>448</v>
      </c>
      <c r="D241" s="174" t="s">
        <v>446</v>
      </c>
      <c r="G241" s="183" t="s">
        <v>451</v>
      </c>
      <c r="H241" s="183" t="s">
        <v>452</v>
      </c>
      <c r="I241" s="184" t="s">
        <v>453</v>
      </c>
      <c r="J241" s="175" t="s">
        <v>454</v>
      </c>
      <c r="K241" s="176" t="s">
        <v>455</v>
      </c>
      <c r="M241" s="183" t="s">
        <v>510</v>
      </c>
      <c r="N241" s="183" t="s">
        <v>527</v>
      </c>
      <c r="O241" s="184" t="s">
        <v>512</v>
      </c>
      <c r="P241" s="175" t="s">
        <v>454</v>
      </c>
      <c r="Q241" s="176" t="s">
        <v>455</v>
      </c>
    </row>
    <row r="242" spans="3:24" x14ac:dyDescent="0.25">
      <c r="C242" s="165">
        <f>'ANALISI DELLE SPINTE'!H85-'FOGLIO DEPOSITO'!D242</f>
        <v>0</v>
      </c>
      <c r="D242" s="178">
        <f>IF('ANALISI DELLE SPINTE'!F31='FOGLIO DEPOSITO'!H166,'ANALISI DELLE SPINTE'!E102,0)</f>
        <v>0</v>
      </c>
      <c r="G242" s="162">
        <f>('ANALISI DELLE SPINTE'!F102*'ANALISI DELLE SPINTE'!I102-'ANALISI DELLE SPINTE'!G102+'ANALISI DELLE SPINTE'!E102)*'FOGLIO DEPOSITO'!$K$211*H236</f>
        <v>0</v>
      </c>
      <c r="H242" s="162">
        <f>'ANALISI DELLE SPINTE'!J102*'ANALISI DELLE SPINTE'!F102*'FOGLIO DEPOSITO'!$K$212</f>
        <v>0</v>
      </c>
      <c r="I242" s="167">
        <f>'ANALISI DELLE SPINTE'!K102*'ANALISI DELLE SPINTE'!F102*'FOGLIO DEPOSITO'!$K$213</f>
        <v>0</v>
      </c>
      <c r="J242" s="171">
        <f>'ANALISI DELLE SPINTE'!I102+'ANALISI DELLE SPINTE'!K102+'ANALISI DELLE SPINTE'!J102</f>
        <v>0</v>
      </c>
      <c r="K242" s="216">
        <f>IF(('FOGLIO DEPOSITO'!G242+'FOGLIO DEPOSITO'!H242+'FOGLIO DEPOSITO'!I242)&lt;0,0,('FOGLIO DEPOSITO'!G242+'FOGLIO DEPOSITO'!H242+'FOGLIO DEPOSITO'!I242)+'ANALISI DELLE SPINTE'!$C$114)+IF('FOGLIO DEPOSITO'!AA262="",0,'FOGLIO DEPOSITO'!AA262)/('FOGLIO DEPOSITO'!N258*'FOGLIO DEPOSITO'!W227)</f>
        <v>0</v>
      </c>
      <c r="M242" s="162">
        <f t="shared" ref="M242:M250" si="22">G242/$K$211</f>
        <v>0</v>
      </c>
      <c r="N242" s="162">
        <f t="shared" ref="N242:N250" si="23">H242/$K$212</f>
        <v>0</v>
      </c>
      <c r="O242" s="162">
        <f t="shared" ref="O242:O250" si="24">I242/$K$213</f>
        <v>0</v>
      </c>
      <c r="P242" s="171">
        <f>'ANALISI DELLE SPINTE'!I102+'ANALISI DELLE SPINTE'!K102+'ANALISI DELLE SPINTE'!J102</f>
        <v>0</v>
      </c>
      <c r="Q242" s="216">
        <f>IF(('FOGLIO DEPOSITO'!M242+'FOGLIO DEPOSITO'!N242+'FOGLIO DEPOSITO'!O242)&lt;0,0,('FOGLIO DEPOSITO'!M242+'FOGLIO DEPOSITO'!N242+'FOGLIO DEPOSITO'!O242)+'ANALISI DELLE SPINTE'!$C$114)+IF('FOGLIO DEPOSITO'!AA262="",0,'FOGLIO DEPOSITO'!AA262)/('FOGLIO DEPOSITO'!N258*'FOGLIO DEPOSITO'!W227)</f>
        <v>0</v>
      </c>
    </row>
    <row r="243" spans="3:24" x14ac:dyDescent="0.25">
      <c r="C243" s="165">
        <f>'ANALISI DELLE SPINTE'!H86-'FOGLIO DEPOSITO'!D243</f>
        <v>212.8</v>
      </c>
      <c r="D243" s="178">
        <f>IF('ANALISI DELLE SPINTE'!F31='FOGLIO DEPOSITO'!H166,'ANALISI DELLE SPINTE'!E103,0)</f>
        <v>0</v>
      </c>
      <c r="G243" s="162">
        <f>('ANALISI DELLE SPINTE'!F103*'ANALISI DELLE SPINTE'!I103-'ANALISI DELLE SPINTE'!G103+'ANALISI DELLE SPINTE'!E103)*'FOGLIO DEPOSITO'!$K$211*H236</f>
        <v>93.376893449429545</v>
      </c>
      <c r="H243" s="162">
        <f>'ANALISI DELLE SPINTE'!J103*'ANALISI DELLE SPINTE'!F103*'FOGLIO DEPOSITO'!$K$212</f>
        <v>0</v>
      </c>
      <c r="I243" s="167">
        <f>'ANALISI DELLE SPINTE'!K103*'ANALISI DELLE SPINTE'!F103*'FOGLIO DEPOSITO'!$K$213</f>
        <v>0</v>
      </c>
      <c r="J243" s="171">
        <f>'ANALISI DELLE SPINTE'!I103+'ANALISI DELLE SPINTE'!K103+'ANALISI DELLE SPINTE'!J103</f>
        <v>212.8</v>
      </c>
      <c r="K243" s="179">
        <f>IF(('FOGLIO DEPOSITO'!G243+'FOGLIO DEPOSITO'!H243+'FOGLIO DEPOSITO'!I243)&lt;0,(IF('ANALISI DELLE SPINTE'!C103&lt;'ANALISI DELLE SPINTE'!$C$113,'ANALISI DELLE SPINTE'!$D$59*'ANALISI DELLE SPINTE'!C103,'ANALISI DELLE SPINTE'!$C$114)),('FOGLIO DEPOSITO'!G243+'FOGLIO DEPOSITO'!H243+'FOGLIO DEPOSITO'!I243)+'ANALISI DELLE SPINTE'!$C$114)+IF('FOGLIO DEPOSITO'!AA262="",0,'FOGLIO DEPOSITO'!AA262)/('FOGLIO DEPOSITO'!N258*'FOGLIO DEPOSITO'!W227)</f>
        <v>93.376893449429545</v>
      </c>
      <c r="M243" s="162">
        <f t="shared" si="22"/>
        <v>93.376893449429545</v>
      </c>
      <c r="N243" s="162">
        <f t="shared" si="23"/>
        <v>0</v>
      </c>
      <c r="O243" s="162">
        <f t="shared" si="24"/>
        <v>0</v>
      </c>
      <c r="P243" s="171">
        <f>'ANALISI DELLE SPINTE'!I103+'ANALISI DELLE SPINTE'!K103+'ANALISI DELLE SPINTE'!J103</f>
        <v>212.8</v>
      </c>
      <c r="Q243" s="179">
        <f>IF(('FOGLIO DEPOSITO'!M243+'FOGLIO DEPOSITO'!N243+'FOGLIO DEPOSITO'!O243)&lt;0,(IF('ANALISI DELLE SPINTE'!C103&lt;'ANALISI DELLE SPINTE'!$C$113,'ANALISI DELLE SPINTE'!$D$59*'ANALISI DELLE SPINTE'!C103,'ANALISI DELLE SPINTE'!$C$114)),('FOGLIO DEPOSITO'!M243+'FOGLIO DEPOSITO'!N243+'FOGLIO DEPOSITO'!O243)+'ANALISI DELLE SPINTE'!$C$114)+IF('FOGLIO DEPOSITO'!AA262="",0,'FOGLIO DEPOSITO'!AA262)/('FOGLIO DEPOSITO'!N258*'FOGLIO DEPOSITO'!W227)</f>
        <v>93.376893449429545</v>
      </c>
    </row>
    <row r="244" spans="3:24" x14ac:dyDescent="0.25">
      <c r="C244" s="166">
        <f>'ANALISI DELLE SPINTE'!H87-'FOGLIO DEPOSITO'!D244</f>
        <v>212.8</v>
      </c>
      <c r="D244" s="163">
        <f>IF('ANALISI DELLE SPINTE'!F31='FOGLIO DEPOSITO'!H166,'ANALISI DELLE SPINTE'!E104,0)</f>
        <v>0</v>
      </c>
      <c r="G244" s="166">
        <f>('ANALISI DELLE SPINTE'!F104*'ANALISI DELLE SPINTE'!I104-'ANALISI DELLE SPINTE'!G104+'ANALISI DELLE SPINTE'!E104)*'FOGLIO DEPOSITO'!$K$211*H236</f>
        <v>93.376893449429545</v>
      </c>
      <c r="H244" s="164">
        <f>'ANALISI DELLE SPINTE'!J104*'ANALISI DELLE SPINTE'!F104*'FOGLIO DEPOSITO'!$K$212</f>
        <v>0</v>
      </c>
      <c r="I244" s="168">
        <f>'ANALISI DELLE SPINTE'!K104*'ANALISI DELLE SPINTE'!F104*'FOGLIO DEPOSITO'!$K$213</f>
        <v>0</v>
      </c>
      <c r="J244" s="172">
        <f>'ANALISI DELLE SPINTE'!I104+'ANALISI DELLE SPINTE'!K104+'ANALISI DELLE SPINTE'!J104</f>
        <v>212.8</v>
      </c>
      <c r="K244" s="181">
        <f>IF(('FOGLIO DEPOSITO'!G244+'FOGLIO DEPOSITO'!H244+'FOGLIO DEPOSITO'!I244)&lt;0,(IF('ANALISI DELLE SPINTE'!C104&lt;'ANALISI DELLE SPINTE'!$C$113,'ANALISI DELLE SPINTE'!$D$59*'ANALISI DELLE SPINTE'!C104,'ANALISI DELLE SPINTE'!$C$114)),('FOGLIO DEPOSITO'!G244+'FOGLIO DEPOSITO'!H244+'FOGLIO DEPOSITO'!I244)+'ANALISI DELLE SPINTE'!$C$114)+IF('FOGLIO DEPOSITO'!AA262="",0,'FOGLIO DEPOSITO'!AA262)/('FOGLIO DEPOSITO'!N258*'FOGLIO DEPOSITO'!W227)</f>
        <v>93.376893449429545</v>
      </c>
      <c r="M244" s="164">
        <f t="shared" si="22"/>
        <v>93.376893449429545</v>
      </c>
      <c r="N244" s="164">
        <f t="shared" si="23"/>
        <v>0</v>
      </c>
      <c r="O244" s="164">
        <f t="shared" si="24"/>
        <v>0</v>
      </c>
      <c r="P244" s="171">
        <f>'ANALISI DELLE SPINTE'!I104+'ANALISI DELLE SPINTE'!K104+'ANALISI DELLE SPINTE'!J104</f>
        <v>212.8</v>
      </c>
      <c r="Q244" s="181">
        <f>IF(('FOGLIO DEPOSITO'!M244+'FOGLIO DEPOSITO'!N244+'FOGLIO DEPOSITO'!O244)&lt;0,(IF('ANALISI DELLE SPINTE'!C104&lt;'ANALISI DELLE SPINTE'!$C$113,'ANALISI DELLE SPINTE'!$D$59*'ANALISI DELLE SPINTE'!C104,'ANALISI DELLE SPINTE'!$C$114)),('FOGLIO DEPOSITO'!M244+'FOGLIO DEPOSITO'!N244+'FOGLIO DEPOSITO'!O244)+'ANALISI DELLE SPINTE'!$C$114)+IF('FOGLIO DEPOSITO'!AA262="",0,'FOGLIO DEPOSITO'!AA262)/('FOGLIO DEPOSITO'!N258*'FOGLIO DEPOSITO'!W227)</f>
        <v>93.376893449429545</v>
      </c>
    </row>
    <row r="245" spans="3:24" x14ac:dyDescent="0.25">
      <c r="C245" s="165">
        <f>IF('ANALISI DELLE SPINTE'!D43=0,"",'ANALISI DELLE SPINTE'!H88-'FOGLIO DEPOSITO'!D245)</f>
        <v>212.8</v>
      </c>
      <c r="D245" s="178">
        <f>IF('ANALISI DELLE SPINTE'!D43=0,"",IF('ANALISI DELLE SPINTE'!F38='FOGLIO DEPOSITO'!H169,'ANALISI DELLE SPINTE'!E105,0))</f>
        <v>0</v>
      </c>
      <c r="G245" s="162">
        <f>IF('ANALISI DELLE SPINTE'!$D$43=0,"",('ANALISI DELLE SPINTE'!F105*'ANALISI DELLE SPINTE'!I105-'ANALISI DELLE SPINTE'!G105+'ANALISI DELLE SPINTE'!E105)*'FOGLIO DEPOSITO'!$K$211*H236)</f>
        <v>93.46065933494549</v>
      </c>
      <c r="H245" s="162">
        <f>IF('ANALISI DELLE SPINTE'!$D$43=0,"",'ANALISI DELLE SPINTE'!J105*'ANALISI DELLE SPINTE'!F105*'FOGLIO DEPOSITO'!$K$212)</f>
        <v>0</v>
      </c>
      <c r="I245" s="167">
        <f>IF('ANALISI DELLE SPINTE'!$D$43=0,"",'ANALISI DELLE SPINTE'!K105*'ANALISI DELLE SPINTE'!F105*'FOGLIO DEPOSITO'!$K$213)</f>
        <v>0</v>
      </c>
      <c r="J245" s="171">
        <f>IF('ANALISI DELLE SPINTE'!D43=0,"",'ANALISI DELLE SPINTE'!I105+'ANALISI DELLE SPINTE'!K105+'ANALISI DELLE SPINTE'!J105)</f>
        <v>212.8</v>
      </c>
      <c r="K245" s="179">
        <f>IF('ANALISI DELLE SPINTE'!D43=0,"",IF(('FOGLIO DEPOSITO'!G245+'FOGLIO DEPOSITO'!H245+'FOGLIO DEPOSITO'!I245)&lt;0,(IF('ANALISI DELLE SPINTE'!C105&lt;'ANALISI DELLE SPINTE'!$C$113,'ANALISI DELLE SPINTE'!$D$59*'ANALISI DELLE SPINTE'!C105,'ANALISI DELLE SPINTE'!$C$114)),('FOGLIO DEPOSITO'!G245+'FOGLIO DEPOSITO'!H245+'FOGLIO DEPOSITO'!I245)+'ANALISI DELLE SPINTE'!$C$114)+IF('FOGLIO DEPOSITO'!AA265="",0,'FOGLIO DEPOSITO'!AA265)/('FOGLIO DEPOSITO'!N258*'FOGLIO DEPOSITO'!W233))</f>
        <v>93.46065933494549</v>
      </c>
      <c r="M245" s="162">
        <f t="shared" si="22"/>
        <v>93.46065933494549</v>
      </c>
      <c r="N245" s="162">
        <f t="shared" si="23"/>
        <v>0</v>
      </c>
      <c r="O245" s="162">
        <f t="shared" si="24"/>
        <v>0</v>
      </c>
      <c r="P245" s="171">
        <f>'ANALISI DELLE SPINTE'!I105+'ANALISI DELLE SPINTE'!K105+'ANALISI DELLE SPINTE'!J105</f>
        <v>212.8</v>
      </c>
      <c r="Q245" s="179">
        <f>IF('ANALISI DELLE SPINTE'!D43=0,"",IF(('FOGLIO DEPOSITO'!M245+'FOGLIO DEPOSITO'!N245+'FOGLIO DEPOSITO'!O245)&lt;0,(IF('ANALISI DELLE SPINTE'!C105&lt;'ANALISI DELLE SPINTE'!$C$113,'ANALISI DELLE SPINTE'!$D$59*'ANALISI DELLE SPINTE'!C105,'ANALISI DELLE SPINTE'!$C$114)),('FOGLIO DEPOSITO'!M245+'FOGLIO DEPOSITO'!N245+'FOGLIO DEPOSITO'!O245)+'ANALISI DELLE SPINTE'!$C$114)+IF('FOGLIO DEPOSITO'!AA265="",0,'FOGLIO DEPOSITO'!AA265)/('FOGLIO DEPOSITO'!N258*'FOGLIO DEPOSITO'!W233))</f>
        <v>93.46065933494549</v>
      </c>
      <c r="V245" s="426"/>
      <c r="W245" s="318"/>
      <c r="X245" s="318"/>
    </row>
    <row r="246" spans="3:24" x14ac:dyDescent="0.25">
      <c r="C246" s="165">
        <f>IF('ANALISI DELLE SPINTE'!D43=0,"",'ANALISI DELLE SPINTE'!H89-'FOGLIO DEPOSITO'!D246)</f>
        <v>420.85333333333335</v>
      </c>
      <c r="D246" s="178">
        <f>IF('ANALISI DELLE SPINTE'!D43=0,"",IF('ANALISI DELLE SPINTE'!F38='FOGLIO DEPOSITO'!H169,'ANALISI DELLE SPINTE'!E106,0))</f>
        <v>0</v>
      </c>
      <c r="G246" s="162">
        <f>IF('ANALISI DELLE SPINTE'!$D$43=0,"",('ANALISI DELLE SPINTE'!F106*'ANALISI DELLE SPINTE'!I106-'ANALISI DELLE SPINTE'!G106+'ANALISI DELLE SPINTE'!E106)*'FOGLIO DEPOSITO'!$K$211*H236)</f>
        <v>191.71020577263263</v>
      </c>
      <c r="H246" s="162">
        <f>IF('ANALISI DELLE SPINTE'!$D$43=0,"",'ANALISI DELLE SPINTE'!J106*'ANALISI DELLE SPINTE'!F106*'FOGLIO DEPOSITO'!$K$212)</f>
        <v>0</v>
      </c>
      <c r="I246" s="167">
        <f>IF('ANALISI DELLE SPINTE'!$D$43=0,"",'ANALISI DELLE SPINTE'!K106*'ANALISI DELLE SPINTE'!F106*'FOGLIO DEPOSITO'!$K$213)</f>
        <v>0</v>
      </c>
      <c r="J246" s="171">
        <f>IF('ANALISI DELLE SPINTE'!D43=0,"",'ANALISI DELLE SPINTE'!I106+'ANALISI DELLE SPINTE'!K106+'ANALISI DELLE SPINTE'!J106)</f>
        <v>420.85333333333335</v>
      </c>
      <c r="K246" s="179">
        <f>IF('ANALISI DELLE SPINTE'!D43=0,"",IF(('FOGLIO DEPOSITO'!G246+'FOGLIO DEPOSITO'!H246+'FOGLIO DEPOSITO'!I246)&lt;0,(IF('ANALISI DELLE SPINTE'!C106&lt;'ANALISI DELLE SPINTE'!$C$113,'ANALISI DELLE SPINTE'!$D$59*'ANALISI DELLE SPINTE'!C106,'ANALISI DELLE SPINTE'!$C$114)),('FOGLIO DEPOSITO'!G246+'FOGLIO DEPOSITO'!H246+'FOGLIO DEPOSITO'!I246)+'ANALISI DELLE SPINTE'!$C$114)+IF('FOGLIO DEPOSITO'!AA265="",0,'FOGLIO DEPOSITO'!AA265)/('FOGLIO DEPOSITO'!N258*'FOGLIO DEPOSITO'!W233))</f>
        <v>191.71020577263263</v>
      </c>
      <c r="M246" s="162">
        <f t="shared" si="22"/>
        <v>191.71020577263263</v>
      </c>
      <c r="N246" s="162">
        <f t="shared" si="23"/>
        <v>0</v>
      </c>
      <c r="O246" s="162">
        <f t="shared" si="24"/>
        <v>0</v>
      </c>
      <c r="P246" s="171">
        <f>'ANALISI DELLE SPINTE'!I106+'ANALISI DELLE SPINTE'!K106+'ANALISI DELLE SPINTE'!J106</f>
        <v>420.85333333333335</v>
      </c>
      <c r="Q246" s="179">
        <f>IF('ANALISI DELLE SPINTE'!D43=0,"",IF(('FOGLIO DEPOSITO'!M246+'FOGLIO DEPOSITO'!N246+'FOGLIO DEPOSITO'!O246)&lt;0,(IF('ANALISI DELLE SPINTE'!C106&lt;'ANALISI DELLE SPINTE'!$C$113,'ANALISI DELLE SPINTE'!$D$59*'ANALISI DELLE SPINTE'!C106,'ANALISI DELLE SPINTE'!$C$114)),('FOGLIO DEPOSITO'!M246+'FOGLIO DEPOSITO'!N246+'FOGLIO DEPOSITO'!O246)+'ANALISI DELLE SPINTE'!$C$114)+IF('FOGLIO DEPOSITO'!AA265="",0,'FOGLIO DEPOSITO'!AA265)/('FOGLIO DEPOSITO'!N258*'FOGLIO DEPOSITO'!W233))</f>
        <v>191.71020577263263</v>
      </c>
      <c r="V246" s="552" t="s">
        <v>408</v>
      </c>
      <c r="W246" s="552"/>
      <c r="X246" s="365">
        <f>IF('FOGLIO DEPOSITO'!X248="dx",DATI!E37+'FOGLIO DEPOSITO'!N271+TAN('FOGLIO DEPOSITO'!S259*PI()/180)*'FOGLIO DEPOSITO'!D212,DATI!E37+'FOGLIO DEPOSITO'!N271+TAN('FOGLIO DEPOSITO'!S259*PI()/180)*'FOGLIO DEPOSITO'!N272)</f>
        <v>30</v>
      </c>
    </row>
    <row r="247" spans="3:24" ht="15.75" thickBot="1" x14ac:dyDescent="0.3">
      <c r="C247" s="166">
        <f>IF('ANALISI DELLE SPINTE'!D43=0,"",'ANALISI DELLE SPINTE'!H90-'FOGLIO DEPOSITO'!D247)</f>
        <v>420.85333333333335</v>
      </c>
      <c r="D247" s="163">
        <f>IF('ANALISI DELLE SPINTE'!D43=0,"",IF('ANALISI DELLE SPINTE'!F38='FOGLIO DEPOSITO'!H169,'ANALISI DELLE SPINTE'!E107,0))</f>
        <v>0</v>
      </c>
      <c r="G247" s="166">
        <f>IF('ANALISI DELLE SPINTE'!$D$43=0,"",('ANALISI DELLE SPINTE'!F107*'ANALISI DELLE SPINTE'!I107-'ANALISI DELLE SPINTE'!G107+'ANALISI DELLE SPINTE'!E107)*'FOGLIO DEPOSITO'!$K$211*H236)</f>
        <v>191.71020577263263</v>
      </c>
      <c r="H247" s="164">
        <f>IF('ANALISI DELLE SPINTE'!$D$43=0,"",'ANALISI DELLE SPINTE'!J107*'ANALISI DELLE SPINTE'!F107*'FOGLIO DEPOSITO'!$K$212)</f>
        <v>0</v>
      </c>
      <c r="I247" s="168">
        <f>IF('ANALISI DELLE SPINTE'!$D$43=0,"",'ANALISI DELLE SPINTE'!K107*'ANALISI DELLE SPINTE'!F107*'FOGLIO DEPOSITO'!$K$213)</f>
        <v>0</v>
      </c>
      <c r="J247" s="172">
        <f>IF('ANALISI DELLE SPINTE'!D43=0,"",'ANALISI DELLE SPINTE'!I107+'ANALISI DELLE SPINTE'!K107+'ANALISI DELLE SPINTE'!J107)</f>
        <v>420.85333333333335</v>
      </c>
      <c r="K247" s="181">
        <f>IF('ANALISI DELLE SPINTE'!D43=0,"",IF(('FOGLIO DEPOSITO'!G247+'FOGLIO DEPOSITO'!H247+'FOGLIO DEPOSITO'!I247)&lt;0,(IF('ANALISI DELLE SPINTE'!C107&lt;'ANALISI DELLE SPINTE'!$C$113,'ANALISI DELLE SPINTE'!$D$59*'ANALISI DELLE SPINTE'!C107,'ANALISI DELLE SPINTE'!$C$114)),('FOGLIO DEPOSITO'!G247+'FOGLIO DEPOSITO'!H247+'FOGLIO DEPOSITO'!I247)+'ANALISI DELLE SPINTE'!$C$114)+IF('FOGLIO DEPOSITO'!AA265="",0,'FOGLIO DEPOSITO'!AA265)/('FOGLIO DEPOSITO'!N258*'FOGLIO DEPOSITO'!W233))</f>
        <v>191.71020577263263</v>
      </c>
      <c r="M247" s="164">
        <f t="shared" si="22"/>
        <v>191.71020577263263</v>
      </c>
      <c r="N247" s="164">
        <f t="shared" si="23"/>
        <v>0</v>
      </c>
      <c r="O247" s="164">
        <f t="shared" si="24"/>
        <v>0</v>
      </c>
      <c r="P247" s="171">
        <f>'ANALISI DELLE SPINTE'!I107+'ANALISI DELLE SPINTE'!K107+'ANALISI DELLE SPINTE'!J107</f>
        <v>420.85333333333335</v>
      </c>
      <c r="Q247" s="181">
        <f>IF('ANALISI DELLE SPINTE'!D43=0,"",IF(('FOGLIO DEPOSITO'!M247+'FOGLIO DEPOSITO'!N247+'FOGLIO DEPOSITO'!O247)&lt;0,(IF('ANALISI DELLE SPINTE'!C107&lt;'ANALISI DELLE SPINTE'!$C$113,'ANALISI DELLE SPINTE'!$D$59*'ANALISI DELLE SPINTE'!C107,'ANALISI DELLE SPINTE'!$C$114)),('FOGLIO DEPOSITO'!M247+'FOGLIO DEPOSITO'!N247+'FOGLIO DEPOSITO'!O247)+'ANALISI DELLE SPINTE'!$C$114)+IF('FOGLIO DEPOSITO'!AA265="",0,'FOGLIO DEPOSITO'!AA265)/('FOGLIO DEPOSITO'!N258*'FOGLIO DEPOSITO'!W233))</f>
        <v>191.71020577263263</v>
      </c>
      <c r="V247" s="426"/>
      <c r="W247" s="395"/>
      <c r="X247" s="76"/>
    </row>
    <row r="248" spans="3:24" ht="16.5" thickTop="1" thickBot="1" x14ac:dyDescent="0.3">
      <c r="C248" s="165">
        <f>IF('ANALISI DELLE SPINTE'!D50=0,"",'ANALISI DELLE SPINTE'!H91-'FOGLIO DEPOSITO'!D248)</f>
        <v>420.85333333333335</v>
      </c>
      <c r="D248" s="178">
        <f>IF('ANALISI DELLE SPINTE'!D50=0,"",IF('ANALISI DELLE SPINTE'!F45='FOGLIO DEPOSITO'!H172,'ANALISI DELLE SPINTE'!E108,0))</f>
        <v>0</v>
      </c>
      <c r="G248" s="162">
        <f>IF('ANALISI DELLE SPINTE'!$D$50=0,"",('ANALISI DELLE SPINTE'!F108*'ANALISI DELLE SPINTE'!I108-'ANALISI DELLE SPINTE'!G108+'ANALISI DELLE SPINTE'!E108)*'FOGLIO DEPOSITO'!$K$211*H236)</f>
        <v>158.8971120213927</v>
      </c>
      <c r="H248" s="162">
        <f>IF('ANALISI DELLE SPINTE'!$D$50=0,"",'ANALISI DELLE SPINTE'!J108*'ANALISI DELLE SPINTE'!F108*'FOGLIO DEPOSITO'!$K$212)</f>
        <v>0</v>
      </c>
      <c r="I248" s="167">
        <f>IF('ANALISI DELLE SPINTE'!$D$50=0,"",'ANALISI DELLE SPINTE'!K108*'ANALISI DELLE SPINTE'!F108*'FOGLIO DEPOSITO'!$K$213)</f>
        <v>0</v>
      </c>
      <c r="J248" s="171">
        <f>IF('ANALISI DELLE SPINTE'!D50=0,"",'ANALISI DELLE SPINTE'!I108+'ANALISI DELLE SPINTE'!K108+'ANALISI DELLE SPINTE'!J108)</f>
        <v>420.85333333333335</v>
      </c>
      <c r="K248" s="179">
        <f>IF('ANALISI DELLE SPINTE'!D50=0,"",IF(('FOGLIO DEPOSITO'!G248+'FOGLIO DEPOSITO'!H248+'FOGLIO DEPOSITO'!I248)&lt;0,(IF('ANALISI DELLE SPINTE'!C108&lt;'ANALISI DELLE SPINTE'!$C$113,'ANALISI DELLE SPINTE'!$D$59*'ANALISI DELLE SPINTE'!C108,'ANALISI DELLE SPINTE'!$C$114)),('FOGLIO DEPOSITO'!G248+'FOGLIO DEPOSITO'!H248+'FOGLIO DEPOSITO'!I248)+'ANALISI DELLE SPINTE'!$C$114)+IF('FOGLIO DEPOSITO'!AA268="",0,'FOGLIO DEPOSITO'!AA268)/('FOGLIO DEPOSITO'!N258*'FOGLIO DEPOSITO'!W239))</f>
        <v>158.8971120213927</v>
      </c>
      <c r="M248" s="162">
        <f t="shared" si="22"/>
        <v>158.8971120213927</v>
      </c>
      <c r="N248" s="162">
        <f t="shared" si="23"/>
        <v>0</v>
      </c>
      <c r="O248" s="162">
        <f t="shared" si="24"/>
        <v>0</v>
      </c>
      <c r="P248" s="171">
        <f>'ANALISI DELLE SPINTE'!I108+'ANALISI DELLE SPINTE'!K108+'ANALISI DELLE SPINTE'!J108</f>
        <v>420.85333333333335</v>
      </c>
      <c r="Q248" s="179">
        <f>IF('ANALISI DELLE SPINTE'!D50=0,"",IF(('FOGLIO DEPOSITO'!M248+'FOGLIO DEPOSITO'!N248+'FOGLIO DEPOSITO'!O248)&lt;0,(IF('ANALISI DELLE SPINTE'!C108&lt;'ANALISI DELLE SPINTE'!$C$113,'ANALISI DELLE SPINTE'!$D$59*'ANALISI DELLE SPINTE'!C108,'ANALISI DELLE SPINTE'!$C$114)),('FOGLIO DEPOSITO'!M248+'FOGLIO DEPOSITO'!N248+'FOGLIO DEPOSITO'!O248)+'ANALISI DELLE SPINTE'!$C$114)+IF('FOGLIO DEPOSITO'!AA268="",0,'FOGLIO DEPOSITO'!AA268)/('FOGLIO DEPOSITO'!N258*'FOGLIO DEPOSITO'!W239))</f>
        <v>158.8971120213927</v>
      </c>
      <c r="V248" s="574" t="s">
        <v>409</v>
      </c>
      <c r="W248" s="575"/>
      <c r="X248" s="126" t="s">
        <v>90</v>
      </c>
    </row>
    <row r="249" spans="3:24" ht="15.75" thickTop="1" x14ac:dyDescent="0.25">
      <c r="C249" s="165">
        <f>IF('ANALISI DELLE SPINTE'!D50=0,"",'ANALISI DELLE SPINTE'!H92-'FOGLIO DEPOSITO'!D249)</f>
        <v>588.79999999999995</v>
      </c>
      <c r="D249" s="178">
        <f>IF('ANALISI DELLE SPINTE'!D50=0,"",IF('ANALISI DELLE SPINTE'!F45='FOGLIO DEPOSITO'!H172,'ANALISI DELLE SPINTE'!E109,0))</f>
        <v>0</v>
      </c>
      <c r="G249" s="162">
        <f>IF('ANALISI DELLE SPINTE'!$D$50=0,"",('ANALISI DELLE SPINTE'!F109*'ANALISI DELLE SPINTE'!I109-'ANALISI DELLE SPINTE'!G109+'ANALISI DELLE SPINTE'!E109)*'FOGLIO DEPOSITO'!$K$211*H236)</f>
        <v>222.30694673883855</v>
      </c>
      <c r="H249" s="162">
        <f>IF('ANALISI DELLE SPINTE'!$D$50=0,"",'ANALISI DELLE SPINTE'!J109*'ANALISI DELLE SPINTE'!F109*'FOGLIO DEPOSITO'!$K$212)</f>
        <v>0</v>
      </c>
      <c r="I249" s="167">
        <f>IF('ANALISI DELLE SPINTE'!$D$50=0,"",'ANALISI DELLE SPINTE'!K109*'ANALISI DELLE SPINTE'!F109*'FOGLIO DEPOSITO'!$K$213)</f>
        <v>0</v>
      </c>
      <c r="J249" s="171">
        <f>IF('ANALISI DELLE SPINTE'!D50=0,"",'ANALISI DELLE SPINTE'!I109+'ANALISI DELLE SPINTE'!K109+'ANALISI DELLE SPINTE'!J109)</f>
        <v>588.79999999999995</v>
      </c>
      <c r="K249" s="179">
        <f>IF('ANALISI DELLE SPINTE'!D50=0,"",IF(('FOGLIO DEPOSITO'!G249+'FOGLIO DEPOSITO'!H249+'FOGLIO DEPOSITO'!I249)&lt;0,(IF('ANALISI DELLE SPINTE'!C109&lt;'ANALISI DELLE SPINTE'!$C$113,'ANALISI DELLE SPINTE'!$D$59*'ANALISI DELLE SPINTE'!C109,'ANALISI DELLE SPINTE'!$C$114)),('FOGLIO DEPOSITO'!G249+'FOGLIO DEPOSITO'!H249+'FOGLIO DEPOSITO'!I249)+'ANALISI DELLE SPINTE'!$C$114)+IF('FOGLIO DEPOSITO'!AA268="",0,'FOGLIO DEPOSITO'!AA268)/('FOGLIO DEPOSITO'!N258*'FOGLIO DEPOSITO'!W239))</f>
        <v>222.30694673883855</v>
      </c>
      <c r="M249" s="162">
        <f t="shared" si="22"/>
        <v>222.30694673883855</v>
      </c>
      <c r="N249" s="162">
        <f t="shared" si="23"/>
        <v>0</v>
      </c>
      <c r="O249" s="162">
        <f t="shared" si="24"/>
        <v>0</v>
      </c>
      <c r="P249" s="171">
        <f>'ANALISI DELLE SPINTE'!I109+'ANALISI DELLE SPINTE'!K109+'ANALISI DELLE SPINTE'!J109</f>
        <v>588.79999999999995</v>
      </c>
      <c r="Q249" s="179">
        <f>IF('ANALISI DELLE SPINTE'!D50=0,"",IF(('FOGLIO DEPOSITO'!M249+'FOGLIO DEPOSITO'!N249+'FOGLIO DEPOSITO'!O249)&lt;0,(IF('ANALISI DELLE SPINTE'!C109&lt;'ANALISI DELLE SPINTE'!$C$113,'ANALISI DELLE SPINTE'!$D$59*'ANALISI DELLE SPINTE'!C109,'ANALISI DELLE SPINTE'!$C$114)),('FOGLIO DEPOSITO'!M249+'FOGLIO DEPOSITO'!N249+'FOGLIO DEPOSITO'!O249)+'ANALISI DELLE SPINTE'!$C$114)+IF('FOGLIO DEPOSITO'!AA268="",0,'FOGLIO DEPOSITO'!AA268)/('FOGLIO DEPOSITO'!N258*'FOGLIO DEPOSITO'!W239))</f>
        <v>222.30694673883855</v>
      </c>
    </row>
    <row r="250" spans="3:24" x14ac:dyDescent="0.25">
      <c r="C250" s="166">
        <f>IF('ANALISI DELLE SPINTE'!D50=0,"",'ANALISI DELLE SPINTE'!H93-'FOGLIO DEPOSITO'!D250)</f>
        <v>588.79999999999995</v>
      </c>
      <c r="D250" s="163">
        <f>IF('ANALISI DELLE SPINTE'!D50=0,"",IF('ANALISI DELLE SPINTE'!F45='FOGLIO DEPOSITO'!H172,'ANALISI DELLE SPINTE'!E110,0))</f>
        <v>0</v>
      </c>
      <c r="G250" s="166">
        <f>IF('ANALISI DELLE SPINTE'!$D$50=0,"",('ANALISI DELLE SPINTE'!F110*'ANALISI DELLE SPINTE'!I110-'ANALISI DELLE SPINTE'!G110+'ANALISI DELLE SPINTE'!E110)*'FOGLIO DEPOSITO'!$K$211*H236)</f>
        <v>222.30694673883855</v>
      </c>
      <c r="H250" s="164">
        <f>IF('ANALISI DELLE SPINTE'!$D$50=0,"",'ANALISI DELLE SPINTE'!J110*'ANALISI DELLE SPINTE'!F110*'FOGLIO DEPOSITO'!$K$212)</f>
        <v>0</v>
      </c>
      <c r="I250" s="168">
        <f>IF('ANALISI DELLE SPINTE'!$D$50=0,"",'ANALISI DELLE SPINTE'!K110*'ANALISI DELLE SPINTE'!F110*'FOGLIO DEPOSITO'!$K$213)</f>
        <v>0</v>
      </c>
      <c r="J250" s="172">
        <f>IF('ANALISI DELLE SPINTE'!D50=0,"",'ANALISI DELLE SPINTE'!I110+'ANALISI DELLE SPINTE'!K110+'ANALISI DELLE SPINTE'!J110)</f>
        <v>588.79999999999995</v>
      </c>
      <c r="K250" s="181">
        <f>IF('ANALISI DELLE SPINTE'!D50=0,"",IF(('FOGLIO DEPOSITO'!G250+'FOGLIO DEPOSITO'!H250+'FOGLIO DEPOSITO'!I250)&lt;0,(IF('ANALISI DELLE SPINTE'!C110&lt;'ANALISI DELLE SPINTE'!$C$113,'ANALISI DELLE SPINTE'!$D$59*'ANALISI DELLE SPINTE'!C110,'ANALISI DELLE SPINTE'!$C$114)),('FOGLIO DEPOSITO'!G250+'FOGLIO DEPOSITO'!H250+'FOGLIO DEPOSITO'!I250)+'ANALISI DELLE SPINTE'!$C$114)+IF('FOGLIO DEPOSITO'!AA268="",0,'FOGLIO DEPOSITO'!AA268)/('FOGLIO DEPOSITO'!N258*'FOGLIO DEPOSITO'!W239))</f>
        <v>222.30694673883855</v>
      </c>
      <c r="M250" s="162">
        <f t="shared" si="22"/>
        <v>222.30694673883855</v>
      </c>
      <c r="N250" s="162">
        <f t="shared" si="23"/>
        <v>0</v>
      </c>
      <c r="O250" s="162">
        <f t="shared" si="24"/>
        <v>0</v>
      </c>
      <c r="P250" s="171">
        <f>'ANALISI DELLE SPINTE'!I110+'ANALISI DELLE SPINTE'!K110+'ANALISI DELLE SPINTE'!J110</f>
        <v>588.79999999999995</v>
      </c>
      <c r="Q250" s="181">
        <f>IF('ANALISI DELLE SPINTE'!D50=0,"",IF(('FOGLIO DEPOSITO'!M250+'FOGLIO DEPOSITO'!N250+'FOGLIO DEPOSITO'!O250)&lt;0,(IF('ANALISI DELLE SPINTE'!C110&lt;'ANALISI DELLE SPINTE'!$C$113,'ANALISI DELLE SPINTE'!$D$59*'ANALISI DELLE SPINTE'!C110,'ANALISI DELLE SPINTE'!$C$114)),('FOGLIO DEPOSITO'!M250+'FOGLIO DEPOSITO'!N250+'FOGLIO DEPOSITO'!O250)+'ANALISI DELLE SPINTE'!$C$114)+IF('FOGLIO DEPOSITO'!AA268="",0,'FOGLIO DEPOSITO'!AA268)/('FOGLIO DEPOSITO'!N258*'FOGLIO DEPOSITO'!W239))</f>
        <v>222.30694673883855</v>
      </c>
    </row>
    <row r="251" spans="3:24" x14ac:dyDescent="0.25">
      <c r="V251" s="324" t="s">
        <v>407</v>
      </c>
      <c r="W251" s="319"/>
    </row>
    <row r="252" spans="3:24" x14ac:dyDescent="0.25">
      <c r="V252" s="318"/>
      <c r="W252" s="318"/>
    </row>
    <row r="253" spans="3:24" x14ac:dyDescent="0.25">
      <c r="C253" s="317" t="s">
        <v>560</v>
      </c>
      <c r="W253" s="319"/>
    </row>
    <row r="255" spans="3:24" ht="18.75" x14ac:dyDescent="0.25">
      <c r="D255" s="120" t="s">
        <v>448</v>
      </c>
    </row>
    <row r="256" spans="3:24" x14ac:dyDescent="0.25">
      <c r="D256" s="375">
        <f>'ANALISI DELLE SPINTE'!I102+'ANALISI DELLE SPINTE'!E102</f>
        <v>0</v>
      </c>
    </row>
    <row r="257" spans="4:27" ht="15.75" thickBot="1" x14ac:dyDescent="0.3">
      <c r="D257" s="376">
        <f>'ANALISI DELLE SPINTE'!I103+'ANALISI DELLE SPINTE'!E103</f>
        <v>212.8</v>
      </c>
    </row>
    <row r="258" spans="4:27" ht="16.5" thickTop="1" thickBot="1" x14ac:dyDescent="0.3">
      <c r="D258" s="374">
        <f>'ANALISI DELLE SPINTE'!I104+'ANALISI DELLE SPINTE'!E104</f>
        <v>212.8</v>
      </c>
      <c r="L258" s="318" t="s">
        <v>532</v>
      </c>
      <c r="M258" s="107" t="s">
        <v>57</v>
      </c>
      <c r="N258" s="126">
        <v>1</v>
      </c>
      <c r="Q258" s="324" t="s">
        <v>386</v>
      </c>
      <c r="R258" s="318"/>
      <c r="S258" s="318"/>
    </row>
    <row r="259" spans="4:27" ht="19.5" thickTop="1" thickBot="1" x14ac:dyDescent="0.3">
      <c r="D259" s="376">
        <f>IF('ANALISI DELLE SPINTE'!D43=0,"",'ANALISI DELLE SPINTE'!I105+'ANALISI DELLE SPINTE'!E105)</f>
        <v>212.8</v>
      </c>
      <c r="L259" s="318" t="s">
        <v>357</v>
      </c>
      <c r="M259" s="46" t="s">
        <v>59</v>
      </c>
      <c r="N259" s="505">
        <v>0.15</v>
      </c>
      <c r="Q259" s="318" t="s">
        <v>387</v>
      </c>
      <c r="R259" s="319" t="s">
        <v>388</v>
      </c>
      <c r="S259" s="407">
        <v>0</v>
      </c>
      <c r="W259" s="316" t="str">
        <f>IF('ANALISI DELLE SPINTE'!C73='FOGLIO DEPOSITO'!N184," Kh x Wtot  ",IF('ANALISI DELLE SPINTE'!C73='FOGLIO DEPOSITO'!N181," Kh x Wtot x γG1 ",IF('ANALISI DELLE SPINTE'!C73='FOGLIO DEPOSITO'!N182,"Kh x Wtot ","")))</f>
        <v xml:space="preserve"> Kh x Wtot x γG1 </v>
      </c>
      <c r="X259" s="228" t="str">
        <f>IF('ANALISI DELLE SPINTE'!C73='FOGLIO DEPOSITO'!N184," Kv x Wtot  ",IF('ANALISI DELLE SPINTE'!C73='FOGLIO DEPOSITO'!N181," Kv x Wtot x γG1 ",IF('ANALISI DELLE SPINTE'!C73='FOGLIO DEPOSITO'!N182,"Kv x Wtot ","")))</f>
        <v xml:space="preserve"> Kv x Wtot x γG1 </v>
      </c>
      <c r="Y259" s="352" t="str">
        <f>IF('ANALISI DELLE SPINTE'!C73='FOGLIO DEPOSITO'!N184," Mr,Ewd",IF('ANALISI DELLE SPINTE'!C73='FOGLIO DEPOSITO'!N181," Mr,Ewd",IF('ANALISI DELLE SPINTE'!C73='FOGLIO DEPOSITO'!N182,"Mr,Ewd","")))</f>
        <v xml:space="preserve"> Mr,Ewd</v>
      </c>
      <c r="Z259" s="352" t="str">
        <f>IF('ANALISI DELLE SPINTE'!C73='FOGLIO DEPOSITO'!N184," Mr (Kh x Wtot)",IF('ANALISI DELLE SPINTE'!C73='FOGLIO DEPOSITO'!N181," Mr (Kh x Wtot x γG1)",IF('ANALISI DELLE SPINTE'!C73='FOGLIO DEPOSITO'!N182,"Mr (Kh x Wtot )","")))</f>
        <v xml:space="preserve"> Mr (Kh x Wtot x γG1)</v>
      </c>
      <c r="AA259" s="228" t="str">
        <f>IF('ANALISI DELLE SPINTE'!C73='FOGLIO DEPOSITO'!N184," Sw","")</f>
        <v/>
      </c>
    </row>
    <row r="260" spans="4:27" ht="16.5" thickTop="1" thickBot="1" x14ac:dyDescent="0.3">
      <c r="D260" s="376">
        <f>IF('ANALISI DELLE SPINTE'!D43=0,"",'ANALISI DELLE SPINTE'!I106+'ANALISI DELLE SPINTE'!E106)</f>
        <v>420.85333333333335</v>
      </c>
      <c r="L260" s="318" t="s">
        <v>358</v>
      </c>
      <c r="M260" s="388" t="s">
        <v>3</v>
      </c>
      <c r="N260" s="372">
        <v>3</v>
      </c>
      <c r="Q260" s="318"/>
      <c r="R260" s="319" t="s">
        <v>389</v>
      </c>
      <c r="S260" s="496">
        <f>TAN('FOGLIO DEPOSITO'!S259*PI()/180)*100</f>
        <v>0</v>
      </c>
      <c r="W260" s="21"/>
      <c r="X260" s="21"/>
      <c r="Y260" s="21"/>
      <c r="Z260" s="21"/>
      <c r="AA260" s="18"/>
    </row>
    <row r="261" spans="4:27" ht="19.5" thickTop="1" thickBot="1" x14ac:dyDescent="0.3">
      <c r="D261" s="374">
        <f>IF('ANALISI DELLE SPINTE'!D43=0,"",'ANALISI DELLE SPINTE'!I107+'ANALISI DELLE SPINTE'!E107)</f>
        <v>420.85333333333335</v>
      </c>
      <c r="L261" s="318" t="s">
        <v>359</v>
      </c>
      <c r="M261" s="46" t="s">
        <v>63</v>
      </c>
      <c r="N261" s="505">
        <v>0.16</v>
      </c>
      <c r="W261" s="278"/>
      <c r="X261" s="442"/>
      <c r="Y261" s="442"/>
      <c r="Z261" s="442"/>
      <c r="AA261" s="442"/>
    </row>
    <row r="262" spans="4:27" ht="19.5" thickTop="1" thickBot="1" x14ac:dyDescent="0.3">
      <c r="D262" s="376">
        <f>IF('ANALISI DELLE SPINTE'!D50=0,"",'ANALISI DELLE SPINTE'!I108+'ANALISI DELLE SPINTE'!E108)</f>
        <v>420.85333333333335</v>
      </c>
      <c r="L262" s="318" t="s">
        <v>360</v>
      </c>
      <c r="M262" s="46" t="s">
        <v>65</v>
      </c>
      <c r="N262" s="505">
        <v>0.35</v>
      </c>
      <c r="Q262" s="324" t="s">
        <v>405</v>
      </c>
      <c r="R262" s="319"/>
      <c r="S262" s="436"/>
      <c r="W262" s="278"/>
      <c r="X262" s="442"/>
      <c r="Y262" s="442"/>
      <c r="Z262" s="442"/>
      <c r="AA262" s="442" t="str">
        <f>IF('ANALISI DELLE SPINTE'!C73='FOGLIO DEPOSITO'!N184,IF('FOGLIO DEPOSITO'!D244=0,'geom masse muro+tensioni'!Q32,'geom masse muro+tensioni'!Q32-'ANALISI DELLE SPINTE'!D59)*'ANALISI DELLE SPINTE'!D25*'ANALISI DELLE SPINTE'!D36*'FOGLIO DEPOSITO'!H308,"")</f>
        <v/>
      </c>
    </row>
    <row r="263" spans="4:27" ht="19.5" thickTop="1" thickBot="1" x14ac:dyDescent="0.3">
      <c r="D263" s="376">
        <f>IF('ANALISI DELLE SPINTE'!D50=0,"",'ANALISI DELLE SPINTE'!I109+'ANALISI DELLE SPINTE'!E109)</f>
        <v>588.79999999999995</v>
      </c>
      <c r="L263" s="318" t="s">
        <v>361</v>
      </c>
      <c r="M263" s="46" t="s">
        <v>362</v>
      </c>
      <c r="N263" s="505">
        <v>0.2</v>
      </c>
      <c r="Q263" s="318"/>
      <c r="R263" s="318"/>
      <c r="S263" s="318"/>
      <c r="W263" s="278"/>
      <c r="X263" s="442"/>
      <c r="Y263" s="442"/>
      <c r="Z263" s="442"/>
      <c r="AA263" s="18"/>
    </row>
    <row r="264" spans="4:27" ht="19.5" thickTop="1" thickBot="1" x14ac:dyDescent="0.3">
      <c r="D264" s="374">
        <f>IF('ANALISI DELLE SPINTE'!D50=0,"",'ANALISI DELLE SPINTE'!I110+'ANALISI DELLE SPINTE'!E110)</f>
        <v>588.79999999999995</v>
      </c>
      <c r="L264" s="318" t="s">
        <v>363</v>
      </c>
      <c r="M264" s="46" t="s">
        <v>364</v>
      </c>
      <c r="N264" s="505">
        <v>0.2</v>
      </c>
      <c r="Q264" s="318" t="s">
        <v>406</v>
      </c>
      <c r="R264" s="319"/>
      <c r="S264" s="50" t="s">
        <v>116</v>
      </c>
      <c r="W264" s="278"/>
      <c r="X264" s="442"/>
      <c r="Y264" s="442"/>
      <c r="Z264" s="442"/>
      <c r="AA264" s="18"/>
    </row>
    <row r="265" spans="4:27" ht="15.75" thickTop="1" x14ac:dyDescent="0.25">
      <c r="L265" s="318"/>
      <c r="M265" s="318"/>
      <c r="N265" s="318"/>
      <c r="W265" s="278"/>
      <c r="X265" s="442"/>
      <c r="Y265" s="442"/>
      <c r="Z265" s="442"/>
      <c r="AA265" s="442" t="str">
        <f>IF('FOGLIO DEPOSITO'!D247="","",IF('ANALISI DELLE SPINTE'!C73="",0,IF('ANALISI DELLE SPINTE'!C73='FOGLIO DEPOSITO'!N184,IF('FOGLIO DEPOSITO'!D247=0,'geom masse muro+tensioni'!Q32,'geom masse muro+tensioni'!Q32-'ANALISI DELLE SPINTE'!D59)*'ANALISI DELLE SPINTE'!D25*'ANALISI DELLE SPINTE'!D43*'FOGLIO DEPOSITO'!H308,"")))</f>
        <v/>
      </c>
    </row>
    <row r="266" spans="4:27" x14ac:dyDescent="0.25">
      <c r="L266" s="573" t="str">
        <f>IF(N261*N260&lt;N258,"muro a contrafforti",IF(ROUND(N263,3)=ROUND(N264,3),"muro a paramento verticale",IF(ROUND(N259,3)=ROUND('FOGLIO DEPOSITO'!D211,3),"muro a paramento verticale",IF(ROUND('FOGLIO DEPOSITO'!N261,3)=ROUND('FOGLIO DEPOSITO'!N258,3),"muro a paramento inclinato","muro a contrafforti"))))</f>
        <v>muro a contrafforti</v>
      </c>
      <c r="M266" s="46" t="str">
        <f>IF(L266="muro a contrafforti","hic ","")</f>
        <v xml:space="preserve">hic </v>
      </c>
      <c r="N266" s="406">
        <f>IF(L266="muro a contrafforti",'FOGLIO DEPOSITO'!D209,"")</f>
        <v>5.0000000000000017E-2</v>
      </c>
      <c r="W266" s="278"/>
      <c r="X266" s="442"/>
      <c r="Y266" s="442"/>
      <c r="Z266" s="442"/>
      <c r="AA266" s="395"/>
    </row>
    <row r="267" spans="4:27" x14ac:dyDescent="0.25">
      <c r="L267" s="573"/>
      <c r="M267" s="46" t="str">
        <f>IF(L266="muro a contrafforti","hfc ","")</f>
        <v xml:space="preserve">hfc </v>
      </c>
      <c r="N267" s="406">
        <f>IF(L266="muro a contrafforti",'FOGLIO DEPOSITO'!D210,"")</f>
        <v>5.0010000000000027E-2</v>
      </c>
      <c r="W267" s="278"/>
      <c r="X267" s="318"/>
      <c r="Y267" s="318"/>
      <c r="Z267" s="318"/>
      <c r="AA267" s="395"/>
    </row>
    <row r="268" spans="4:27" x14ac:dyDescent="0.25">
      <c r="L268" s="491" t="str">
        <f>IF(N260*N261&gt;N258,"input error!!","")</f>
        <v/>
      </c>
      <c r="M268" s="318"/>
      <c r="N268" s="46"/>
      <c r="W268" s="278"/>
      <c r="X268" s="442"/>
      <c r="Y268" s="442"/>
      <c r="Z268" s="405">
        <v>0</v>
      </c>
      <c r="AA268" s="442" t="str">
        <f>IF('FOGLIO DEPOSITO'!D250="","",IF('ANALISI DELLE SPINTE'!C73='FOGLIO DEPOSITO'!N184,IF('FOGLIO DEPOSITO'!D250=0,'geom masse muro+tensioni'!Q32,'geom masse muro+tensioni'!Q32-'ANALISI DELLE SPINTE'!D59)*'ANALISI DELLE SPINTE'!D25*'ANALISI DELLE SPINTE'!D50*'FOGLIO DEPOSITO'!H308,""))</f>
        <v/>
      </c>
    </row>
    <row r="269" spans="4:27" x14ac:dyDescent="0.25">
      <c r="L269" s="386" t="s">
        <v>17</v>
      </c>
      <c r="M269" s="490"/>
      <c r="N269" s="252"/>
      <c r="W269" s="435">
        <v>0</v>
      </c>
      <c r="X269" s="435">
        <v>0</v>
      </c>
      <c r="Y269" s="473">
        <v>0</v>
      </c>
      <c r="Z269" s="473">
        <v>0</v>
      </c>
      <c r="AA269" s="476" t="str">
        <f>IF('ANALISI DELLE SPINTE'!C73='FOGLIO DEPOSITO'!N184,SUM(AA262:AA268),"")</f>
        <v/>
      </c>
    </row>
    <row r="270" spans="4:27" ht="15.75" thickBot="1" x14ac:dyDescent="0.3">
      <c r="L270" s="318"/>
      <c r="M270" s="318"/>
      <c r="N270" s="318"/>
      <c r="W270" s="318"/>
      <c r="X270" s="318"/>
      <c r="Y270" s="318"/>
      <c r="Z270" s="318"/>
      <c r="AA270" s="435"/>
    </row>
    <row r="271" spans="4:27" ht="19.5" thickTop="1" thickBot="1" x14ac:dyDescent="0.3">
      <c r="L271" s="318" t="s">
        <v>365</v>
      </c>
      <c r="M271" s="46" t="s">
        <v>366</v>
      </c>
      <c r="N271" s="505">
        <v>0</v>
      </c>
      <c r="W271" s="435"/>
      <c r="X271" s="435"/>
      <c r="Y271" s="435"/>
      <c r="Z271" s="435"/>
      <c r="AA271" s="435"/>
    </row>
    <row r="272" spans="4:27" ht="19.5" thickTop="1" thickBot="1" x14ac:dyDescent="0.3">
      <c r="L272" s="318" t="s">
        <v>367</v>
      </c>
      <c r="M272" s="46" t="s">
        <v>368</v>
      </c>
      <c r="N272" s="505">
        <v>1.2</v>
      </c>
      <c r="W272" s="482"/>
      <c r="X272" s="435"/>
      <c r="Y272" s="435"/>
      <c r="Z272" s="435"/>
      <c r="AA272" s="435"/>
    </row>
    <row r="273" spans="2:27" ht="19.5" thickTop="1" thickBot="1" x14ac:dyDescent="0.3">
      <c r="B273" s="317"/>
      <c r="C273" s="576" t="s">
        <v>586</v>
      </c>
      <c r="D273" s="576"/>
      <c r="E273" s="576"/>
      <c r="F273" s="397" t="s">
        <v>585</v>
      </c>
      <c r="G273" s="397" t="s">
        <v>584</v>
      </c>
      <c r="H273" s="397" t="s">
        <v>583</v>
      </c>
      <c r="I273" s="111"/>
      <c r="L273" s="318" t="s">
        <v>369</v>
      </c>
      <c r="M273" s="46" t="s">
        <v>370</v>
      </c>
      <c r="N273" s="506">
        <v>3.7</v>
      </c>
      <c r="W273" s="435"/>
      <c r="X273" s="435"/>
      <c r="Y273" s="435"/>
      <c r="Z273" s="435"/>
      <c r="AA273" s="435"/>
    </row>
    <row r="274" spans="2:27" ht="16.5" thickTop="1" thickBot="1" x14ac:dyDescent="0.3">
      <c r="B274" s="317"/>
      <c r="C274" s="397" t="s">
        <v>582</v>
      </c>
      <c r="D274" s="397" t="s">
        <v>581</v>
      </c>
      <c r="E274" s="397" t="s">
        <v>580</v>
      </c>
      <c r="F274" s="409" t="s">
        <v>579</v>
      </c>
      <c r="G274" s="390"/>
      <c r="H274" s="368"/>
      <c r="I274" s="317"/>
      <c r="L274" s="318" t="s">
        <v>371</v>
      </c>
      <c r="M274" s="571" t="s">
        <v>271</v>
      </c>
      <c r="N274" s="572"/>
      <c r="W274" s="318"/>
      <c r="X274" s="21"/>
      <c r="Y274" s="21"/>
      <c r="Z274" s="21"/>
      <c r="AA274" s="21"/>
    </row>
    <row r="275" spans="2:27" ht="15.75" thickTop="1" x14ac:dyDescent="0.25">
      <c r="B275" s="390" t="s">
        <v>578</v>
      </c>
      <c r="C275" s="390">
        <v>15300</v>
      </c>
      <c r="D275" s="390">
        <v>2040</v>
      </c>
      <c r="E275" s="390">
        <f t="shared" ref="E275:E286" si="25">AVERAGE(C275:D275)</f>
        <v>8670</v>
      </c>
      <c r="F275" s="399">
        <v>0.5</v>
      </c>
      <c r="G275" s="390" t="s">
        <v>8</v>
      </c>
      <c r="H275" s="368">
        <f t="shared" ref="H275:H286" si="26">E275/((1-2*F275^2)/((1-F275)))</f>
        <v>8670</v>
      </c>
      <c r="I275" s="408">
        <v>0</v>
      </c>
      <c r="L275" s="318"/>
      <c r="M275" s="46"/>
      <c r="N275" s="237"/>
      <c r="W275" s="439"/>
      <c r="X275" s="439"/>
      <c r="Y275" s="439"/>
      <c r="Z275" s="439"/>
      <c r="AA275" s="439"/>
    </row>
    <row r="276" spans="2:27" ht="15.75" x14ac:dyDescent="0.25">
      <c r="B276" s="390" t="s">
        <v>577</v>
      </c>
      <c r="C276" s="390">
        <v>25500</v>
      </c>
      <c r="D276" s="390">
        <v>5100</v>
      </c>
      <c r="E276" s="390">
        <f t="shared" si="25"/>
        <v>15300</v>
      </c>
      <c r="F276" s="399">
        <v>0.4</v>
      </c>
      <c r="G276" s="390" t="s">
        <v>8</v>
      </c>
      <c r="H276" s="368">
        <f t="shared" si="26"/>
        <v>13500</v>
      </c>
      <c r="I276" s="408">
        <v>0</v>
      </c>
      <c r="L276" s="386" t="s">
        <v>77</v>
      </c>
      <c r="M276" s="490"/>
      <c r="N276" s="252"/>
      <c r="W276" s="228" t="str">
        <f>IF('ANALISI DELLE SPINTE'!C73='FOGLIO DEPOSITO'!N184," Kh x Wtot ",IF('ANALISI DELLE SPINTE'!C73='FOGLIO DEPOSITO'!N181," Kh x Wtot  ",IF('ANALISI DELLE SPINTE'!C73='FOGLIO DEPOSITO'!N182,"Kh x Wtot ","")))</f>
        <v xml:space="preserve"> Kh x Wtot  </v>
      </c>
      <c r="X276" s="228" t="str">
        <f>IF('ANALISI DELLE SPINTE'!C73='FOGLIO DEPOSITO'!N184," Kv x Wtot x γG1 ",IF('ANALISI DELLE SPINTE'!C73='FOGLIO DEPOSITO'!N181," Kv x Wtot x γG1 ",IF('ANALISI DELLE SPINTE'!C73='FOGLIO DEPOSITO'!N182,"Kv x Wtot x γG1 ","")))</f>
        <v xml:space="preserve"> Kv x Wtot x γG1 </v>
      </c>
      <c r="Y276" s="352" t="str">
        <f>IF('ANALISI DELLE SPINTE'!C73='FOGLIO DEPOSITO'!N184," Mr,Ewd",IF('ANALISI DELLE SPINTE'!C73='FOGLIO DEPOSITO'!N181," Mr,Ewd",IF('ANALISI DELLE SPINTE'!C73='FOGLIO DEPOSITO'!N182,"Mr,Ewd","")))</f>
        <v xml:space="preserve"> Mr,Ewd</v>
      </c>
      <c r="Z276" s="352" t="str">
        <f>IF('ANALISI DELLE SPINTE'!C73='FOGLIO DEPOSITO'!N184," Mr (Kh x Wtot)",IF('ANALISI DELLE SPINTE'!C73='FOGLIO DEPOSITO'!N181," Mr (Kh x Wtot)",IF('ANALISI DELLE SPINTE'!C73='FOGLIO DEPOSITO'!N182,"Mr (Kh x Wtot)","")))</f>
        <v xml:space="preserve"> Mr (Kh x Wtot)</v>
      </c>
      <c r="AA276" s="228" t="str">
        <f>IF('ANALISI DELLE SPINTE'!C73='FOGLIO DEPOSITO'!N184," Sw","")</f>
        <v/>
      </c>
    </row>
    <row r="277" spans="2:27" ht="15.75" thickBot="1" x14ac:dyDescent="0.3">
      <c r="B277" s="390" t="s">
        <v>576</v>
      </c>
      <c r="C277" s="390">
        <v>51000</v>
      </c>
      <c r="D277" s="390">
        <v>15300</v>
      </c>
      <c r="E277" s="390">
        <f t="shared" si="25"/>
        <v>33150</v>
      </c>
      <c r="F277" s="399">
        <v>0.3</v>
      </c>
      <c r="G277" s="390" t="s">
        <v>8</v>
      </c>
      <c r="H277" s="368">
        <f t="shared" si="26"/>
        <v>28298.780487804877</v>
      </c>
      <c r="I277" s="408">
        <v>0</v>
      </c>
      <c r="L277" s="318"/>
      <c r="M277" s="318"/>
      <c r="N277" s="318"/>
      <c r="W277" s="21"/>
      <c r="X277" s="21"/>
      <c r="Y277" s="21"/>
      <c r="Z277" s="21"/>
      <c r="AA277" s="21"/>
    </row>
    <row r="278" spans="2:27" ht="19.5" thickTop="1" thickBot="1" x14ac:dyDescent="0.3">
      <c r="B278" s="390" t="s">
        <v>575</v>
      </c>
      <c r="C278" s="390">
        <v>102000</v>
      </c>
      <c r="D278" s="390">
        <v>51000</v>
      </c>
      <c r="E278" s="390">
        <f t="shared" si="25"/>
        <v>76500</v>
      </c>
      <c r="F278" s="399">
        <v>0.1</v>
      </c>
      <c r="G278" s="390" t="s">
        <v>8</v>
      </c>
      <c r="H278" s="368">
        <f t="shared" si="26"/>
        <v>70255.102040816331</v>
      </c>
      <c r="I278" s="83">
        <v>0</v>
      </c>
      <c r="L278" s="318" t="s">
        <v>374</v>
      </c>
      <c r="M278" s="46" t="s">
        <v>375</v>
      </c>
      <c r="N278" s="505">
        <v>0</v>
      </c>
      <c r="W278" s="278"/>
      <c r="X278" s="442"/>
      <c r="Y278" s="442"/>
      <c r="Z278" s="442"/>
      <c r="AA278" s="442"/>
    </row>
    <row r="279" spans="2:27" ht="16.5" thickTop="1" thickBot="1" x14ac:dyDescent="0.3">
      <c r="B279" s="390" t="s">
        <v>574</v>
      </c>
      <c r="C279" s="390">
        <v>255000</v>
      </c>
      <c r="D279" s="390">
        <v>25500</v>
      </c>
      <c r="E279" s="390">
        <f t="shared" si="25"/>
        <v>140250</v>
      </c>
      <c r="F279" s="399">
        <v>0.25</v>
      </c>
      <c r="G279" s="390" t="s">
        <v>8</v>
      </c>
      <c r="H279" s="368">
        <f t="shared" si="26"/>
        <v>120214.28571428571</v>
      </c>
      <c r="I279" s="83">
        <v>0</v>
      </c>
      <c r="L279" s="112" t="s">
        <v>376</v>
      </c>
      <c r="M279" s="46" t="s">
        <v>377</v>
      </c>
      <c r="N279" s="507" t="s">
        <v>107</v>
      </c>
      <c r="W279" s="278"/>
      <c r="X279" s="442"/>
      <c r="Y279" s="442"/>
      <c r="Z279" s="442"/>
      <c r="AA279" s="442" t="str">
        <f>IF('ANALISI DELLE SPINTE'!C73='FOGLIO DEPOSITO'!N184,IF('FOGLIO DEPOSITO'!D244=0,'geom masse muro+tensioni'!Q32,'geom masse muro+tensioni'!Q32-'ANALISI DELLE SPINTE'!D59)*'ANALISI DELLE SPINTE'!D25*'ANALISI DELLE SPINTE'!D36*'FOGLIO DEPOSITO'!H308,"")</f>
        <v/>
      </c>
    </row>
    <row r="280" spans="2:27" ht="18.75" thickTop="1" x14ac:dyDescent="0.25">
      <c r="B280" s="390" t="s">
        <v>573</v>
      </c>
      <c r="C280" s="390">
        <v>20400</v>
      </c>
      <c r="D280" s="390">
        <v>2040</v>
      </c>
      <c r="E280" s="390">
        <f t="shared" si="25"/>
        <v>11220</v>
      </c>
      <c r="F280" s="399">
        <v>0.35</v>
      </c>
      <c r="G280" s="390" t="s">
        <v>8</v>
      </c>
      <c r="H280" s="368">
        <f t="shared" si="26"/>
        <v>9659.6026490066233</v>
      </c>
      <c r="I280" s="83">
        <v>0</v>
      </c>
      <c r="L280" s="318" t="s">
        <v>372</v>
      </c>
      <c r="M280" s="46" t="s">
        <v>373</v>
      </c>
      <c r="N280" s="492">
        <f>N278</f>
        <v>0</v>
      </c>
      <c r="W280" s="278"/>
      <c r="X280" s="442"/>
      <c r="Y280" s="442"/>
      <c r="Z280" s="442"/>
      <c r="AA280" s="439"/>
    </row>
    <row r="281" spans="2:27" x14ac:dyDescent="0.25">
      <c r="B281" s="308" t="s">
        <v>572</v>
      </c>
      <c r="C281" s="390">
        <v>20400</v>
      </c>
      <c r="D281" s="390">
        <v>5100</v>
      </c>
      <c r="E281" s="390">
        <f t="shared" si="25"/>
        <v>12750</v>
      </c>
      <c r="F281" s="399">
        <v>0.3</v>
      </c>
      <c r="G281" s="390" t="str">
        <f t="shared" ref="G281:G286" si="27">IF(E281&lt;30000,"0-0,3",IF(E281&lt;50000,"0,3-0,7","0,7-1"))</f>
        <v>0-0,3</v>
      </c>
      <c r="H281" s="368">
        <f t="shared" si="26"/>
        <v>10884.146341463415</v>
      </c>
      <c r="I281" s="83">
        <v>1</v>
      </c>
      <c r="L281" s="318" t="s">
        <v>378</v>
      </c>
      <c r="M281" s="46" t="s">
        <v>379</v>
      </c>
      <c r="N281" s="493">
        <f>IF(N279="allineato",N272+N280/2,(N272+'FOGLIO DEPOSITO'!D212+'FOGLIO DEPOSITO'!D211-N280)/100*N279+N280/2)</f>
        <v>1.2</v>
      </c>
      <c r="W281" s="278"/>
      <c r="X281" s="442"/>
      <c r="Y281" s="442"/>
      <c r="Z281" s="442"/>
      <c r="AA281" s="439"/>
    </row>
    <row r="282" spans="2:27" x14ac:dyDescent="0.25">
      <c r="B282" s="308" t="s">
        <v>571</v>
      </c>
      <c r="C282" s="390">
        <v>25500</v>
      </c>
      <c r="D282" s="390">
        <v>10200</v>
      </c>
      <c r="E282" s="390">
        <f t="shared" si="25"/>
        <v>17850</v>
      </c>
      <c r="F282" s="399">
        <v>0.35</v>
      </c>
      <c r="G282" s="390" t="str">
        <f t="shared" si="27"/>
        <v>0-0,3</v>
      </c>
      <c r="H282" s="368">
        <f t="shared" si="26"/>
        <v>15367.549668874173</v>
      </c>
      <c r="I282" s="83">
        <v>1</v>
      </c>
      <c r="L282" s="318"/>
      <c r="M282" s="46"/>
      <c r="N282" s="237"/>
      <c r="W282" s="278"/>
      <c r="X282" s="442"/>
      <c r="Y282" s="442"/>
      <c r="Z282" s="442"/>
      <c r="AA282" s="442" t="str">
        <f>IF('FOGLIO DEPOSITO'!D247="","",IF('ANALISI DELLE SPINTE'!C73="",0,IF('ANALISI DELLE SPINTE'!C73='FOGLIO DEPOSITO'!N184,IF('FOGLIO DEPOSITO'!D247=0,'geom masse muro+tensioni'!Q32,'geom masse muro+tensioni'!Q32-'ANALISI DELLE SPINTE'!D59)*'ANALISI DELLE SPINTE'!D25*'ANALISI DELLE SPINTE'!D43*'FOGLIO DEPOSITO'!H308,"")))</f>
        <v/>
      </c>
    </row>
    <row r="283" spans="2:27" x14ac:dyDescent="0.25">
      <c r="B283" s="308" t="s">
        <v>570</v>
      </c>
      <c r="C283" s="390">
        <v>81600</v>
      </c>
      <c r="D283" s="390">
        <v>51000</v>
      </c>
      <c r="E283" s="390">
        <f t="shared" si="25"/>
        <v>66300</v>
      </c>
      <c r="F283" s="399">
        <v>0.2</v>
      </c>
      <c r="G283" s="390" t="str">
        <f t="shared" si="27"/>
        <v>0,7-1</v>
      </c>
      <c r="H283" s="368">
        <f t="shared" si="26"/>
        <v>57652.17391304348</v>
      </c>
      <c r="I283" s="83">
        <v>1</v>
      </c>
      <c r="L283" s="386" t="s">
        <v>557</v>
      </c>
      <c r="M283" s="494"/>
      <c r="N283" s="253"/>
      <c r="W283" s="278"/>
      <c r="X283" s="442"/>
      <c r="Y283" s="442"/>
      <c r="Z283" s="442"/>
      <c r="AA283" s="318"/>
    </row>
    <row r="284" spans="2:27" ht="15.75" thickBot="1" x14ac:dyDescent="0.3">
      <c r="B284" s="308" t="s">
        <v>569</v>
      </c>
      <c r="C284" s="390">
        <v>153000</v>
      </c>
      <c r="D284" s="390">
        <v>51000</v>
      </c>
      <c r="E284" s="390">
        <f t="shared" si="25"/>
        <v>102000</v>
      </c>
      <c r="F284" s="399">
        <v>0.4</v>
      </c>
      <c r="G284" s="390" t="str">
        <f t="shared" si="27"/>
        <v>0,7-1</v>
      </c>
      <c r="H284" s="368">
        <f t="shared" si="26"/>
        <v>90000</v>
      </c>
      <c r="I284" s="83">
        <v>1</v>
      </c>
      <c r="L284" s="395"/>
      <c r="M284" s="318"/>
      <c r="N284" s="318"/>
      <c r="W284" s="278"/>
      <c r="X284" s="442"/>
      <c r="Y284" s="442"/>
      <c r="Z284" s="442"/>
      <c r="AA284" s="318"/>
    </row>
    <row r="285" spans="2:27" ht="19.5" thickTop="1" thickBot="1" x14ac:dyDescent="0.3">
      <c r="B285" s="308" t="s">
        <v>568</v>
      </c>
      <c r="C285" s="390">
        <v>204000</v>
      </c>
      <c r="D285" s="390">
        <v>10200</v>
      </c>
      <c r="E285" s="390">
        <f t="shared" si="25"/>
        <v>107100</v>
      </c>
      <c r="F285" s="399">
        <v>0.3</v>
      </c>
      <c r="G285" s="390" t="str">
        <f t="shared" si="27"/>
        <v>0,7-1</v>
      </c>
      <c r="H285" s="368">
        <f t="shared" si="26"/>
        <v>91426.829268292684</v>
      </c>
      <c r="I285" s="83">
        <v>1</v>
      </c>
      <c r="L285" s="112" t="s">
        <v>380</v>
      </c>
      <c r="M285" s="46" t="s">
        <v>381</v>
      </c>
      <c r="N285" s="505">
        <v>0</v>
      </c>
      <c r="W285" s="318"/>
      <c r="X285" s="442"/>
      <c r="Y285" s="442"/>
      <c r="Z285" s="405">
        <v>0</v>
      </c>
      <c r="AA285" s="442" t="str">
        <f>IF('FOGLIO DEPOSITO'!D250="","",IF('ANALISI DELLE SPINTE'!C73='FOGLIO DEPOSITO'!N184,IF('FOGLIO DEPOSITO'!D250=0,'geom masse muro+tensioni'!Q32,'geom masse muro+tensioni'!Q32-'ANALISI DELLE SPINTE'!D59)*'ANALISI DELLE SPINTE'!D25*'ANALISI DELLE SPINTE'!D50*'FOGLIO DEPOSITO'!H308,""))</f>
        <v/>
      </c>
    </row>
    <row r="286" spans="2:27" ht="15.75" thickTop="1" x14ac:dyDescent="0.25">
      <c r="B286" s="308" t="s">
        <v>567</v>
      </c>
      <c r="C286" s="390">
        <v>61200</v>
      </c>
      <c r="D286" s="390">
        <v>15300</v>
      </c>
      <c r="E286" s="390">
        <f t="shared" si="25"/>
        <v>38250</v>
      </c>
      <c r="F286" s="399">
        <v>0.2</v>
      </c>
      <c r="G286" s="390" t="str">
        <f t="shared" si="27"/>
        <v>0,3-0,7</v>
      </c>
      <c r="H286" s="368">
        <f t="shared" si="26"/>
        <v>33260.869565217392</v>
      </c>
      <c r="I286" s="83">
        <v>1</v>
      </c>
      <c r="W286" s="435">
        <v>0</v>
      </c>
      <c r="X286" s="435">
        <v>0</v>
      </c>
      <c r="Y286" s="473">
        <v>0</v>
      </c>
      <c r="Z286" s="473">
        <v>0</v>
      </c>
      <c r="AA286" s="476" t="str">
        <f>IF('ANALISI DELLE SPINTE'!C73='FOGLIO DEPOSITO'!N184,SUM(AA279:AA285),"")</f>
        <v/>
      </c>
    </row>
    <row r="290" spans="2:7" ht="15.75" thickBot="1" x14ac:dyDescent="0.3"/>
    <row r="291" spans="2:7" ht="16.5" thickTop="1" thickBot="1" x14ac:dyDescent="0.3">
      <c r="B291" s="318" t="s">
        <v>410</v>
      </c>
      <c r="C291" s="319" t="s">
        <v>69</v>
      </c>
      <c r="D291" s="407">
        <v>0</v>
      </c>
      <c r="E291" s="395"/>
      <c r="F291" s="553" t="s">
        <v>225</v>
      </c>
      <c r="G291" s="554"/>
    </row>
    <row r="292" spans="2:7" ht="16.5" thickTop="1" thickBot="1" x14ac:dyDescent="0.3">
      <c r="B292" s="318" t="s">
        <v>411</v>
      </c>
      <c r="C292" s="319" t="s">
        <v>412</v>
      </c>
      <c r="D292" s="407">
        <v>3</v>
      </c>
      <c r="E292" s="395"/>
      <c r="F292" s="555"/>
      <c r="G292" s="556"/>
    </row>
    <row r="293" spans="2:7" ht="16.5" thickTop="1" thickBot="1" x14ac:dyDescent="0.3">
      <c r="B293" s="318" t="s">
        <v>391</v>
      </c>
      <c r="C293" s="319" t="s">
        <v>20</v>
      </c>
      <c r="D293" s="407">
        <v>35</v>
      </c>
      <c r="E293" s="395"/>
      <c r="F293" s="555"/>
      <c r="G293" s="556"/>
    </row>
    <row r="294" spans="2:7" ht="16.5" thickTop="1" thickBot="1" x14ac:dyDescent="0.3">
      <c r="B294" s="318" t="s">
        <v>396</v>
      </c>
      <c r="C294" s="388" t="s">
        <v>397</v>
      </c>
      <c r="D294" s="127">
        <v>0</v>
      </c>
      <c r="E294" s="395"/>
      <c r="F294" s="555"/>
      <c r="G294" s="556"/>
    </row>
    <row r="295" spans="2:7" ht="16.5" thickTop="1" thickBot="1" x14ac:dyDescent="0.3">
      <c r="B295" s="318" t="s">
        <v>413</v>
      </c>
      <c r="C295" s="388" t="s">
        <v>395</v>
      </c>
      <c r="D295" s="127">
        <v>0</v>
      </c>
      <c r="E295" s="395"/>
      <c r="F295" s="555"/>
      <c r="G295" s="556"/>
    </row>
    <row r="296" spans="2:7" ht="16.5" thickTop="1" thickBot="1" x14ac:dyDescent="0.3">
      <c r="B296" s="318" t="s">
        <v>539</v>
      </c>
      <c r="C296" s="319" t="s">
        <v>536</v>
      </c>
      <c r="D296" s="125">
        <v>17</v>
      </c>
      <c r="E296" s="395"/>
      <c r="F296" s="555"/>
      <c r="G296" s="556"/>
    </row>
    <row r="297" spans="2:7" ht="16.5" thickTop="1" thickBot="1" x14ac:dyDescent="0.3">
      <c r="B297" s="318" t="s">
        <v>414</v>
      </c>
      <c r="C297" s="319" t="s">
        <v>535</v>
      </c>
      <c r="D297" s="125">
        <v>18</v>
      </c>
      <c r="E297" s="395"/>
      <c r="F297" s="555"/>
      <c r="G297" s="556"/>
    </row>
    <row r="298" spans="2:7" ht="16.5" thickTop="1" thickBot="1" x14ac:dyDescent="0.3">
      <c r="B298" s="318" t="s">
        <v>540</v>
      </c>
      <c r="C298" s="388" t="s">
        <v>257</v>
      </c>
      <c r="D298" s="126">
        <v>1</v>
      </c>
      <c r="E298" s="395"/>
      <c r="F298" s="557"/>
      <c r="G298" s="558"/>
    </row>
    <row r="299" spans="2:7" ht="20.25" thickTop="1" thickBot="1" x14ac:dyDescent="0.3">
      <c r="B299" s="318" t="s">
        <v>415</v>
      </c>
      <c r="C299" s="319" t="s">
        <v>402</v>
      </c>
      <c r="D299" s="500">
        <f>IF((DATI!E63-DATI!E37-'FOGLIO DEPOSITO'!N271)&gt;=0,DATI!E63-DATI!E37-'FOGLIO DEPOSITO'!N271,0)</f>
        <v>0</v>
      </c>
      <c r="E299" s="395"/>
      <c r="F299" s="318"/>
      <c r="G299" s="318"/>
    </row>
    <row r="300" spans="2:7" ht="16.5" thickTop="1" thickBot="1" x14ac:dyDescent="0.3">
      <c r="B300" s="322" t="s">
        <v>478</v>
      </c>
      <c r="C300" s="331" t="s">
        <v>466</v>
      </c>
      <c r="D300" s="50" t="s">
        <v>119</v>
      </c>
      <c r="E300" s="395"/>
      <c r="F300" s="318"/>
      <c r="G300" s="318"/>
    </row>
    <row r="301" spans="2:7" ht="16.5" thickTop="1" thickBot="1" x14ac:dyDescent="0.3">
      <c r="B301" s="322" t="s">
        <v>478</v>
      </c>
      <c r="C301" s="331" t="s">
        <v>479</v>
      </c>
      <c r="D301" s="50" t="s">
        <v>116</v>
      </c>
      <c r="E301" s="395"/>
      <c r="F301" s="318"/>
      <c r="G301" s="318"/>
    </row>
    <row r="302" spans="2:7" ht="15.75" thickTop="1" x14ac:dyDescent="0.25"/>
    <row r="304" spans="2:7" x14ac:dyDescent="0.25">
      <c r="C304" s="552" t="str">
        <f>IF('ANALISI DELLE SPINTE'!C73='FOGLIO DEPOSITO'!N184," Kh*Wtot",IF('ANALISI DELLE SPINTE'!C73='FOGLIO DEPOSITO'!N181," Kh*Wtot",IF('ANALISI DELLE SPINTE'!C73='FOGLIO DEPOSITO'!N182,"Kh*Wtot","")))</f>
        <v xml:space="preserve"> Kh*Wtot</v>
      </c>
      <c r="D304" s="552" t="str">
        <f>IF('ANALISI DELLE SPINTE'!C73='FOGLIO DEPOSITO'!N184," Kv*Wtot",IF('ANALISI DELLE SPINTE'!C73='FOGLIO DEPOSITO'!N181," Kv*Wtot",IF('ANALISI DELLE SPINTE'!C73='FOGLIO DEPOSITO'!N182,"Kv*Wtot","")))</f>
        <v xml:space="preserve"> Kv*Wtot</v>
      </c>
    </row>
    <row r="305" spans="3:8" x14ac:dyDescent="0.25">
      <c r="C305" s="552"/>
      <c r="D305" s="552"/>
    </row>
    <row r="306" spans="3:8" ht="15.75" thickBot="1" x14ac:dyDescent="0.3">
      <c r="C306" s="433">
        <v>0</v>
      </c>
      <c r="D306" s="433">
        <v>0</v>
      </c>
    </row>
    <row r="307" spans="3:8" ht="16.5" thickTop="1" thickBot="1" x14ac:dyDescent="0.3">
      <c r="F307" s="5" t="s">
        <v>438</v>
      </c>
      <c r="G307" s="319"/>
      <c r="H307" s="50" t="s">
        <v>116</v>
      </c>
    </row>
    <row r="308" spans="3:8" ht="16.5" thickTop="1" x14ac:dyDescent="0.25">
      <c r="C308" s="184" t="s">
        <v>529</v>
      </c>
      <c r="D308" s="184" t="s">
        <v>529</v>
      </c>
      <c r="E308" s="224" t="s">
        <v>456</v>
      </c>
      <c r="F308" s="318" t="s">
        <v>436</v>
      </c>
      <c r="G308" s="62" t="s">
        <v>488</v>
      </c>
      <c r="H308" s="365">
        <f>'FOGLIO DEPOSITO'!X246</f>
        <v>30</v>
      </c>
    </row>
    <row r="309" spans="3:8" x14ac:dyDescent="0.25">
      <c r="C309" s="39"/>
      <c r="D309" s="39"/>
      <c r="E309" s="449"/>
    </row>
    <row r="310" spans="3:8" x14ac:dyDescent="0.25">
      <c r="C310" s="452">
        <f>'FOGLIO DEPOSITO'!$N$258*(('FOGLIO DEPOSITO'!K226-'FOGLIO DEPOSITO'!K225)*('ANALISI DELLE SPINTE'!C86-'ANALISI DELLE SPINTE'!C85)/2*(('ANALISI DELLE SPINTE'!C86-'ANALISI DELLE SPINTE'!C85)*IF('FOGLIO DEPOSITO'!K226&gt;'FOGLIO DEPOSITO'!K225,1/3,IF('FOGLIO DEPOSITO'!K226='FOGLIO DEPOSITO'!K225,1/2,2/3))+'FOGLIO DEPOSITO'!$H$308-'ANALISI DELLE SPINTE'!C86)+'FOGLIO DEPOSITO'!K225*('ANALISI DELLE SPINTE'!C86-'ANALISI DELLE SPINTE'!C85)*(('ANALISI DELLE SPINTE'!C86-'ANALISI DELLE SPINTE'!C85)/2+'FOGLIO DEPOSITO'!$H$308-'ANALISI DELLE SPINTE'!C86))*COS(RADIANS('ANALISI DELLE SPINTE'!D35+IF('FOGLIO DEPOSITO'!X248="SX",0,'FOGLIO DEPOSITO'!D196)))</f>
        <v>11782.91892807136</v>
      </c>
      <c r="D310" s="452">
        <f>'FOGLIO DEPOSITO'!$N$258*(('FOGLIO DEPOSITO'!K243-'FOGLIO DEPOSITO'!K242)*('ANALISI DELLE SPINTE'!C103-'ANALISI DELLE SPINTE'!C102)/2*(('ANALISI DELLE SPINTE'!C103-'ANALISI DELLE SPINTE'!C102)*IF('FOGLIO DEPOSITO'!K243&gt;'FOGLIO DEPOSITO'!K242,1/3,IF('FOGLIO DEPOSITO'!K243='FOGLIO DEPOSITO'!K242,1/2,2/3))+'FOGLIO DEPOSITO'!$H$308-'ANALISI DELLE SPINTE'!C103)+'FOGLIO DEPOSITO'!K242*('ANALISI DELLE SPINTE'!C103-'ANALISI DELLE SPINTE'!C102)*(('ANALISI DELLE SPINTE'!C103-'ANALISI DELLE SPINTE'!C102)/2+'FOGLIO DEPOSITO'!$H$308-'ANALISI DELLE SPINTE'!C103))*COS(RADIANS('ANALISI DELLE SPINTE'!D35+IF('FOGLIO DEPOSITO'!X248="SX",0,'FOGLIO DEPOSITO'!D196)))</f>
        <v>11782.91892807136</v>
      </c>
      <c r="E310" s="452">
        <f>'FOGLIO DEPOSITO'!$N$258*(('FOGLIO DEPOSITO'!Q226-'FOGLIO DEPOSITO'!Q225)*('ANALISI DELLE SPINTE'!C86-'ANALISI DELLE SPINTE'!C85)/2*(('ANALISI DELLE SPINTE'!C86-'ANALISI DELLE SPINTE'!C85)*IF('FOGLIO DEPOSITO'!Q226&gt;'FOGLIO DEPOSITO'!Q225,1/3,IF('FOGLIO DEPOSITO'!Q226='FOGLIO DEPOSITO'!Q225,1/2,2/3))+'FOGLIO DEPOSITO'!$H$308-'ANALISI DELLE SPINTE'!C86)+'FOGLIO DEPOSITO'!Q225*('ANALISI DELLE SPINTE'!C86-'ANALISI DELLE SPINTE'!C85)*(('ANALISI DELLE SPINTE'!C86-'ANALISI DELLE SPINTE'!C85)/2+'FOGLIO DEPOSITO'!$H$308-'ANALISI DELLE SPINTE'!C86))*COS(RADIANS('ANALISI DELLE SPINTE'!D35))</f>
        <v>11782.918928072015</v>
      </c>
    </row>
    <row r="311" spans="3:8" x14ac:dyDescent="0.25">
      <c r="C311" s="465">
        <f>'FOGLIO DEPOSITO'!$N$258*(('FOGLIO DEPOSITO'!K227-'FOGLIO DEPOSITO'!K226)*('ANALISI DELLE SPINTE'!C87-'ANALISI DELLE SPINTE'!C86)/2*(('ANALISI DELLE SPINTE'!C87-'ANALISI DELLE SPINTE'!C86)*IF('FOGLIO DEPOSITO'!K227&gt;'FOGLIO DEPOSITO'!K226,1/3,IF('FOGLIO DEPOSITO'!K227='FOGLIO DEPOSITO'!K226,1/2,2/3))+'FOGLIO DEPOSITO'!$H$308-'ANALISI DELLE SPINTE'!C87)+'FOGLIO DEPOSITO'!K226*('ANALISI DELLE SPINTE'!C87-'ANALISI DELLE SPINTE'!C86)*(('ANALISI DELLE SPINTE'!C87-'ANALISI DELLE SPINTE'!C86)/2+'FOGLIO DEPOSITO'!$H$308-'ANALISI DELLE SPINTE'!C87))*COS(RADIANS('ANALISI DELLE SPINTE'!D35+IF('FOGLIO DEPOSITO'!X248="SX",0,'FOGLIO DEPOSITO'!D196)))</f>
        <v>0</v>
      </c>
      <c r="D311" s="465">
        <f>'FOGLIO DEPOSITO'!$N$258*(('FOGLIO DEPOSITO'!K244-'FOGLIO DEPOSITO'!K243)*('ANALISI DELLE SPINTE'!C104-'ANALISI DELLE SPINTE'!C103)/2*(('ANALISI DELLE SPINTE'!C104-'ANALISI DELLE SPINTE'!C103)*IF('FOGLIO DEPOSITO'!K244&gt;'FOGLIO DEPOSITO'!K243,1/3,IF('FOGLIO DEPOSITO'!K244='FOGLIO DEPOSITO'!K243,1/2,2/3))+'FOGLIO DEPOSITO'!$H$308-'ANALISI DELLE SPINTE'!C104)+'FOGLIO DEPOSITO'!K243*('ANALISI DELLE SPINTE'!C104-'ANALISI DELLE SPINTE'!C103)*(('ANALISI DELLE SPINTE'!C104-'ANALISI DELLE SPINTE'!C103)/2+'FOGLIO DEPOSITO'!$H$308-'ANALISI DELLE SPINTE'!C104))*COS(RADIANS('ANALISI DELLE SPINTE'!D35+IF('FOGLIO DEPOSITO'!X248="SX",0,'FOGLIO DEPOSITO'!D196)))</f>
        <v>0</v>
      </c>
      <c r="E311" s="465">
        <f>'FOGLIO DEPOSITO'!$N$258*(('FOGLIO DEPOSITO'!Q227-'FOGLIO DEPOSITO'!Q226)*('ANALISI DELLE SPINTE'!C87-'ANALISI DELLE SPINTE'!C86)/2*(('ANALISI DELLE SPINTE'!C87-'ANALISI DELLE SPINTE'!C86)*IF('FOGLIO DEPOSITO'!Q227&gt;'FOGLIO DEPOSITO'!Q226,1/3,IF('FOGLIO DEPOSITO'!Q227='FOGLIO DEPOSITO'!Q226,1/2,2/3))+'FOGLIO DEPOSITO'!$H$308-'ANALISI DELLE SPINTE'!C87)+'FOGLIO DEPOSITO'!Q226*('ANALISI DELLE SPINTE'!C87-'ANALISI DELLE SPINTE'!C86)*(('ANALISI DELLE SPINTE'!C87-'ANALISI DELLE SPINTE'!C86)/2+'FOGLIO DEPOSITO'!$H$308-'ANALISI DELLE SPINTE'!C87))*COS(RADIANS('ANALISI DELLE SPINTE'!D35))</f>
        <v>0</v>
      </c>
    </row>
    <row r="312" spans="3:8" x14ac:dyDescent="0.25">
      <c r="C312" s="452">
        <f>IF('ANALISI DELLE SPINTE'!D43=0,"",'FOGLIO DEPOSITO'!N258*(('FOGLIO DEPOSITO'!K228-'FOGLIO DEPOSITO'!K227)*('ANALISI DELLE SPINTE'!C88-'ANALISI DELLE SPINTE'!C87)/2*(('ANALISI DELLE SPINTE'!C88-'ANALISI DELLE SPINTE'!C87)*IF('FOGLIO DEPOSITO'!K228&gt;'FOGLIO DEPOSITO'!K227,1/3,IF('FOGLIO DEPOSITO'!K228='FOGLIO DEPOSITO'!K227,1/2,2/3))+'FOGLIO DEPOSITO'!$H$308-'ANALISI DELLE SPINTE'!C88)+'FOGLIO DEPOSITO'!K227*('ANALISI DELLE SPINTE'!C88-'ANALISI DELLE SPINTE'!C87)*(('ANALISI DELLE SPINTE'!C88-'ANALISI DELLE SPINTE'!C87)/2+'FOGLIO DEPOSITO'!$H$308-'ANALISI DELLE SPINTE'!C88))*COS(RADIANS('ANALISI DELLE SPINTE'!D42+IF('FOGLIO DEPOSITO'!X248="SX",0,'FOGLIO DEPOSITO'!D196))))</f>
        <v>0</v>
      </c>
      <c r="D312" s="452">
        <f>IF('ANALISI DELLE SPINTE'!D43=0,"",'FOGLIO DEPOSITO'!N258*(('FOGLIO DEPOSITO'!K245-'FOGLIO DEPOSITO'!K244)*('ANALISI DELLE SPINTE'!C105-'ANALISI DELLE SPINTE'!C104)/2*(('ANALISI DELLE SPINTE'!C105-'ANALISI DELLE SPINTE'!C104)*IF('FOGLIO DEPOSITO'!K245&gt;'FOGLIO DEPOSITO'!K244,1/3,IF('FOGLIO DEPOSITO'!K245='FOGLIO DEPOSITO'!K244,1/2,2/3))+'FOGLIO DEPOSITO'!$H$308-'ANALISI DELLE SPINTE'!C105)+'FOGLIO DEPOSITO'!K244*('ANALISI DELLE SPINTE'!C105-'ANALISI DELLE SPINTE'!C104)*(('ANALISI DELLE SPINTE'!C105-'ANALISI DELLE SPINTE'!C104)/2+'FOGLIO DEPOSITO'!$H$308-'ANALISI DELLE SPINTE'!C105))*COS(RADIANS('ANALISI DELLE SPINTE'!D42+IF('FOGLIO DEPOSITO'!X248="SX",0,'FOGLIO DEPOSITO'!D196))))</f>
        <v>0</v>
      </c>
      <c r="E312" s="452">
        <f>IF('ANALISI DELLE SPINTE'!D43=0,"",'FOGLIO DEPOSITO'!N258*(('FOGLIO DEPOSITO'!Q228-'FOGLIO DEPOSITO'!Q227)*('ANALISI DELLE SPINTE'!C88-'ANALISI DELLE SPINTE'!C87)/2*(('ANALISI DELLE SPINTE'!C88-'ANALISI DELLE SPINTE'!C87)*IF('FOGLIO DEPOSITO'!Q228&gt;'FOGLIO DEPOSITO'!Q227,1/3,IF('FOGLIO DEPOSITO'!Q228='FOGLIO DEPOSITO'!Q227,1/2,2/3))+'FOGLIO DEPOSITO'!$H$308-'ANALISI DELLE SPINTE'!C88)+'FOGLIO DEPOSITO'!Q227*('ANALISI DELLE SPINTE'!C88-'ANALISI DELLE SPINTE'!C87)*(('ANALISI DELLE SPINTE'!C88-'ANALISI DELLE SPINTE'!C87)/2+'FOGLIO DEPOSITO'!$H$308-'ANALISI DELLE SPINTE'!C88))*COS(RADIANS('ANALISI DELLE SPINTE'!D42)))</f>
        <v>0</v>
      </c>
    </row>
    <row r="313" spans="3:8" x14ac:dyDescent="0.25">
      <c r="C313" s="452">
        <f>IF('ANALISI DELLE SPINTE'!D43=0,"",'FOGLIO DEPOSITO'!N258*(('FOGLIO DEPOSITO'!K229-'FOGLIO DEPOSITO'!K228)*('ANALISI DELLE SPINTE'!C89-'ANALISI DELLE SPINTE'!C88)/2*(('ANALISI DELLE SPINTE'!C89-'ANALISI DELLE SPINTE'!C88)*IF('FOGLIO DEPOSITO'!K229&gt;'FOGLIO DEPOSITO'!K228,1/3,IF('FOGLIO DEPOSITO'!K229='FOGLIO DEPOSITO'!K228,1/2,2/3))+'FOGLIO DEPOSITO'!$H$308-'ANALISI DELLE SPINTE'!C89)+'FOGLIO DEPOSITO'!K228*('ANALISI DELLE SPINTE'!C89-'ANALISI DELLE SPINTE'!C88)*(('ANALISI DELLE SPINTE'!C89-'ANALISI DELLE SPINTE'!C88)/2+'FOGLIO DEPOSITO'!$H$308-'ANALISI DELLE SPINTE'!C89))*COS(RADIANS('ANALISI DELLE SPINTE'!D42+IF('FOGLIO DEPOSITO'!X248="SX",0,'FOGLIO DEPOSITO'!D196))))</f>
        <v>14049.922238994959</v>
      </c>
      <c r="D313" s="452">
        <f>IF('ANALISI DELLE SPINTE'!D43=0,"",'FOGLIO DEPOSITO'!N258*(('FOGLIO DEPOSITO'!K246-'FOGLIO DEPOSITO'!K245)*('ANALISI DELLE SPINTE'!C106-'ANALISI DELLE SPINTE'!C105)/2*(('ANALISI DELLE SPINTE'!C106-'ANALISI DELLE SPINTE'!C105)*IF('FOGLIO DEPOSITO'!K246&gt;'FOGLIO DEPOSITO'!K245,1/3,IF('FOGLIO DEPOSITO'!K246='FOGLIO DEPOSITO'!K245,1/2,2/3))+'FOGLIO DEPOSITO'!$H$308-'ANALISI DELLE SPINTE'!C106)+'FOGLIO DEPOSITO'!K245*('ANALISI DELLE SPINTE'!C106-'ANALISI DELLE SPINTE'!C105)*(('ANALISI DELLE SPINTE'!C106-'ANALISI DELLE SPINTE'!C105)/2+'FOGLIO DEPOSITO'!$H$308-'ANALISI DELLE SPINTE'!C106))*COS(RADIANS('ANALISI DELLE SPINTE'!D42+IF('FOGLIO DEPOSITO'!X248="SX",0,'FOGLIO DEPOSITO'!D196))))</f>
        <v>19284.466885775124</v>
      </c>
      <c r="E313" s="452">
        <f>IF('ANALISI DELLE SPINTE'!D43=0,"",'FOGLIO DEPOSITO'!N258*(('FOGLIO DEPOSITO'!Q229-'FOGLIO DEPOSITO'!Q228)*('ANALISI DELLE SPINTE'!C89-'ANALISI DELLE SPINTE'!C88)/2*(('ANALISI DELLE SPINTE'!C89-'ANALISI DELLE SPINTE'!C88)*IF('FOGLIO DEPOSITO'!Q229&gt;'FOGLIO DEPOSITO'!Q228,1/3,IF('FOGLIO DEPOSITO'!Q229='FOGLIO DEPOSITO'!Q228,1/2,2/3))+'FOGLIO DEPOSITO'!$H$308-'ANALISI DELLE SPINTE'!C89)+'FOGLIO DEPOSITO'!Q228*('ANALISI DELLE SPINTE'!C89-'ANALISI DELLE SPINTE'!C88)*(('ANALISI DELLE SPINTE'!C89-'ANALISI DELLE SPINTE'!C88)/2+'FOGLIO DEPOSITO'!$H$308-'ANALISI DELLE SPINTE'!C89))*COS(RADIANS('ANALISI DELLE SPINTE'!D42)))</f>
        <v>14049.922238995739</v>
      </c>
    </row>
    <row r="314" spans="3:8" x14ac:dyDescent="0.25">
      <c r="C314" s="465">
        <f>IF('ANALISI DELLE SPINTE'!D43=0,"",'FOGLIO DEPOSITO'!N258*(('FOGLIO DEPOSITO'!K230-'FOGLIO DEPOSITO'!K229)*('ANALISI DELLE SPINTE'!C90-'ANALISI DELLE SPINTE'!C89)/2*(('ANALISI DELLE SPINTE'!C90-'ANALISI DELLE SPINTE'!C89)*IF('FOGLIO DEPOSITO'!K230&gt;'FOGLIO DEPOSITO'!K229,1/3,IF('FOGLIO DEPOSITO'!K230='FOGLIO DEPOSITO'!K229,1/2,2/3))+'FOGLIO DEPOSITO'!$H$308-'ANALISI DELLE SPINTE'!C90)+'FOGLIO DEPOSITO'!K229*('ANALISI DELLE SPINTE'!C90-'ANALISI DELLE SPINTE'!C89)*(('ANALISI DELLE SPINTE'!C90-'ANALISI DELLE SPINTE'!C89)/2+'FOGLIO DEPOSITO'!$H$308-'ANALISI DELLE SPINTE'!C90))*COS(RADIANS('ANALISI DELLE SPINTE'!D42+IF('FOGLIO DEPOSITO'!X248="SX",0,'FOGLIO DEPOSITO'!D196))))</f>
        <v>0</v>
      </c>
      <c r="D314" s="465">
        <f>IF('ANALISI DELLE SPINTE'!D43=0,"",'FOGLIO DEPOSITO'!N258*(('FOGLIO DEPOSITO'!K247-'FOGLIO DEPOSITO'!K246)*('ANALISI DELLE SPINTE'!C107-'ANALISI DELLE SPINTE'!C106)/2*(('ANALISI DELLE SPINTE'!C107-'ANALISI DELLE SPINTE'!C106)*IF('FOGLIO DEPOSITO'!K247&gt;'FOGLIO DEPOSITO'!K246,1/3,IF('FOGLIO DEPOSITO'!K247='FOGLIO DEPOSITO'!K246,1/2,2/3))+'FOGLIO DEPOSITO'!$H$308-'ANALISI DELLE SPINTE'!C107)+'FOGLIO DEPOSITO'!K246*('ANALISI DELLE SPINTE'!C107-'ANALISI DELLE SPINTE'!C106)*(('ANALISI DELLE SPINTE'!C107-'ANALISI DELLE SPINTE'!C106)/2+'FOGLIO DEPOSITO'!$H$308-'ANALISI DELLE SPINTE'!C107))*COS(RADIANS('ANALISI DELLE SPINTE'!D42+IF('FOGLIO DEPOSITO'!X248="SX",0,'FOGLIO DEPOSITO'!D196))))</f>
        <v>0</v>
      </c>
      <c r="E314" s="465">
        <f>IF('ANALISI DELLE SPINTE'!D43=0,"",'FOGLIO DEPOSITO'!N258*(('FOGLIO DEPOSITO'!Q230-'FOGLIO DEPOSITO'!Q229)*('ANALISI DELLE SPINTE'!C90-'ANALISI DELLE SPINTE'!C89)/2*(('ANALISI DELLE SPINTE'!C90-'ANALISI DELLE SPINTE'!C89)*IF('FOGLIO DEPOSITO'!Q230&gt;'FOGLIO DEPOSITO'!Q229,1/3,IF('FOGLIO DEPOSITO'!Q230='FOGLIO DEPOSITO'!Q229,1/2,2/3))+'FOGLIO DEPOSITO'!$H$308-'ANALISI DELLE SPINTE'!C90)+'FOGLIO DEPOSITO'!Q229*('ANALISI DELLE SPINTE'!C90-'ANALISI DELLE SPINTE'!C89)*(('ANALISI DELLE SPINTE'!C90-'ANALISI DELLE SPINTE'!C89)/2+'FOGLIO DEPOSITO'!$H$308-'ANALISI DELLE SPINTE'!C90))*COS(RADIANS('ANALISI DELLE SPINTE'!D42)))</f>
        <v>0</v>
      </c>
    </row>
    <row r="315" spans="3:8" x14ac:dyDescent="0.25">
      <c r="C315" s="452">
        <f>IF('ANALISI DELLE SPINTE'!D50=0,"",'FOGLIO DEPOSITO'!N258*(('FOGLIO DEPOSITO'!K231-'FOGLIO DEPOSITO'!K230)*('ANALISI DELLE SPINTE'!C91-'ANALISI DELLE SPINTE'!C90)/2*(('ANALISI DELLE SPINTE'!C91-'ANALISI DELLE SPINTE'!C90)*IF('FOGLIO DEPOSITO'!K231&gt;'FOGLIO DEPOSITO'!K230,1/3,IF('FOGLIO DEPOSITO'!K231='FOGLIO DEPOSITO'!K230,1/2,2/3))+'FOGLIO DEPOSITO'!$H$308-'ANALISI DELLE SPINTE'!C91)+'FOGLIO DEPOSITO'!K230*('ANALISI DELLE SPINTE'!C91-'ANALISI DELLE SPINTE'!C90)*(('ANALISI DELLE SPINTE'!C91-'ANALISI DELLE SPINTE'!C90)/2+'FOGLIO DEPOSITO'!$H$308-'ANALISI DELLE SPINTE'!C91))*COS(RADIANS('ANALISI DELLE SPINTE'!D49+IF('FOGLIO DEPOSITO'!X248="SX",0,'FOGLIO DEPOSITO'!D196))))</f>
        <v>0</v>
      </c>
      <c r="D315" s="452">
        <f>IF('ANALISI DELLE SPINTE'!D50=0,"",'FOGLIO DEPOSITO'!N258*(('FOGLIO DEPOSITO'!K248-'FOGLIO DEPOSITO'!K247)*('ANALISI DELLE SPINTE'!C108-'ANALISI DELLE SPINTE'!C107)/2*(('ANALISI DELLE SPINTE'!C108-'ANALISI DELLE SPINTE'!C107)*IF('FOGLIO DEPOSITO'!K248&gt;'FOGLIO DEPOSITO'!K247,1/3,IF('FOGLIO DEPOSITO'!K248='FOGLIO DEPOSITO'!K247,1/2,2/3))+'FOGLIO DEPOSITO'!$H$308-'ANALISI DELLE SPINTE'!C108)+'FOGLIO DEPOSITO'!K247*('ANALISI DELLE SPINTE'!C108-'ANALISI DELLE SPINTE'!C107)*(('ANALISI DELLE SPINTE'!C108-'ANALISI DELLE SPINTE'!C107)/2+'FOGLIO DEPOSITO'!$H$308-'ANALISI DELLE SPINTE'!C108))*COS(RADIANS('ANALISI DELLE SPINTE'!D49+IF('FOGLIO DEPOSITO'!X248="SX",0,'FOGLIO DEPOSITO'!D196))))</f>
        <v>0</v>
      </c>
      <c r="E315" s="452">
        <f>IF('ANALISI DELLE SPINTE'!D50=0,"",'FOGLIO DEPOSITO'!N258*(('FOGLIO DEPOSITO'!Q231-'FOGLIO DEPOSITO'!Q230)*('ANALISI DELLE SPINTE'!C91-'ANALISI DELLE SPINTE'!C90)/2*(('ANALISI DELLE SPINTE'!C91-'ANALISI DELLE SPINTE'!C90)*IF('FOGLIO DEPOSITO'!Q231&gt;'FOGLIO DEPOSITO'!Q230,1/3,IF('FOGLIO DEPOSITO'!Q231='FOGLIO DEPOSITO'!Q230,1/2,2/3))+'FOGLIO DEPOSITO'!$H$308-'ANALISI DELLE SPINTE'!C91)+'FOGLIO DEPOSITO'!Q230*('ANALISI DELLE SPINTE'!C91-'ANALISI DELLE SPINTE'!C90)*(('ANALISI DELLE SPINTE'!C91-'ANALISI DELLE SPINTE'!C90)/2+'FOGLIO DEPOSITO'!$H$308-'ANALISI DELLE SPINTE'!C91))*COS(RADIANS('ANALISI DELLE SPINTE'!D49)))</f>
        <v>0</v>
      </c>
    </row>
    <row r="316" spans="3:8" x14ac:dyDescent="0.25">
      <c r="C316" s="452">
        <f>IF('ANALISI DELLE SPINTE'!D50=0,"",'FOGLIO DEPOSITO'!N258*(('FOGLIO DEPOSITO'!K232-'FOGLIO DEPOSITO'!K231)*('ANALISI DELLE SPINTE'!C92-'ANALISI DELLE SPINTE'!C91)/2*(('ANALISI DELLE SPINTE'!C92-'ANALISI DELLE SPINTE'!C91)*IF('FOGLIO DEPOSITO'!K232&gt;'FOGLIO DEPOSITO'!K231,1/3,IF('FOGLIO DEPOSITO'!K232='FOGLIO DEPOSITO'!K231,1/2,2/3))+'FOGLIO DEPOSITO'!$H$308-'ANALISI DELLE SPINTE'!C92)+'FOGLIO DEPOSITO'!K231*('ANALISI DELLE SPINTE'!C92-'ANALISI DELLE SPINTE'!C91)*(('ANALISI DELLE SPINTE'!C92-'ANALISI DELLE SPINTE'!C91)/2+'FOGLIO DEPOSITO'!$H$308-'ANALISI DELLE SPINTE'!C92))*COS(RADIANS('ANALISI DELLE SPINTE'!D49+IF('FOGLIO DEPOSITO'!X248="SX",0,'FOGLIO DEPOSITO'!D196))))</f>
        <v>6347.5576531029483</v>
      </c>
      <c r="D316" s="452">
        <f>IF('ANALISI DELLE SPINTE'!D50=0,"",'FOGLIO DEPOSITO'!N258*(('FOGLIO DEPOSITO'!K249-'FOGLIO DEPOSITO'!K248)*('ANALISI DELLE SPINTE'!C109-'ANALISI DELLE SPINTE'!C108)/2*(('ANALISI DELLE SPINTE'!C109-'ANALISI DELLE SPINTE'!C108)*IF('FOGLIO DEPOSITO'!K249&gt;'FOGLIO DEPOSITO'!K248,1/3,IF('FOGLIO DEPOSITO'!K249='FOGLIO DEPOSITO'!K248,1/2,2/3))+'FOGLIO DEPOSITO'!$H$308-'ANALISI DELLE SPINTE'!C109)+'FOGLIO DEPOSITO'!K248*('ANALISI DELLE SPINTE'!C109-'ANALISI DELLE SPINTE'!C108)*(('ANALISI DELLE SPINTE'!C109-'ANALISI DELLE SPINTE'!C108)/2+'FOGLIO DEPOSITO'!$H$308-'ANALISI DELLE SPINTE'!C109))*COS(RADIANS('ANALISI DELLE SPINTE'!D49+IF('FOGLIO DEPOSITO'!X248="SX",0,'FOGLIO DEPOSITO'!D196))))</f>
        <v>6347.5576531029483</v>
      </c>
      <c r="E316" s="452">
        <f>IF('ANALISI DELLE SPINTE'!D50=0,"",'FOGLIO DEPOSITO'!N258*(('FOGLIO DEPOSITO'!Q232-'FOGLIO DEPOSITO'!Q231)*('ANALISI DELLE SPINTE'!C92-'ANALISI DELLE SPINTE'!C91)/2*(('ANALISI DELLE SPINTE'!C92-'ANALISI DELLE SPINTE'!C91)*IF('FOGLIO DEPOSITO'!Q232&gt;'FOGLIO DEPOSITO'!Q231,1/3,IF('FOGLIO DEPOSITO'!Q232='FOGLIO DEPOSITO'!Q231,1/2,2/3))+'FOGLIO DEPOSITO'!$H$308-'ANALISI DELLE SPINTE'!C92)+'FOGLIO DEPOSITO'!Q231*('ANALISI DELLE SPINTE'!C92-'ANALISI DELLE SPINTE'!C91)*(('ANALISI DELLE SPINTE'!C92-'ANALISI DELLE SPINTE'!C91)/2+'FOGLIO DEPOSITO'!$H$308-'ANALISI DELLE SPINTE'!C92))*COS(RADIANS('ANALISI DELLE SPINTE'!D49)))</f>
        <v>6347.5576531033003</v>
      </c>
    </row>
    <row r="317" spans="3:8" x14ac:dyDescent="0.25">
      <c r="C317" s="465">
        <f>IF('ANALISI DELLE SPINTE'!D50=0,"",'FOGLIO DEPOSITO'!N258*(('FOGLIO DEPOSITO'!K233-'FOGLIO DEPOSITO'!K232)*('ANALISI DELLE SPINTE'!C93-'ANALISI DELLE SPINTE'!C92)/2*(('ANALISI DELLE SPINTE'!C93-'ANALISI DELLE SPINTE'!C92)*IF('FOGLIO DEPOSITO'!K233&gt;'FOGLIO DEPOSITO'!K232,1/3,IF('FOGLIO DEPOSITO'!K233='FOGLIO DEPOSITO'!K232,1/2,2/3))+'FOGLIO DEPOSITO'!$H$308-'ANALISI DELLE SPINTE'!C93)+'FOGLIO DEPOSITO'!K232*('ANALISI DELLE SPINTE'!C93-'ANALISI DELLE SPINTE'!C92)*(('ANALISI DELLE SPINTE'!C93-'ANALISI DELLE SPINTE'!C92)/2+'FOGLIO DEPOSITO'!$H$308-'ANALISI DELLE SPINTE'!C93))*COS(RADIANS('ANALISI DELLE SPINTE'!D49+IF('FOGLIO DEPOSITO'!X248="SX",0,'FOGLIO DEPOSITO'!D196))))</f>
        <v>0</v>
      </c>
      <c r="D317" s="465">
        <f>IF('ANALISI DELLE SPINTE'!D50=0,"",'FOGLIO DEPOSITO'!N258*(('FOGLIO DEPOSITO'!K250-'FOGLIO DEPOSITO'!K249)*('ANALISI DELLE SPINTE'!C110-'ANALISI DELLE SPINTE'!C109)/2*(('ANALISI DELLE SPINTE'!C110-'ANALISI DELLE SPINTE'!C109)*IF('FOGLIO DEPOSITO'!K250&gt;'FOGLIO DEPOSITO'!K249,1/3,IF('FOGLIO DEPOSITO'!K250='FOGLIO DEPOSITO'!K249,1/2,2/3))+'FOGLIO DEPOSITO'!$H$308-'ANALISI DELLE SPINTE'!C110)+'FOGLIO DEPOSITO'!K249*('ANALISI DELLE SPINTE'!C110-'ANALISI DELLE SPINTE'!C109)*(('ANALISI DELLE SPINTE'!C110-'ANALISI DELLE SPINTE'!C109)/2+'FOGLIO DEPOSITO'!$H$308-'ANALISI DELLE SPINTE'!C110))*COS(RADIANS('ANALISI DELLE SPINTE'!D49+IF('FOGLIO DEPOSITO'!X248="SX",0,'FOGLIO DEPOSITO'!D196))))</f>
        <v>0</v>
      </c>
      <c r="E317" s="465">
        <f>IF('ANALISI DELLE SPINTE'!D50=0,"",'FOGLIO DEPOSITO'!N258*(('FOGLIO DEPOSITO'!Q233-'FOGLIO DEPOSITO'!Q232)*('ANALISI DELLE SPINTE'!C93-'ANALISI DELLE SPINTE'!C92)/2*(('ANALISI DELLE SPINTE'!C93-'ANALISI DELLE SPINTE'!C92)*IF('FOGLIO DEPOSITO'!Q233&gt;'FOGLIO DEPOSITO'!Q232,1/3,IF('FOGLIO DEPOSITO'!Q233='FOGLIO DEPOSITO'!Q232,1/2,2/3))+'FOGLIO DEPOSITO'!$H$308-'ANALISI DELLE SPINTE'!C93)+'FOGLIO DEPOSITO'!Q232*('ANALISI DELLE SPINTE'!C93-'ANALISI DELLE SPINTE'!C92)*(('ANALISI DELLE SPINTE'!C93-'ANALISI DELLE SPINTE'!C92)/2+'FOGLIO DEPOSITO'!$H$308-'ANALISI DELLE SPINTE'!C93))*COS(RADIANS('ANALISI DELLE SPINTE'!D49)))</f>
        <v>0</v>
      </c>
    </row>
    <row r="318" spans="3:8" x14ac:dyDescent="0.25">
      <c r="C318" s="473">
        <f>SUM(C309:C317)</f>
        <v>32180.398820169266</v>
      </c>
      <c r="D318" s="485">
        <f>SUM(D309:D317)</f>
        <v>37414.943466949437</v>
      </c>
      <c r="E318" s="473">
        <f>SUM(E309:E317)</f>
        <v>32180.398820171053</v>
      </c>
    </row>
    <row r="319" spans="3:8" x14ac:dyDescent="0.25">
      <c r="E319" s="474"/>
    </row>
    <row r="320" spans="3:8" x14ac:dyDescent="0.25">
      <c r="E320" s="318"/>
    </row>
    <row r="321" spans="3:5" ht="16.5" thickBot="1" x14ac:dyDescent="0.3">
      <c r="C321" s="348" t="s">
        <v>476</v>
      </c>
      <c r="D321" s="481" t="e">
        <f>SUM('FOGLIO DEPOSITO'!D309:D317)+IF('FOGLIO DEPOSITO'!D306="",0,('ANALISI DELLE SPINTE'!AA111)*'FOGLIO DEPOSITO'!X246/2)+IF('FOGLIO DEPOSITO'!D306="",0,'FOGLIO DEPOSITO'!C306*DATI!E83)*#REF!</f>
        <v>#REF!</v>
      </c>
      <c r="E321" s="481" t="e">
        <f>'FOGLIO DEPOSITO'!D322-'FOGLIO DEPOSITO'!C318+E318</f>
        <v>#REF!</v>
      </c>
    </row>
    <row r="322" spans="3:5" ht="16.5" thickBot="1" x14ac:dyDescent="0.3">
      <c r="C322" s="348" t="s">
        <v>476</v>
      </c>
      <c r="D322" s="481" t="e">
        <f>SUM('FOGLIO DEPOSITO'!C309:C317)+IF('FOGLIO DEPOSITO'!D306="",0,('ANALISI DELLE SPINTE'!AA94)*'FOGLIO DEPOSITO'!X246/2)+IF('FOGLIO DEPOSITO'!D306="",0,'FOGLIO DEPOSITO'!C306*DATI!E83)*#REF!</f>
        <v>#REF!</v>
      </c>
    </row>
    <row r="326" spans="3:5" ht="16.5" thickBot="1" x14ac:dyDescent="0.3">
      <c r="C326" s="348" t="s">
        <v>530</v>
      </c>
    </row>
    <row r="329" spans="3:5" ht="16.5" thickBot="1" x14ac:dyDescent="0.3">
      <c r="C329" s="224" t="s">
        <v>456</v>
      </c>
      <c r="D329" s="348" t="s">
        <v>530</v>
      </c>
    </row>
    <row r="330" spans="3:5" x14ac:dyDescent="0.25">
      <c r="C330" s="449"/>
    </row>
    <row r="331" spans="3:5" x14ac:dyDescent="0.25">
      <c r="C331" s="452">
        <f>'FOGLIO DEPOSITO'!$N$258*(('FOGLIO DEPOSITO'!Q243-'FOGLIO DEPOSITO'!Q242)*('ANALISI DELLE SPINTE'!C103-'ANALISI DELLE SPINTE'!C102)/2*(('ANALISI DELLE SPINTE'!C103-'ANALISI DELLE SPINTE'!C102)*IF('FOGLIO DEPOSITO'!Q243&gt;'FOGLIO DEPOSITO'!Q242,1/3,IF('FOGLIO DEPOSITO'!Q243='FOGLIO DEPOSITO'!Q242,1/2,2/3))+'FOGLIO DEPOSITO'!$H$308-'ANALISI DELLE SPINTE'!C103)+'FOGLIO DEPOSITO'!Q242*('ANALISI DELLE SPINTE'!C103-'ANALISI DELLE SPINTE'!C102)*(('ANALISI DELLE SPINTE'!C103-'ANALISI DELLE SPINTE'!C102)/2+'FOGLIO DEPOSITO'!$H$308-'ANALISI DELLE SPINTE'!C103))*COS(RADIANS('ANALISI DELLE SPINTE'!D35))</f>
        <v>11782.918928072015</v>
      </c>
    </row>
    <row r="332" spans="3:5" x14ac:dyDescent="0.25">
      <c r="C332" s="465">
        <f>'FOGLIO DEPOSITO'!$N$258*(('FOGLIO DEPOSITO'!Q244-'FOGLIO DEPOSITO'!Q243)*('ANALISI DELLE SPINTE'!C104-'ANALISI DELLE SPINTE'!C103)/2*(('ANALISI DELLE SPINTE'!C104-'ANALISI DELLE SPINTE'!C103)*IF('FOGLIO DEPOSITO'!Q244&gt;'FOGLIO DEPOSITO'!Q243,1/3,IF('FOGLIO DEPOSITO'!Q244='FOGLIO DEPOSITO'!Q243,1/2,2/3))+'FOGLIO DEPOSITO'!$H$308-'ANALISI DELLE SPINTE'!C104)+'FOGLIO DEPOSITO'!Q243*('ANALISI DELLE SPINTE'!C104-'ANALISI DELLE SPINTE'!C103)*(('ANALISI DELLE SPINTE'!C104-'ANALISI DELLE SPINTE'!C103)/2+'FOGLIO DEPOSITO'!$H$308-'ANALISI DELLE SPINTE'!C104))*COS(RADIANS('ANALISI DELLE SPINTE'!D35))</f>
        <v>0</v>
      </c>
    </row>
    <row r="333" spans="3:5" x14ac:dyDescent="0.25">
      <c r="C333" s="452">
        <f>IF('ANALISI DELLE SPINTE'!D43=0,"",'FOGLIO DEPOSITO'!N258*(('FOGLIO DEPOSITO'!Q245-'FOGLIO DEPOSITO'!Q244)*('ANALISI DELLE SPINTE'!C105-'ANALISI DELLE SPINTE'!C104)/2*(('ANALISI DELLE SPINTE'!C105-'ANALISI DELLE SPINTE'!C104)*IF('FOGLIO DEPOSITO'!Q245&gt;'FOGLIO DEPOSITO'!Q244,1/3,IF('FOGLIO DEPOSITO'!Q245='FOGLIO DEPOSITO'!Q244,1/2,2/3))+'FOGLIO DEPOSITO'!$H$308-'ANALISI DELLE SPINTE'!C105)+'FOGLIO DEPOSITO'!Q244*('ANALISI DELLE SPINTE'!C105-'ANALISI DELLE SPINTE'!C104)*(('ANALISI DELLE SPINTE'!C105-'ANALISI DELLE SPINTE'!C104)/2+'FOGLIO DEPOSITO'!$H$308-'ANALISI DELLE SPINTE'!C105))*COS(RADIANS('ANALISI DELLE SPINTE'!D42)))</f>
        <v>0</v>
      </c>
    </row>
    <row r="334" spans="3:5" x14ac:dyDescent="0.25">
      <c r="C334" s="452">
        <f>IF('ANALISI DELLE SPINTE'!D43=0,"",'FOGLIO DEPOSITO'!N258*(('FOGLIO DEPOSITO'!Q246-'FOGLIO DEPOSITO'!Q245)*('ANALISI DELLE SPINTE'!C106-'ANALISI DELLE SPINTE'!C105)/2*(('ANALISI DELLE SPINTE'!C106-'ANALISI DELLE SPINTE'!C105)*IF('FOGLIO DEPOSITO'!Q246&gt;'FOGLIO DEPOSITO'!Q245,1/3,IF('FOGLIO DEPOSITO'!Q246='FOGLIO DEPOSITO'!Q245,1/2,2/3))+'FOGLIO DEPOSITO'!$H$308-'ANALISI DELLE SPINTE'!C106)+'FOGLIO DEPOSITO'!Q245*('ANALISI DELLE SPINTE'!C106-'ANALISI DELLE SPINTE'!C105)*(('ANALISI DELLE SPINTE'!C106-'ANALISI DELLE SPINTE'!C105)/2+'FOGLIO DEPOSITO'!$H$308-'ANALISI DELLE SPINTE'!C106))*COS(RADIANS('ANALISI DELLE SPINTE'!D42)))</f>
        <v>19284.466885776194</v>
      </c>
    </row>
    <row r="335" spans="3:5" x14ac:dyDescent="0.25">
      <c r="C335" s="465">
        <f>IF('ANALISI DELLE SPINTE'!D43=0,"",'FOGLIO DEPOSITO'!N258*(('FOGLIO DEPOSITO'!Q247-'FOGLIO DEPOSITO'!Q246)*('ANALISI DELLE SPINTE'!C107-'ANALISI DELLE SPINTE'!C106)/2*(('ANALISI DELLE SPINTE'!C107-'ANALISI DELLE SPINTE'!C106)*IF('FOGLIO DEPOSITO'!Q247&gt;'FOGLIO DEPOSITO'!Q246,1/3,IF('FOGLIO DEPOSITO'!Q247='FOGLIO DEPOSITO'!Q246,1/2,2/3))+'FOGLIO DEPOSITO'!$H$308-'ANALISI DELLE SPINTE'!C107)+'FOGLIO DEPOSITO'!Q246*('ANALISI DELLE SPINTE'!C107-'ANALISI DELLE SPINTE'!C106)*(('ANALISI DELLE SPINTE'!C107-'ANALISI DELLE SPINTE'!C106)/2+'FOGLIO DEPOSITO'!$H$308-'ANALISI DELLE SPINTE'!C107))*COS(RADIANS('ANALISI DELLE SPINTE'!D42)))</f>
        <v>0</v>
      </c>
    </row>
    <row r="336" spans="3:5" x14ac:dyDescent="0.25">
      <c r="C336" s="452">
        <f>IF('ANALISI DELLE SPINTE'!D50=0,"",'FOGLIO DEPOSITO'!N258*(('FOGLIO DEPOSITO'!Q248-'FOGLIO DEPOSITO'!Q247)*('ANALISI DELLE SPINTE'!C108-'ANALISI DELLE SPINTE'!C107)/2*(('ANALISI DELLE SPINTE'!C108-'ANALISI DELLE SPINTE'!C107)*IF('FOGLIO DEPOSITO'!Q248&gt;'FOGLIO DEPOSITO'!Q247,1/3,IF('FOGLIO DEPOSITO'!Q248='FOGLIO DEPOSITO'!Q247,1/2,2/3))+'FOGLIO DEPOSITO'!$H$308-'ANALISI DELLE SPINTE'!C108)+'FOGLIO DEPOSITO'!Q247*('ANALISI DELLE SPINTE'!C108-'ANALISI DELLE SPINTE'!C107)*(('ANALISI DELLE SPINTE'!C108-'ANALISI DELLE SPINTE'!C107)/2+'FOGLIO DEPOSITO'!$H$308-'ANALISI DELLE SPINTE'!C108))*COS(RADIANS('ANALISI DELLE SPINTE'!D49)))</f>
        <v>0</v>
      </c>
    </row>
    <row r="337" spans="2:8" x14ac:dyDescent="0.25">
      <c r="C337" s="452">
        <f>IF('ANALISI DELLE SPINTE'!D50=0,"",'FOGLIO DEPOSITO'!N258*(('FOGLIO DEPOSITO'!Q249-'FOGLIO DEPOSITO'!Q248)*('ANALISI DELLE SPINTE'!C109-'ANALISI DELLE SPINTE'!C108)/2*(('ANALISI DELLE SPINTE'!C109-'ANALISI DELLE SPINTE'!C108)*IF('FOGLIO DEPOSITO'!Q249&gt;'FOGLIO DEPOSITO'!Q248,1/3,IF('FOGLIO DEPOSITO'!Q249='FOGLIO DEPOSITO'!Q248,1/2,2/3))+'FOGLIO DEPOSITO'!$H$308-'ANALISI DELLE SPINTE'!C109)+'FOGLIO DEPOSITO'!Q248*('ANALISI DELLE SPINTE'!C109-'ANALISI DELLE SPINTE'!C108)*(('ANALISI DELLE SPINTE'!C109-'ANALISI DELLE SPINTE'!C108)/2+'FOGLIO DEPOSITO'!$H$308-'ANALISI DELLE SPINTE'!C109))*COS(RADIANS('ANALISI DELLE SPINTE'!D49)))</f>
        <v>6347.5576531033003</v>
      </c>
    </row>
    <row r="338" spans="2:8" x14ac:dyDescent="0.25">
      <c r="C338" s="465">
        <f>IF('ANALISI DELLE SPINTE'!D50=0,"",'FOGLIO DEPOSITO'!N258*(('FOGLIO DEPOSITO'!Q250-'FOGLIO DEPOSITO'!Q249)*('ANALISI DELLE SPINTE'!C110-'ANALISI DELLE SPINTE'!C109)/2*(('ANALISI DELLE SPINTE'!C110-'ANALISI DELLE SPINTE'!C109)*IF('FOGLIO DEPOSITO'!Q250&gt;'FOGLIO DEPOSITO'!Q249,1/3,IF('FOGLIO DEPOSITO'!Q250='FOGLIO DEPOSITO'!Q249,1/2,2/3))+'FOGLIO DEPOSITO'!$H$308-'ANALISI DELLE SPINTE'!C110)+'FOGLIO DEPOSITO'!Q249*('ANALISI DELLE SPINTE'!C110-'ANALISI DELLE SPINTE'!C109)*(('ANALISI DELLE SPINTE'!C110-'ANALISI DELLE SPINTE'!C109)/2+'FOGLIO DEPOSITO'!$H$308-'ANALISI DELLE SPINTE'!C110))*COS(RADIANS('ANALISI DELLE SPINTE'!D49)))</f>
        <v>0</v>
      </c>
    </row>
    <row r="339" spans="2:8" x14ac:dyDescent="0.25">
      <c r="C339" s="485">
        <f>SUM(C330:C338)</f>
        <v>37414.94346695151</v>
      </c>
    </row>
    <row r="340" spans="2:8" x14ac:dyDescent="0.25">
      <c r="C340" s="318"/>
    </row>
    <row r="341" spans="2:8" x14ac:dyDescent="0.25">
      <c r="C341" s="318"/>
    </row>
    <row r="342" spans="2:8" ht="15.75" thickBot="1" x14ac:dyDescent="0.3">
      <c r="C342" s="481" t="e">
        <f>'FOGLIO DEPOSITO'!D321-'FOGLIO DEPOSITO'!D318+C339</f>
        <v>#REF!</v>
      </c>
    </row>
    <row r="346" spans="2:8" x14ac:dyDescent="0.25">
      <c r="B346" s="1" t="s">
        <v>292</v>
      </c>
      <c r="C346" s="318"/>
      <c r="D346" s="318"/>
      <c r="F346" s="318" t="s">
        <v>588</v>
      </c>
      <c r="G346" s="319" t="s">
        <v>587</v>
      </c>
      <c r="H346" s="410">
        <v>24.351504784522664</v>
      </c>
    </row>
    <row r="347" spans="2:8" x14ac:dyDescent="0.25">
      <c r="B347" s="1" t="s">
        <v>293</v>
      </c>
      <c r="C347" s="318"/>
      <c r="D347" s="318"/>
    </row>
    <row r="348" spans="2:8" ht="15.75" thickBot="1" x14ac:dyDescent="0.3">
      <c r="B348" s="1"/>
      <c r="C348" s="318"/>
      <c r="D348" s="318"/>
    </row>
    <row r="349" spans="2:8" ht="16.5" thickTop="1" thickBot="1" x14ac:dyDescent="0.3">
      <c r="B349" s="318" t="s">
        <v>294</v>
      </c>
      <c r="C349" s="318"/>
      <c r="D349" s="50" t="s">
        <v>263</v>
      </c>
    </row>
    <row r="350" spans="2:8" ht="19.5" thickTop="1" thickBot="1" x14ac:dyDescent="0.3">
      <c r="B350" s="318" t="s">
        <v>295</v>
      </c>
      <c r="C350" s="51" t="s">
        <v>296</v>
      </c>
      <c r="D350" s="125">
        <v>25</v>
      </c>
    </row>
    <row r="351" spans="2:8" ht="16.5" thickTop="1" thickBot="1" x14ac:dyDescent="0.3">
      <c r="B351" s="318" t="s">
        <v>297</v>
      </c>
      <c r="C351" s="388" t="s">
        <v>298</v>
      </c>
      <c r="D351" s="126">
        <v>0.1</v>
      </c>
    </row>
    <row r="352" spans="2:8" ht="15.75" thickTop="1" x14ac:dyDescent="0.25">
      <c r="B352" s="318"/>
      <c r="C352" s="388"/>
      <c r="D352" s="405"/>
    </row>
    <row r="353" spans="2:4" x14ac:dyDescent="0.25">
      <c r="B353" s="318" t="s">
        <v>299</v>
      </c>
      <c r="C353" s="385" t="s">
        <v>300</v>
      </c>
      <c r="D353" s="287">
        <f>VLOOKUP(D349,'FOGLIO DEPOSITO'!G197:H207,2,FALSE)</f>
        <v>35</v>
      </c>
    </row>
    <row r="354" spans="2:4" x14ac:dyDescent="0.25">
      <c r="B354" s="318" t="s">
        <v>301</v>
      </c>
      <c r="C354" s="385" t="s">
        <v>302</v>
      </c>
      <c r="D354" s="287">
        <f>D355+8</f>
        <v>37.049999999999997</v>
      </c>
    </row>
    <row r="355" spans="2:4" x14ac:dyDescent="0.25">
      <c r="B355" s="318" t="s">
        <v>303</v>
      </c>
      <c r="C355" s="385" t="s">
        <v>304</v>
      </c>
      <c r="D355" s="287">
        <f>D353*0.83</f>
        <v>29.049999999999997</v>
      </c>
    </row>
    <row r="356" spans="2:4" x14ac:dyDescent="0.25">
      <c r="B356" s="318" t="s">
        <v>305</v>
      </c>
      <c r="C356" s="385" t="s">
        <v>306</v>
      </c>
      <c r="D356" s="287">
        <f>(0.83*D353)/1.5</f>
        <v>19.366666666666664</v>
      </c>
    </row>
    <row r="357" spans="2:4" x14ac:dyDescent="0.25">
      <c r="B357" s="318" t="s">
        <v>307</v>
      </c>
      <c r="C357" s="59" t="s">
        <v>308</v>
      </c>
      <c r="D357" s="287">
        <f>0.3*D355^(2/3)</f>
        <v>2.8349931412728426</v>
      </c>
    </row>
    <row r="358" spans="2:4" x14ac:dyDescent="0.25">
      <c r="B358" s="318" t="s">
        <v>309</v>
      </c>
      <c r="C358" s="385" t="s">
        <v>310</v>
      </c>
      <c r="D358" s="287">
        <f>0.7*D357</f>
        <v>1.9844951988909898</v>
      </c>
    </row>
    <row r="359" spans="2:4" x14ac:dyDescent="0.25">
      <c r="B359" s="318" t="s">
        <v>311</v>
      </c>
      <c r="C359" s="385" t="s">
        <v>312</v>
      </c>
      <c r="D359" s="287">
        <f>D358/1.5</f>
        <v>1.3229967992606599</v>
      </c>
    </row>
    <row r="360" spans="2:4" x14ac:dyDescent="0.25">
      <c r="B360" s="318" t="s">
        <v>313</v>
      </c>
      <c r="C360" s="385" t="s">
        <v>314</v>
      </c>
      <c r="D360" s="287">
        <f>(2.25*D358)/1.5</f>
        <v>2.9767427983364847</v>
      </c>
    </row>
    <row r="361" spans="2:4" x14ac:dyDescent="0.25">
      <c r="B361" s="318" t="s">
        <v>315</v>
      </c>
      <c r="C361" s="385" t="s">
        <v>316</v>
      </c>
      <c r="D361" s="288">
        <f>22000*((0.83*D353+8)/10)^0.3</f>
        <v>32588.107818695287</v>
      </c>
    </row>
    <row r="362" spans="2:4" x14ac:dyDescent="0.25">
      <c r="B362" s="318"/>
      <c r="C362" s="318"/>
      <c r="D362" s="318"/>
    </row>
    <row r="363" spans="2:4" x14ac:dyDescent="0.25">
      <c r="B363" s="1" t="s">
        <v>317</v>
      </c>
      <c r="C363" s="388"/>
      <c r="D363" s="405"/>
    </row>
    <row r="364" spans="2:4" ht="15.75" thickBot="1" x14ac:dyDescent="0.3">
      <c r="B364" s="318"/>
      <c r="C364" s="388"/>
      <c r="D364" s="405"/>
    </row>
    <row r="365" spans="2:4" ht="16.5" thickTop="1" thickBot="1" x14ac:dyDescent="0.3">
      <c r="B365" s="318" t="s">
        <v>318</v>
      </c>
      <c r="C365" s="318"/>
      <c r="D365" s="50" t="s">
        <v>244</v>
      </c>
    </row>
    <row r="366" spans="2:4" ht="15.75" thickTop="1" x14ac:dyDescent="0.25">
      <c r="B366" s="318"/>
      <c r="C366" s="388"/>
      <c r="D366" s="405"/>
    </row>
    <row r="367" spans="2:4" x14ac:dyDescent="0.25">
      <c r="B367" s="318" t="s">
        <v>311</v>
      </c>
      <c r="C367" s="385" t="s">
        <v>319</v>
      </c>
      <c r="D367" s="286">
        <f>(VLOOKUP(D365,'FOGLIO DEPOSITO'!J197:K198,2,FALSE))/1.15</f>
        <v>391.304347826087</v>
      </c>
    </row>
    <row r="368" spans="2:4" x14ac:dyDescent="0.25">
      <c r="B368" s="318" t="s">
        <v>315</v>
      </c>
      <c r="C368" s="385" t="s">
        <v>316</v>
      </c>
      <c r="D368" s="288">
        <v>206000</v>
      </c>
    </row>
  </sheetData>
  <protectedRanges>
    <protectedRange sqref="C10" name="Intervallo4"/>
    <protectedRange sqref="C10" name="Intervallo1"/>
    <protectedRange sqref="I70" name="Intervallo1_1"/>
    <protectedRange sqref="G26" name="Intervallo1_2"/>
    <protectedRange sqref="D40:F44" name="Intervallo1_6"/>
    <protectedRange sqref="D58:D60" name="Intervallo1_8"/>
    <protectedRange sqref="D83:D85" name="Intervallo1_5"/>
    <protectedRange sqref="I100" name="Intervallo1_3"/>
    <protectedRange sqref="C226" name="Intervallo1_9"/>
    <protectedRange sqref="C226" name="Intervallo1_5_1"/>
    <protectedRange sqref="W234:W238 W223:W226 W228:W232" name="Intervallo1_4"/>
    <protectedRange sqref="W234:W238 W223:W226 W228:W232" name="Intervallo1_5_2"/>
    <protectedRange sqref="S260" name="Intervallo1_2_1"/>
    <protectedRange sqref="S260" name="Intervallo1_5_2_1"/>
    <protectedRange sqref="S259" name="Intervallo1_3_1"/>
    <protectedRange sqref="S259" name="Intervallo1_5_3_1"/>
    <protectedRange sqref="V245 V247:V248" name="Intervallo1_7"/>
    <protectedRange sqref="V245 V247:V248" name="Intervallo1_5_3"/>
    <protectedRange sqref="D291:D295 D297" name="Intervallo1_10"/>
    <protectedRange sqref="D293:D295 D297:D298" name="Intervallo1_5_4"/>
    <protectedRange sqref="D300" name="Intervallo1_4_1"/>
    <protectedRange sqref="D301" name="Intervallo1_5_3_2"/>
    <protectedRange sqref="D296" name="Intervallo1_7_1"/>
    <protectedRange sqref="D363:D364 D366 D351:D352" name="Intervallo1_5_1_1"/>
    <protectedRange sqref="H346" name="Intervallo1_8_1"/>
    <protectedRange sqref="H346" name="Intervallo1_5_5"/>
  </protectedRanges>
  <mergeCells count="51">
    <mergeCell ref="C304:C305"/>
    <mergeCell ref="D304:D305"/>
    <mergeCell ref="M274:N274"/>
    <mergeCell ref="L266:L267"/>
    <mergeCell ref="V248:W248"/>
    <mergeCell ref="C273:E273"/>
    <mergeCell ref="V246:W246"/>
    <mergeCell ref="F291:G298"/>
    <mergeCell ref="S175:T175"/>
    <mergeCell ref="M164:P164"/>
    <mergeCell ref="Q164:T164"/>
    <mergeCell ref="H183:I183"/>
    <mergeCell ref="H178:I178"/>
    <mergeCell ref="H172:J172"/>
    <mergeCell ref="H165:J165"/>
    <mergeCell ref="H166:J166"/>
    <mergeCell ref="H168:J168"/>
    <mergeCell ref="H169:J169"/>
    <mergeCell ref="H171:J171"/>
    <mergeCell ref="F64:G64"/>
    <mergeCell ref="F65:G65"/>
    <mergeCell ref="D65:E65"/>
    <mergeCell ref="D64:E64"/>
    <mergeCell ref="C132:D132"/>
    <mergeCell ref="C145:D145"/>
    <mergeCell ref="AM160:AO160"/>
    <mergeCell ref="AM173:AO173"/>
    <mergeCell ref="V162:AB162"/>
    <mergeCell ref="V161:AB161"/>
    <mergeCell ref="C157:C158"/>
    <mergeCell ref="B151:C151"/>
    <mergeCell ref="D155:E155"/>
    <mergeCell ref="F152:F153"/>
    <mergeCell ref="M162:T162"/>
    <mergeCell ref="D154:E154"/>
    <mergeCell ref="V145:AB145"/>
    <mergeCell ref="V146:AB146"/>
    <mergeCell ref="G138:H139"/>
    <mergeCell ref="O175:P175"/>
    <mergeCell ref="H188:I188"/>
    <mergeCell ref="G223:I223"/>
    <mergeCell ref="G240:I240"/>
    <mergeCell ref="J223:K223"/>
    <mergeCell ref="J240:K240"/>
    <mergeCell ref="N186:O186"/>
    <mergeCell ref="M223:O223"/>
    <mergeCell ref="Y186:Z186"/>
    <mergeCell ref="P223:Q223"/>
    <mergeCell ref="M240:O240"/>
    <mergeCell ref="P240:Q240"/>
    <mergeCell ref="M221:Q221"/>
  </mergeCells>
  <conditionalFormatting sqref="W259:AA286">
    <cfRule type="notContainsBlanks" dxfId="14" priority="4">
      <formula>LEN(TRIM(W259))&gt;0</formula>
    </cfRule>
  </conditionalFormatting>
  <conditionalFormatting sqref="F291">
    <cfRule type="cellIs" dxfId="13" priority="3" operator="equal">
      <formula>$H$171</formula>
    </cfRule>
  </conditionalFormatting>
  <conditionalFormatting sqref="F291:G298">
    <cfRule type="cellIs" dxfId="12" priority="2" operator="equal">
      <formula>$H$174</formula>
    </cfRule>
  </conditionalFormatting>
  <conditionalFormatting sqref="C304:D306">
    <cfRule type="notContainsBlanks" dxfId="11" priority="1">
      <formula>LEN(TRIM(C304))&gt;0</formula>
    </cfRule>
  </conditionalFormatting>
  <dataValidations disablePrompts="1" count="9">
    <dataValidation type="list" allowBlank="1" showInputMessage="1" showErrorMessage="1" sqref="B222">
      <formula1>SISM</formula1>
    </dataValidation>
    <dataValidation type="list" allowBlank="1" showInputMessage="1" showErrorMessage="1" sqref="M274">
      <formula1>posza</formula1>
    </dataValidation>
    <dataValidation type="list" allowBlank="1" showInputMessage="1" showErrorMessage="1" sqref="N279">
      <formula1>posdent</formula1>
    </dataValidation>
    <dataValidation type="list" allowBlank="1" showInputMessage="1" showErrorMessage="1" sqref="N260">
      <formula1>NUMCOST</formula1>
    </dataValidation>
    <dataValidation type="list" allowBlank="1" showInputMessage="1" showErrorMessage="1" sqref="S264 D300:D301 H307">
      <formula1>sn</formula1>
    </dataValidation>
    <dataValidation type="list" allowBlank="1" showInputMessage="1" showErrorMessage="1" sqref="X248">
      <formula1>sd</formula1>
    </dataValidation>
    <dataValidation type="list" allowBlank="1" showInputMessage="1" showErrorMessage="1" sqref="F291:G298">
      <formula1>fonda</formula1>
    </dataValidation>
    <dataValidation type="list" allowBlank="1" showInputMessage="1" showErrorMessage="1" sqref="D365">
      <formula1>fer</formula1>
    </dataValidation>
    <dataValidation type="list" allowBlank="1" showInputMessage="1" showErrorMessage="1" sqref="D349">
      <formula1>class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98"/>
  <sheetViews>
    <sheetView showGridLines="0" showRowColHeaders="0" zoomScale="90" zoomScaleNormal="90" workbookViewId="0">
      <selection activeCell="E56" sqref="E56"/>
    </sheetView>
  </sheetViews>
  <sheetFormatPr defaultRowHeight="15" x14ac:dyDescent="0.25"/>
  <cols>
    <col min="1" max="1" width="3.42578125" customWidth="1"/>
    <col min="2" max="2" width="3.42578125" style="317" customWidth="1"/>
    <col min="3" max="3" width="61" customWidth="1"/>
    <col min="4" max="4" width="12" customWidth="1"/>
    <col min="5" max="5" width="14.42578125" customWidth="1"/>
    <col min="8" max="8" width="2.85546875" customWidth="1"/>
    <col min="12" max="12" width="11.140625" customWidth="1"/>
  </cols>
  <sheetData>
    <row r="2" spans="1:17" x14ac:dyDescent="0.25">
      <c r="A2" s="2"/>
      <c r="B2" s="318"/>
      <c r="C2" s="1" t="s">
        <v>602</v>
      </c>
      <c r="D2" s="388"/>
      <c r="E2" s="405"/>
      <c r="F2" s="318"/>
      <c r="G2" s="318"/>
      <c r="H2" s="318"/>
      <c r="I2" s="318"/>
      <c r="J2" s="318"/>
      <c r="K2" s="318"/>
      <c r="L2" s="318"/>
      <c r="M2" s="318"/>
      <c r="N2" s="2"/>
      <c r="O2" s="2"/>
      <c r="P2" s="2"/>
      <c r="Q2" s="2"/>
    </row>
    <row r="3" spans="1:17" ht="15.75" thickBot="1" x14ac:dyDescent="0.3">
      <c r="A3" s="2"/>
      <c r="B3" s="318"/>
      <c r="C3" s="318"/>
      <c r="D3" s="388"/>
      <c r="E3" s="405"/>
      <c r="F3" s="318"/>
      <c r="G3" s="318"/>
      <c r="H3" s="318"/>
      <c r="I3" s="318"/>
      <c r="J3" s="318"/>
      <c r="K3" s="318"/>
      <c r="L3" s="318"/>
      <c r="M3" s="318"/>
      <c r="N3" s="2"/>
      <c r="O3" s="2"/>
      <c r="P3" s="2"/>
      <c r="Q3" s="2"/>
    </row>
    <row r="4" spans="1:17" ht="16.5" customHeight="1" thickTop="1" thickBot="1" x14ac:dyDescent="0.3">
      <c r="A4" s="2"/>
      <c r="B4" s="318"/>
      <c r="C4" s="510" t="s">
        <v>320</v>
      </c>
      <c r="D4" s="317"/>
      <c r="E4" s="317"/>
      <c r="F4" s="230"/>
      <c r="G4" s="318"/>
      <c r="H4" s="238"/>
      <c r="I4" s="318"/>
      <c r="J4" s="318"/>
      <c r="K4" s="318"/>
      <c r="L4" s="318"/>
      <c r="M4" s="318"/>
    </row>
    <row r="5" spans="1:17" ht="16.5" thickTop="1" thickBot="1" x14ac:dyDescent="0.3">
      <c r="A5" s="2"/>
      <c r="B5" s="318"/>
      <c r="C5" s="318"/>
      <c r="D5" s="318"/>
      <c r="E5" s="318"/>
      <c r="F5" s="230"/>
      <c r="G5" s="318"/>
      <c r="H5" s="238"/>
      <c r="I5" s="318"/>
      <c r="J5" s="318"/>
      <c r="K5" s="318"/>
      <c r="L5" s="318"/>
      <c r="M5" s="318"/>
    </row>
    <row r="6" spans="1:17" ht="19.5" thickTop="1" thickBot="1" x14ac:dyDescent="0.3">
      <c r="A6" s="2"/>
      <c r="B6" s="318"/>
      <c r="C6" s="318" t="s">
        <v>321</v>
      </c>
      <c r="D6" s="388" t="s">
        <v>322</v>
      </c>
      <c r="E6" s="502">
        <v>2.56</v>
      </c>
      <c r="F6" s="487"/>
      <c r="G6" s="18"/>
      <c r="H6" s="238"/>
      <c r="I6" s="318"/>
      <c r="J6" s="318"/>
      <c r="K6" s="318"/>
      <c r="L6" s="318"/>
      <c r="M6" s="318"/>
    </row>
    <row r="7" spans="1:17" ht="19.5" customHeight="1" thickTop="1" thickBot="1" x14ac:dyDescent="0.3">
      <c r="A7" s="2"/>
      <c r="B7" s="318"/>
      <c r="C7" s="318" t="s">
        <v>555</v>
      </c>
      <c r="D7" s="388" t="s">
        <v>324</v>
      </c>
      <c r="E7" s="503">
        <v>2.3639999999999999</v>
      </c>
      <c r="F7" s="487"/>
      <c r="G7" s="233"/>
      <c r="H7" s="238"/>
      <c r="I7" s="318"/>
      <c r="J7" s="318"/>
      <c r="K7" s="318"/>
      <c r="L7" s="318"/>
      <c r="M7" s="318"/>
    </row>
    <row r="8" spans="1:17" ht="19.5" thickTop="1" thickBot="1" x14ac:dyDescent="0.3">
      <c r="A8" s="2"/>
      <c r="B8" s="318"/>
      <c r="C8" s="318" t="s">
        <v>325</v>
      </c>
      <c r="D8" s="388" t="s">
        <v>326</v>
      </c>
      <c r="E8" s="504">
        <v>0.35</v>
      </c>
      <c r="F8" s="487"/>
      <c r="G8" s="233"/>
      <c r="H8" s="238"/>
      <c r="I8" s="318"/>
      <c r="J8" s="318"/>
      <c r="K8" s="318"/>
      <c r="L8" s="318"/>
      <c r="M8" s="318"/>
    </row>
    <row r="9" spans="1:17" ht="16.5" thickTop="1" thickBot="1" x14ac:dyDescent="0.3">
      <c r="A9" s="2"/>
      <c r="B9" s="318"/>
      <c r="C9" s="318" t="s">
        <v>327</v>
      </c>
      <c r="D9" s="318"/>
      <c r="E9" s="50" t="s">
        <v>171</v>
      </c>
      <c r="F9" s="487"/>
      <c r="G9" s="318"/>
      <c r="H9" s="238"/>
      <c r="I9" s="318"/>
      <c r="J9" s="318"/>
      <c r="K9" s="318"/>
      <c r="L9" s="318"/>
      <c r="M9" s="318"/>
    </row>
    <row r="10" spans="1:17" ht="16.5" thickTop="1" thickBot="1" x14ac:dyDescent="0.3">
      <c r="A10" s="2"/>
      <c r="B10" s="318"/>
      <c r="C10" s="318" t="s">
        <v>328</v>
      </c>
      <c r="D10" s="318"/>
      <c r="E10" s="50" t="s">
        <v>248</v>
      </c>
      <c r="F10" s="487"/>
      <c r="G10" s="318"/>
      <c r="H10" s="238"/>
      <c r="I10" s="318"/>
      <c r="J10" s="318"/>
      <c r="K10" s="318"/>
      <c r="L10" s="318"/>
      <c r="M10" s="318"/>
    </row>
    <row r="11" spans="1:17" ht="16.5" thickTop="1" x14ac:dyDescent="0.25">
      <c r="A11" s="2"/>
      <c r="B11" s="318"/>
      <c r="C11" s="318"/>
      <c r="D11" s="318"/>
      <c r="E11" s="318"/>
      <c r="F11" s="21"/>
      <c r="G11" s="18"/>
      <c r="H11" s="292"/>
      <c r="I11" s="318"/>
      <c r="J11" s="318"/>
      <c r="K11" s="318"/>
      <c r="L11" s="318"/>
      <c r="M11" s="318"/>
    </row>
    <row r="12" spans="1:17" x14ac:dyDescent="0.25">
      <c r="A12" s="2"/>
      <c r="B12" s="318"/>
      <c r="C12" s="318" t="s">
        <v>329</v>
      </c>
      <c r="D12" s="385" t="s">
        <v>330</v>
      </c>
      <c r="E12" s="403">
        <v>9.8059999999999992</v>
      </c>
      <c r="F12" s="394"/>
      <c r="G12" s="21"/>
      <c r="H12" s="234"/>
      <c r="I12" s="318"/>
      <c r="J12" s="318"/>
      <c r="K12" s="318"/>
      <c r="L12" s="318"/>
      <c r="M12" s="318"/>
    </row>
    <row r="13" spans="1:17" x14ac:dyDescent="0.25">
      <c r="A13" s="2"/>
      <c r="B13" s="318"/>
      <c r="C13" s="112" t="s">
        <v>331</v>
      </c>
      <c r="D13" s="385" t="s">
        <v>332</v>
      </c>
      <c r="E13" s="231">
        <f>E6/9.806</f>
        <v>0.26106465429328984</v>
      </c>
      <c r="F13" s="394"/>
      <c r="G13" s="21"/>
      <c r="H13" s="234"/>
      <c r="I13" s="18"/>
      <c r="J13" s="18"/>
      <c r="K13" s="318"/>
      <c r="L13" s="318"/>
      <c r="M13" s="318"/>
    </row>
    <row r="14" spans="1:17" ht="18" x14ac:dyDescent="0.25">
      <c r="A14" s="2"/>
      <c r="B14" s="318"/>
      <c r="C14" s="112" t="s">
        <v>333</v>
      </c>
      <c r="D14" s="385" t="s">
        <v>334</v>
      </c>
      <c r="E14" s="232">
        <f>IF(E10="T1",1,IF(E10="T2",1.2,IF(E10="T3",1.2,IF(E10="T4",1.4,""))))</f>
        <v>1</v>
      </c>
      <c r="F14" s="394"/>
      <c r="G14" s="21"/>
      <c r="H14" s="234"/>
      <c r="I14" s="18"/>
      <c r="J14" s="18"/>
      <c r="K14" s="318"/>
      <c r="L14" s="318"/>
      <c r="M14" s="318"/>
    </row>
    <row r="15" spans="1:17" ht="18" x14ac:dyDescent="0.25">
      <c r="A15" s="2"/>
      <c r="B15" s="318"/>
      <c r="C15" s="112" t="s">
        <v>335</v>
      </c>
      <c r="D15" s="385" t="s">
        <v>336</v>
      </c>
      <c r="E15" s="232">
        <f>IF(E9="A",'FOGLIO DEPOSITO'!N198,IF(E9="B",'FOGLIO DEPOSITO'!N199,IF(E9="C",'FOGLIO DEPOSITO'!N200,IF(E9="D",'FOGLIO DEPOSITO'!N201,IF(E9="E",'FOGLIO DEPOSITO'!N202,"")))))</f>
        <v>1.153137262900265</v>
      </c>
      <c r="F15" s="394"/>
      <c r="G15" s="21"/>
      <c r="H15" s="234"/>
      <c r="I15" s="18"/>
      <c r="J15" s="18"/>
      <c r="K15" s="318"/>
      <c r="L15" s="318"/>
      <c r="M15" s="318"/>
    </row>
    <row r="16" spans="1:17" x14ac:dyDescent="0.25">
      <c r="A16" s="2"/>
      <c r="B16" s="318"/>
      <c r="C16" s="112" t="s">
        <v>337</v>
      </c>
      <c r="D16" s="385" t="s">
        <v>338</v>
      </c>
      <c r="E16" s="232">
        <f>E14*E15</f>
        <v>1.153137262900265</v>
      </c>
      <c r="F16" s="394"/>
      <c r="G16" s="21"/>
      <c r="H16" s="234"/>
      <c r="I16" s="18"/>
      <c r="J16" s="18"/>
      <c r="K16" s="318"/>
      <c r="L16" s="318"/>
      <c r="M16" s="318"/>
    </row>
    <row r="17" spans="1:17" x14ac:dyDescent="0.25">
      <c r="A17" s="2"/>
      <c r="B17" s="318"/>
      <c r="C17" s="112" t="s">
        <v>339</v>
      </c>
      <c r="D17" s="385" t="s">
        <v>340</v>
      </c>
      <c r="E17" s="232">
        <f>E16*E13</f>
        <v>0.30104338089176819</v>
      </c>
      <c r="F17" s="394"/>
      <c r="G17" s="21"/>
      <c r="H17" s="234"/>
      <c r="I17" s="18"/>
      <c r="J17" s="18"/>
      <c r="K17" s="318"/>
      <c r="L17" s="318"/>
      <c r="M17" s="318"/>
    </row>
    <row r="18" spans="1:17" ht="18" x14ac:dyDescent="0.25">
      <c r="A18" s="2"/>
      <c r="B18" s="318"/>
      <c r="C18" s="112" t="s">
        <v>341</v>
      </c>
      <c r="D18" s="385" t="s">
        <v>342</v>
      </c>
      <c r="E18" s="232">
        <f>IF(E9="A",'FOGLIO DEPOSITO'!O198,IF(E9="B",'FOGLIO DEPOSITO'!O199,IF(E9="C",'FOGLIO DEPOSITO'!O200,IF(E9="D",'FOGLIO DEPOSITO'!O201,IF(E9="E",'FOGLIO DEPOSITO'!O202,"")))))</f>
        <v>1.3569975897683932</v>
      </c>
      <c r="F18" s="394"/>
      <c r="G18" s="21"/>
      <c r="H18" s="234"/>
      <c r="I18" s="18"/>
      <c r="J18" s="18"/>
      <c r="K18" s="318"/>
      <c r="L18" s="318"/>
      <c r="M18" s="318"/>
    </row>
    <row r="19" spans="1:17" ht="18" x14ac:dyDescent="0.25">
      <c r="A19" s="2"/>
      <c r="B19" s="318"/>
      <c r="C19" s="112" t="s">
        <v>343</v>
      </c>
      <c r="D19" s="385" t="s">
        <v>344</v>
      </c>
      <c r="E19" s="404">
        <f>E20/3</f>
        <v>0.15831638547297919</v>
      </c>
      <c r="F19" s="394"/>
      <c r="G19" s="21"/>
      <c r="H19" s="234"/>
      <c r="I19" s="18"/>
      <c r="J19" s="18"/>
      <c r="K19" s="318"/>
      <c r="L19" s="318"/>
      <c r="M19" s="318"/>
    </row>
    <row r="20" spans="1:17" ht="18" x14ac:dyDescent="0.25">
      <c r="A20" s="2"/>
      <c r="B20" s="318"/>
      <c r="C20" s="112" t="s">
        <v>345</v>
      </c>
      <c r="D20" s="385" t="s">
        <v>346</v>
      </c>
      <c r="E20" s="404">
        <f>E18*E8</f>
        <v>0.47494915641893759</v>
      </c>
      <c r="F20" s="394"/>
      <c r="G20" s="21"/>
      <c r="H20" s="234"/>
      <c r="I20" s="18"/>
      <c r="J20" s="18"/>
      <c r="K20" s="318"/>
      <c r="L20" s="318"/>
      <c r="M20" s="318"/>
    </row>
    <row r="21" spans="1:17" ht="18" x14ac:dyDescent="0.25">
      <c r="A21" s="2"/>
      <c r="B21" s="318"/>
      <c r="C21" s="112" t="s">
        <v>347</v>
      </c>
      <c r="D21" s="385" t="s">
        <v>348</v>
      </c>
      <c r="E21" s="404">
        <f>4*E6/E12+1.6</f>
        <v>2.6442586171731595</v>
      </c>
      <c r="F21" s="394"/>
      <c r="G21" s="21"/>
      <c r="H21" s="234"/>
      <c r="I21" s="18"/>
      <c r="J21" s="18"/>
      <c r="K21" s="318"/>
      <c r="L21" s="318"/>
      <c r="M21" s="318"/>
    </row>
    <row r="22" spans="1:17" x14ac:dyDescent="0.25">
      <c r="A22" s="2"/>
      <c r="B22" s="318"/>
      <c r="C22" s="112" t="s">
        <v>349</v>
      </c>
      <c r="D22" s="290" t="s">
        <v>95</v>
      </c>
      <c r="E22" s="289">
        <v>5</v>
      </c>
      <c r="F22" s="394"/>
      <c r="G22" s="21"/>
      <c r="H22" s="234"/>
      <c r="I22" s="18"/>
      <c r="J22" s="18"/>
      <c r="K22" s="318"/>
      <c r="L22" s="318"/>
      <c r="M22" s="318"/>
    </row>
    <row r="23" spans="1:17" x14ac:dyDescent="0.25">
      <c r="A23" s="2"/>
      <c r="B23" s="318"/>
      <c r="C23" s="318" t="s">
        <v>350</v>
      </c>
      <c r="D23" s="290" t="s">
        <v>351</v>
      </c>
      <c r="E23" s="402">
        <f>(10/(5+E22))^0.5</f>
        <v>1</v>
      </c>
      <c r="F23" s="394"/>
      <c r="G23" s="21"/>
      <c r="H23" s="234"/>
      <c r="I23" s="18"/>
      <c r="J23" s="18"/>
      <c r="K23" s="318"/>
      <c r="L23" s="318"/>
      <c r="M23" s="318"/>
    </row>
    <row r="24" spans="1:17" x14ac:dyDescent="0.25">
      <c r="A24" s="2"/>
      <c r="B24" s="318"/>
      <c r="C24" s="318" t="s">
        <v>352</v>
      </c>
      <c r="D24" s="291" t="s">
        <v>353</v>
      </c>
      <c r="E24" s="402">
        <f>IF(E28="si",1,IF(E9="A",'FOGLIO DEPOSITO'!G217,'FOGLIO DEPOSITO'!H217))</f>
        <v>0.31</v>
      </c>
      <c r="F24" s="18"/>
      <c r="G24" s="21"/>
      <c r="H24" s="234"/>
      <c r="I24" s="18"/>
      <c r="J24" s="18"/>
      <c r="K24" s="318"/>
      <c r="L24" s="318"/>
      <c r="M24" s="318"/>
    </row>
    <row r="25" spans="1:17" x14ac:dyDescent="0.25">
      <c r="A25" s="2"/>
      <c r="B25" s="318"/>
      <c r="C25" s="318" t="s">
        <v>354</v>
      </c>
      <c r="D25" s="385" t="s">
        <v>239</v>
      </c>
      <c r="E25" s="398">
        <f>E24*E16*E13</f>
        <v>9.3323448076448129E-2</v>
      </c>
      <c r="F25" s="18"/>
      <c r="G25" s="21"/>
      <c r="H25" s="234"/>
      <c r="I25" s="18"/>
      <c r="J25" s="18"/>
      <c r="K25" s="318"/>
      <c r="L25" s="318"/>
      <c r="M25" s="318"/>
    </row>
    <row r="26" spans="1:17" x14ac:dyDescent="0.25">
      <c r="A26" s="2"/>
      <c r="B26" s="318"/>
      <c r="C26" s="318" t="s">
        <v>355</v>
      </c>
      <c r="D26" s="385" t="s">
        <v>240</v>
      </c>
      <c r="E26" s="488">
        <f>0.5*E25</f>
        <v>4.6661724038224064E-2</v>
      </c>
      <c r="F26" s="21"/>
      <c r="G26" s="21"/>
      <c r="H26" s="234"/>
      <c r="I26" s="18"/>
      <c r="J26" s="18"/>
      <c r="K26" s="318"/>
      <c r="L26" s="318"/>
      <c r="M26" s="318"/>
    </row>
    <row r="27" spans="1:17" ht="12" customHeight="1" thickBot="1" x14ac:dyDescent="0.3">
      <c r="A27" s="2"/>
      <c r="B27" s="318"/>
      <c r="C27" s="318"/>
      <c r="D27" s="384"/>
      <c r="E27" s="489"/>
      <c r="F27" s="21"/>
      <c r="G27" s="21"/>
      <c r="H27" s="234"/>
      <c r="I27" s="18"/>
      <c r="J27" s="18"/>
      <c r="K27" s="318"/>
      <c r="L27" s="318"/>
      <c r="M27" s="318"/>
    </row>
    <row r="28" spans="1:17" ht="16.5" thickTop="1" thickBot="1" x14ac:dyDescent="0.3">
      <c r="A28" s="2"/>
      <c r="B28" s="318"/>
      <c r="C28" s="318" t="s">
        <v>356</v>
      </c>
      <c r="D28" s="384"/>
      <c r="E28" s="50" t="s">
        <v>116</v>
      </c>
      <c r="F28" s="21"/>
      <c r="G28" s="21"/>
      <c r="H28" s="234"/>
      <c r="I28" s="18"/>
      <c r="J28" s="18"/>
      <c r="K28" s="318"/>
      <c r="L28" s="318"/>
      <c r="M28" s="318"/>
    </row>
    <row r="29" spans="1:17" ht="15.75" thickTop="1" x14ac:dyDescent="0.25">
      <c r="A29" s="2"/>
      <c r="B29" s="318"/>
      <c r="C29" s="318"/>
      <c r="D29" s="47"/>
      <c r="E29" s="318"/>
      <c r="F29" s="318"/>
      <c r="G29" s="318"/>
      <c r="H29" s="318"/>
      <c r="I29" s="318"/>
      <c r="J29" s="318"/>
      <c r="K29" s="318"/>
      <c r="L29" s="318"/>
      <c r="M29" s="318"/>
      <c r="N29" s="2"/>
      <c r="O29" s="2"/>
      <c r="P29" s="2"/>
      <c r="Q29" s="2"/>
    </row>
    <row r="30" spans="1:17" x14ac:dyDescent="0.25">
      <c r="A30" s="2"/>
      <c r="B30" s="318"/>
      <c r="C30" s="1" t="s">
        <v>603</v>
      </c>
      <c r="D30" s="47"/>
      <c r="E30" s="318"/>
      <c r="F30" s="318"/>
      <c r="G30" s="318"/>
      <c r="H30" s="318"/>
      <c r="I30" s="318"/>
      <c r="J30" s="318"/>
      <c r="K30" s="318"/>
      <c r="L30" s="318"/>
      <c r="M30" s="318"/>
      <c r="N30" s="2"/>
      <c r="O30" s="2"/>
      <c r="P30" s="2"/>
      <c r="Q30" s="2"/>
    </row>
    <row r="31" spans="1:17" ht="15.75" thickBot="1" x14ac:dyDescent="0.3">
      <c r="A31" s="2"/>
      <c r="B31" s="318"/>
      <c r="C31" s="318"/>
      <c r="D31" s="47"/>
      <c r="E31" s="318"/>
      <c r="F31" s="318"/>
      <c r="G31" s="318"/>
      <c r="H31" s="318"/>
      <c r="I31" s="318"/>
      <c r="J31" s="318"/>
      <c r="K31" s="318"/>
      <c r="L31" s="318"/>
      <c r="M31" s="318"/>
      <c r="N31" s="2"/>
      <c r="O31" s="2"/>
      <c r="P31" s="2"/>
      <c r="Q31" s="2"/>
    </row>
    <row r="32" spans="1:17" ht="19.5" thickTop="1" thickBot="1" x14ac:dyDescent="0.3">
      <c r="A32" s="2"/>
      <c r="B32" s="318"/>
      <c r="C32" s="318" t="s">
        <v>382</v>
      </c>
      <c r="D32" s="323" t="s">
        <v>383</v>
      </c>
      <c r="E32" s="124">
        <v>0</v>
      </c>
      <c r="F32" s="318"/>
      <c r="G32" s="318"/>
      <c r="H32" s="318"/>
      <c r="I32" s="318"/>
      <c r="J32" s="318"/>
      <c r="K32" s="318"/>
      <c r="L32" s="318"/>
      <c r="M32" s="318"/>
      <c r="N32" s="2"/>
      <c r="O32" s="2"/>
      <c r="P32" s="2"/>
      <c r="Q32" s="2"/>
    </row>
    <row r="33" spans="1:17" ht="19.5" thickTop="1" thickBot="1" x14ac:dyDescent="0.3">
      <c r="A33" s="2"/>
      <c r="B33" s="318"/>
      <c r="C33" s="318" t="s">
        <v>384</v>
      </c>
      <c r="D33" s="323" t="s">
        <v>385</v>
      </c>
      <c r="E33" s="124">
        <v>0</v>
      </c>
      <c r="F33" s="318"/>
      <c r="G33" s="322"/>
      <c r="H33" s="322"/>
      <c r="I33" s="318"/>
      <c r="J33" s="318"/>
      <c r="K33" s="318"/>
      <c r="L33" s="318"/>
      <c r="M33" s="318"/>
      <c r="N33" s="2"/>
      <c r="O33" s="2"/>
      <c r="P33" s="2"/>
      <c r="Q33" s="2"/>
    </row>
    <row r="34" spans="1:17" ht="15.75" thickTop="1" x14ac:dyDescent="0.25">
      <c r="A34" s="2"/>
      <c r="B34" s="318"/>
      <c r="C34" s="318"/>
      <c r="D34" s="318"/>
      <c r="E34" s="318"/>
      <c r="F34" s="318"/>
      <c r="G34" s="77"/>
      <c r="H34" s="318"/>
      <c r="I34" s="318"/>
      <c r="J34" s="318"/>
      <c r="K34" s="318"/>
      <c r="L34" s="318"/>
      <c r="M34" s="318"/>
      <c r="N34" s="2"/>
      <c r="O34" s="2"/>
      <c r="P34" s="2"/>
      <c r="Q34" s="2"/>
    </row>
    <row r="35" spans="1:17" x14ac:dyDescent="0.25">
      <c r="A35" s="2"/>
      <c r="B35" s="318"/>
      <c r="C35" s="1" t="s">
        <v>604</v>
      </c>
      <c r="D35" s="318"/>
      <c r="E35" s="318"/>
      <c r="F35" s="318"/>
      <c r="G35" s="318"/>
      <c r="H35" s="318"/>
      <c r="I35" s="318"/>
      <c r="J35" s="318"/>
      <c r="K35" s="495"/>
      <c r="L35" s="318"/>
      <c r="M35" s="318"/>
      <c r="N35" s="2"/>
      <c r="O35" s="2"/>
      <c r="P35" s="2"/>
      <c r="Q35" s="2"/>
    </row>
    <row r="36" spans="1:17" ht="12.75" customHeight="1" thickBot="1" x14ac:dyDescent="0.3">
      <c r="A36" s="2"/>
      <c r="B36" s="318"/>
      <c r="C36" s="1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2"/>
      <c r="O36" s="2"/>
      <c r="P36" s="2"/>
      <c r="Q36" s="2"/>
    </row>
    <row r="37" spans="1:17" s="317" customFormat="1" ht="19.5" thickTop="1" thickBot="1" x14ac:dyDescent="0.3">
      <c r="A37" s="318"/>
      <c r="B37" s="318"/>
      <c r="C37" s="318" t="s">
        <v>600</v>
      </c>
      <c r="D37" s="46" t="s">
        <v>601</v>
      </c>
      <c r="E37" s="126">
        <v>30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</row>
    <row r="38" spans="1:17" ht="15.75" thickTop="1" x14ac:dyDescent="0.25">
      <c r="A38" s="2"/>
      <c r="B38" s="318"/>
      <c r="C38" s="324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2"/>
      <c r="O38" s="2"/>
      <c r="P38" s="2"/>
      <c r="Q38" s="2"/>
    </row>
    <row r="39" spans="1:17" x14ac:dyDescent="0.25">
      <c r="A39" s="2"/>
      <c r="B39" s="318"/>
      <c r="C39" s="324" t="s">
        <v>605</v>
      </c>
      <c r="D39" s="319"/>
      <c r="E39" s="497"/>
      <c r="F39" s="395"/>
      <c r="G39" s="405"/>
      <c r="H39" s="76"/>
      <c r="I39" s="318"/>
      <c r="J39" s="318"/>
      <c r="K39" s="318"/>
      <c r="L39" s="318"/>
      <c r="M39" s="318"/>
      <c r="N39" s="2"/>
      <c r="O39" s="2"/>
      <c r="P39" s="2"/>
      <c r="Q39" s="2"/>
    </row>
    <row r="40" spans="1:17" x14ac:dyDescent="0.25">
      <c r="A40" s="2"/>
      <c r="B40" s="318"/>
      <c r="C40" s="293" t="s">
        <v>390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2"/>
      <c r="O40" s="2"/>
      <c r="P40" s="2"/>
      <c r="Q40" s="2"/>
    </row>
    <row r="41" spans="1:17" ht="11.25" customHeight="1" thickBot="1" x14ac:dyDescent="0.3">
      <c r="A41" s="2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2"/>
      <c r="O41" s="2"/>
      <c r="P41" s="2"/>
      <c r="Q41" s="2"/>
    </row>
    <row r="42" spans="1:17" ht="16.5" customHeight="1" thickTop="1" thickBot="1" x14ac:dyDescent="0.3">
      <c r="A42" s="2"/>
      <c r="B42" s="318"/>
      <c r="C42" s="318" t="s">
        <v>391</v>
      </c>
      <c r="D42" s="319" t="s">
        <v>20</v>
      </c>
      <c r="E42" s="407">
        <v>28</v>
      </c>
      <c r="F42" s="395"/>
      <c r="G42" s="553" t="s">
        <v>213</v>
      </c>
      <c r="H42" s="554"/>
      <c r="I42" s="318"/>
      <c r="J42" s="318"/>
      <c r="K42" s="318"/>
      <c r="L42" s="318"/>
      <c r="M42" s="318"/>
      <c r="N42" s="2"/>
      <c r="O42" s="2"/>
      <c r="P42" s="2"/>
      <c r="Q42" s="2"/>
    </row>
    <row r="43" spans="1:17" ht="16.5" thickTop="1" thickBot="1" x14ac:dyDescent="0.3">
      <c r="A43" s="2"/>
      <c r="B43" s="318"/>
      <c r="C43" s="318" t="s">
        <v>392</v>
      </c>
      <c r="D43" s="319" t="s">
        <v>393</v>
      </c>
      <c r="E43" s="158">
        <v>19</v>
      </c>
      <c r="F43" s="395"/>
      <c r="G43" s="555"/>
      <c r="H43" s="556"/>
      <c r="I43" s="318"/>
      <c r="J43" s="318"/>
      <c r="K43" s="318"/>
      <c r="L43" s="318"/>
      <c r="M43" s="318"/>
      <c r="N43" s="2"/>
      <c r="O43" s="2"/>
      <c r="P43" s="2"/>
      <c r="Q43" s="2"/>
    </row>
    <row r="44" spans="1:17" ht="16.5" customHeight="1" thickTop="1" thickBot="1" x14ac:dyDescent="0.3">
      <c r="A44" s="2"/>
      <c r="B44" s="318"/>
      <c r="C44" s="318" t="s">
        <v>394</v>
      </c>
      <c r="D44" s="388" t="s">
        <v>395</v>
      </c>
      <c r="E44" s="127">
        <v>0</v>
      </c>
      <c r="F44" s="395"/>
      <c r="G44" s="555"/>
      <c r="H44" s="556"/>
      <c r="I44" s="318"/>
      <c r="J44" s="318"/>
      <c r="K44" s="318"/>
      <c r="L44" s="318"/>
      <c r="M44" s="318"/>
      <c r="N44" s="2"/>
      <c r="O44" s="2"/>
      <c r="P44" s="2"/>
      <c r="Q44" s="2"/>
    </row>
    <row r="45" spans="1:17" ht="16.5" customHeight="1" thickTop="1" thickBot="1" x14ac:dyDescent="0.3">
      <c r="A45" s="2"/>
      <c r="B45" s="318"/>
      <c r="C45" s="318" t="s">
        <v>396</v>
      </c>
      <c r="D45" s="388" t="s">
        <v>397</v>
      </c>
      <c r="E45" s="127">
        <v>0</v>
      </c>
      <c r="F45" s="395"/>
      <c r="G45" s="555"/>
      <c r="H45" s="556"/>
      <c r="I45" s="318"/>
      <c r="J45" s="318"/>
      <c r="K45" s="318"/>
      <c r="L45" s="318"/>
      <c r="M45" s="318"/>
      <c r="N45" s="2"/>
      <c r="O45" s="2"/>
      <c r="P45" s="2"/>
      <c r="Q45" s="2"/>
    </row>
    <row r="46" spans="1:17" ht="16.5" customHeight="1" thickTop="1" thickBot="1" x14ac:dyDescent="0.3">
      <c r="A46" s="2"/>
      <c r="B46" s="318"/>
      <c r="C46" s="318" t="s">
        <v>398</v>
      </c>
      <c r="D46" s="319" t="s">
        <v>399</v>
      </c>
      <c r="E46" s="126">
        <v>11.200000000000001</v>
      </c>
      <c r="F46" s="395"/>
      <c r="G46" s="557"/>
      <c r="H46" s="558"/>
      <c r="I46" s="318"/>
      <c r="J46" s="318"/>
      <c r="K46" s="318"/>
      <c r="L46" s="318"/>
      <c r="M46" s="318"/>
      <c r="N46" s="2"/>
      <c r="O46" s="2"/>
      <c r="P46" s="2"/>
      <c r="Q46" s="2"/>
    </row>
    <row r="47" spans="1:17" ht="16.5" customHeight="1" thickTop="1" thickBot="1" x14ac:dyDescent="0.35">
      <c r="A47" s="2"/>
      <c r="B47" s="318"/>
      <c r="C47" s="498" t="str">
        <f>IF('FOGLIO DEPOSITO'!W227&gt;'FOGLIO DEPOSITO'!X246,"AGGIORNA ALTEZZA DELLO STRATO 1 !!","")</f>
        <v/>
      </c>
      <c r="D47" s="319"/>
      <c r="E47" s="18"/>
      <c r="F47" s="395"/>
      <c r="G47" s="76"/>
      <c r="H47" s="76"/>
      <c r="I47" s="318"/>
      <c r="J47" s="318"/>
      <c r="K47" s="318"/>
      <c r="L47" s="318"/>
      <c r="M47" s="318"/>
      <c r="N47" s="2"/>
      <c r="O47" s="2"/>
      <c r="P47" s="2"/>
      <c r="Q47" s="2"/>
    </row>
    <row r="48" spans="1:17" ht="16.5" customHeight="1" thickTop="1" thickBot="1" x14ac:dyDescent="0.3">
      <c r="A48" s="2"/>
      <c r="B48" s="318"/>
      <c r="C48" s="318" t="s">
        <v>391</v>
      </c>
      <c r="D48" s="319" t="s">
        <v>20</v>
      </c>
      <c r="E48" s="407">
        <v>26</v>
      </c>
      <c r="F48" s="395"/>
      <c r="G48" s="553" t="s">
        <v>215</v>
      </c>
      <c r="H48" s="554"/>
      <c r="I48" s="318"/>
      <c r="J48" s="318"/>
      <c r="K48" s="318"/>
      <c r="L48" s="318"/>
      <c r="M48" s="318"/>
      <c r="N48" s="2"/>
      <c r="O48" s="2"/>
      <c r="P48" s="2"/>
      <c r="Q48" s="2"/>
    </row>
    <row r="49" spans="1:17" ht="16.5" customHeight="1" thickTop="1" thickBot="1" x14ac:dyDescent="0.3">
      <c r="A49" s="2"/>
      <c r="B49" s="318"/>
      <c r="C49" s="318" t="s">
        <v>392</v>
      </c>
      <c r="D49" s="319" t="s">
        <v>393</v>
      </c>
      <c r="E49" s="158">
        <v>20</v>
      </c>
      <c r="F49" s="395"/>
      <c r="G49" s="555"/>
      <c r="H49" s="556"/>
      <c r="I49" s="499"/>
      <c r="J49" s="499"/>
      <c r="K49" s="318"/>
      <c r="L49" s="318"/>
      <c r="M49" s="499"/>
      <c r="N49" s="2"/>
      <c r="O49" s="2"/>
      <c r="P49" s="2"/>
      <c r="Q49" s="2"/>
    </row>
    <row r="50" spans="1:17" ht="16.5" customHeight="1" thickTop="1" thickBot="1" x14ac:dyDescent="0.3">
      <c r="A50" s="2"/>
      <c r="B50" s="318"/>
      <c r="C50" s="318" t="s">
        <v>394</v>
      </c>
      <c r="D50" s="388" t="s">
        <v>395</v>
      </c>
      <c r="E50" s="127">
        <v>25</v>
      </c>
      <c r="F50" s="395"/>
      <c r="G50" s="555"/>
      <c r="H50" s="556"/>
      <c r="I50" s="318"/>
      <c r="J50" s="318"/>
      <c r="K50" s="318"/>
      <c r="L50" s="318"/>
      <c r="M50" s="318"/>
      <c r="N50" s="2"/>
      <c r="O50" s="2"/>
      <c r="P50" s="2"/>
      <c r="Q50" s="2"/>
    </row>
    <row r="51" spans="1:17" ht="16.5" customHeight="1" thickTop="1" thickBot="1" x14ac:dyDescent="0.3">
      <c r="A51" s="2"/>
      <c r="B51" s="318"/>
      <c r="C51" s="318" t="s">
        <v>396</v>
      </c>
      <c r="D51" s="388" t="s">
        <v>397</v>
      </c>
      <c r="E51" s="127">
        <v>5</v>
      </c>
      <c r="F51" s="395"/>
      <c r="G51" s="555"/>
      <c r="H51" s="556"/>
      <c r="I51" s="318"/>
      <c r="J51" s="318"/>
      <c r="K51" s="318"/>
      <c r="L51" s="318"/>
      <c r="M51" s="318"/>
      <c r="N51" s="2"/>
      <c r="O51" s="2"/>
      <c r="P51" s="2"/>
      <c r="Q51" s="2"/>
    </row>
    <row r="52" spans="1:17" ht="16.5" customHeight="1" thickTop="1" thickBot="1" x14ac:dyDescent="0.3">
      <c r="A52" s="2"/>
      <c r="B52" s="318"/>
      <c r="C52" s="318" t="s">
        <v>398</v>
      </c>
      <c r="D52" s="319" t="s">
        <v>399</v>
      </c>
      <c r="E52" s="126">
        <v>10.402666666666667</v>
      </c>
      <c r="F52" s="395"/>
      <c r="G52" s="557"/>
      <c r="H52" s="558"/>
      <c r="I52" s="318"/>
      <c r="J52" s="318"/>
      <c r="K52" s="318"/>
      <c r="L52" s="318"/>
      <c r="M52" s="318"/>
      <c r="N52" s="2"/>
      <c r="O52" s="2"/>
      <c r="P52" s="2"/>
      <c r="Q52" s="2"/>
    </row>
    <row r="53" spans="1:17" ht="16.5" customHeight="1" thickTop="1" thickBot="1" x14ac:dyDescent="0.35">
      <c r="A53" s="2"/>
      <c r="B53" s="318"/>
      <c r="C53" s="498" t="str">
        <f>IF('FOGLIO DEPOSITO'!W239&lt;0,"AGGIORNA ALTEZZA DELLO STRATO 2 !!","")</f>
        <v/>
      </c>
      <c r="D53" s="319">
        <v>0</v>
      </c>
      <c r="E53" s="18"/>
      <c r="F53" s="395"/>
      <c r="G53" s="76"/>
      <c r="H53" s="76"/>
      <c r="I53" s="318"/>
      <c r="J53" s="318"/>
      <c r="K53" s="318"/>
      <c r="L53" s="318"/>
      <c r="M53" s="318"/>
      <c r="N53" s="2"/>
      <c r="O53" s="2"/>
      <c r="P53" s="2"/>
      <c r="Q53" s="2"/>
    </row>
    <row r="54" spans="1:17" ht="16.5" customHeight="1" thickTop="1" thickBot="1" x14ac:dyDescent="0.3">
      <c r="A54" s="2"/>
      <c r="B54" s="318"/>
      <c r="C54" s="318" t="s">
        <v>391</v>
      </c>
      <c r="D54" s="319" t="s">
        <v>20</v>
      </c>
      <c r="E54" s="407">
        <v>32</v>
      </c>
      <c r="F54" s="395"/>
      <c r="G54" s="553" t="s">
        <v>221</v>
      </c>
      <c r="H54" s="554"/>
      <c r="I54" s="318"/>
      <c r="J54" s="318"/>
      <c r="K54" s="318"/>
      <c r="L54" s="318"/>
      <c r="M54" s="318"/>
      <c r="N54" s="2"/>
      <c r="O54" s="2"/>
      <c r="P54" s="2"/>
      <c r="Q54" s="2"/>
    </row>
    <row r="55" spans="1:17" ht="16.5" customHeight="1" thickTop="1" thickBot="1" x14ac:dyDescent="0.3">
      <c r="A55" s="2"/>
      <c r="B55" s="318"/>
      <c r="C55" s="318" t="s">
        <v>392</v>
      </c>
      <c r="D55" s="319" t="s">
        <v>393</v>
      </c>
      <c r="E55" s="158">
        <v>20</v>
      </c>
      <c r="F55" s="395"/>
      <c r="G55" s="555"/>
      <c r="H55" s="556"/>
      <c r="I55" s="318"/>
      <c r="J55" s="318"/>
      <c r="K55" s="318"/>
      <c r="L55" s="318"/>
      <c r="M55" s="318"/>
      <c r="N55" s="2"/>
      <c r="O55" s="2"/>
      <c r="P55" s="2"/>
      <c r="Q55" s="2"/>
    </row>
    <row r="56" spans="1:17" ht="16.5" customHeight="1" thickTop="1" thickBot="1" x14ac:dyDescent="0.3">
      <c r="A56" s="2"/>
      <c r="B56" s="318"/>
      <c r="C56" s="318" t="s">
        <v>394</v>
      </c>
      <c r="D56" s="388" t="s">
        <v>395</v>
      </c>
      <c r="E56" s="127">
        <v>0</v>
      </c>
      <c r="F56" s="395"/>
      <c r="G56" s="555"/>
      <c r="H56" s="556"/>
      <c r="I56" s="318"/>
      <c r="J56" s="318"/>
      <c r="K56" s="318"/>
      <c r="L56" s="318"/>
      <c r="M56" s="318"/>
      <c r="N56" s="2"/>
      <c r="O56" s="2"/>
      <c r="P56" s="2"/>
      <c r="Q56" s="2"/>
    </row>
    <row r="57" spans="1:17" ht="16.5" customHeight="1" thickTop="1" thickBot="1" x14ac:dyDescent="0.3">
      <c r="A57" s="2"/>
      <c r="B57" s="318"/>
      <c r="C57" s="318" t="s">
        <v>396</v>
      </c>
      <c r="D57" s="388" t="s">
        <v>397</v>
      </c>
      <c r="E57" s="127">
        <v>0</v>
      </c>
      <c r="F57" s="395"/>
      <c r="G57" s="555"/>
      <c r="H57" s="556"/>
      <c r="I57" s="318"/>
      <c r="J57" s="318"/>
      <c r="K57" s="318"/>
      <c r="L57" s="318"/>
      <c r="M57" s="318"/>
      <c r="N57" s="2"/>
      <c r="O57" s="2"/>
      <c r="P57" s="2"/>
      <c r="Q57" s="2"/>
    </row>
    <row r="58" spans="1:17" ht="16.5" customHeight="1" thickTop="1" thickBot="1" x14ac:dyDescent="0.3">
      <c r="A58" s="2"/>
      <c r="B58" s="318"/>
      <c r="C58" s="318" t="s">
        <v>398</v>
      </c>
      <c r="D58" s="319" t="s">
        <v>399</v>
      </c>
      <c r="E58" s="365">
        <f>'FOGLIO DEPOSITO'!X246-E46-E52</f>
        <v>8.3973333333333304</v>
      </c>
      <c r="F58" s="395"/>
      <c r="G58" s="557"/>
      <c r="H58" s="558"/>
      <c r="I58" s="318"/>
      <c r="J58" s="318"/>
      <c r="K58" s="318"/>
      <c r="L58" s="318"/>
      <c r="M58" s="318"/>
      <c r="N58" s="2"/>
      <c r="O58" s="2"/>
      <c r="P58" s="2"/>
      <c r="Q58" s="2"/>
    </row>
    <row r="59" spans="1:17" ht="16.5" customHeight="1" thickTop="1" x14ac:dyDescent="0.25">
      <c r="A59" s="2"/>
      <c r="B59" s="318"/>
      <c r="C59" s="318"/>
      <c r="D59" s="318"/>
      <c r="E59" s="318"/>
      <c r="F59" s="395"/>
      <c r="G59" s="76"/>
      <c r="H59" s="76"/>
      <c r="I59" s="318"/>
      <c r="J59" s="318"/>
      <c r="K59" s="318"/>
      <c r="L59" s="318"/>
      <c r="M59" s="318"/>
      <c r="N59" s="2"/>
      <c r="O59" s="2"/>
      <c r="P59" s="2"/>
      <c r="Q59" s="2"/>
    </row>
    <row r="60" spans="1:17" ht="16.5" customHeight="1" x14ac:dyDescent="0.25">
      <c r="A60" s="2"/>
      <c r="B60" s="318"/>
      <c r="C60" s="324" t="s">
        <v>606</v>
      </c>
      <c r="D60" s="318"/>
      <c r="E60" s="318"/>
      <c r="F60" s="395"/>
      <c r="G60" s="76"/>
      <c r="H60" s="76"/>
      <c r="I60" s="318"/>
      <c r="J60" s="318"/>
      <c r="K60" s="318"/>
      <c r="L60" s="318"/>
      <c r="M60" s="318"/>
      <c r="N60" s="2"/>
      <c r="O60" s="2"/>
      <c r="P60" s="2"/>
      <c r="Q60" s="2"/>
    </row>
    <row r="61" spans="1:17" ht="10.5" customHeight="1" thickBot="1" x14ac:dyDescent="0.3">
      <c r="A61" s="2"/>
      <c r="B61" s="318"/>
      <c r="C61" s="318"/>
      <c r="D61" s="318"/>
      <c r="E61" s="318"/>
      <c r="F61" s="395"/>
      <c r="G61" s="76"/>
      <c r="H61" s="76"/>
      <c r="I61" s="318"/>
      <c r="J61" s="318"/>
      <c r="K61" s="318"/>
      <c r="L61" s="318"/>
      <c r="M61" s="318"/>
      <c r="N61" s="2"/>
      <c r="O61" s="2"/>
      <c r="P61" s="2"/>
      <c r="Q61" s="2"/>
    </row>
    <row r="62" spans="1:17" ht="16.5" customHeight="1" thickTop="1" thickBot="1" x14ac:dyDescent="0.3">
      <c r="A62" s="2"/>
      <c r="B62" s="318"/>
      <c r="C62" s="318" t="s">
        <v>400</v>
      </c>
      <c r="D62" s="318"/>
      <c r="E62" s="50" t="s">
        <v>116</v>
      </c>
      <c r="F62" s="395"/>
      <c r="G62" s="76"/>
      <c r="H62" s="76"/>
      <c r="I62" s="318"/>
      <c r="J62" s="318"/>
      <c r="K62" s="318"/>
      <c r="L62" s="318"/>
      <c r="M62" s="318"/>
      <c r="N62" s="2"/>
      <c r="O62" s="2"/>
      <c r="P62" s="2"/>
      <c r="Q62" s="2"/>
    </row>
    <row r="63" spans="1:17" ht="16.5" customHeight="1" thickTop="1" thickBot="1" x14ac:dyDescent="0.3">
      <c r="A63" s="2"/>
      <c r="B63" s="318"/>
      <c r="C63" s="318" t="s">
        <v>401</v>
      </c>
      <c r="D63" s="319" t="s">
        <v>402</v>
      </c>
      <c r="E63" s="126">
        <v>12</v>
      </c>
      <c r="F63" s="395"/>
      <c r="G63" s="76"/>
      <c r="H63" s="76"/>
      <c r="J63" s="318"/>
      <c r="K63" s="318"/>
      <c r="L63" s="318"/>
      <c r="M63" s="318"/>
      <c r="N63" s="2"/>
      <c r="O63" s="2"/>
      <c r="P63" s="2"/>
      <c r="Q63" s="2"/>
    </row>
    <row r="64" spans="1:17" ht="16.5" customHeight="1" thickTop="1" thickBot="1" x14ac:dyDescent="0.3">
      <c r="A64" s="2"/>
      <c r="B64" s="318"/>
      <c r="C64" s="318" t="s">
        <v>403</v>
      </c>
      <c r="D64" s="319" t="s">
        <v>404</v>
      </c>
      <c r="E64" s="158">
        <v>10</v>
      </c>
      <c r="F64" s="395"/>
      <c r="G64" s="76"/>
      <c r="H64" s="76"/>
      <c r="I64" s="318"/>
      <c r="J64" s="318"/>
      <c r="K64" s="318"/>
      <c r="L64" s="318"/>
      <c r="M64" s="318"/>
      <c r="N64" s="2"/>
      <c r="O64" s="2"/>
      <c r="P64" s="2"/>
      <c r="Q64" s="2"/>
    </row>
    <row r="65" spans="1:17" s="317" customFormat="1" ht="16.5" customHeight="1" thickTop="1" thickBot="1" x14ac:dyDescent="0.3">
      <c r="A65" s="318"/>
      <c r="B65" s="318"/>
      <c r="C65" s="50" t="s">
        <v>231</v>
      </c>
      <c r="D65" s="319"/>
      <c r="E65" s="514"/>
      <c r="F65" s="509"/>
      <c r="G65" s="76"/>
      <c r="H65" s="76"/>
      <c r="I65" s="318"/>
      <c r="J65" s="318"/>
      <c r="K65" s="318"/>
      <c r="L65" s="318"/>
      <c r="M65" s="318"/>
      <c r="N65" s="318"/>
      <c r="O65" s="318"/>
      <c r="P65" s="318"/>
      <c r="Q65" s="318"/>
    </row>
    <row r="66" spans="1:17" ht="15.75" thickTop="1" x14ac:dyDescent="0.25">
      <c r="A66" s="2"/>
      <c r="B66" s="318"/>
      <c r="C66" s="318"/>
      <c r="D66" s="319"/>
      <c r="E66" s="18"/>
      <c r="F66" s="395"/>
      <c r="G66" s="76"/>
      <c r="H66" s="76"/>
      <c r="I66" s="318"/>
      <c r="J66" s="318"/>
      <c r="K66" s="318"/>
      <c r="L66" s="318"/>
      <c r="M66" s="318"/>
      <c r="N66" s="2"/>
      <c r="O66" s="2"/>
      <c r="P66" s="2"/>
      <c r="Q66" s="2"/>
    </row>
    <row r="67" spans="1:17" x14ac:dyDescent="0.25">
      <c r="A67" s="2"/>
      <c r="B67" s="318"/>
      <c r="C67" s="324" t="s">
        <v>607</v>
      </c>
      <c r="D67" s="319"/>
      <c r="E67" s="18"/>
      <c r="F67" s="395"/>
      <c r="G67" s="76"/>
      <c r="H67" s="76"/>
      <c r="I67" s="318"/>
      <c r="J67" s="318"/>
      <c r="K67" s="318"/>
      <c r="L67" s="318"/>
      <c r="M67" s="318"/>
      <c r="N67" s="2"/>
      <c r="O67" s="2"/>
      <c r="P67" s="2"/>
      <c r="Q67" s="2"/>
    </row>
    <row r="68" spans="1:17" s="317" customFormat="1" ht="15.75" thickBot="1" x14ac:dyDescent="0.3">
      <c r="A68" s="318"/>
      <c r="B68" s="318"/>
      <c r="C68" s="324"/>
      <c r="D68" s="319"/>
      <c r="E68" s="18"/>
      <c r="F68" s="395"/>
      <c r="G68" s="76"/>
      <c r="H68" s="76"/>
      <c r="I68" s="318"/>
      <c r="J68" s="318"/>
      <c r="K68" s="318"/>
      <c r="L68" s="318"/>
      <c r="M68" s="318"/>
      <c r="N68" s="318"/>
      <c r="O68" s="318"/>
      <c r="P68" s="318"/>
      <c r="Q68" s="318"/>
    </row>
    <row r="69" spans="1:17" s="317" customFormat="1" ht="16.5" thickTop="1" thickBot="1" x14ac:dyDescent="0.3">
      <c r="A69" s="318"/>
      <c r="B69" s="318"/>
      <c r="C69" s="413" t="s">
        <v>569</v>
      </c>
      <c r="D69" s="319"/>
      <c r="E69" s="18"/>
      <c r="F69" s="395"/>
      <c r="G69" s="76"/>
      <c r="H69" s="76"/>
      <c r="I69" s="318"/>
      <c r="J69" s="318"/>
      <c r="K69" s="318"/>
      <c r="L69" s="318"/>
      <c r="M69" s="318"/>
      <c r="N69" s="318"/>
      <c r="O69" s="318"/>
      <c r="P69" s="318"/>
      <c r="Q69" s="318"/>
    </row>
    <row r="70" spans="1:17" s="317" customFormat="1" ht="15.75" thickTop="1" x14ac:dyDescent="0.25">
      <c r="A70" s="318"/>
      <c r="B70" s="318"/>
      <c r="C70" s="412"/>
      <c r="D70" s="319"/>
      <c r="E70" s="18"/>
      <c r="F70" s="395"/>
      <c r="G70" s="76"/>
      <c r="H70" s="76"/>
      <c r="I70" s="318"/>
      <c r="J70" s="318"/>
      <c r="K70" s="318"/>
      <c r="L70" s="318"/>
      <c r="M70" s="318"/>
      <c r="N70" s="318"/>
      <c r="O70" s="318"/>
      <c r="P70" s="318"/>
      <c r="Q70" s="318"/>
    </row>
    <row r="71" spans="1:17" s="317" customFormat="1" x14ac:dyDescent="0.25">
      <c r="A71" s="318"/>
      <c r="B71" s="318"/>
      <c r="C71" s="318" t="s">
        <v>592</v>
      </c>
      <c r="D71" s="319" t="s">
        <v>584</v>
      </c>
      <c r="E71" s="402" t="str">
        <f>VLOOKUP(C69,'FOGLIO DEPOSITO'!B275:G286,6,FALSE)</f>
        <v>0,7-1</v>
      </c>
      <c r="F71" s="395"/>
      <c r="G71" s="76"/>
      <c r="H71" s="76"/>
      <c r="I71" s="318"/>
      <c r="J71" s="318"/>
      <c r="K71" s="318"/>
      <c r="L71" s="318"/>
      <c r="M71" s="318"/>
      <c r="N71" s="318"/>
      <c r="O71" s="318"/>
      <c r="P71" s="318"/>
      <c r="Q71" s="318"/>
    </row>
    <row r="72" spans="1:17" s="317" customFormat="1" x14ac:dyDescent="0.25">
      <c r="A72" s="318"/>
      <c r="B72" s="318"/>
      <c r="C72" s="318" t="s">
        <v>591</v>
      </c>
      <c r="D72" s="319" t="s">
        <v>262</v>
      </c>
      <c r="E72" s="411">
        <f>VLOOKUP(C69,'FOGLIO DEPOSITO'!B275:G286,4,FALSE)</f>
        <v>102000</v>
      </c>
      <c r="F72" s="395"/>
      <c r="G72" s="76"/>
      <c r="H72" s="76"/>
      <c r="I72" s="318"/>
      <c r="J72" s="318"/>
      <c r="K72" s="318"/>
      <c r="L72" s="318"/>
      <c r="M72" s="318"/>
      <c r="N72" s="318"/>
      <c r="O72" s="318"/>
      <c r="P72" s="318"/>
      <c r="Q72" s="318"/>
    </row>
    <row r="73" spans="1:17" s="317" customFormat="1" x14ac:dyDescent="0.25">
      <c r="A73" s="318"/>
      <c r="B73" s="318"/>
      <c r="C73" s="318" t="s">
        <v>590</v>
      </c>
      <c r="D73" s="319" t="s">
        <v>419</v>
      </c>
      <c r="E73" s="411">
        <f>VLOOKUP(C69,'FOGLIO DEPOSITO'!B275:I286,7,FALSE)</f>
        <v>90000</v>
      </c>
      <c r="F73" s="395"/>
      <c r="G73" s="76"/>
      <c r="H73" s="76"/>
      <c r="I73" s="318"/>
      <c r="J73" s="318"/>
      <c r="K73" s="318"/>
      <c r="L73" s="318"/>
      <c r="M73" s="318"/>
      <c r="N73" s="318"/>
      <c r="O73" s="318"/>
      <c r="P73" s="318"/>
      <c r="Q73" s="318"/>
    </row>
    <row r="74" spans="1:17" s="317" customFormat="1" x14ac:dyDescent="0.25">
      <c r="A74" s="318"/>
      <c r="B74" s="318"/>
      <c r="C74" s="318" t="s">
        <v>589</v>
      </c>
      <c r="D74" s="319" t="s">
        <v>579</v>
      </c>
      <c r="E74" s="402">
        <f>VLOOKUP(C69,'FOGLIO DEPOSITO'!B275:G286,5,FALSE)</f>
        <v>0.4</v>
      </c>
      <c r="F74" s="395"/>
      <c r="G74" s="76"/>
      <c r="H74" s="76"/>
      <c r="I74" s="318"/>
      <c r="J74" s="318"/>
      <c r="K74" s="318"/>
      <c r="L74" s="318"/>
      <c r="M74" s="318"/>
      <c r="N74" s="318"/>
      <c r="O74" s="318"/>
      <c r="P74" s="318"/>
      <c r="Q74" s="318"/>
    </row>
    <row r="75" spans="1:17" x14ac:dyDescent="0.25">
      <c r="A75" s="2"/>
      <c r="B75" s="318"/>
      <c r="C75" s="318"/>
      <c r="D75" s="319"/>
      <c r="E75" s="405"/>
      <c r="F75" s="395"/>
      <c r="G75" s="318"/>
      <c r="H75" s="318"/>
      <c r="I75" s="318"/>
      <c r="J75" s="318"/>
      <c r="K75" s="318"/>
      <c r="L75" s="318"/>
      <c r="M75" s="318"/>
      <c r="N75" s="2"/>
      <c r="O75" s="2"/>
      <c r="P75" s="2"/>
      <c r="Q75" s="2"/>
    </row>
    <row r="76" spans="1:17" x14ac:dyDescent="0.25">
      <c r="A76" s="2"/>
      <c r="B76" s="318"/>
      <c r="C76" s="1" t="s">
        <v>608</v>
      </c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2"/>
      <c r="O76" s="2"/>
      <c r="P76" s="2"/>
      <c r="Q76" s="2"/>
    </row>
    <row r="77" spans="1:17" ht="15.75" x14ac:dyDescent="0.25">
      <c r="A77" s="2"/>
      <c r="B77" s="318"/>
      <c r="C77" s="17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2"/>
      <c r="O77" s="2"/>
      <c r="P77" s="2"/>
      <c r="Q77" s="2"/>
    </row>
    <row r="78" spans="1:17" x14ac:dyDescent="0.25">
      <c r="A78" s="2"/>
      <c r="B78" s="318"/>
      <c r="C78" s="16" t="s">
        <v>416</v>
      </c>
      <c r="D78" s="10"/>
      <c r="E78" s="318"/>
      <c r="F78" s="318"/>
      <c r="G78" s="318"/>
      <c r="H78" s="318"/>
      <c r="I78" s="318"/>
      <c r="J78" s="318"/>
      <c r="K78" s="318"/>
      <c r="L78" s="318"/>
      <c r="M78" s="318"/>
      <c r="N78" s="2"/>
      <c r="O78" s="2"/>
      <c r="P78" s="2"/>
      <c r="Q78" s="2"/>
    </row>
    <row r="79" spans="1:17" ht="6.75" customHeight="1" thickBot="1" x14ac:dyDescent="0.3">
      <c r="A79" s="2"/>
      <c r="B79" s="318"/>
      <c r="C79" s="318"/>
      <c r="D79" s="320"/>
      <c r="E79" s="318"/>
      <c r="F79" s="318"/>
      <c r="G79" s="318"/>
      <c r="H79" s="318"/>
      <c r="I79" s="318"/>
      <c r="J79" s="318"/>
      <c r="K79" s="318"/>
      <c r="L79" s="318"/>
      <c r="M79" s="318"/>
      <c r="N79" s="2"/>
      <c r="O79" s="2"/>
      <c r="P79" s="2"/>
      <c r="Q79" s="2"/>
    </row>
    <row r="80" spans="1:17" ht="17.25" thickTop="1" thickBot="1" x14ac:dyDescent="0.3">
      <c r="A80" s="2"/>
      <c r="B80" s="318"/>
      <c r="C80" s="249" t="s">
        <v>155</v>
      </c>
      <c r="D80" s="48"/>
      <c r="E80" s="318"/>
      <c r="F80" s="318"/>
      <c r="G80" s="318"/>
      <c r="H80" s="318"/>
      <c r="I80" s="318"/>
      <c r="J80" s="318"/>
      <c r="K80" s="318"/>
      <c r="L80" s="318"/>
      <c r="M80" s="318"/>
      <c r="N80" s="2"/>
      <c r="O80" s="2"/>
      <c r="P80" s="2"/>
      <c r="Q80" s="2"/>
    </row>
    <row r="81" spans="1:17" ht="15.75" thickTop="1" x14ac:dyDescent="0.25">
      <c r="A81" s="2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2"/>
      <c r="O81" s="2"/>
      <c r="P81" s="2"/>
      <c r="Q81" s="2"/>
    </row>
    <row r="82" spans="1:17" x14ac:dyDescent="0.25">
      <c r="A82" s="2"/>
      <c r="B82" s="318"/>
      <c r="C82" s="392"/>
      <c r="D82" s="328" t="s">
        <v>417</v>
      </c>
      <c r="E82" s="580" t="s">
        <v>13</v>
      </c>
      <c r="F82" s="580"/>
      <c r="G82" s="318"/>
      <c r="H82" s="318"/>
      <c r="I82" s="318"/>
      <c r="J82" s="318"/>
      <c r="K82" s="318"/>
      <c r="L82" s="318"/>
      <c r="M82" s="318"/>
      <c r="N82" s="2"/>
      <c r="O82" s="2"/>
      <c r="P82" s="2"/>
      <c r="Q82" s="2"/>
    </row>
    <row r="83" spans="1:17" x14ac:dyDescent="0.25">
      <c r="A83" s="2"/>
      <c r="B83" s="318"/>
      <c r="C83" s="10"/>
      <c r="D83" s="501" t="s">
        <v>489</v>
      </c>
      <c r="E83" s="389">
        <f>IF('ANALISI DELLE SPINTE'!C73='FOGLIO DEPOSITO'!N184,1,IF('ANALISI DELLE SPINTE'!C73='FOGLIO DEPOSITO'!N181,1,IF('ANALISI DELLE SPINTE'!C73='FOGLIO DEPOSITO'!N182,1,IF(C80='FOGLIO DEPOSITO'!I69,1,IF('FOGLIO DEPOSITO'!$I$70=1,'FOGLIO DEPOSITO'!E66,IF('FOGLIO DEPOSITO'!$I$70=2,'FOGLIO DEPOSITO'!G66,IF('FOGLIO DEPOSITO'!$I$70=3,'FOGLIO DEPOSITO'!E66,0)))))))</f>
        <v>1</v>
      </c>
      <c r="F83" s="389">
        <f>IF(C80='FOGLIO DEPOSITO'!I69,1,0.9)</f>
        <v>0.9</v>
      </c>
      <c r="G83" s="318"/>
      <c r="H83" s="318"/>
      <c r="I83" s="318"/>
      <c r="J83" s="318"/>
      <c r="K83" s="318"/>
      <c r="L83" s="318"/>
      <c r="M83" s="318"/>
      <c r="N83" s="2"/>
      <c r="O83" s="2"/>
      <c r="P83" s="2"/>
      <c r="Q83" s="2"/>
    </row>
    <row r="84" spans="1:17" x14ac:dyDescent="0.25">
      <c r="A84" s="2"/>
      <c r="B84" s="318"/>
      <c r="C84" s="318"/>
      <c r="D84" s="501" t="s">
        <v>490</v>
      </c>
      <c r="E84" s="389">
        <f>IF('ANALISI DELLE SPINTE'!C73='FOGLIO DEPOSITO'!N184,1,IF('ANALISI DELLE SPINTE'!C73='FOGLIO DEPOSITO'!N181,1,IF('ANALISI DELLE SPINTE'!C73='FOGLIO DEPOSITO'!N182,1,IF(C80='FOGLIO DEPOSITO'!I69,1,IF('FOGLIO DEPOSITO'!$I$70=1,'FOGLIO DEPOSITO'!E67,IF('FOGLIO DEPOSITO'!$I$70=2,'FOGLIO DEPOSITO'!G67,IF('FOGLIO DEPOSITO'!$I$70=3,'FOGLIO DEPOSITO'!E67,0)))))))</f>
        <v>1</v>
      </c>
      <c r="F84" s="389">
        <f>0</f>
        <v>0</v>
      </c>
      <c r="G84" s="318"/>
      <c r="H84" s="318"/>
      <c r="I84" s="318"/>
      <c r="J84" s="318"/>
      <c r="K84" s="318"/>
      <c r="L84" s="318"/>
      <c r="M84" s="318"/>
      <c r="N84" s="2"/>
      <c r="O84" s="2"/>
      <c r="P84" s="2"/>
      <c r="Q84" s="2"/>
    </row>
    <row r="85" spans="1:17" x14ac:dyDescent="0.25">
      <c r="A85" s="2"/>
      <c r="B85" s="318"/>
      <c r="C85" s="579" t="str">
        <f>IF('ANALISI DELLE SPINTE'!C73='FOGLIO DEPOSITO'!N184,"E' stata abilitata la verifica sismica perché sull'analisi delle spinte è stato inserita la teoria di  Wood",IF('FOGLIO DEPOSITO'!I72='FOGLIO DEPOSITO'!I73,"E' stata abilitata la verifica sismica perché sull'analisi delle spinte è stato inserita la teoria di  Mononobe-Okabe",""))</f>
        <v>E' stata abilitata la verifica sismica perché sull'analisi delle spinte è stato inserita la teoria di  Mononobe-Okabe</v>
      </c>
      <c r="D85" s="501" t="s">
        <v>491</v>
      </c>
      <c r="E85" s="389">
        <f>IF('ANALISI DELLE SPINTE'!C73='FOGLIO DEPOSITO'!N184,1,IF('ANALISI DELLE SPINTE'!C73='FOGLIO DEPOSITO'!N181,1,IF('ANALISI DELLE SPINTE'!C73='FOGLIO DEPOSITO'!N182,1,IF(C80='FOGLIO DEPOSITO'!I69,1,IF('FOGLIO DEPOSITO'!$I$70=1,'FOGLIO DEPOSITO'!E68,IF('FOGLIO DEPOSITO'!$I$70=2,'FOGLIO DEPOSITO'!G68,IF('FOGLIO DEPOSITO'!$I$70=3,'FOGLIO DEPOSITO'!E68,0)))))))</f>
        <v>1</v>
      </c>
      <c r="F85" s="389">
        <f>0</f>
        <v>0</v>
      </c>
      <c r="G85" s="318"/>
      <c r="H85" s="318"/>
      <c r="I85" s="318"/>
      <c r="J85" s="318"/>
      <c r="K85" s="318"/>
      <c r="L85" s="318"/>
      <c r="M85" s="318"/>
      <c r="N85" s="2"/>
      <c r="O85" s="2"/>
      <c r="P85" s="2"/>
      <c r="Q85" s="2"/>
    </row>
    <row r="86" spans="1:17" x14ac:dyDescent="0.25">
      <c r="A86" s="2"/>
      <c r="B86" s="318"/>
      <c r="C86" s="579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2"/>
      <c r="O86" s="2"/>
      <c r="P86" s="2"/>
      <c r="Q86" s="2"/>
    </row>
    <row r="87" spans="1:17" x14ac:dyDescent="0.25">
      <c r="A87" s="2"/>
      <c r="B87" s="318"/>
      <c r="C87" s="579"/>
      <c r="D87" s="328" t="s">
        <v>418</v>
      </c>
      <c r="E87" s="581" t="s">
        <v>419</v>
      </c>
      <c r="F87" s="582"/>
      <c r="G87" s="318"/>
      <c r="H87" s="318"/>
      <c r="I87" s="318"/>
      <c r="J87" s="318"/>
      <c r="K87" s="318"/>
      <c r="L87" s="318"/>
      <c r="M87" s="318"/>
      <c r="N87" s="2"/>
      <c r="O87" s="2"/>
      <c r="P87" s="2"/>
      <c r="Q87" s="2"/>
    </row>
    <row r="88" spans="1:17" x14ac:dyDescent="0.25">
      <c r="C88" s="579"/>
      <c r="D88" s="387" t="s">
        <v>159</v>
      </c>
      <c r="E88" s="577">
        <f>IF(C80='FOGLIO DEPOSITO'!I69,1,IF('FOGLIO DEPOSITO'!$I$70=1,'FOGLIO DEPOSITO'!D71,IF('FOGLIO DEPOSITO'!$I$70=2,'FOGLIO DEPOSITO'!E71,IF('FOGLIO DEPOSITO'!$I$70=3,'FOGLIO DEPOSITO'!D71,0))))</f>
        <v>1</v>
      </c>
      <c r="F88" s="578"/>
      <c r="G88" s="318"/>
      <c r="H88" s="318"/>
      <c r="I88" s="318"/>
      <c r="J88" s="318"/>
      <c r="K88" s="318"/>
      <c r="L88" s="318"/>
      <c r="M88" s="318"/>
    </row>
    <row r="89" spans="1:17" x14ac:dyDescent="0.25">
      <c r="C89" s="579"/>
      <c r="D89" s="387" t="s">
        <v>160</v>
      </c>
      <c r="E89" s="577">
        <f>IF(C80='FOGLIO DEPOSITO'!I69,1,IF('FOGLIO DEPOSITO'!$I$70=1,'FOGLIO DEPOSITO'!D72,IF('FOGLIO DEPOSITO'!$I$70=2,'FOGLIO DEPOSITO'!E72,IF('FOGLIO DEPOSITO'!$I$70=3,'FOGLIO DEPOSITO'!D72,0))))</f>
        <v>1</v>
      </c>
      <c r="F89" s="578"/>
      <c r="G89" s="318"/>
      <c r="H89" s="318"/>
      <c r="I89" s="318"/>
      <c r="J89" s="318"/>
      <c r="K89" s="318"/>
      <c r="L89" s="318"/>
      <c r="M89" s="318"/>
    </row>
    <row r="90" spans="1:17" x14ac:dyDescent="0.25">
      <c r="C90" s="318"/>
      <c r="D90" s="387" t="s">
        <v>162</v>
      </c>
      <c r="E90" s="577">
        <f>IF(C80='FOGLIO DEPOSITO'!I69,1,IF('FOGLIO DEPOSITO'!$I$70=1,'FOGLIO DEPOSITO'!D73,IF('FOGLIO DEPOSITO'!$I$70=2,'FOGLIO DEPOSITO'!E73,IF('FOGLIO DEPOSITO'!$I$70=3,'FOGLIO DEPOSITO'!D73,0))))</f>
        <v>1</v>
      </c>
      <c r="F90" s="578"/>
      <c r="G90" s="318"/>
      <c r="H90" s="318"/>
      <c r="I90" s="318"/>
      <c r="J90" s="318"/>
      <c r="K90" s="318"/>
      <c r="L90" s="318"/>
      <c r="M90" s="318"/>
    </row>
    <row r="91" spans="1:17" x14ac:dyDescent="0.25">
      <c r="C91" s="318"/>
      <c r="D91" s="396" t="s">
        <v>163</v>
      </c>
      <c r="E91" s="577">
        <f>IF(C80='FOGLIO DEPOSITO'!I69,1,IF('FOGLIO DEPOSITO'!$I$70=1,'FOGLIO DEPOSITO'!D74,IF('FOGLIO DEPOSITO'!$I$70=2,'FOGLIO DEPOSITO'!E74,IF('FOGLIO DEPOSITO'!$I$70=3,'FOGLIO DEPOSITO'!D74,0))))</f>
        <v>1</v>
      </c>
      <c r="F91" s="578"/>
      <c r="G91" s="318"/>
      <c r="H91" s="318"/>
      <c r="I91" s="318"/>
      <c r="J91" s="318"/>
      <c r="K91" s="318"/>
      <c r="L91" s="318"/>
      <c r="M91" s="318"/>
    </row>
    <row r="92" spans="1:17" x14ac:dyDescent="0.25"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</row>
    <row r="93" spans="1:17" x14ac:dyDescent="0.25">
      <c r="C93" s="318"/>
      <c r="D93" s="328" t="s">
        <v>420</v>
      </c>
      <c r="E93" s="581" t="s">
        <v>421</v>
      </c>
      <c r="F93" s="582"/>
      <c r="G93" s="318"/>
      <c r="H93" s="318"/>
      <c r="I93" s="318"/>
      <c r="J93" s="318"/>
      <c r="K93" s="318"/>
      <c r="L93" s="318"/>
      <c r="M93" s="318"/>
    </row>
    <row r="94" spans="1:17" x14ac:dyDescent="0.25">
      <c r="C94" s="318"/>
      <c r="D94" s="583" t="s">
        <v>422</v>
      </c>
      <c r="E94" s="584">
        <f>IF(C80='FOGLIO DEPOSITO'!I69,1,IF('FOGLIO DEPOSITO'!$I$70=1,'FOGLIO DEPOSITO'!D77,IF('FOGLIO DEPOSITO'!$I$70=2,'FOGLIO DEPOSITO'!E77,IF('FOGLIO DEPOSITO'!$I$70=3,'FOGLIO DEPOSITO'!F77,0))))</f>
        <v>1.4</v>
      </c>
      <c r="F94" s="584"/>
      <c r="G94" s="318"/>
      <c r="H94" s="318"/>
      <c r="I94" s="318"/>
      <c r="J94" s="318"/>
      <c r="K94" s="318"/>
      <c r="L94" s="318"/>
      <c r="M94" s="318"/>
    </row>
    <row r="95" spans="1:17" x14ac:dyDescent="0.25">
      <c r="C95" s="318"/>
      <c r="D95" s="583"/>
      <c r="E95" s="584"/>
      <c r="F95" s="584"/>
      <c r="G95" s="318"/>
      <c r="H95" s="318"/>
      <c r="I95" s="318"/>
      <c r="J95" s="318"/>
      <c r="K95" s="318"/>
      <c r="L95" s="318"/>
      <c r="M95" s="318"/>
    </row>
    <row r="96" spans="1:17" x14ac:dyDescent="0.25">
      <c r="C96" s="318"/>
      <c r="D96" s="580" t="s">
        <v>168</v>
      </c>
      <c r="E96" s="584">
        <f>IF(C80='FOGLIO DEPOSITO'!I69,1,IF('FOGLIO DEPOSITO'!$I$70=1,'FOGLIO DEPOSITO'!D78,IF('FOGLIO DEPOSITO'!$I$70=2,'FOGLIO DEPOSITO'!E78,IF('FOGLIO DEPOSITO'!$I$70=3,'FOGLIO DEPOSITO'!F78,0))))</f>
        <v>1.1000000000000001</v>
      </c>
      <c r="F96" s="584"/>
      <c r="G96" s="318"/>
      <c r="H96" s="318"/>
      <c r="I96" s="318"/>
      <c r="J96" s="318"/>
      <c r="K96" s="318"/>
      <c r="L96" s="318"/>
      <c r="M96" s="318"/>
    </row>
    <row r="97" spans="3:13" x14ac:dyDescent="0.25">
      <c r="C97" s="318"/>
      <c r="D97" s="580"/>
      <c r="E97" s="584"/>
      <c r="F97" s="584"/>
      <c r="G97" s="318"/>
      <c r="H97" s="318"/>
      <c r="I97" s="318"/>
      <c r="J97" s="318"/>
      <c r="K97" s="318"/>
      <c r="L97" s="318"/>
      <c r="M97" s="318"/>
    </row>
    <row r="98" spans="3:13" x14ac:dyDescent="0.25"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</row>
  </sheetData>
  <sheetProtection password="FA0B" sheet="1" objects="1" scenarios="1" selectLockedCells="1"/>
  <protectedRanges>
    <protectedRange sqref="E66:E68 E53:E57 E42:E45 E47:E51" name="Intervallo1"/>
    <protectedRange sqref="C80:D80" name="Intervallo1_1"/>
    <protectedRange sqref="E42:E45 E66:E68 E47:E51 E53:E57" name="Intervallo1_5"/>
    <protectedRange sqref="E2:E3" name="Intervallo1_5_1"/>
    <protectedRange sqref="E39" name="Intervallo1_2"/>
    <protectedRange sqref="E39" name="Intervallo1_5_2"/>
    <protectedRange sqref="E6:E10" name="Intervallo1_4"/>
    <protectedRange sqref="E69:E74" name="Intervallo1_8"/>
    <protectedRange sqref="E69:E74" name="Intervallo1_5_5"/>
  </protectedRanges>
  <dataConsolidate/>
  <mergeCells count="15">
    <mergeCell ref="E93:F93"/>
    <mergeCell ref="D94:D95"/>
    <mergeCell ref="E94:F95"/>
    <mergeCell ref="D96:D97"/>
    <mergeCell ref="E96:F97"/>
    <mergeCell ref="E88:F88"/>
    <mergeCell ref="E89:F89"/>
    <mergeCell ref="C85:C89"/>
    <mergeCell ref="E91:F91"/>
    <mergeCell ref="G42:H46"/>
    <mergeCell ref="E82:F82"/>
    <mergeCell ref="G48:H52"/>
    <mergeCell ref="G54:H58"/>
    <mergeCell ref="E90:F90"/>
    <mergeCell ref="E87:F87"/>
  </mergeCells>
  <dataValidations count="11">
    <dataValidation type="list" allowBlank="1" showInputMessage="1" showErrorMessage="1" sqref="C80">
      <formula1>COMBO</formula1>
    </dataValidation>
    <dataValidation type="list" allowBlank="1" showInputMessage="1" showErrorMessage="1" sqref="E46">
      <formula1>str</formula1>
    </dataValidation>
    <dataValidation type="list" allowBlank="1" showInputMessage="1" showErrorMessage="1" sqref="E52">
      <formula1>st</formula1>
    </dataValidation>
    <dataValidation type="list" allowBlank="1" showInputMessage="1" showErrorMessage="1" sqref="G42:H46">
      <formula1>pr</formula1>
    </dataValidation>
    <dataValidation type="list" allowBlank="1" showInputMessage="1" showErrorMessage="1" sqref="G48:H52">
      <formula1>sec</formula1>
    </dataValidation>
    <dataValidation type="list" allowBlank="1" showInputMessage="1" showErrorMessage="1" sqref="G54:H58">
      <formula1>ter</formula1>
    </dataValidation>
    <dataValidation type="list" allowBlank="1" showInputMessage="1" showErrorMessage="1" sqref="E28 E62">
      <formula1>sn</formula1>
    </dataValidation>
    <dataValidation type="list" allowBlank="1" showInputMessage="1" showErrorMessage="1" sqref="E10">
      <formula1>TOP</formula1>
    </dataValidation>
    <dataValidation type="list" allowBlank="1" showInputMessage="1" showErrorMessage="1" sqref="E9">
      <formula1>ss</formula1>
    </dataValidation>
    <dataValidation type="list" allowBlank="1" showInputMessage="1" showErrorMessage="1" sqref="C69:C70">
      <formula1>terrrr</formula1>
    </dataValidation>
    <dataValidation type="list" allowBlank="1" showInputMessage="1" showErrorMessage="1" sqref="C65">
      <formula1>perm</formula1>
    </dataValidation>
  </dataValidations>
  <hyperlinks>
    <hyperlink ref="C4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F62B669A-FFB2-4CA4-8219-22BA108A652B}">
            <xm:f>'FOGLIO DEPOSITO'!$H$165</xm:f>
            <x14:dxf>
              <fill>
                <patternFill>
                  <bgColor theme="0" tint="-0.14996795556505021"/>
                </patternFill>
              </fill>
            </x14:dxf>
          </x14:cfRule>
          <xm:sqref>G42:H46</xm:sqref>
        </x14:conditionalFormatting>
        <x14:conditionalFormatting xmlns:xm="http://schemas.microsoft.com/office/excel/2006/main">
          <x14:cfRule type="cellIs" priority="5" operator="equal" id="{E471D5D7-AB6A-441D-99E0-A5D29B1F7433}">
            <xm:f>'FOGLIO DEPOSITO'!$H$168</xm:f>
            <x14:dxf>
              <fill>
                <patternFill>
                  <bgColor theme="0" tint="-0.14996795556505021"/>
                </patternFill>
              </fill>
            </x14:dxf>
          </x14:cfRule>
          <xm:sqref>G48:H52</xm:sqref>
        </x14:conditionalFormatting>
        <x14:conditionalFormatting xmlns:xm="http://schemas.microsoft.com/office/excel/2006/main">
          <x14:cfRule type="cellIs" priority="4" operator="equal" id="{D96A39E5-AAE3-460F-83F1-66060B4985EF}">
            <xm:f>'FOGLIO DEPOSITO'!$H$171</xm:f>
            <x14:dxf>
              <fill>
                <patternFill>
                  <bgColor theme="0" tint="-0.14996795556505021"/>
                </patternFill>
              </fill>
            </x14:dxf>
          </x14:cfRule>
          <xm:sqref>G54:H58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B1:AV210"/>
  <sheetViews>
    <sheetView showGridLines="0" showRowColHeaders="0" zoomScaleNormal="100" workbookViewId="0">
      <selection activeCell="C73" sqref="C73:D73"/>
    </sheetView>
  </sheetViews>
  <sheetFormatPr defaultRowHeight="15" x14ac:dyDescent="0.25"/>
  <cols>
    <col min="1" max="1" width="3" customWidth="1"/>
    <col min="2" max="2" width="47" customWidth="1"/>
    <col min="3" max="14" width="11.7109375" customWidth="1"/>
    <col min="15" max="15" width="10.7109375" style="317" customWidth="1"/>
    <col min="16" max="16" width="11" style="317" customWidth="1"/>
    <col min="17" max="17" width="11.85546875" style="317" customWidth="1"/>
    <col min="18" max="20" width="10.7109375" style="317" customWidth="1"/>
    <col min="21" max="23" width="12" style="317" customWidth="1"/>
    <col min="24" max="27" width="11.5703125" customWidth="1"/>
    <col min="28" max="28" width="17.140625" customWidth="1"/>
    <col min="29" max="30" width="16.7109375" customWidth="1"/>
    <col min="31" max="31" width="22.42578125" customWidth="1"/>
    <col min="32" max="32" width="16.7109375" customWidth="1"/>
    <col min="33" max="33" width="11.5703125" customWidth="1"/>
    <col min="34" max="34" width="12.140625" customWidth="1"/>
    <col min="35" max="37" width="11.5703125" customWidth="1"/>
  </cols>
  <sheetData>
    <row r="1" spans="2:48" x14ac:dyDescent="0.25"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</row>
    <row r="2" spans="2:48" ht="18.75" x14ac:dyDescent="0.3">
      <c r="B2" s="324" t="s">
        <v>486</v>
      </c>
      <c r="C2" s="323"/>
      <c r="D2" s="415"/>
      <c r="E2" s="416"/>
      <c r="F2" s="21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</row>
    <row r="3" spans="2:48" ht="18.75" x14ac:dyDescent="0.3">
      <c r="B3" s="324"/>
      <c r="C3" s="323"/>
      <c r="D3" s="415"/>
      <c r="E3" s="416"/>
      <c r="F3" s="21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2:48" x14ac:dyDescent="0.25">
      <c r="B4" s="320" t="s">
        <v>289</v>
      </c>
      <c r="C4" s="320" t="str">
        <f>IF(F73="","STATICA","SISMICA")</f>
        <v>SISMICA</v>
      </c>
      <c r="D4" s="320"/>
      <c r="E4" s="320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</row>
    <row r="5" spans="2:48" x14ac:dyDescent="0.25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</row>
    <row r="6" spans="2:48" x14ac:dyDescent="0.25">
      <c r="B6" s="320" t="s">
        <v>423</v>
      </c>
      <c r="C6" s="320" t="str">
        <f>DATI!C80</f>
        <v xml:space="preserve"> APPROCCIO 2 --- Combinazione (A1+M1+R3)</v>
      </c>
      <c r="D6" s="318"/>
      <c r="E6" s="320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</row>
    <row r="7" spans="2:48" x14ac:dyDescent="0.25">
      <c r="B7" s="392"/>
      <c r="C7" s="392"/>
      <c r="D7" s="393"/>
      <c r="E7" s="393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</row>
    <row r="8" spans="2:48" x14ac:dyDescent="0.25">
      <c r="B8" s="392"/>
      <c r="C8" s="328" t="s">
        <v>417</v>
      </c>
      <c r="D8" s="387" t="s">
        <v>13</v>
      </c>
      <c r="E8" s="393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</row>
    <row r="9" spans="2:48" x14ac:dyDescent="0.25">
      <c r="B9" s="392"/>
      <c r="C9" s="391" t="s">
        <v>278</v>
      </c>
      <c r="D9" s="389">
        <f>DATI!E83</f>
        <v>1</v>
      </c>
      <c r="E9" s="393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</row>
    <row r="10" spans="2:48" x14ac:dyDescent="0.25">
      <c r="B10" s="392"/>
      <c r="C10" s="391" t="s">
        <v>281</v>
      </c>
      <c r="D10" s="508">
        <f>DATI!E84</f>
        <v>1</v>
      </c>
      <c r="E10" s="393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</row>
    <row r="11" spans="2:48" x14ac:dyDescent="0.25">
      <c r="B11" s="392"/>
      <c r="C11" s="391" t="s">
        <v>284</v>
      </c>
      <c r="D11" s="508">
        <f>DATI!E85</f>
        <v>1</v>
      </c>
      <c r="E11" s="393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</row>
    <row r="12" spans="2:48" x14ac:dyDescent="0.25">
      <c r="B12" s="392"/>
      <c r="C12" s="392"/>
      <c r="D12" s="330"/>
      <c r="E12" s="393"/>
      <c r="F12" s="393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</row>
    <row r="13" spans="2:48" x14ac:dyDescent="0.25">
      <c r="B13" s="392"/>
      <c r="C13" s="328" t="s">
        <v>418</v>
      </c>
      <c r="D13" s="329" t="s">
        <v>419</v>
      </c>
      <c r="E13" s="393"/>
      <c r="F13" s="393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</row>
    <row r="14" spans="2:48" x14ac:dyDescent="0.25">
      <c r="B14" s="392"/>
      <c r="C14" s="387" t="s">
        <v>159</v>
      </c>
      <c r="D14" s="389">
        <f>DATI!E88</f>
        <v>1</v>
      </c>
      <c r="E14" s="393"/>
      <c r="F14" s="393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</row>
    <row r="15" spans="2:48" x14ac:dyDescent="0.25">
      <c r="B15" s="318"/>
      <c r="C15" s="387" t="s">
        <v>160</v>
      </c>
      <c r="D15" s="508">
        <f>DATI!E89</f>
        <v>1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</row>
    <row r="16" spans="2:48" x14ac:dyDescent="0.25">
      <c r="B16" s="318"/>
      <c r="C16" s="387" t="s">
        <v>162</v>
      </c>
      <c r="D16" s="508">
        <f>DATI!E90</f>
        <v>1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</row>
    <row r="17" spans="2:48" x14ac:dyDescent="0.25">
      <c r="B17" s="318"/>
      <c r="C17" s="396" t="s">
        <v>163</v>
      </c>
      <c r="D17" s="508">
        <f>DATI!E91</f>
        <v>1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</row>
    <row r="18" spans="2:48" s="317" customFormat="1" x14ac:dyDescent="0.25">
      <c r="B18" s="318"/>
      <c r="C18" s="43"/>
      <c r="D18" s="400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</row>
    <row r="19" spans="2:48" s="317" customFormat="1" ht="18" x14ac:dyDescent="0.25">
      <c r="B19" s="318" t="s">
        <v>321</v>
      </c>
      <c r="C19" s="388" t="s">
        <v>322</v>
      </c>
      <c r="D19" s="403">
        <f>DATI!E6</f>
        <v>2.56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</row>
    <row r="20" spans="2:48" s="317" customFormat="1" ht="18" x14ac:dyDescent="0.25">
      <c r="B20" s="318" t="s">
        <v>323</v>
      </c>
      <c r="C20" s="388" t="s">
        <v>324</v>
      </c>
      <c r="D20" s="402">
        <f>DATI!E7</f>
        <v>2.3639999999999999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</row>
    <row r="21" spans="2:48" s="317" customFormat="1" ht="18" x14ac:dyDescent="0.25">
      <c r="B21" s="318" t="s">
        <v>325</v>
      </c>
      <c r="C21" s="388" t="s">
        <v>326</v>
      </c>
      <c r="D21" s="404">
        <f>DATI!E8</f>
        <v>0.35</v>
      </c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</row>
    <row r="22" spans="2:48" s="317" customFormat="1" x14ac:dyDescent="0.25">
      <c r="B22" s="318" t="s">
        <v>327</v>
      </c>
      <c r="C22" s="318"/>
      <c r="D22" s="402" t="str">
        <f>DATI!E9</f>
        <v>B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</row>
    <row r="23" spans="2:48" s="317" customFormat="1" x14ac:dyDescent="0.25">
      <c r="B23" s="318" t="s">
        <v>328</v>
      </c>
      <c r="C23" s="318"/>
      <c r="D23" s="402" t="str">
        <f>DATI!E10</f>
        <v>T1</v>
      </c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</row>
    <row r="24" spans="2:48" s="317" customFormat="1" x14ac:dyDescent="0.25">
      <c r="B24" s="318" t="s">
        <v>487</v>
      </c>
      <c r="C24" s="291" t="s">
        <v>353</v>
      </c>
      <c r="D24" s="398">
        <f>DATI!E24</f>
        <v>0.31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</row>
    <row r="25" spans="2:48" s="317" customFormat="1" x14ac:dyDescent="0.25">
      <c r="B25" s="318" t="s">
        <v>354</v>
      </c>
      <c r="C25" s="385" t="s">
        <v>239</v>
      </c>
      <c r="D25" s="398">
        <f>DATI!E25</f>
        <v>9.3323448076448129E-2</v>
      </c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</row>
    <row r="26" spans="2:48" s="317" customFormat="1" x14ac:dyDescent="0.25">
      <c r="B26" s="318" t="s">
        <v>355</v>
      </c>
      <c r="C26" s="385" t="s">
        <v>240</v>
      </c>
      <c r="D26" s="398">
        <f>DATI!E26</f>
        <v>4.6661724038224064E-2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</row>
    <row r="27" spans="2:48" s="317" customFormat="1" x14ac:dyDescent="0.25">
      <c r="B27" s="318"/>
      <c r="C27" s="43"/>
      <c r="D27" s="400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</row>
    <row r="28" spans="2:48" x14ac:dyDescent="0.25">
      <c r="B28" s="324" t="s">
        <v>424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</row>
    <row r="29" spans="2:48" x14ac:dyDescent="0.25">
      <c r="B29" s="324" t="s">
        <v>425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</row>
    <row r="30" spans="2:48" ht="15.75" thickBot="1" x14ac:dyDescent="0.3"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</row>
    <row r="31" spans="2:48" ht="15" customHeight="1" thickTop="1" x14ac:dyDescent="0.25">
      <c r="B31" s="318" t="s">
        <v>391</v>
      </c>
      <c r="C31" s="319" t="s">
        <v>426</v>
      </c>
      <c r="D31" s="418">
        <f>DEGREES(ATAN(TAN(RADIANS('FOGLIO DEPOSITO'!W223))/DATI!E88))</f>
        <v>28</v>
      </c>
      <c r="E31" s="395"/>
      <c r="F31" s="585" t="str">
        <f>DATI!G42</f>
        <v>1°strato: ghiaia-sabbie</v>
      </c>
      <c r="G31" s="586"/>
      <c r="H31" s="318"/>
      <c r="I31" s="318"/>
      <c r="J31" s="318"/>
      <c r="K31" s="318"/>
      <c r="L31" s="318"/>
      <c r="M31" s="318"/>
      <c r="N31" s="318"/>
      <c r="O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</row>
    <row r="32" spans="2:48" x14ac:dyDescent="0.25">
      <c r="B32" s="318" t="s">
        <v>392</v>
      </c>
      <c r="C32" s="319" t="s">
        <v>427</v>
      </c>
      <c r="D32" s="414">
        <f>'FOGLIO DEPOSITO'!W224/DATI!E91</f>
        <v>19</v>
      </c>
      <c r="E32" s="395"/>
      <c r="F32" s="587"/>
      <c r="G32" s="588"/>
      <c r="H32" s="318"/>
      <c r="I32" s="318"/>
      <c r="J32" s="318"/>
      <c r="K32" s="318"/>
      <c r="L32" s="318"/>
      <c r="M32" s="318"/>
      <c r="N32" s="318"/>
      <c r="O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</row>
    <row r="33" spans="2:48" x14ac:dyDescent="0.25">
      <c r="B33" s="318" t="s">
        <v>394</v>
      </c>
      <c r="C33" s="388" t="s">
        <v>428</v>
      </c>
      <c r="D33" s="419">
        <f>IF(F31='FOGLIO DEPOSITO'!H166,0,'FOGLIO DEPOSITO'!W225/DATI!E90)</f>
        <v>0</v>
      </c>
      <c r="E33" s="395"/>
      <c r="F33" s="587"/>
      <c r="G33" s="588"/>
      <c r="H33" s="318"/>
      <c r="I33" s="318"/>
      <c r="J33" s="318"/>
      <c r="K33" s="318"/>
      <c r="L33" s="318"/>
      <c r="M33" s="318"/>
      <c r="N33" s="318"/>
      <c r="O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</row>
    <row r="34" spans="2:48" x14ac:dyDescent="0.25">
      <c r="B34" s="318" t="s">
        <v>396</v>
      </c>
      <c r="C34" s="388" t="s">
        <v>429</v>
      </c>
      <c r="D34" s="420">
        <f>IF(F31='FOGLIO DEPOSITO'!H166,0,'FOGLIO DEPOSITO'!W226/DATI!E89)</f>
        <v>0</v>
      </c>
      <c r="E34" s="395"/>
      <c r="F34" s="587"/>
      <c r="G34" s="588"/>
      <c r="H34" s="318"/>
      <c r="I34" s="318"/>
      <c r="J34" s="318"/>
      <c r="K34" s="318"/>
      <c r="L34" s="318"/>
      <c r="M34" s="318"/>
      <c r="N34" s="318"/>
      <c r="O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</row>
    <row r="35" spans="2:48" x14ac:dyDescent="0.25">
      <c r="B35" s="318" t="s">
        <v>430</v>
      </c>
      <c r="C35" s="319" t="s">
        <v>431</v>
      </c>
      <c r="D35" s="422">
        <f>IF('FOGLIO DEPOSITO'!S264="no",0,2/3*D31)</f>
        <v>0</v>
      </c>
      <c r="E35" s="395"/>
      <c r="F35" s="587"/>
      <c r="G35" s="588"/>
      <c r="H35" s="318"/>
      <c r="I35" s="318"/>
      <c r="J35" s="318"/>
      <c r="K35" s="318"/>
      <c r="L35" s="318"/>
      <c r="M35" s="318"/>
      <c r="N35" s="318"/>
      <c r="O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</row>
    <row r="36" spans="2:48" ht="15.75" thickBot="1" x14ac:dyDescent="0.3">
      <c r="B36" s="318" t="s">
        <v>398</v>
      </c>
      <c r="C36" s="319" t="s">
        <v>399</v>
      </c>
      <c r="D36" s="365">
        <f>'FOGLIO DEPOSITO'!W227</f>
        <v>11.200000000000001</v>
      </c>
      <c r="E36" s="395"/>
      <c r="F36" s="589"/>
      <c r="G36" s="590"/>
      <c r="H36" s="318"/>
      <c r="I36" s="318"/>
      <c r="J36" s="318"/>
      <c r="K36" s="318"/>
      <c r="L36" s="318"/>
      <c r="M36" s="318"/>
      <c r="N36" s="318"/>
      <c r="O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</row>
    <row r="37" spans="2:48" ht="16.5" thickTop="1" thickBot="1" x14ac:dyDescent="0.3">
      <c r="B37" s="318"/>
      <c r="C37" s="319"/>
      <c r="D37" s="285"/>
      <c r="E37" s="395"/>
      <c r="F37" s="76"/>
      <c r="G37" s="76"/>
      <c r="H37" s="318"/>
      <c r="I37" s="318"/>
      <c r="J37" s="318"/>
      <c r="K37" s="318"/>
      <c r="L37" s="318"/>
      <c r="M37" s="318"/>
      <c r="N37" s="318"/>
      <c r="O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</row>
    <row r="38" spans="2:48" ht="15" customHeight="1" thickTop="1" x14ac:dyDescent="0.25">
      <c r="B38" s="318" t="s">
        <v>391</v>
      </c>
      <c r="C38" s="319" t="s">
        <v>426</v>
      </c>
      <c r="D38" s="418">
        <f>DEGREES(ATAN(TAN(RADIANS('FOGLIO DEPOSITO'!W229))/DATI!E88))</f>
        <v>26</v>
      </c>
      <c r="E38" s="395"/>
      <c r="F38" s="585" t="str">
        <f>IF(D43=0,"strato spento",DATI!G48)</f>
        <v>2° strato:    limi-argille</v>
      </c>
      <c r="G38" s="586"/>
      <c r="H38" s="318"/>
      <c r="I38" s="318"/>
      <c r="J38" s="318"/>
      <c r="K38" s="318"/>
      <c r="L38" s="318"/>
      <c r="M38" s="318"/>
      <c r="N38" s="318"/>
      <c r="O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</row>
    <row r="39" spans="2:48" x14ac:dyDescent="0.25">
      <c r="B39" s="318" t="s">
        <v>392</v>
      </c>
      <c r="C39" s="319" t="s">
        <v>427</v>
      </c>
      <c r="D39" s="414">
        <f>'FOGLIO DEPOSITO'!W230/DATI!E91</f>
        <v>20</v>
      </c>
      <c r="E39" s="395"/>
      <c r="F39" s="587"/>
      <c r="G39" s="58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</row>
    <row r="40" spans="2:48" x14ac:dyDescent="0.25">
      <c r="B40" s="318" t="s">
        <v>394</v>
      </c>
      <c r="C40" s="388" t="s">
        <v>428</v>
      </c>
      <c r="D40" s="419">
        <f>IF(F38='FOGLIO DEPOSITO'!H169,0,'FOGLIO DEPOSITO'!W231/DATI!E90)</f>
        <v>25</v>
      </c>
      <c r="E40" s="395"/>
      <c r="F40" s="587"/>
      <c r="G40" s="58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</row>
    <row r="41" spans="2:48" x14ac:dyDescent="0.25">
      <c r="B41" s="318" t="s">
        <v>396</v>
      </c>
      <c r="C41" s="388" t="s">
        <v>429</v>
      </c>
      <c r="D41" s="419">
        <f>IF(F38='FOGLIO DEPOSITO'!H169,0,'FOGLIO DEPOSITO'!W232/DATI!E89)</f>
        <v>5</v>
      </c>
      <c r="E41" s="395"/>
      <c r="F41" s="587"/>
      <c r="G41" s="58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</row>
    <row r="42" spans="2:48" x14ac:dyDescent="0.25">
      <c r="B42" s="318" t="s">
        <v>430</v>
      </c>
      <c r="C42" s="319" t="s">
        <v>431</v>
      </c>
      <c r="D42" s="418">
        <f>IF('FOGLIO DEPOSITO'!S264="no",0,2/3*D38)</f>
        <v>0</v>
      </c>
      <c r="E42" s="395"/>
      <c r="F42" s="587"/>
      <c r="G42" s="58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</row>
    <row r="43" spans="2:48" ht="15.75" thickBot="1" x14ac:dyDescent="0.3">
      <c r="B43" s="318" t="s">
        <v>398</v>
      </c>
      <c r="C43" s="319" t="s">
        <v>399</v>
      </c>
      <c r="D43" s="365">
        <f>'FOGLIO DEPOSITO'!W233</f>
        <v>10.402666666666667</v>
      </c>
      <c r="E43" s="395"/>
      <c r="F43" s="589"/>
      <c r="G43" s="590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</row>
    <row r="44" spans="2:48" ht="16.5" thickTop="1" thickBot="1" x14ac:dyDescent="0.3">
      <c r="B44" s="318"/>
      <c r="C44" s="319"/>
      <c r="D44" s="18"/>
      <c r="E44" s="395"/>
      <c r="F44" s="76"/>
      <c r="G44" s="76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</row>
    <row r="45" spans="2:48" ht="16.5" customHeight="1" thickTop="1" x14ac:dyDescent="0.25">
      <c r="B45" s="318" t="s">
        <v>391</v>
      </c>
      <c r="C45" s="319" t="s">
        <v>426</v>
      </c>
      <c r="D45" s="418">
        <f>DEGREES(ATAN(TAN(RADIANS('FOGLIO DEPOSITO'!W235))/DATI!E88))</f>
        <v>32</v>
      </c>
      <c r="E45" s="395"/>
      <c r="F45" s="585" t="str">
        <f>IF(D50=0,"strato   spento",DATI!G54)</f>
        <v>3°strato: ghiaia-sabbie</v>
      </c>
      <c r="G45" s="586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</row>
    <row r="46" spans="2:48" x14ac:dyDescent="0.25">
      <c r="B46" s="318" t="s">
        <v>392</v>
      </c>
      <c r="C46" s="319" t="s">
        <v>427</v>
      </c>
      <c r="D46" s="414">
        <f>'FOGLIO DEPOSITO'!W236/DATI!E91</f>
        <v>20</v>
      </c>
      <c r="E46" s="395"/>
      <c r="F46" s="587"/>
      <c r="G46" s="58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</row>
    <row r="47" spans="2:48" x14ac:dyDescent="0.25">
      <c r="B47" s="318" t="s">
        <v>394</v>
      </c>
      <c r="C47" s="388" t="s">
        <v>428</v>
      </c>
      <c r="D47" s="419">
        <f>IF(F45='FOGLIO DEPOSITO'!H172,0,'FOGLIO DEPOSITO'!W237/DATI!E90)</f>
        <v>0</v>
      </c>
      <c r="E47" s="395"/>
      <c r="F47" s="587"/>
      <c r="G47" s="58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</row>
    <row r="48" spans="2:48" x14ac:dyDescent="0.25">
      <c r="B48" s="318" t="s">
        <v>396</v>
      </c>
      <c r="C48" s="388" t="s">
        <v>429</v>
      </c>
      <c r="D48" s="419">
        <f>IF(F45='FOGLIO DEPOSITO'!H172,0,'FOGLIO DEPOSITO'!W238/DATI!E89)</f>
        <v>0</v>
      </c>
      <c r="E48" s="395"/>
      <c r="F48" s="587"/>
      <c r="G48" s="58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</row>
    <row r="49" spans="2:48" x14ac:dyDescent="0.25">
      <c r="B49" s="318" t="s">
        <v>430</v>
      </c>
      <c r="C49" s="319" t="s">
        <v>431</v>
      </c>
      <c r="D49" s="418">
        <f>IF('FOGLIO DEPOSITO'!S264="no",0,2/3*D45)</f>
        <v>0</v>
      </c>
      <c r="E49" s="395"/>
      <c r="F49" s="587"/>
      <c r="G49" s="58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</row>
    <row r="50" spans="2:48" ht="15.75" thickBot="1" x14ac:dyDescent="0.3">
      <c r="B50" s="318" t="s">
        <v>398</v>
      </c>
      <c r="C50" s="319" t="s">
        <v>399</v>
      </c>
      <c r="D50" s="365">
        <f>'FOGLIO DEPOSITO'!W239</f>
        <v>8.3973333333333304</v>
      </c>
      <c r="E50" s="395"/>
      <c r="F50" s="589"/>
      <c r="G50" s="590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</row>
    <row r="51" spans="2:48" ht="15.75" thickTop="1" x14ac:dyDescent="0.25">
      <c r="B51" s="318"/>
      <c r="C51" s="319"/>
      <c r="D51" s="18"/>
      <c r="E51" s="395"/>
      <c r="F51" s="76"/>
      <c r="G51" s="76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</row>
    <row r="52" spans="2:48" x14ac:dyDescent="0.25">
      <c r="B52" s="318" t="s">
        <v>432</v>
      </c>
      <c r="C52" s="319"/>
      <c r="D52" s="365" t="str">
        <f>IF('FOGLIO DEPOSITO'!C226=DATI!E63,DATI!E63,"")</f>
        <v/>
      </c>
      <c r="E52" s="341" t="str">
        <f>IF('FOGLIO DEPOSITO'!C226=DATI!E63,"Dal piano campagna","")</f>
        <v/>
      </c>
      <c r="F52" s="318"/>
      <c r="G52" s="76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</row>
    <row r="53" spans="2:48" x14ac:dyDescent="0.25">
      <c r="B53" s="318"/>
      <c r="C53" s="319"/>
      <c r="D53" s="423"/>
      <c r="E53" s="395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</row>
    <row r="54" spans="2:48" x14ac:dyDescent="0.25">
      <c r="B54" s="318" t="s">
        <v>387</v>
      </c>
      <c r="C54" s="319" t="s">
        <v>433</v>
      </c>
      <c r="D54" s="418">
        <f>'FOGLIO DEPOSITO'!S259</f>
        <v>0</v>
      </c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</row>
    <row r="55" spans="2:48" x14ac:dyDescent="0.25">
      <c r="B55" s="318"/>
      <c r="C55" s="319" t="s">
        <v>434</v>
      </c>
      <c r="D55" s="424">
        <f>TAN(D54*PI()/180)*100</f>
        <v>0</v>
      </c>
      <c r="E55" s="318"/>
      <c r="F55" s="318"/>
      <c r="G55" s="318"/>
      <c r="H55" s="318"/>
      <c r="I55" s="318"/>
      <c r="J55" s="327"/>
      <c r="K55" s="327"/>
      <c r="L55" s="327"/>
      <c r="M55" s="327"/>
      <c r="N55" s="327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</row>
    <row r="56" spans="2:48" x14ac:dyDescent="0.25">
      <c r="B56" s="318"/>
      <c r="C56" s="318"/>
      <c r="D56" s="318"/>
      <c r="E56" s="318"/>
      <c r="F56" s="318"/>
      <c r="G56" s="318"/>
      <c r="H56" s="318"/>
      <c r="I56" s="318"/>
      <c r="J56" s="425"/>
      <c r="K56" s="327"/>
      <c r="L56" s="327"/>
      <c r="M56" s="327"/>
      <c r="N56" s="327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</row>
    <row r="57" spans="2:48" x14ac:dyDescent="0.25">
      <c r="B57" s="318" t="s">
        <v>600</v>
      </c>
      <c r="C57" s="62" t="s">
        <v>435</v>
      </c>
      <c r="D57" s="365">
        <f>DATI!E37+'FOGLIO DEPOSITO'!N271</f>
        <v>30</v>
      </c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</row>
    <row r="58" spans="2:48" x14ac:dyDescent="0.25"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</row>
    <row r="59" spans="2:48" x14ac:dyDescent="0.25">
      <c r="B59" s="318" t="s">
        <v>403</v>
      </c>
      <c r="C59" s="319" t="s">
        <v>404</v>
      </c>
      <c r="D59" s="414">
        <f>DATI!E64</f>
        <v>10</v>
      </c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</row>
    <row r="60" spans="2:48" x14ac:dyDescent="0.25">
      <c r="B60" s="5" t="s">
        <v>437</v>
      </c>
      <c r="C60" s="319" t="s">
        <v>260</v>
      </c>
      <c r="D60" s="418">
        <f>90-'ANALISI DELLE SPINTE'!D61</f>
        <v>89.999980901406829</v>
      </c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</row>
    <row r="61" spans="2:48" s="317" customFormat="1" x14ac:dyDescent="0.25">
      <c r="B61" s="5" t="s">
        <v>545</v>
      </c>
      <c r="C61" s="319" t="s">
        <v>242</v>
      </c>
      <c r="D61" s="418">
        <f>IF('FOGLIO DEPOSITO'!X248="dx",'FOGLIO DEPOSITO'!D196,0)</f>
        <v>1.9098593170951972E-5</v>
      </c>
      <c r="E61" s="318"/>
      <c r="F61" s="318"/>
      <c r="G61" s="318"/>
      <c r="H61" s="318"/>
      <c r="I61" s="513"/>
      <c r="J61" s="513"/>
      <c r="K61" s="513"/>
      <c r="L61" s="513"/>
      <c r="M61" s="513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</row>
    <row r="62" spans="2:48" s="317" customFormat="1" x14ac:dyDescent="0.25">
      <c r="B62" s="5"/>
      <c r="C62" s="319"/>
      <c r="D62" s="426"/>
      <c r="E62" s="318"/>
      <c r="F62" s="318"/>
      <c r="G62" s="318"/>
      <c r="H62" s="318"/>
      <c r="I62" s="513"/>
      <c r="J62" s="513"/>
      <c r="K62" s="513"/>
      <c r="L62" s="513"/>
      <c r="M62" s="513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</row>
    <row r="63" spans="2:48" ht="16.5" customHeight="1" x14ac:dyDescent="0.25">
      <c r="B63" s="5"/>
      <c r="C63" s="319"/>
      <c r="D63" s="426"/>
      <c r="E63" s="318"/>
      <c r="F63" s="318"/>
      <c r="G63" s="318"/>
      <c r="H63" s="593" t="str">
        <f>IF('FOGLIO DEPOSITO'!W233=0,IF('FOGLIO DEPOSITO'!W239&gt;0,"AGGIORNA ALTEZZA DEGLI STRATI SUI DATI!",IF(DATI!C47="",IF(DATI!C53="","","AGGIORNA ALTEZZA DEGLI STRATI SUI DATI!"),"AGGIORNA ALTEZZA DEGLI STRATI SUI DATI!")),"")</f>
        <v/>
      </c>
      <c r="I63" s="593"/>
      <c r="J63" s="593"/>
      <c r="K63" s="593"/>
      <c r="L63" s="593"/>
      <c r="M63" s="593"/>
      <c r="N63" s="593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</row>
    <row r="64" spans="2:48" x14ac:dyDescent="0.25">
      <c r="B64" s="324" t="s">
        <v>439</v>
      </c>
      <c r="C64" s="47"/>
      <c r="D64" s="318"/>
      <c r="E64" s="318"/>
      <c r="F64" s="318"/>
      <c r="G64" s="318"/>
      <c r="H64" s="593"/>
      <c r="I64" s="593"/>
      <c r="J64" s="593"/>
      <c r="K64" s="593"/>
      <c r="L64" s="593"/>
      <c r="M64" s="593"/>
      <c r="N64" s="593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</row>
    <row r="65" spans="2:48" x14ac:dyDescent="0.25">
      <c r="B65" s="318"/>
      <c r="C65" s="47"/>
      <c r="D65" s="318"/>
      <c r="E65" s="318"/>
      <c r="F65" s="318"/>
      <c r="G65" s="318"/>
      <c r="H65" s="593"/>
      <c r="I65" s="593"/>
      <c r="J65" s="593"/>
      <c r="K65" s="593"/>
      <c r="L65" s="593"/>
      <c r="M65" s="593"/>
      <c r="N65" s="593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</row>
    <row r="66" spans="2:48" ht="18" customHeight="1" x14ac:dyDescent="0.3">
      <c r="B66" s="318" t="s">
        <v>382</v>
      </c>
      <c r="C66" s="323" t="s">
        <v>383</v>
      </c>
      <c r="D66" s="427">
        <f>DATI!E32</f>
        <v>0</v>
      </c>
      <c r="E66" s="428"/>
      <c r="F66" s="21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</row>
    <row r="67" spans="2:48" ht="18" customHeight="1" x14ac:dyDescent="0.3">
      <c r="B67" s="318" t="s">
        <v>440</v>
      </c>
      <c r="C67" s="323" t="s">
        <v>385</v>
      </c>
      <c r="D67" s="429">
        <f>DATI!E33</f>
        <v>0</v>
      </c>
      <c r="E67" s="428"/>
      <c r="F67" s="21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</row>
    <row r="68" spans="2:48" ht="18" customHeight="1" x14ac:dyDescent="0.3">
      <c r="B68" s="318"/>
      <c r="C68" s="323"/>
      <c r="D68" s="415"/>
      <c r="E68" s="416"/>
      <c r="F68" s="21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</row>
    <row r="69" spans="2:48" ht="18" customHeight="1" x14ac:dyDescent="0.3">
      <c r="B69" s="318"/>
      <c r="C69" s="323"/>
      <c r="D69" s="415"/>
      <c r="E69" s="416"/>
      <c r="F69" s="21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</row>
    <row r="70" spans="2:48" ht="18" customHeight="1" x14ac:dyDescent="0.3">
      <c r="B70" s="324" t="s">
        <v>441</v>
      </c>
      <c r="C70" s="323"/>
      <c r="D70" s="415"/>
      <c r="E70" s="416"/>
      <c r="F70" s="21"/>
      <c r="G70" s="318"/>
      <c r="H70" s="318"/>
      <c r="I70" s="318"/>
      <c r="J70" s="318"/>
      <c r="K70" s="430"/>
      <c r="L70" s="430"/>
      <c r="M70" s="430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</row>
    <row r="71" spans="2:48" ht="18" customHeight="1" x14ac:dyDescent="0.3">
      <c r="B71" s="324"/>
      <c r="C71" s="323"/>
      <c r="D71" s="415"/>
      <c r="E71" s="416"/>
      <c r="F71" s="21"/>
      <c r="G71" s="318"/>
      <c r="H71" s="318"/>
      <c r="I71" s="318"/>
      <c r="J71" s="552" t="str">
        <f>IF(C73='FOGLIO DEPOSITO'!N181,"1+Kv",IF(C73='FOGLIO DEPOSITO'!N182,"1-Kv",""))</f>
        <v>1+Kv</v>
      </c>
      <c r="K71" s="607" t="str">
        <f>IF(C73='FOGLIO DEPOSITO'!N184," Ewd (Westergaard)
",IF(C73='FOGLIO DEPOSITO'!N181," Ewd (Westergaard)
",IF('ANALISI DELLE SPINTE'!C73='FOGLIO DEPOSITO'!N182,"Ewd  (Westergaard)","")))</f>
        <v xml:space="preserve"> Ewd (Westergaard)
</v>
      </c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</row>
    <row r="72" spans="2:48" ht="15.75" thickBot="1" x14ac:dyDescent="0.3">
      <c r="B72" s="318"/>
      <c r="C72" s="323"/>
      <c r="D72" s="415"/>
      <c r="E72" s="318"/>
      <c r="F72" s="327"/>
      <c r="G72" s="61" t="str">
        <f>IF(C73='FOGLIO DEPOSITO'!N181,"STRATO 1",IF('ANALISI DELLE SPINTE'!C73='FOGLIO DEPOSITO'!N182,"STRATO 1",""))</f>
        <v>STRATO 1</v>
      </c>
      <c r="H72" s="61" t="str">
        <f>IF(C88="","",IF(C73='FOGLIO DEPOSITO'!N181,"STRATO 2",IF('ANALISI DELLE SPINTE'!C73='FOGLIO DEPOSITO'!N182,"STRATO 2","")))</f>
        <v>STRATO 2</v>
      </c>
      <c r="I72" s="61" t="str">
        <f>IF(C91="","",IF(C73='FOGLIO DEPOSITO'!N181,"STRATO 3",IF('ANALISI DELLE SPINTE'!C73='FOGLIO DEPOSITO'!N182,"STRATO 3","")))</f>
        <v>STRATO 3</v>
      </c>
      <c r="J72" s="552"/>
      <c r="K72" s="607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</row>
    <row r="73" spans="2:48" ht="17.25" thickTop="1" thickBot="1" x14ac:dyDescent="0.3">
      <c r="B73" s="198" t="s">
        <v>485</v>
      </c>
      <c r="C73" s="597" t="s">
        <v>232</v>
      </c>
      <c r="D73" s="598"/>
      <c r="E73" s="318"/>
      <c r="F73" s="61" t="str">
        <f>IF(C73='FOGLIO DEPOSITO'!N181,"ϑ(kv+)",IF('ANALISI DELLE SPINTE'!C73='FOGLIO DEPOSITO'!N182,"ϑ(kv-)",""))</f>
        <v>ϑ(kv+)</v>
      </c>
      <c r="G73" s="431">
        <f>IF(C73='FOGLIO DEPOSITO'!N181,'FOGLIO DEPOSITO'!P188,IF('ANALISI DELLE SPINTE'!C73='FOGLIO DEPOSITO'!N182,'FOGLIO DEPOSITO'!Q188,""))</f>
        <v>5.0951869914411745</v>
      </c>
      <c r="H73" s="431">
        <f>IF(C88="","",IF(C73='FOGLIO DEPOSITO'!N181,'FOGLIO DEPOSITO'!P189,IF('ANALISI DELLE SPINTE'!C73='FOGLIO DEPOSITO'!N182,'FOGLIO DEPOSITO'!Q189,"")))</f>
        <v>5.0951869914411745</v>
      </c>
      <c r="I73" s="431">
        <f>IF(C91="","",IF(C73='FOGLIO DEPOSITO'!N181,'FOGLIO DEPOSITO'!P190,IF('ANALISI DELLE SPINTE'!C73='FOGLIO DEPOSITO'!N182,'FOGLIO DEPOSITO'!Q190,"")))</f>
        <v>5.0951869914411745</v>
      </c>
      <c r="J73" s="432">
        <f>IF(C73='FOGLIO DEPOSITO'!N181,1+'FOGLIO DEPOSITO'!S188,IF(C73='FOGLIO DEPOSITO'!N182,1-'FOGLIO DEPOSITO'!S188,""))</f>
        <v>1.0466617240382241</v>
      </c>
      <c r="K73" s="433">
        <f>IF(C73='FOGLIO DEPOSITO'!N184,IF(DATI!C65='FOGLIO DEPOSITO'!T179,IF(DATI!E62="no",0,('FOGLIO DEPOSITO'!M206)),0),IF(C73='FOGLIO DEPOSITO'!N181,IF(DATI!C65='FOGLIO DEPOSITO'!T179,IF(DATI!E62="no",0,('FOGLIO DEPOSITO'!M206)),0),IF('ANALISI DELLE SPINTE'!C73='FOGLIO DEPOSITO'!N182,IF(DATI!C65='FOGLIO DEPOSITO'!T179,IF(DATI!E62="no",0,'FOGLIO DEPOSITO'!M206),0),"")))</f>
        <v>0</v>
      </c>
      <c r="N73" s="434" t="str">
        <f>IF(C73='FOGLIO DEPOSITO'!N184,IF(DATI!C65='FOGLIO DEPOSITO'!T179,IF(DATI!E62="no","",DATI!C65),""),IF(C73='FOGLIO DEPOSITO'!N181,IF(DATI!C65='FOGLIO DEPOSITO'!T179,IF(DATI!E62="no","",DATI!C65),""),IF('ANALISI DELLE SPINTE'!C73='FOGLIO DEPOSITO'!N182,IF(DATI!C65='FOGLIO DEPOSITO'!T179,IF(DATI!E62="no","",DATI!C65),""),"")))</f>
        <v/>
      </c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</row>
    <row r="74" spans="2:48" ht="11.25" customHeight="1" thickTop="1" x14ac:dyDescent="0.25">
      <c r="B74" s="198"/>
      <c r="C74" s="18"/>
      <c r="D74" s="18"/>
      <c r="E74" s="318"/>
      <c r="F74" s="61"/>
      <c r="G74" s="431"/>
      <c r="H74" s="431"/>
      <c r="I74" s="431"/>
      <c r="J74" s="432"/>
      <c r="K74" s="433"/>
      <c r="L74" s="433"/>
      <c r="M74" s="433"/>
      <c r="N74" s="434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</row>
    <row r="75" spans="2:48" x14ac:dyDescent="0.25">
      <c r="B75" s="592" t="str">
        <f>IF(C73='FOGLIO DEPOSITO'!N184,"se si inserisce la teoria di Wood si attiva la verifica sismica γG1=γG2=γQk=1",IF(C73='FOGLIO DEPOSITO'!N181,"se si inseriscono i coeffcienti di M.O. si attiva la verifica sismica γG1=γG2=γQk=1",IF('ANALISI DELLE SPINTE'!C73='FOGLIO DEPOSITO'!N182,"se si inseriscono i coeffcienti di M.O. si attiva la verifica sismica γG1=γG2=γQk=1","")))</f>
        <v>se si inseriscono i coeffcienti di M.O. si attiva la verifica sismica γG1=γG2=γQk=1</v>
      </c>
      <c r="C75" s="18"/>
      <c r="D75" s="18"/>
      <c r="E75" s="318"/>
      <c r="F75" s="61"/>
      <c r="G75" s="431"/>
      <c r="H75" s="431"/>
      <c r="I75" s="431"/>
      <c r="J75" s="432"/>
      <c r="K75" s="435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</row>
    <row r="76" spans="2:48" x14ac:dyDescent="0.25">
      <c r="B76" s="592"/>
      <c r="C76" s="18"/>
      <c r="D76" s="18"/>
      <c r="E76" s="318"/>
      <c r="F76" s="61"/>
      <c r="G76" s="431"/>
      <c r="H76" s="431"/>
      <c r="I76" s="431"/>
      <c r="J76" s="432"/>
      <c r="K76" s="435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</row>
    <row r="77" spans="2:48" ht="6" customHeight="1" x14ac:dyDescent="0.25">
      <c r="B77" s="198"/>
      <c r="C77" s="18"/>
      <c r="D77" s="18"/>
      <c r="E77" s="318"/>
      <c r="F77" s="318"/>
      <c r="G77" s="9"/>
      <c r="H77" s="9"/>
      <c r="I77" s="9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</row>
    <row r="78" spans="2:48" ht="6" customHeight="1" x14ac:dyDescent="0.25">
      <c r="B78" s="198"/>
      <c r="C78" s="18"/>
      <c r="D78" s="18"/>
      <c r="E78" s="318"/>
      <c r="F78" s="318"/>
      <c r="G78" s="9"/>
      <c r="H78" s="9"/>
      <c r="I78" s="9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</row>
    <row r="79" spans="2:48" x14ac:dyDescent="0.25">
      <c r="B79" s="324" t="s">
        <v>442</v>
      </c>
      <c r="C79" s="18"/>
      <c r="D79" s="18"/>
      <c r="E79" s="318"/>
      <c r="F79" s="318"/>
      <c r="G79" s="318"/>
      <c r="H79" s="318"/>
      <c r="I79" s="318"/>
      <c r="J79" s="21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</row>
    <row r="80" spans="2:48" x14ac:dyDescent="0.25">
      <c r="B80" s="318"/>
      <c r="C80" s="319"/>
      <c r="D80" s="436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</row>
    <row r="81" spans="2:48" ht="15.75" x14ac:dyDescent="0.25">
      <c r="B81" s="226" t="s">
        <v>485</v>
      </c>
      <c r="C81" s="13" t="str">
        <f>C73</f>
        <v>Mononobe Okabe K(kv+)</v>
      </c>
      <c r="D81" s="13"/>
      <c r="E81" s="13"/>
      <c r="F81" s="318"/>
      <c r="G81" s="318"/>
      <c r="H81" s="21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</row>
    <row r="82" spans="2:48" s="317" customFormat="1" ht="15.75" x14ac:dyDescent="0.25">
      <c r="B82" s="226"/>
      <c r="C82" s="13"/>
      <c r="D82" s="13"/>
      <c r="E82" s="13"/>
      <c r="F82" s="318"/>
      <c r="G82" s="318"/>
      <c r="H82" s="21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</row>
    <row r="83" spans="2:48" ht="15.75" x14ac:dyDescent="0.25">
      <c r="B83" s="318"/>
      <c r="C83" s="318"/>
      <c r="D83" s="318"/>
      <c r="E83" s="318"/>
      <c r="F83" s="318"/>
      <c r="G83" s="318"/>
      <c r="H83" s="395"/>
      <c r="I83" s="599" t="s">
        <v>559</v>
      </c>
      <c r="J83" s="599"/>
      <c r="K83" s="599"/>
      <c r="L83" s="606" t="s">
        <v>558</v>
      </c>
      <c r="M83" s="606"/>
      <c r="N83" s="606"/>
      <c r="O83" s="600" t="s">
        <v>528</v>
      </c>
      <c r="P83" s="601"/>
      <c r="Q83" s="601"/>
      <c r="R83" s="606" t="s">
        <v>520</v>
      </c>
      <c r="S83" s="606"/>
      <c r="T83" s="606"/>
      <c r="U83" s="606" t="s">
        <v>521</v>
      </c>
      <c r="V83" s="606"/>
      <c r="W83" s="606"/>
      <c r="X83" s="606" t="s">
        <v>596</v>
      </c>
      <c r="Y83" s="606"/>
      <c r="Z83" s="606"/>
      <c r="AB83" s="437"/>
      <c r="AC83" s="438"/>
      <c r="AD83" s="439"/>
      <c r="AE83" s="439"/>
      <c r="AF83" s="439"/>
      <c r="AG83" s="318"/>
      <c r="AH83" s="318"/>
      <c r="AI83" s="318"/>
      <c r="AJ83" s="281"/>
      <c r="AK83" s="281"/>
      <c r="AL83" s="281"/>
      <c r="AM83" s="356"/>
      <c r="AN83" s="318"/>
      <c r="AO83" s="318"/>
      <c r="AP83" s="318"/>
      <c r="AQ83" s="318"/>
      <c r="AR83" s="318"/>
      <c r="AS83" s="318"/>
      <c r="AT83" s="318"/>
      <c r="AU83" s="318"/>
      <c r="AV83" s="318"/>
    </row>
    <row r="84" spans="2:48" ht="18.75" x14ac:dyDescent="0.25">
      <c r="B84" s="169" t="s">
        <v>19</v>
      </c>
      <c r="C84" s="386" t="s">
        <v>10</v>
      </c>
      <c r="D84" s="440" t="s">
        <v>445</v>
      </c>
      <c r="E84" s="441" t="s">
        <v>446</v>
      </c>
      <c r="F84" s="440" t="str">
        <f>IF(C73='FOGLIO DEPOSITO'!N183,"K0",IF(C73='FOGLIO DEPOSITO'!N184,"K0","Ka"))</f>
        <v>Ka</v>
      </c>
      <c r="G84" s="441" t="s">
        <v>522</v>
      </c>
      <c r="H84" s="441" t="s">
        <v>447</v>
      </c>
      <c r="I84" s="120" t="s">
        <v>448</v>
      </c>
      <c r="J84" s="175" t="s">
        <v>449</v>
      </c>
      <c r="K84" s="176" t="s">
        <v>450</v>
      </c>
      <c r="L84" s="183" t="s">
        <v>510</v>
      </c>
      <c r="M84" s="183" t="s">
        <v>511</v>
      </c>
      <c r="N84" s="184" t="s">
        <v>512</v>
      </c>
      <c r="O84" s="351" t="s">
        <v>504</v>
      </c>
      <c r="P84" s="183" t="s">
        <v>505</v>
      </c>
      <c r="Q84" s="183" t="s">
        <v>506</v>
      </c>
      <c r="R84" s="351" t="s">
        <v>507</v>
      </c>
      <c r="S84" s="183" t="s">
        <v>508</v>
      </c>
      <c r="T84" s="184" t="s">
        <v>509</v>
      </c>
      <c r="U84" s="183" t="s">
        <v>513</v>
      </c>
      <c r="V84" s="183" t="s">
        <v>514</v>
      </c>
      <c r="W84" s="184" t="s">
        <v>515</v>
      </c>
      <c r="X84" s="184" t="s">
        <v>516</v>
      </c>
      <c r="Y84" s="224" t="s">
        <v>517</v>
      </c>
      <c r="Z84" s="224" t="s">
        <v>518</v>
      </c>
      <c r="AA84" s="228" t="str">
        <f>IF('ANALISI DELLE SPINTE'!C73='FOGLIO DEPOSITO'!N184," Ewd",IF('ANALISI DELLE SPINTE'!C73='FOGLIO DEPOSITO'!N181," Ewd",IF('ANALISI DELLE SPINTE'!C73='FOGLIO DEPOSITO'!N182,"Ewd","")))</f>
        <v xml:space="preserve"> Ewd</v>
      </c>
      <c r="AG84" s="228" t="str">
        <f>IF(C73='FOGLIO DEPOSITO'!N184," Mw","")</f>
        <v/>
      </c>
      <c r="AH84" s="318"/>
      <c r="AI84" s="318"/>
      <c r="AJ84" s="442"/>
      <c r="AK84" s="442"/>
      <c r="AL84" s="443"/>
      <c r="AM84" s="21"/>
      <c r="AN84" s="318"/>
      <c r="AO84" s="318"/>
      <c r="AP84" s="318"/>
      <c r="AQ84" s="318"/>
      <c r="AR84" s="318"/>
      <c r="AS84" s="318"/>
      <c r="AT84" s="318"/>
      <c r="AU84" s="318"/>
      <c r="AV84" s="318"/>
    </row>
    <row r="85" spans="2:48" x14ac:dyDescent="0.25">
      <c r="B85" s="591" t="str">
        <f>F31</f>
        <v>1°strato: ghiaia-sabbie</v>
      </c>
      <c r="C85" s="444">
        <v>0</v>
      </c>
      <c r="D85" s="405">
        <f>C85</f>
        <v>0</v>
      </c>
      <c r="E85" s="445">
        <f>E102</f>
        <v>0</v>
      </c>
      <c r="F85" s="237">
        <f>IF(F31='FOGLIO DEPOSITO'!H166,VLOOKUP(C73,'FOGLIO DEPOSITO'!N178:Q184,2,FALSE),IF(D52="",VLOOKUP(C73,'FOGLIO DEPOSITO'!N178:Q184,2,FALSE),IF(D52&lt;=C87*0.85,1,VLOOKUP(C73,'FOGLIO DEPOSITO'!N178:Q184,2,FALSE))))</f>
        <v>0.41923878646175688</v>
      </c>
      <c r="G85" s="446">
        <f>2*D33*F85^0.5</f>
        <v>0</v>
      </c>
      <c r="H85" s="447">
        <f>$D$32*D85</f>
        <v>0</v>
      </c>
      <c r="I85" s="445">
        <f>'FOGLIO DEPOSITO'!C242+'FOGLIO DEPOSITO'!D242</f>
        <v>0</v>
      </c>
      <c r="J85" s="446">
        <f>$D$66</f>
        <v>0</v>
      </c>
      <c r="K85" s="447">
        <f>$D$67</f>
        <v>0</v>
      </c>
      <c r="L85" s="446">
        <f>'FOGLIO DEPOSITO'!G225/DATI!$E$83</f>
        <v>0</v>
      </c>
      <c r="M85" s="446">
        <f>'FOGLIO DEPOSITO'!H225/DATI!$E$84</f>
        <v>0</v>
      </c>
      <c r="N85" s="447">
        <f>'FOGLIO DEPOSITO'!I225/DATI!$E$85</f>
        <v>0</v>
      </c>
      <c r="O85" s="448"/>
      <c r="P85" s="448"/>
      <c r="Q85" s="448"/>
      <c r="R85" s="450"/>
      <c r="S85" s="448"/>
      <c r="T85" s="448"/>
      <c r="U85" s="450"/>
      <c r="V85" s="448"/>
      <c r="W85" s="451"/>
      <c r="X85" s="39"/>
      <c r="Y85" s="39"/>
      <c r="Z85" s="449"/>
      <c r="AA85" s="21"/>
      <c r="AG85" s="395"/>
      <c r="AH85" s="318"/>
      <c r="AI85" s="318"/>
      <c r="AJ85" s="442"/>
      <c r="AK85" s="442"/>
      <c r="AL85" s="443"/>
      <c r="AM85" s="21"/>
      <c r="AN85" s="318"/>
      <c r="AO85" s="318"/>
      <c r="AP85" s="318"/>
      <c r="AQ85" s="318"/>
      <c r="AR85" s="318"/>
      <c r="AS85" s="318"/>
      <c r="AT85" s="318"/>
      <c r="AU85" s="318"/>
      <c r="AV85" s="318"/>
    </row>
    <row r="86" spans="2:48" x14ac:dyDescent="0.25">
      <c r="B86" s="591"/>
      <c r="C86" s="444">
        <f>IF('FOGLIO DEPOSITO'!C226&lt;C87,IF('FOGLIO DEPOSITO'!C226&gt;=C85,'FOGLIO DEPOSITO'!C226,C87),C87)</f>
        <v>11.200000000000001</v>
      </c>
      <c r="D86" s="405">
        <f>C86</f>
        <v>11.200000000000001</v>
      </c>
      <c r="E86" s="445">
        <f>E103</f>
        <v>0</v>
      </c>
      <c r="F86" s="237">
        <f>IF(F31='FOGLIO DEPOSITO'!H166,VLOOKUP(C73,'FOGLIO DEPOSITO'!N178:Q184,2,FALSE),IF(D52="",VLOOKUP(C73,'FOGLIO DEPOSITO'!N178:Q184,2,FALSE),IF(D52&lt;=C87*0.85,1,VLOOKUP(C73,'FOGLIO DEPOSITO'!N178:Q184,2,FALSE))))</f>
        <v>0.41923878646175688</v>
      </c>
      <c r="G86" s="446">
        <f>2*D33*F85^0.5</f>
        <v>0</v>
      </c>
      <c r="H86" s="447">
        <f>$D$32*D86</f>
        <v>212.8</v>
      </c>
      <c r="I86" s="445">
        <f>'FOGLIO DEPOSITO'!C243+'FOGLIO DEPOSITO'!D243</f>
        <v>212.8</v>
      </c>
      <c r="J86" s="446">
        <f>$D$66</f>
        <v>0</v>
      </c>
      <c r="K86" s="447">
        <f>$D$67</f>
        <v>0</v>
      </c>
      <c r="L86" s="446">
        <f>'FOGLIO DEPOSITO'!G226/DATI!$E$83</f>
        <v>93.376893449429545</v>
      </c>
      <c r="M86" s="446">
        <f>'FOGLIO DEPOSITO'!H226/DATI!$E$84</f>
        <v>0</v>
      </c>
      <c r="N86" s="447">
        <f>'FOGLIO DEPOSITO'!I226/DATI!$E$85</f>
        <v>0</v>
      </c>
      <c r="O86" s="442">
        <f>(X86-V86-W86)/DATI!$E$83</f>
        <v>522.91060331680546</v>
      </c>
      <c r="P86" s="442">
        <f>'FOGLIO DEPOSITO'!N258*((M85*C86)*IF(C73='FOGLIO DEPOSITO'!N181,1+'FOGLIO DEPOSITO'!S188,IF(C73='FOGLIO DEPOSITO'!N182,1-'FOGLIO DEPOSITO'!S188,1)))</f>
        <v>0</v>
      </c>
      <c r="Q86" s="442">
        <f>'FOGLIO DEPOSITO'!N258*((N85*C86)*IF(C73='FOGLIO DEPOSITO'!N181,1+'FOGLIO DEPOSITO'!S188,IF(C73='FOGLIO DEPOSITO'!N182,1-'FOGLIO DEPOSITO'!S188,1)))</f>
        <v>0</v>
      </c>
      <c r="R86" s="453">
        <f>DATI!$E$83</f>
        <v>1</v>
      </c>
      <c r="S86" s="454">
        <f>DATI!$E$84</f>
        <v>1</v>
      </c>
      <c r="T86" s="454">
        <f>DATI!$E$85</f>
        <v>1</v>
      </c>
      <c r="U86" s="455">
        <f t="shared" ref="U86:W87" si="0">O86*R86</f>
        <v>522.91060331680546</v>
      </c>
      <c r="V86" s="442">
        <f t="shared" si="0"/>
        <v>0</v>
      </c>
      <c r="W86" s="456">
        <f t="shared" si="0"/>
        <v>0</v>
      </c>
      <c r="X86" s="456">
        <f>'FOGLIO DEPOSITO'!N258*(('FOGLIO DEPOSITO'!K225*C86+('FOGLIO DEPOSITO'!K226-'FOGLIO DEPOSITO'!K225)*C86/2))</f>
        <v>522.91060331680546</v>
      </c>
      <c r="Y86" s="456">
        <f>X86*COS(RADIANS($D$35+IF('FOGLIO DEPOSITO'!X248="SX",0,'FOGLIO DEPOSITO'!D196)))</f>
        <v>522.91060331677647</v>
      </c>
      <c r="Z86" s="512">
        <f>X86*SIN(RADIANS($D$35+IF('FOGLIO DEPOSITO'!X248="SX",0,'FOGLIO DEPOSITO'!D196)))</f>
        <v>1.7430353443824315E-4</v>
      </c>
      <c r="AA86" s="318"/>
      <c r="AG86" s="18"/>
      <c r="AH86" s="318"/>
      <c r="AI86" s="318"/>
      <c r="AJ86" s="442"/>
      <c r="AK86" s="442"/>
      <c r="AL86" s="443"/>
      <c r="AM86" s="21"/>
      <c r="AN86" s="318"/>
      <c r="AO86" s="318"/>
      <c r="AP86" s="318"/>
      <c r="AQ86" s="318"/>
      <c r="AR86" s="318"/>
      <c r="AS86" s="318"/>
      <c r="AT86" s="318"/>
      <c r="AU86" s="318"/>
      <c r="AV86" s="318"/>
    </row>
    <row r="87" spans="2:48" x14ac:dyDescent="0.25">
      <c r="B87" s="591"/>
      <c r="C87" s="457">
        <f>D36</f>
        <v>11.200000000000001</v>
      </c>
      <c r="D87" s="458">
        <f>D36</f>
        <v>11.200000000000001</v>
      </c>
      <c r="E87" s="459">
        <f>E104</f>
        <v>0</v>
      </c>
      <c r="F87" s="460">
        <f>IF(F31='FOGLIO DEPOSITO'!H166,VLOOKUP(C73,'FOGLIO DEPOSITO'!N178:Q184,2,FALSE),IF(D52="",VLOOKUP(C73,'FOGLIO DEPOSITO'!N178:Q184,2,FALSE),IF(D52&lt;=C87*0.85,1,VLOOKUP(C73,'FOGLIO DEPOSITO'!N178:Q184,2,FALSE))))</f>
        <v>0.41923878646175688</v>
      </c>
      <c r="G87" s="459">
        <f>2*D33*F87^0.5</f>
        <v>0</v>
      </c>
      <c r="H87" s="461">
        <f>$D$32*D87</f>
        <v>212.8</v>
      </c>
      <c r="I87" s="462">
        <f>'FOGLIO DEPOSITO'!C244+'FOGLIO DEPOSITO'!D244</f>
        <v>212.8</v>
      </c>
      <c r="J87" s="459">
        <f>$D$66</f>
        <v>0</v>
      </c>
      <c r="K87" s="461">
        <f>$D$67</f>
        <v>0</v>
      </c>
      <c r="L87" s="462">
        <f>'FOGLIO DEPOSITO'!G227/DATI!$E$83</f>
        <v>93.376893449429545</v>
      </c>
      <c r="M87" s="459">
        <f>'FOGLIO DEPOSITO'!H227/DATI!$E$84</f>
        <v>0</v>
      </c>
      <c r="N87" s="461">
        <f>'FOGLIO DEPOSITO'!I227/DATI!$E$85</f>
        <v>0</v>
      </c>
      <c r="O87" s="463">
        <f>(X87-V87-W87)/DATI!$E$83</f>
        <v>0</v>
      </c>
      <c r="P87" s="464">
        <f>'FOGLIO DEPOSITO'!N258*((M86*(C87-C86))*IF(C73='FOGLIO DEPOSITO'!N181,1+'FOGLIO DEPOSITO'!S188,IF(C73='FOGLIO DEPOSITO'!N182,1-'FOGLIO DEPOSITO'!S188,1)))</f>
        <v>0</v>
      </c>
      <c r="Q87" s="464">
        <f>'FOGLIO DEPOSITO'!N258*((N86*(C87-C86))*IF(C73='FOGLIO DEPOSITO'!N181,1+'FOGLIO DEPOSITO'!S188,IF(C73='FOGLIO DEPOSITO'!N182,1-'FOGLIO DEPOSITO'!S188,1)))</f>
        <v>0</v>
      </c>
      <c r="R87" s="466">
        <f>DATI!$E$83</f>
        <v>1</v>
      </c>
      <c r="S87" s="467">
        <f>DATI!$E$84</f>
        <v>1</v>
      </c>
      <c r="T87" s="467">
        <f>DATI!$E$85</f>
        <v>1</v>
      </c>
      <c r="U87" s="463">
        <f t="shared" si="0"/>
        <v>0</v>
      </c>
      <c r="V87" s="464">
        <f t="shared" si="0"/>
        <v>0</v>
      </c>
      <c r="W87" s="468">
        <f t="shared" si="0"/>
        <v>0</v>
      </c>
      <c r="X87" s="468">
        <f>'FOGLIO DEPOSITO'!N258*(('FOGLIO DEPOSITO'!K226*(C87-C86)+('FOGLIO DEPOSITO'!K227-'FOGLIO DEPOSITO'!K226)*(C87-C86)/2))</f>
        <v>0</v>
      </c>
      <c r="Y87" s="469">
        <f>X87*COS(RADIANS(D35+IF('FOGLIO DEPOSITO'!X248="SX",0,'FOGLIO DEPOSITO'!D196)))</f>
        <v>0</v>
      </c>
      <c r="Z87" s="469">
        <f>X87*SIN(RADIANS($D$35+IF('FOGLIO DEPOSITO'!X248="SX",0,'FOGLIO DEPOSITO'!D196)))</f>
        <v>0</v>
      </c>
      <c r="AA87" s="318"/>
      <c r="AG87" s="278" t="str">
        <f>IF(C73='FOGLIO DEPOSITO'!N184,((D57-D36)+D36/2)*'FOGLIO DEPOSITO'!AA262,"")</f>
        <v/>
      </c>
      <c r="AH87" s="318"/>
      <c r="AI87" s="318"/>
      <c r="AJ87" s="442"/>
      <c r="AK87" s="442"/>
      <c r="AL87" s="443"/>
      <c r="AM87" s="21"/>
      <c r="AN87" s="318"/>
      <c r="AO87" s="318"/>
      <c r="AP87" s="318"/>
      <c r="AQ87" s="318"/>
      <c r="AR87" s="318"/>
      <c r="AS87" s="318"/>
      <c r="AT87" s="318"/>
      <c r="AU87" s="318"/>
      <c r="AV87" s="318"/>
    </row>
    <row r="88" spans="2:48" x14ac:dyDescent="0.25">
      <c r="B88" s="591" t="str">
        <f>IF(D43=0,"",F38)</f>
        <v>2° strato:    limi-argille</v>
      </c>
      <c r="C88" s="444">
        <f>IF(D43=0,"",D36)</f>
        <v>11.200000000000001</v>
      </c>
      <c r="D88" s="405">
        <f>IF(D43=0,"",0)</f>
        <v>0</v>
      </c>
      <c r="E88" s="445">
        <f>IF(D43=0,"",E105)</f>
        <v>0</v>
      </c>
      <c r="F88" s="237">
        <f>IF(D43=0,"",IF(F38='FOGLIO DEPOSITO'!H169,VLOOKUP(C73,'FOGLIO DEPOSITO'!N178:Q184,3,FALSE),IF(D52="",VLOOKUP(C73,'FOGLIO DEPOSITO'!N178:Q184,2,FALSE),IF(D52&lt;=C90*0.85,1,VLOOKUP(C73,'FOGLIO DEPOSITO'!N178:Q184,2,FALSE)))))</f>
        <v>0.41923878646175688</v>
      </c>
      <c r="G88" s="446">
        <f>IF(D43=0,"",2*D40*F88^0.5)</f>
        <v>32.374325725092596</v>
      </c>
      <c r="H88" s="447">
        <f>IF(D43=0,"",$D$39*D88+H87)</f>
        <v>212.8</v>
      </c>
      <c r="I88" s="445">
        <f>IF(D43=0,"",'FOGLIO DEPOSITO'!C245+'FOGLIO DEPOSITO'!D245)</f>
        <v>212.8</v>
      </c>
      <c r="J88" s="446">
        <f>IF(D43=0,"",$D$66)</f>
        <v>0</v>
      </c>
      <c r="K88" s="447">
        <f>IF(D43=0,"",$D$67)</f>
        <v>0</v>
      </c>
      <c r="L88" s="446">
        <f>IF(D43=0,"",'FOGLIO DEPOSITO'!G228/DATI!$E$83)</f>
        <v>59.491925871429096</v>
      </c>
      <c r="M88" s="446">
        <f>IF(D43=0,"",'FOGLIO DEPOSITO'!H228/DATI!$E$84)</f>
        <v>0</v>
      </c>
      <c r="N88" s="447">
        <f>IF(D43=0,"",'FOGLIO DEPOSITO'!I228/DATI!$E$85)</f>
        <v>0</v>
      </c>
      <c r="O88" s="442">
        <f>IF(D43=0,"",(X88-V88-W88)/DATI!$E$83)</f>
        <v>0</v>
      </c>
      <c r="P88" s="442">
        <f>IF(D43=0,"",'FOGLIO DEPOSITO'!N258*IF(D43=0,"",M87*(C88-C87))*IF(C73='FOGLIO DEPOSITO'!N181,1+'FOGLIO DEPOSITO'!S188,IF(C73='FOGLIO DEPOSITO'!N182,1-'FOGLIO DEPOSITO'!S188,1)))</f>
        <v>0</v>
      </c>
      <c r="Q88" s="442">
        <f>IF(D43=0,"",'FOGLIO DEPOSITO'!N258*IF(D43=0,"",N87*(C88-C87))*IF(C73='FOGLIO DEPOSITO'!N181,1+'FOGLIO DEPOSITO'!S188,IF(C73='FOGLIO DEPOSITO'!N182,1-'FOGLIO DEPOSITO'!S188,1)))</f>
        <v>0</v>
      </c>
      <c r="R88" s="453">
        <f>IF(D43=0,"",DATI!$E$83)</f>
        <v>1</v>
      </c>
      <c r="S88" s="454">
        <f>IF(D43=0,"",DATI!$E$84)</f>
        <v>1</v>
      </c>
      <c r="T88" s="454">
        <f>IF(D43=0,"",DATI!$E$85)</f>
        <v>1</v>
      </c>
      <c r="U88" s="455">
        <f>IF(D43=0,"",O88*R88)</f>
        <v>0</v>
      </c>
      <c r="V88" s="442">
        <f>IF(D43=0,"",P88*S88)</f>
        <v>0</v>
      </c>
      <c r="W88" s="456">
        <f>IF(D43=0,"",Q88*T88)</f>
        <v>0</v>
      </c>
      <c r="X88" s="456">
        <f>IF(D43=0,"",'FOGLIO DEPOSITO'!N258*IF(D43=0,"",'FOGLIO DEPOSITO'!K227*(C88-C87)+('FOGLIO DEPOSITO'!K228-'FOGLIO DEPOSITO'!K227)*(C88-C87)/2))</f>
        <v>0</v>
      </c>
      <c r="Y88" s="455">
        <f>IF(D43=0,"",X88*COS(RADIANS($D$42+IF('FOGLIO DEPOSITO'!X248="SX",0,'FOGLIO DEPOSITO'!D196))))</f>
        <v>0</v>
      </c>
      <c r="Z88" s="512">
        <f>IF(D43=0,"",X88*SIN(RADIANS($D$42+IF('FOGLIO DEPOSITO'!X248="SX",0,'FOGLIO DEPOSITO'!D196))))</f>
        <v>0</v>
      </c>
      <c r="AA88" s="318"/>
      <c r="AG88" s="18"/>
      <c r="AH88" s="318"/>
      <c r="AI88" s="318"/>
      <c r="AJ88" s="442"/>
      <c r="AK88" s="442"/>
      <c r="AL88" s="443"/>
      <c r="AM88" s="21"/>
      <c r="AN88" s="318"/>
      <c r="AO88" s="318"/>
      <c r="AP88" s="318"/>
      <c r="AQ88" s="318"/>
      <c r="AR88" s="318"/>
      <c r="AS88" s="318"/>
      <c r="AT88" s="318"/>
      <c r="AU88" s="318"/>
      <c r="AV88" s="318"/>
    </row>
    <row r="89" spans="2:48" x14ac:dyDescent="0.25">
      <c r="B89" s="591"/>
      <c r="C89" s="444">
        <f>IF(D43=0,"",IF('FOGLIO DEPOSITO'!C226&lt;C90,IF('FOGLIO DEPOSITO'!C226&gt;=C88,'FOGLIO DEPOSITO'!C226,C90),C90))</f>
        <v>21.602666666666668</v>
      </c>
      <c r="D89" s="405">
        <f>IF(D43=0,"",C89-C88)</f>
        <v>10.402666666666667</v>
      </c>
      <c r="E89" s="445">
        <f>IF(D43=0,"",E106)</f>
        <v>0</v>
      </c>
      <c r="F89" s="237">
        <f>IF(D43=0,"",IF(F38='FOGLIO DEPOSITO'!H169,VLOOKUP(C73,'FOGLIO DEPOSITO'!N178:Q184,3,FALSE),IF(D52="",VLOOKUP(C73,'FOGLIO DEPOSITO'!N178:Q184,2,FALSE),IF(D52&lt;=C90*0.85,1,VLOOKUP(C73,'FOGLIO DEPOSITO'!N178:Q184,2,FALSE)))))</f>
        <v>0.41923878646175688</v>
      </c>
      <c r="G89" s="446">
        <f>IF(D43=0,"",2*D40*F88^0.5)</f>
        <v>32.374325725092596</v>
      </c>
      <c r="H89" s="447">
        <f>IF(D43=0,"",$D$39*D89+H87)</f>
        <v>420.85333333333335</v>
      </c>
      <c r="I89" s="445">
        <f>IF(D43=0,"",'FOGLIO DEPOSITO'!C246+'FOGLIO DEPOSITO'!D246)</f>
        <v>420.85333333333335</v>
      </c>
      <c r="J89" s="446">
        <f>IF(D43=0,"",$D$66)</f>
        <v>0</v>
      </c>
      <c r="K89" s="447">
        <f>IF(D43=0,"",$D$67)</f>
        <v>0</v>
      </c>
      <c r="L89" s="446">
        <f>IF(D43=0,"",'FOGLIO DEPOSITO'!G229/DATI!$E$83)</f>
        <v>150.78597633414202</v>
      </c>
      <c r="M89" s="446">
        <f>IF(D43=0,"",'FOGLIO DEPOSITO'!H229/DATI!$E$84)</f>
        <v>0</v>
      </c>
      <c r="N89" s="447">
        <f>IF(D43=0,"",'FOGLIO DEPOSITO'!I229/DATI!$E$85)</f>
        <v>0</v>
      </c>
      <c r="O89" s="442">
        <f>IF(D43=0,"",(X89-V89-W89)/DATI!$E$83)</f>
        <v>1093.725462005244</v>
      </c>
      <c r="P89" s="442">
        <f>IF(D43=0,"",'FOGLIO DEPOSITO'!N258*IF(D43=0,"",M88*(C89-C88))*IF(C73='FOGLIO DEPOSITO'!N181,1+'FOGLIO DEPOSITO'!S188,IF(C73='FOGLIO DEPOSITO'!N182,1-'FOGLIO DEPOSITO'!S188,1)))</f>
        <v>0</v>
      </c>
      <c r="Q89" s="442">
        <f>IF(D43=0,"",'FOGLIO DEPOSITO'!N258*IF(D43=0,"",N88*(C89-C88))*IF(C73='FOGLIO DEPOSITO'!N181,1+'FOGLIO DEPOSITO'!S188,IF(C73='FOGLIO DEPOSITO'!N182,1-'FOGLIO DEPOSITO'!S188,1)))</f>
        <v>0</v>
      </c>
      <c r="R89" s="453">
        <f>IF(D43=0,"",DATI!$E$83)</f>
        <v>1</v>
      </c>
      <c r="S89" s="454">
        <f>IF(D43=0,"",DATI!$E$84)</f>
        <v>1</v>
      </c>
      <c r="T89" s="454">
        <f>IF(D43=0,"",DATI!$E$85)</f>
        <v>1</v>
      </c>
      <c r="U89" s="455">
        <f>IF(D43=0,"",O89*R89)</f>
        <v>1093.725462005244</v>
      </c>
      <c r="V89" s="442">
        <f>IF(D43=0,"",P89*S89)</f>
        <v>0</v>
      </c>
      <c r="W89" s="456">
        <f>IF(D43=0,"",Q89*T89)</f>
        <v>0</v>
      </c>
      <c r="X89" s="456">
        <f>IF(D43=0,"",'FOGLIO DEPOSITO'!N258*IF(D43=0,"",'FOGLIO DEPOSITO'!K228*(C89-C88)+('FOGLIO DEPOSITO'!K229-'FOGLIO DEPOSITO'!K228)*(C89-C88)/2))</f>
        <v>1093.725462005244</v>
      </c>
      <c r="Y89" s="455">
        <f>IF(D43=0,"",X89*COS(RADIANS($D$42+IF('FOGLIO DEPOSITO'!X248="SX",0,'FOGLIO DEPOSITO'!D196))))</f>
        <v>1093.7254620051833</v>
      </c>
      <c r="Z89" s="512">
        <f>IF(D43=0,"",X89*SIN(RADIANS($D$42+IF('FOGLIO DEPOSITO'!X248="SX",0,'FOGLIO DEPOSITO'!D196))))</f>
        <v>3.6457515400030059E-4</v>
      </c>
      <c r="AA89" s="318"/>
      <c r="AG89" s="18"/>
      <c r="AH89" s="318"/>
      <c r="AI89" s="318"/>
      <c r="AJ89" s="442"/>
      <c r="AK89" s="442"/>
      <c r="AL89" s="443"/>
      <c r="AM89" s="21"/>
      <c r="AN89" s="318"/>
      <c r="AO89" s="318"/>
      <c r="AP89" s="318"/>
      <c r="AQ89" s="318"/>
      <c r="AR89" s="318"/>
      <c r="AS89" s="318"/>
      <c r="AT89" s="318"/>
      <c r="AU89" s="318"/>
      <c r="AV89" s="318"/>
    </row>
    <row r="90" spans="2:48" x14ac:dyDescent="0.25">
      <c r="B90" s="591"/>
      <c r="C90" s="457">
        <f>IF(D43=0,"",D36+D43)</f>
        <v>21.602666666666668</v>
      </c>
      <c r="D90" s="458">
        <f>IF(D43=0,"",D43)</f>
        <v>10.402666666666667</v>
      </c>
      <c r="E90" s="459">
        <f>IF(D43=0,"",E107)</f>
        <v>0</v>
      </c>
      <c r="F90" s="460">
        <f>IF(D43=0,"",IF(F38='FOGLIO DEPOSITO'!H169,VLOOKUP(C73,'FOGLIO DEPOSITO'!N178:Q184,3,FALSE),IF(D52="",VLOOKUP(C73,'FOGLIO DEPOSITO'!N178:Q184,2,FALSE),IF(D52&lt;=C90*0.85,1,VLOOKUP(C73,'FOGLIO DEPOSITO'!N178:Q184,2,FALSE)))))</f>
        <v>0.41923878646175688</v>
      </c>
      <c r="G90" s="459">
        <f>IF(D43=0,"",2*D40*F90^0.5)</f>
        <v>32.374325725092596</v>
      </c>
      <c r="H90" s="461">
        <f>IF(D43=0,"",$D$39*D90+H87)</f>
        <v>420.85333333333335</v>
      </c>
      <c r="I90" s="462">
        <f>IF(D43=0,"",'FOGLIO DEPOSITO'!C247+'FOGLIO DEPOSITO'!D247)</f>
        <v>420.85333333333335</v>
      </c>
      <c r="J90" s="459">
        <f>IF(D43=0,"",$D$66)</f>
        <v>0</v>
      </c>
      <c r="K90" s="461">
        <f>IF(D43=0,"",$D$67)</f>
        <v>0</v>
      </c>
      <c r="L90" s="462">
        <f>IF(D43=0,"",'FOGLIO DEPOSITO'!G230/DATI!$E$83)</f>
        <v>150.78597633414202</v>
      </c>
      <c r="M90" s="459">
        <f>IF(D43=0,"",'FOGLIO DEPOSITO'!H230/DATI!$E$84)</f>
        <v>0</v>
      </c>
      <c r="N90" s="461">
        <f>IF(D43=0,"",'FOGLIO DEPOSITO'!I230/DATI!$E$85)</f>
        <v>0</v>
      </c>
      <c r="O90" s="463">
        <f>IF(D43=0,"",(X90-V90-W90)/DATI!$E$83)</f>
        <v>0</v>
      </c>
      <c r="P90" s="464">
        <f>IF(D43=0,"",'FOGLIO DEPOSITO'!N258*IF(D43=0,"",M89*(C90-C89))*IF(C73='FOGLIO DEPOSITO'!N181,1+'FOGLIO DEPOSITO'!S188,IF(C73='FOGLIO DEPOSITO'!N182,1-'FOGLIO DEPOSITO'!S188,1)))</f>
        <v>0</v>
      </c>
      <c r="Q90" s="464">
        <f>IF(D43=0,"",'FOGLIO DEPOSITO'!N258*IF(D43=0,"",N89*(C90-C89))*IF(C73='FOGLIO DEPOSITO'!N181,1+'FOGLIO DEPOSITO'!S188,IF(C73='FOGLIO DEPOSITO'!N182,1-'FOGLIO DEPOSITO'!S188,1)))</f>
        <v>0</v>
      </c>
      <c r="R90" s="466">
        <f>IF(D43=0,"",DATI!$E$83)</f>
        <v>1</v>
      </c>
      <c r="S90" s="467">
        <f>IF(D43=0,"",DATI!$E$84)</f>
        <v>1</v>
      </c>
      <c r="T90" s="467">
        <f>IF(D43=0,"",DATI!$E$85)</f>
        <v>1</v>
      </c>
      <c r="U90" s="463">
        <f>IF(D43=0,"",O90*R90)</f>
        <v>0</v>
      </c>
      <c r="V90" s="464">
        <f>IF(D43=0,"",P90*S90)</f>
        <v>0</v>
      </c>
      <c r="W90" s="468">
        <f>IF(D43=0,"",Q90*T90)</f>
        <v>0</v>
      </c>
      <c r="X90" s="468">
        <f>IF(D43=0,"",'FOGLIO DEPOSITO'!N258*IF(D43=0,"",'FOGLIO DEPOSITO'!K229*(C90-C89)+('FOGLIO DEPOSITO'!K230-'FOGLIO DEPOSITO'!K229)*(C90-C89)/2))</f>
        <v>0</v>
      </c>
      <c r="Y90" s="463">
        <f>IF(D43=0,"",X90*COS(RADIANS($D$42+IF('FOGLIO DEPOSITO'!X248="SX",0,'FOGLIO DEPOSITO'!D196))))</f>
        <v>0</v>
      </c>
      <c r="Z90" s="469">
        <f>IF(D43=0,"",X90*SIN(RADIANS($D$42+IF('FOGLIO DEPOSITO'!X248="SX",0,'FOGLIO DEPOSITO'!D196))))</f>
        <v>0</v>
      </c>
      <c r="AA90" s="318"/>
      <c r="AG90" s="278" t="str">
        <f>IF('FOGLIO DEPOSITO'!D247="","",IF(C73='FOGLIO DEPOSITO'!N184,((D57-D43-D36)+D43/2)*'FOGLIO DEPOSITO'!AA265,""))</f>
        <v/>
      </c>
      <c r="AH90" s="318"/>
      <c r="AI90" s="318"/>
      <c r="AJ90" s="442"/>
      <c r="AK90" s="442"/>
      <c r="AL90" s="443"/>
      <c r="AM90" s="21"/>
      <c r="AN90" s="318"/>
      <c r="AO90" s="318"/>
      <c r="AP90" s="318"/>
      <c r="AQ90" s="318"/>
      <c r="AR90" s="318"/>
      <c r="AS90" s="318"/>
      <c r="AT90" s="318"/>
      <c r="AU90" s="318"/>
      <c r="AV90" s="318"/>
    </row>
    <row r="91" spans="2:48" x14ac:dyDescent="0.25">
      <c r="B91" s="591" t="str">
        <f>IF(D50=0,"",F45)</f>
        <v>3°strato: ghiaia-sabbie</v>
      </c>
      <c r="C91" s="444">
        <f>IF(D50=0,"",C90)</f>
        <v>21.602666666666668</v>
      </c>
      <c r="D91" s="405">
        <f>IF(D50=0,"",0)</f>
        <v>0</v>
      </c>
      <c r="E91" s="445">
        <f>IF(D50=0,"",E108)</f>
        <v>0</v>
      </c>
      <c r="F91" s="237">
        <f>IF(D50=0,"",IF(F45='FOGLIO DEPOSITO'!H172,VLOOKUP(C73,'FOGLIO DEPOSITO'!N178:Q184,4,FALSE),IF(D52="",VLOOKUP(C73,'FOGLIO DEPOSITO'!N178:Q184,2,FALSE),IF(D52&lt;=C93*0.85,1,VLOOKUP(C73,'FOGLIO DEPOSITO'!N178:Q184,2,FALSE)))))</f>
        <v>0.36072719944410481</v>
      </c>
      <c r="G91" s="446">
        <f>IF(D50=0,"",2*D47*F91^0.5)</f>
        <v>0</v>
      </c>
      <c r="H91" s="447">
        <f>IF(D50=0,"",$D$46*D91+H90)</f>
        <v>420.85333333333335</v>
      </c>
      <c r="I91" s="445">
        <f>IF(D50=0,"",'FOGLIO DEPOSITO'!C248+'FOGLIO DEPOSITO'!D248)</f>
        <v>420.85333333333335</v>
      </c>
      <c r="J91" s="446">
        <f>IF(D50=0,"",$D$66)</f>
        <v>0</v>
      </c>
      <c r="K91" s="447">
        <f>IF(D50=0,"",$D$67)</f>
        <v>0</v>
      </c>
      <c r="L91" s="446">
        <f>IF(D50=0,"",'FOGLIO DEPOSITO'!G231/DATI!$E$83)</f>
        <v>158.8971120213927</v>
      </c>
      <c r="M91" s="446">
        <f>IF(D50=0,"",'FOGLIO DEPOSITO'!H231/DATI!$E$84)</f>
        <v>0</v>
      </c>
      <c r="N91" s="447">
        <f>IF(D50=0,"",'FOGLIO DEPOSITO'!I231/DATI!$E$85)</f>
        <v>0</v>
      </c>
      <c r="O91" s="442">
        <f>IF(D50=0,"",(X91-V91-W91)/DATI!$E$83)</f>
        <v>0</v>
      </c>
      <c r="P91" s="442">
        <f>IF(D50=0,"",'FOGLIO DEPOSITO'!N258*IF(D50=0,"",M90*(C91-C90))*IF(C73='FOGLIO DEPOSITO'!N181,1+'FOGLIO DEPOSITO'!S188,IF(C73='FOGLIO DEPOSITO'!N182,1-'FOGLIO DEPOSITO'!S188,1)))</f>
        <v>0</v>
      </c>
      <c r="Q91" s="442">
        <f>IF(D50=0,"",'FOGLIO DEPOSITO'!N258*IF(D50=0,"",N90*(C91-C90))*IF(C73='FOGLIO DEPOSITO'!N181,1+'FOGLIO DEPOSITO'!S188,IF(C73='FOGLIO DEPOSITO'!N182,1-'FOGLIO DEPOSITO'!S188,1)))</f>
        <v>0</v>
      </c>
      <c r="R91" s="453">
        <f>IF(D50=0,"",DATI!$E$83)</f>
        <v>1</v>
      </c>
      <c r="S91" s="454">
        <f>IF(D50=0,"",DATI!$E$84)</f>
        <v>1</v>
      </c>
      <c r="T91" s="454">
        <f>IF(D50=0,"",DATI!$E$85)</f>
        <v>1</v>
      </c>
      <c r="U91" s="455">
        <f>IF(D50=0,"",O91*R91)</f>
        <v>0</v>
      </c>
      <c r="V91" s="442">
        <f>IF(D50=0,"",P91*S91)</f>
        <v>0</v>
      </c>
      <c r="W91" s="456">
        <f>IF(D50=0,"",Q91*T91)</f>
        <v>0</v>
      </c>
      <c r="X91" s="456">
        <f>IF(D50=0,"",'FOGLIO DEPOSITO'!N258*IF(D50=0,"",'FOGLIO DEPOSITO'!K230*(C91-C90)+('FOGLIO DEPOSITO'!K231-'FOGLIO DEPOSITO'!K230)*(C91-C90)/2))</f>
        <v>0</v>
      </c>
      <c r="Y91" s="455">
        <f>IF(D50=0,"",X91*COS(RADIANS($D$49+IF('FOGLIO DEPOSITO'!X248="SX",0,'FOGLIO DEPOSITO'!D196))))</f>
        <v>0</v>
      </c>
      <c r="Z91" s="512">
        <f>IF(D50=0,"",X91*SIN(RADIANS($D$49+IF('FOGLIO DEPOSITO'!X248="SX",0,'FOGLIO DEPOSITO'!D196))))</f>
        <v>0</v>
      </c>
      <c r="AA91" s="318"/>
      <c r="AG91" s="18"/>
      <c r="AH91" s="318"/>
      <c r="AI91" s="318"/>
      <c r="AJ91" s="442"/>
      <c r="AK91" s="442"/>
      <c r="AL91" s="443"/>
      <c r="AM91" s="21"/>
      <c r="AN91" s="318"/>
      <c r="AO91" s="318"/>
      <c r="AP91" s="318"/>
      <c r="AQ91" s="318"/>
      <c r="AR91" s="318"/>
      <c r="AS91" s="318"/>
      <c r="AT91" s="318"/>
      <c r="AU91" s="318"/>
      <c r="AV91" s="318"/>
    </row>
    <row r="92" spans="2:48" x14ac:dyDescent="0.25">
      <c r="B92" s="591"/>
      <c r="C92" s="444">
        <f>IF(D50=0,"",IF('FOGLIO DEPOSITO'!C226&lt;C93,IF('FOGLIO DEPOSITO'!C226&gt;=C91,'FOGLIO DEPOSITO'!C226,C93),C93))</f>
        <v>30</v>
      </c>
      <c r="D92" s="405">
        <f>IF(D50=0,"",C92-C91)</f>
        <v>8.3973333333333322</v>
      </c>
      <c r="E92" s="445">
        <f>IF(D50=0,"",E109)</f>
        <v>0</v>
      </c>
      <c r="F92" s="237">
        <f>IF(D50=0,"",IF(F45='FOGLIO DEPOSITO'!H172,VLOOKUP(C73,'FOGLIO DEPOSITO'!N178:Q184,4,FALSE),IF(D52="",VLOOKUP(C73,'FOGLIO DEPOSITO'!N178:Q184,2,FALSE),IF(D52&lt;=C93*0.85,1,VLOOKUP(C73,'FOGLIO DEPOSITO'!N178:Q184,2,FALSE)))))</f>
        <v>0.36072719944410481</v>
      </c>
      <c r="G92" s="446">
        <f>IF(D50=0,"",2*D47*F91^0.5)</f>
        <v>0</v>
      </c>
      <c r="H92" s="447">
        <f>IF(D50=0,"",$D$46*D92+H90)</f>
        <v>588.79999999999995</v>
      </c>
      <c r="I92" s="445">
        <f>IF(D50=0,"",'FOGLIO DEPOSITO'!C249+'FOGLIO DEPOSITO'!D249)</f>
        <v>588.79999999999995</v>
      </c>
      <c r="J92" s="446">
        <f>IF(D50=0,"",$D$66)</f>
        <v>0</v>
      </c>
      <c r="K92" s="447">
        <f>IF(D50=0,"",$D$67)</f>
        <v>0</v>
      </c>
      <c r="L92" s="446">
        <f>IF(D50=0,"",'FOGLIO DEPOSITO'!G232/DATI!$E$83)</f>
        <v>222.30694673883855</v>
      </c>
      <c r="M92" s="446">
        <f>IF(D50=0,"",'FOGLIO DEPOSITO'!H232/DATI!$E$84)</f>
        <v>0</v>
      </c>
      <c r="N92" s="447">
        <f>IF(D50=0,"",'FOGLIO DEPOSITO'!I232/DATI!$E$85)</f>
        <v>0</v>
      </c>
      <c r="O92" s="442">
        <f>IF(D50=0,"",(X92-V92-W92)/DATI!$E$83)</f>
        <v>1600.548774714624</v>
      </c>
      <c r="P92" s="442">
        <f>IF(D50=0,"",'FOGLIO DEPOSITO'!N258*IF(D50=0,"",M91*(C92-C91))*IF(C73='FOGLIO DEPOSITO'!N181,1+'FOGLIO DEPOSITO'!S188,IF(C73='FOGLIO DEPOSITO'!N182,1-'FOGLIO DEPOSITO'!S188,1)))</f>
        <v>0</v>
      </c>
      <c r="Q92" s="442">
        <f>IF(D50=0,"",'FOGLIO DEPOSITO'!N258*IF(D50=0,"",N91*(C92-C91))*IF(C73='FOGLIO DEPOSITO'!N181,1+'FOGLIO DEPOSITO'!S188,IF(C73='FOGLIO DEPOSITO'!N182,1-'FOGLIO DEPOSITO'!S188,1)))</f>
        <v>0</v>
      </c>
      <c r="R92" s="453">
        <f>IF(D50=0,"",DATI!$E$83)</f>
        <v>1</v>
      </c>
      <c r="S92" s="454">
        <f>IF(D50=0,"",DATI!$E$84)</f>
        <v>1</v>
      </c>
      <c r="T92" s="454">
        <f>IF(D50=0,"",DATI!$E$85)</f>
        <v>1</v>
      </c>
      <c r="U92" s="455">
        <f>IF(D50=0,"",O92*R92)</f>
        <v>1600.548774714624</v>
      </c>
      <c r="V92" s="442">
        <f>IF(D50=0,"",P92*S92)</f>
        <v>0</v>
      </c>
      <c r="W92" s="456">
        <f>IF(D50=0,"",Q92*T92)</f>
        <v>0</v>
      </c>
      <c r="X92" s="456">
        <f>IF(D50=0,"",'FOGLIO DEPOSITO'!N258*IF(D50=0,"",'FOGLIO DEPOSITO'!K231*(C92-C91)+('FOGLIO DEPOSITO'!K232-'FOGLIO DEPOSITO'!K231)*(C92-C91)/2))</f>
        <v>1600.548774714624</v>
      </c>
      <c r="Y92" s="455">
        <f>IF(D50=0,"",X92*COS(RADIANS($D$49+IF('FOGLIO DEPOSITO'!X248="SX",0,'FOGLIO DEPOSITO'!D196))))</f>
        <v>1600.5487747145351</v>
      </c>
      <c r="Z92" s="512">
        <f>IF(D50=0,"",X92*SIN(RADIANS($D$49+IF('FOGLIO DEPOSITO'!X248="SX",0,'FOGLIO DEPOSITO'!D196))))</f>
        <v>5.3351625823608989E-4</v>
      </c>
      <c r="AA92" s="318"/>
      <c r="AG92" s="18"/>
      <c r="AH92" s="318"/>
      <c r="AI92" s="318"/>
      <c r="AJ92" s="442"/>
      <c r="AK92" s="442"/>
      <c r="AL92" s="443"/>
      <c r="AM92" s="21"/>
      <c r="AN92" s="318"/>
      <c r="AO92" s="318"/>
      <c r="AP92" s="318"/>
      <c r="AQ92" s="318"/>
      <c r="AR92" s="318"/>
      <c r="AS92" s="318"/>
      <c r="AT92" s="318"/>
      <c r="AU92" s="318"/>
      <c r="AV92" s="318"/>
    </row>
    <row r="93" spans="2:48" x14ac:dyDescent="0.25">
      <c r="B93" s="591"/>
      <c r="C93" s="457">
        <f>IF(D50=0,"",C91+D50)</f>
        <v>30</v>
      </c>
      <c r="D93" s="458">
        <f>IF(D50=0,"",D50)</f>
        <v>8.3973333333333304</v>
      </c>
      <c r="E93" s="459">
        <f>IF(D50=0,"",E110)</f>
        <v>0</v>
      </c>
      <c r="F93" s="460">
        <f>IF(D50=0,"",IF(F45='FOGLIO DEPOSITO'!H172,VLOOKUP(C73,'FOGLIO DEPOSITO'!N178:Q184,4,FALSE),IF(D52="",VLOOKUP(C73,'FOGLIO DEPOSITO'!N178:Q184,2,FALSE),IF(D52&lt;=C93*0.85,1,VLOOKUP(C73,'FOGLIO DEPOSITO'!N178:Q184,2,FALSE)))))</f>
        <v>0.36072719944410481</v>
      </c>
      <c r="G93" s="459">
        <f>IF(D50=0,"",2*D47*F93^0.5)</f>
        <v>0</v>
      </c>
      <c r="H93" s="461">
        <f>IF(D50=0,"",$D$46*D93+H90)</f>
        <v>588.79999999999995</v>
      </c>
      <c r="I93" s="462">
        <f>IF(D50=0,"",'FOGLIO DEPOSITO'!C250+'FOGLIO DEPOSITO'!D250)</f>
        <v>588.79999999999995</v>
      </c>
      <c r="J93" s="459">
        <f>IF(D50=0,"",$D$66)</f>
        <v>0</v>
      </c>
      <c r="K93" s="461">
        <f>IF(D50=0,"",$D$67)</f>
        <v>0</v>
      </c>
      <c r="L93" s="462">
        <f>IF(D50=0,"",'FOGLIO DEPOSITO'!G233/DATI!$E$83)</f>
        <v>222.30694673883855</v>
      </c>
      <c r="M93" s="459">
        <f>IF(D50=0,"",'FOGLIO DEPOSITO'!H233/DATI!$E$84)</f>
        <v>0</v>
      </c>
      <c r="N93" s="461">
        <f>IF(D50=0,"",'FOGLIO DEPOSITO'!I233/DATI!$E$85)</f>
        <v>0</v>
      </c>
      <c r="O93" s="463">
        <f>IF(D50=0,"",(X93-V93-W93)/DATI!$E$83)</f>
        <v>0</v>
      </c>
      <c r="P93" s="464">
        <f>IF(D50=0,"",'FOGLIO DEPOSITO'!N258*IF(D50=0,"",M92*(C93-C92))*IF(C73='FOGLIO DEPOSITO'!N181,1+'FOGLIO DEPOSITO'!S188,IF(C73='FOGLIO DEPOSITO'!N182,1-'FOGLIO DEPOSITO'!S188,1)))</f>
        <v>0</v>
      </c>
      <c r="Q93" s="464">
        <f>IF(D50=0,"",'FOGLIO DEPOSITO'!N258*IF(D50=0,"",N92*(C93-C92))*IF(C73='FOGLIO DEPOSITO'!N181,1+'FOGLIO DEPOSITO'!S188,IF(C73='FOGLIO DEPOSITO'!N182,1-'FOGLIO DEPOSITO'!S188,1)))</f>
        <v>0</v>
      </c>
      <c r="R93" s="466">
        <f>IF(D50=0,"",DATI!$E$83)</f>
        <v>1</v>
      </c>
      <c r="S93" s="467">
        <f>IF(D50=0,"",DATI!$E$84)</f>
        <v>1</v>
      </c>
      <c r="T93" s="467">
        <f>IF(D50=0,"",DATI!$E$85)</f>
        <v>1</v>
      </c>
      <c r="U93" s="463">
        <f>IF(D50=0,"",O93*R93)</f>
        <v>0</v>
      </c>
      <c r="V93" s="464">
        <f>IF(D50=0,"",P93*S93)</f>
        <v>0</v>
      </c>
      <c r="W93" s="468">
        <f>IF(D50=0,"",Q93*T93)</f>
        <v>0</v>
      </c>
      <c r="X93" s="468">
        <f>IF(D50=0,"",'FOGLIO DEPOSITO'!N258*IF(D50=0,"",'FOGLIO DEPOSITO'!K232*(C93-C92)+('FOGLIO DEPOSITO'!K233-'FOGLIO DEPOSITO'!K232)*(C93-C92)/2))</f>
        <v>0</v>
      </c>
      <c r="Y93" s="463">
        <f>IF(D50=0,"",X93*COS(RADIANS($D$49+IF('FOGLIO DEPOSITO'!X248="SX",0,'FOGLIO DEPOSITO'!D196))))</f>
        <v>0</v>
      </c>
      <c r="Z93" s="469">
        <f>IF(D50=0,"",X93*SIN(RADIANS($D$49+IF('FOGLIO DEPOSITO'!X248="SX",0,'FOGLIO DEPOSITO'!D196))))</f>
        <v>0</v>
      </c>
      <c r="AA93" s="318"/>
      <c r="AG93" s="278" t="str">
        <f>IF('FOGLIO DEPOSITO'!D250="","",IF(C73='FOGLIO DEPOSITO'!N184,D50/2*'FOGLIO DEPOSITO'!AA268,""))</f>
        <v/>
      </c>
      <c r="AH93" s="470"/>
      <c r="AI93" s="470"/>
      <c r="AJ93" s="435"/>
      <c r="AK93" s="435"/>
      <c r="AL93" s="21"/>
      <c r="AM93" s="21"/>
      <c r="AN93" s="318"/>
      <c r="AO93" s="318"/>
      <c r="AP93" s="318"/>
      <c r="AQ93" s="318"/>
      <c r="AR93" s="318"/>
      <c r="AS93" s="318"/>
      <c r="AT93" s="318"/>
      <c r="AU93" s="318"/>
      <c r="AV93" s="318"/>
    </row>
    <row r="94" spans="2:48" x14ac:dyDescent="0.25">
      <c r="B94" s="471"/>
      <c r="C94" s="423"/>
      <c r="D94" s="472"/>
      <c r="E94" s="446"/>
      <c r="F94" s="237"/>
      <c r="G94" s="446"/>
      <c r="H94" s="446"/>
      <c r="I94" s="446"/>
      <c r="J94" s="446"/>
      <c r="K94" s="446"/>
      <c r="L94" s="446"/>
      <c r="M94" s="446"/>
      <c r="N94" s="446"/>
      <c r="O94" s="435">
        <f>SUM(O85:O93)</f>
        <v>3217.1848400366734</v>
      </c>
      <c r="P94" s="435">
        <f>SUM(P85:P93)</f>
        <v>0</v>
      </c>
      <c r="Q94" s="435">
        <f>SUM(Q85:Q93)</f>
        <v>0</v>
      </c>
      <c r="R94" s="474"/>
      <c r="S94" s="474"/>
      <c r="T94" s="474"/>
      <c r="U94" s="474"/>
      <c r="V94" s="475"/>
      <c r="W94" s="474"/>
      <c r="X94" s="435">
        <f>SUM(X85:X93)</f>
        <v>3217.1848400366734</v>
      </c>
      <c r="Y94" s="435">
        <f>SUM(Y85:Y93)</f>
        <v>3217.1848400364952</v>
      </c>
      <c r="Z94" s="435">
        <f>SUM(Z85:Z93)</f>
        <v>1.0723949466746336E-3</v>
      </c>
      <c r="AA94" s="435">
        <f>IF('ANALISI DELLE SPINTE'!C73='FOGLIO DEPOSITO'!N184,'ANALISI DELLE SPINTE'!K73,IF('ANALISI DELLE SPINTE'!C73='FOGLIO DEPOSITO'!N181,'ANALISI DELLE SPINTE'!K73,IF('ANALISI DELLE SPINTE'!C73='FOGLIO DEPOSITO'!N182,'ANALISI DELLE SPINTE'!K73,"")))</f>
        <v>0</v>
      </c>
      <c r="AG94" s="476" t="str">
        <f>IF(C73='FOGLIO DEPOSITO'!N184,SUM(AG87:AG93),"")</f>
        <v/>
      </c>
      <c r="AH94" s="318"/>
      <c r="AI94" s="318"/>
      <c r="AJ94" s="21"/>
      <c r="AK94" s="21"/>
      <c r="AL94" s="21"/>
      <c r="AM94" s="21"/>
      <c r="AN94" s="318"/>
      <c r="AO94" s="318"/>
      <c r="AP94" s="318"/>
      <c r="AQ94" s="318"/>
      <c r="AR94" s="318"/>
      <c r="AS94" s="318"/>
      <c r="AT94" s="318"/>
      <c r="AU94" s="318"/>
      <c r="AV94" s="318"/>
    </row>
    <row r="95" spans="2:48" ht="15.75" thickBot="1" x14ac:dyDescent="0.3">
      <c r="B95" s="599" t="s">
        <v>444</v>
      </c>
      <c r="C95" s="599"/>
      <c r="D95" s="439"/>
      <c r="E95" s="446"/>
      <c r="F95" s="237"/>
      <c r="G95" s="446"/>
      <c r="H95" s="446"/>
      <c r="I95" s="446"/>
      <c r="J95" s="446"/>
      <c r="K95" s="446"/>
      <c r="L95" s="446"/>
      <c r="M95" s="446"/>
      <c r="N95" s="446"/>
      <c r="O95" s="474"/>
      <c r="P95" s="474"/>
      <c r="Q95" s="474"/>
      <c r="R95" s="474"/>
      <c r="S95" s="474"/>
      <c r="T95" s="474"/>
      <c r="U95" s="474"/>
      <c r="V95" s="474"/>
      <c r="W95" s="474"/>
      <c r="X95" s="318"/>
      <c r="Y95" s="318"/>
      <c r="Z95" s="318"/>
      <c r="AA95" s="318"/>
      <c r="AG95" s="318"/>
      <c r="AH95" s="318"/>
      <c r="AI95" s="318"/>
      <c r="AJ95" s="278"/>
      <c r="AK95" s="21"/>
      <c r="AL95" s="21"/>
      <c r="AM95" s="21"/>
      <c r="AN95" s="318"/>
      <c r="AO95" s="318"/>
      <c r="AP95" s="318"/>
      <c r="AQ95" s="318"/>
      <c r="AR95" s="318"/>
      <c r="AS95" s="318"/>
      <c r="AT95" s="318"/>
      <c r="AU95" s="318"/>
      <c r="AV95" s="318"/>
    </row>
    <row r="96" spans="2:48" ht="14.25" customHeight="1" thickBot="1" x14ac:dyDescent="0.3">
      <c r="B96" s="391" t="s">
        <v>457</v>
      </c>
      <c r="C96" s="477">
        <f>SUM('FOGLIO DEPOSITO'!AM163:AM171)</f>
        <v>0</v>
      </c>
      <c r="D96" s="405"/>
      <c r="E96" s="446"/>
      <c r="F96" s="237"/>
      <c r="G96" s="446"/>
      <c r="H96" s="446"/>
      <c r="I96" s="446"/>
      <c r="J96" s="446"/>
      <c r="K96" s="446"/>
      <c r="L96" s="446"/>
      <c r="M96" s="446"/>
      <c r="N96" s="446"/>
      <c r="O96" s="474"/>
      <c r="P96" s="474"/>
      <c r="Q96" s="318"/>
      <c r="R96" s="474"/>
      <c r="S96" s="474"/>
      <c r="T96" s="474"/>
      <c r="U96" s="610" t="str">
        <f>IF(C73='FOGLIO DEPOSITO'!N184,"  Sono state aggiunte la spinta dinamica dell'acqua e i ΔP,i di Wood sono considerati in Sh,x →
",IF(C73='FOGLIO DEPOSITO'!N181,"  Sono state aggiunte la spinta dinamica dell'acqua →
",IF('ANALISI DELLE SPINTE'!C73='FOGLIO DEPOSITO'!N182,"Sono state aggiunte la spinta dinamica dell'acqua →","")))</f>
        <v xml:space="preserve">  Sono state aggiunte la spinta dinamica dell'acqua →
</v>
      </c>
      <c r="V96" s="610"/>
      <c r="W96" s="610"/>
      <c r="X96" s="610"/>
      <c r="Y96" s="611"/>
      <c r="Z96" s="478" t="s">
        <v>477</v>
      </c>
      <c r="AA96" s="435"/>
      <c r="AG96" s="318"/>
      <c r="AH96" s="318"/>
      <c r="AI96" s="318"/>
      <c r="AJ96" s="278"/>
      <c r="AK96" s="318"/>
      <c r="AL96" s="318"/>
      <c r="AM96" s="318"/>
      <c r="AN96" s="318"/>
      <c r="AO96" s="318"/>
      <c r="AP96" s="318"/>
      <c r="AQ96" s="318"/>
      <c r="AR96" s="318"/>
      <c r="AS96" s="318"/>
      <c r="AT96" s="318"/>
      <c r="AU96" s="318"/>
      <c r="AV96" s="318"/>
    </row>
    <row r="97" spans="2:48" x14ac:dyDescent="0.25">
      <c r="B97" s="391" t="s">
        <v>458</v>
      </c>
      <c r="C97" s="480">
        <f>C96*D59</f>
        <v>0</v>
      </c>
      <c r="D97" s="405"/>
      <c r="E97" s="446"/>
      <c r="F97" s="237"/>
      <c r="G97" s="446"/>
      <c r="H97" s="446"/>
      <c r="I97" s="446"/>
      <c r="J97" s="446"/>
      <c r="K97" s="446"/>
      <c r="L97" s="446"/>
      <c r="M97" s="446"/>
      <c r="N97" s="446"/>
      <c r="O97" s="318"/>
      <c r="P97" s="318"/>
      <c r="R97" s="318"/>
      <c r="S97" s="318"/>
      <c r="T97" s="318"/>
      <c r="U97" s="610"/>
      <c r="V97" s="610"/>
      <c r="W97" s="610"/>
      <c r="X97" s="610"/>
      <c r="Y97" s="611"/>
      <c r="Z97" s="479">
        <f>SUM(Y85:Y93)+IF('FOGLIO DEPOSITO'!D306="",0,IF('ANALISI DELLE SPINTE'!AA94="",0,'ANALISI DELLE SPINTE'!AA94))+IF('FOGLIO DEPOSITO'!D306="",0,'FOGLIO DEPOSITO'!C306*DATI!E83)</f>
        <v>3217.1848400364952</v>
      </c>
      <c r="AA97" s="435"/>
      <c r="AG97" s="318"/>
      <c r="AH97" s="318"/>
      <c r="AI97" s="318"/>
      <c r="AJ97" s="278"/>
      <c r="AK97" s="318"/>
      <c r="AL97" s="318"/>
      <c r="AM97" s="318"/>
      <c r="AN97" s="318"/>
      <c r="AO97" s="318"/>
      <c r="AP97" s="318"/>
      <c r="AQ97" s="318"/>
      <c r="AR97" s="318"/>
      <c r="AS97" s="318"/>
      <c r="AT97" s="318"/>
      <c r="AU97" s="318"/>
      <c r="AV97" s="318"/>
    </row>
    <row r="98" spans="2:48" s="317" customFormat="1" ht="15.75" x14ac:dyDescent="0.25">
      <c r="B98" s="412"/>
      <c r="C98" s="474"/>
      <c r="D98" s="405"/>
      <c r="E98" s="446"/>
      <c r="F98" s="237"/>
      <c r="G98" s="446"/>
      <c r="H98" s="446"/>
      <c r="I98" s="446"/>
      <c r="J98" s="446"/>
      <c r="K98" s="446"/>
      <c r="L98" s="446"/>
      <c r="M98" s="446"/>
      <c r="N98" s="446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228"/>
      <c r="AA98" s="435"/>
      <c r="AG98" s="318"/>
      <c r="AH98" s="318"/>
      <c r="AI98" s="318"/>
      <c r="AJ98" s="278"/>
      <c r="AK98" s="318"/>
      <c r="AL98" s="318"/>
      <c r="AM98" s="318"/>
      <c r="AN98" s="318"/>
      <c r="AO98" s="318"/>
      <c r="AP98" s="318"/>
      <c r="AQ98" s="318"/>
      <c r="AR98" s="318"/>
      <c r="AS98" s="318"/>
      <c r="AT98" s="318"/>
      <c r="AU98" s="318"/>
      <c r="AV98" s="318"/>
    </row>
    <row r="99" spans="2:48" x14ac:dyDescent="0.25">
      <c r="B99" s="3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G99" s="318"/>
      <c r="AH99" s="318"/>
      <c r="AI99" s="318"/>
      <c r="AJ99" s="21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</row>
    <row r="100" spans="2:48" x14ac:dyDescent="0.25">
      <c r="B100" s="318"/>
      <c r="C100" s="395"/>
      <c r="D100" s="395"/>
      <c r="E100" s="395"/>
      <c r="F100" s="395"/>
      <c r="G100" s="395"/>
      <c r="H100" s="395"/>
      <c r="I100" s="599" t="s">
        <v>563</v>
      </c>
      <c r="J100" s="599"/>
      <c r="K100" s="599"/>
      <c r="L100" s="606" t="s">
        <v>558</v>
      </c>
      <c r="M100" s="606"/>
      <c r="N100" s="606"/>
      <c r="O100" s="600" t="s">
        <v>595</v>
      </c>
      <c r="P100" s="601"/>
      <c r="Q100" s="601"/>
      <c r="R100" s="606" t="s">
        <v>520</v>
      </c>
      <c r="S100" s="606"/>
      <c r="T100" s="606"/>
      <c r="U100" s="606" t="s">
        <v>521</v>
      </c>
      <c r="V100" s="606"/>
      <c r="W100" s="606"/>
      <c r="X100" s="606" t="s">
        <v>596</v>
      </c>
      <c r="Y100" s="606"/>
      <c r="Z100" s="606"/>
      <c r="AA100" s="439"/>
      <c r="AG100" s="318"/>
      <c r="AH100" s="318"/>
      <c r="AI100" s="318"/>
      <c r="AJ100" s="439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</row>
    <row r="101" spans="2:48" ht="18.75" x14ac:dyDescent="0.25">
      <c r="B101" s="170" t="s">
        <v>18</v>
      </c>
      <c r="C101" s="386" t="s">
        <v>10</v>
      </c>
      <c r="D101" s="440" t="s">
        <v>445</v>
      </c>
      <c r="E101" s="441" t="s">
        <v>446</v>
      </c>
      <c r="F101" s="440" t="str">
        <f>IF(C73='FOGLIO DEPOSITO'!N183,"K0",IF(C73='FOGLIO DEPOSITO'!N184,"K0","Ka"))</f>
        <v>Ka</v>
      </c>
      <c r="G101" s="441" t="s">
        <v>459</v>
      </c>
      <c r="H101" s="441" t="s">
        <v>447</v>
      </c>
      <c r="I101" s="120" t="s">
        <v>562</v>
      </c>
      <c r="J101" s="175" t="s">
        <v>449</v>
      </c>
      <c r="K101" s="176" t="s">
        <v>450</v>
      </c>
      <c r="L101" s="183" t="s">
        <v>510</v>
      </c>
      <c r="M101" s="183" t="s">
        <v>511</v>
      </c>
      <c r="N101" s="184" t="s">
        <v>512</v>
      </c>
      <c r="O101" s="351" t="s">
        <v>504</v>
      </c>
      <c r="P101" s="183" t="s">
        <v>505</v>
      </c>
      <c r="Q101" s="183" t="s">
        <v>506</v>
      </c>
      <c r="R101" s="351" t="s">
        <v>507</v>
      </c>
      <c r="S101" s="183" t="s">
        <v>508</v>
      </c>
      <c r="T101" s="184" t="s">
        <v>509</v>
      </c>
      <c r="U101" s="183" t="s">
        <v>513</v>
      </c>
      <c r="V101" s="183" t="s">
        <v>514</v>
      </c>
      <c r="W101" s="184" t="s">
        <v>515</v>
      </c>
      <c r="X101" s="184" t="s">
        <v>516</v>
      </c>
      <c r="Y101" s="224" t="s">
        <v>517</v>
      </c>
      <c r="Z101" s="224" t="s">
        <v>518</v>
      </c>
      <c r="AA101" s="228" t="str">
        <f>IF('ANALISI DELLE SPINTE'!C73='FOGLIO DEPOSITO'!N184," Ewd",IF('ANALISI DELLE SPINTE'!C73='FOGLIO DEPOSITO'!N181," Ewd",IF('ANALISI DELLE SPINTE'!C73='FOGLIO DEPOSITO'!N182,"Ewd","")))</f>
        <v xml:space="preserve"> Ewd</v>
      </c>
      <c r="AG101" s="228" t="str">
        <f>IF(C73='FOGLIO DEPOSITO'!N184," Mw","")</f>
        <v/>
      </c>
      <c r="AH101" s="318"/>
      <c r="AI101" s="318"/>
      <c r="AJ101" s="228"/>
      <c r="AK101" s="318"/>
      <c r="AL101" s="318"/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</row>
    <row r="102" spans="2:48" x14ac:dyDescent="0.25">
      <c r="B102" s="591" t="str">
        <f>B85</f>
        <v>1°strato: ghiaia-sabbie</v>
      </c>
      <c r="C102" s="444">
        <f>C85</f>
        <v>0</v>
      </c>
      <c r="D102" s="405">
        <f>D85</f>
        <v>0</v>
      </c>
      <c r="E102" s="446">
        <f>IF(D59*(C102-'FOGLIO DEPOSITO'!$C$226)&lt;0,0,$D$59*(C102-'FOGLIO DEPOSITO'!$C$226))</f>
        <v>0</v>
      </c>
      <c r="F102" s="237">
        <f>VLOOKUP(C73,'FOGLIO DEPOSITO'!N178:Q184,2,FALSE)</f>
        <v>0.41923878646175688</v>
      </c>
      <c r="G102" s="446">
        <f>2*D34*F102^0.5</f>
        <v>0</v>
      </c>
      <c r="H102" s="445">
        <f t="shared" ref="H102:H110" si="1">H85</f>
        <v>0</v>
      </c>
      <c r="I102" s="483">
        <f>'ANALISI DELLE SPINTE'!H102-'ANALISI DELLE SPINTE'!E102</f>
        <v>0</v>
      </c>
      <c r="J102" s="446">
        <f>$D$66</f>
        <v>0</v>
      </c>
      <c r="K102" s="447">
        <f>$D$67</f>
        <v>0</v>
      </c>
      <c r="L102" s="446">
        <f>'FOGLIO DEPOSITO'!G242/DATI!$E$83</f>
        <v>0</v>
      </c>
      <c r="M102" s="446">
        <f>'FOGLIO DEPOSITO'!H242/DATI!$E$84</f>
        <v>0</v>
      </c>
      <c r="N102" s="484">
        <f>'FOGLIO DEPOSITO'!I242/DATI!$E$85</f>
        <v>0</v>
      </c>
      <c r="O102" s="448"/>
      <c r="P102" s="448"/>
      <c r="Q102" s="448"/>
      <c r="R102" s="450"/>
      <c r="S102" s="448"/>
      <c r="T102" s="451"/>
      <c r="U102" s="448"/>
      <c r="V102" s="448"/>
      <c r="W102" s="451"/>
      <c r="X102" s="39"/>
      <c r="Y102" s="39"/>
      <c r="Z102" s="39"/>
      <c r="AA102" s="21"/>
      <c r="AG102" s="318"/>
      <c r="AH102" s="318"/>
      <c r="AI102" s="318"/>
      <c r="AJ102" s="21"/>
      <c r="AK102" s="318"/>
      <c r="AL102" s="318"/>
      <c r="AM102" s="318"/>
      <c r="AN102" s="318"/>
      <c r="AO102" s="318"/>
      <c r="AP102" s="318"/>
      <c r="AQ102" s="318"/>
      <c r="AR102" s="318"/>
      <c r="AS102" s="318"/>
      <c r="AT102" s="318"/>
      <c r="AU102" s="318"/>
      <c r="AV102" s="318"/>
    </row>
    <row r="103" spans="2:48" x14ac:dyDescent="0.25">
      <c r="B103" s="591"/>
      <c r="C103" s="444">
        <f t="shared" ref="C103:D110" si="2">C86</f>
        <v>11.200000000000001</v>
      </c>
      <c r="D103" s="405">
        <f t="shared" si="2"/>
        <v>11.200000000000001</v>
      </c>
      <c r="E103" s="446">
        <f>IF(D59*(C103-'FOGLIO DEPOSITO'!$C$226)&lt;0,0,$D$59*(C103-'FOGLIO DEPOSITO'!$C$226))</f>
        <v>0</v>
      </c>
      <c r="F103" s="237">
        <f>VLOOKUP(C73,'FOGLIO DEPOSITO'!N178:Q184,2,FALSE)</f>
        <v>0.41923878646175688</v>
      </c>
      <c r="G103" s="446">
        <f>2*D34*F102^0.5</f>
        <v>0</v>
      </c>
      <c r="H103" s="445">
        <f t="shared" si="1"/>
        <v>212.8</v>
      </c>
      <c r="I103" s="483">
        <f>'ANALISI DELLE SPINTE'!H103-'ANALISI DELLE SPINTE'!E103</f>
        <v>212.8</v>
      </c>
      <c r="J103" s="446">
        <f>$D$66</f>
        <v>0</v>
      </c>
      <c r="K103" s="447">
        <f>$D$67</f>
        <v>0</v>
      </c>
      <c r="L103" s="446">
        <f>'FOGLIO DEPOSITO'!G243/DATI!$E$83</f>
        <v>93.376893449429545</v>
      </c>
      <c r="M103" s="446">
        <f>'FOGLIO DEPOSITO'!H243/DATI!$E$84</f>
        <v>0</v>
      </c>
      <c r="N103" s="447">
        <f>'FOGLIO DEPOSITO'!I243/DATI!$E$85</f>
        <v>0</v>
      </c>
      <c r="O103" s="442">
        <f>(X103-V103-W103)/DATI!$E$83</f>
        <v>522.91060331680546</v>
      </c>
      <c r="P103" s="442">
        <f>'FOGLIO DEPOSITO'!N258*((M102*C103)*IF(C73='FOGLIO DEPOSITO'!N181,1+'FOGLIO DEPOSITO'!S188,IF(C73='FOGLIO DEPOSITO'!N182,1-'FOGLIO DEPOSITO'!S188,1)))</f>
        <v>0</v>
      </c>
      <c r="Q103" s="442">
        <f>'FOGLIO DEPOSITO'!N258*((N102*C103)*IF(C73='FOGLIO DEPOSITO'!N181,1+'FOGLIO DEPOSITO'!S188,IF(C73='FOGLIO DEPOSITO'!N182,1-'FOGLIO DEPOSITO'!S188,1)))</f>
        <v>0</v>
      </c>
      <c r="R103" s="453">
        <f>DATI!$E$83</f>
        <v>1</v>
      </c>
      <c r="S103" s="454">
        <f>DATI!$E$84</f>
        <v>1</v>
      </c>
      <c r="T103" s="454">
        <f>DATI!$E$85</f>
        <v>1</v>
      </c>
      <c r="U103" s="455">
        <f t="shared" ref="U103:W104" si="3">O103*R103</f>
        <v>522.91060331680546</v>
      </c>
      <c r="V103" s="442">
        <f t="shared" si="3"/>
        <v>0</v>
      </c>
      <c r="W103" s="456">
        <f t="shared" si="3"/>
        <v>0</v>
      </c>
      <c r="X103" s="456">
        <f>'FOGLIO DEPOSITO'!N258*(('FOGLIO DEPOSITO'!K242*C103+C103*('FOGLIO DEPOSITO'!K243-'FOGLIO DEPOSITO'!K242)/2))</f>
        <v>522.91060331680546</v>
      </c>
      <c r="Y103" s="456">
        <f>X103*COS(RADIANS($D$35+IF('FOGLIO DEPOSITO'!X248="SX",0,'FOGLIO DEPOSITO'!D196)))</f>
        <v>522.91060331677647</v>
      </c>
      <c r="Z103" s="456">
        <f>X103*SIN(RADIANS($D$35+IF('FOGLIO DEPOSITO'!X248="SX",0,'FOGLIO DEPOSITO'!D196)))</f>
        <v>1.7430353443824315E-4</v>
      </c>
      <c r="AA103" s="278"/>
      <c r="AG103" s="21"/>
      <c r="AH103" s="318"/>
      <c r="AI103" s="278"/>
      <c r="AJ103" s="278"/>
      <c r="AK103" s="318"/>
      <c r="AL103" s="318"/>
      <c r="AM103" s="318"/>
      <c r="AN103" s="318"/>
      <c r="AO103" s="318"/>
      <c r="AP103" s="318"/>
      <c r="AQ103" s="318"/>
      <c r="AR103" s="318"/>
      <c r="AS103" s="318"/>
      <c r="AT103" s="318"/>
      <c r="AU103" s="318"/>
      <c r="AV103" s="318"/>
    </row>
    <row r="104" spans="2:48" x14ac:dyDescent="0.25">
      <c r="B104" s="591"/>
      <c r="C104" s="457">
        <f t="shared" si="2"/>
        <v>11.200000000000001</v>
      </c>
      <c r="D104" s="458">
        <f t="shared" si="2"/>
        <v>11.200000000000001</v>
      </c>
      <c r="E104" s="459">
        <f>IF(D59*(C104-'FOGLIO DEPOSITO'!$C$226)&lt;0,0,$D$59*(C104-'FOGLIO DEPOSITO'!$C$226))</f>
        <v>0</v>
      </c>
      <c r="F104" s="460">
        <f>VLOOKUP(C73,'FOGLIO DEPOSITO'!N178:Q184,2,FALSE)</f>
        <v>0.41923878646175688</v>
      </c>
      <c r="G104" s="459">
        <f>2*D34*F104^0.5</f>
        <v>0</v>
      </c>
      <c r="H104" s="459">
        <f t="shared" si="1"/>
        <v>212.8</v>
      </c>
      <c r="I104" s="462">
        <f>'ANALISI DELLE SPINTE'!H104-'ANALISI DELLE SPINTE'!E104</f>
        <v>212.8</v>
      </c>
      <c r="J104" s="459">
        <f>$D$66</f>
        <v>0</v>
      </c>
      <c r="K104" s="461">
        <f>$D$67</f>
        <v>0</v>
      </c>
      <c r="L104" s="462">
        <f>'FOGLIO DEPOSITO'!G244/DATI!$E$83</f>
        <v>93.376893449429545</v>
      </c>
      <c r="M104" s="459">
        <f>'FOGLIO DEPOSITO'!H244/DATI!$E$84</f>
        <v>0</v>
      </c>
      <c r="N104" s="461">
        <f>'FOGLIO DEPOSITO'!I244/DATI!$E$85</f>
        <v>0</v>
      </c>
      <c r="O104" s="463">
        <f>(X104-V104-W104)/DATI!$E$83</f>
        <v>0</v>
      </c>
      <c r="P104" s="464">
        <f>'FOGLIO DEPOSITO'!N258*((M103*(C104-C103))*IF(C73='FOGLIO DEPOSITO'!N181,1+'FOGLIO DEPOSITO'!S188,IF(C73='FOGLIO DEPOSITO'!N182,1-'FOGLIO DEPOSITO'!S188,1)))</f>
        <v>0</v>
      </c>
      <c r="Q104" s="468">
        <f>'FOGLIO DEPOSITO'!N258*((N103*(C104-C103))*IF(C73='FOGLIO DEPOSITO'!N181,1+'FOGLIO DEPOSITO'!S188,IF(C73='FOGLIO DEPOSITO'!N182,1-'FOGLIO DEPOSITO'!S188,1)))</f>
        <v>0</v>
      </c>
      <c r="R104" s="466">
        <f>DATI!$E$83</f>
        <v>1</v>
      </c>
      <c r="S104" s="467">
        <f>DATI!$E$84</f>
        <v>1</v>
      </c>
      <c r="T104" s="467">
        <f>DATI!$E$85</f>
        <v>1</v>
      </c>
      <c r="U104" s="463">
        <f t="shared" si="3"/>
        <v>0</v>
      </c>
      <c r="V104" s="464">
        <f t="shared" si="3"/>
        <v>0</v>
      </c>
      <c r="W104" s="468">
        <f t="shared" si="3"/>
        <v>0</v>
      </c>
      <c r="X104" s="468">
        <f>'FOGLIO DEPOSITO'!N258*(('FOGLIO DEPOSITO'!K243*(C104-C103)+('FOGLIO DEPOSITO'!K244-'FOGLIO DEPOSITO'!K243)*(C104-C103)/2))</f>
        <v>0</v>
      </c>
      <c r="Y104" s="469">
        <f>X104*COS(RADIANS(D35+IF('FOGLIO DEPOSITO'!X248="SX",0,'FOGLIO DEPOSITO'!D196)))</f>
        <v>0</v>
      </c>
      <c r="Z104" s="468">
        <f>X104*SIN(RADIANS($D$35+IF('FOGLIO DEPOSITO'!X248="SX",0,'FOGLIO DEPOSITO'!D196)))</f>
        <v>0</v>
      </c>
      <c r="AA104" s="278"/>
      <c r="AG104" s="278" t="str">
        <f>IF(C73='FOGLIO DEPOSITO'!N184,((D57-D36)+D36/2)*'FOGLIO DEPOSITO'!AA279,"")</f>
        <v/>
      </c>
      <c r="AH104" s="318"/>
      <c r="AI104" s="21"/>
      <c r="AJ104" s="27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</row>
    <row r="105" spans="2:48" x14ac:dyDescent="0.25">
      <c r="B105" s="591" t="str">
        <f>B88</f>
        <v>2° strato:    limi-argille</v>
      </c>
      <c r="C105" s="444">
        <f t="shared" si="2"/>
        <v>11.200000000000001</v>
      </c>
      <c r="D105" s="405">
        <f t="shared" si="2"/>
        <v>0</v>
      </c>
      <c r="E105" s="446">
        <f>IF(D43=0,"",IF(D59*(C105-'FOGLIO DEPOSITO'!$C$226)&lt;0,0,$D$59*(C105-'FOGLIO DEPOSITO'!$C$226)))</f>
        <v>0</v>
      </c>
      <c r="F105" s="237">
        <f>IF(D43=0,"",VLOOKUP(C73,'FOGLIO DEPOSITO'!N178:Q184,3,FALSE))</f>
        <v>0.45117968159137756</v>
      </c>
      <c r="G105" s="446">
        <f>IF(D43=0,"",2*D41*F105^0.5)</f>
        <v>6.7169910048427006</v>
      </c>
      <c r="H105" s="445">
        <f t="shared" si="1"/>
        <v>212.8</v>
      </c>
      <c r="I105" s="483">
        <f>IF('ANALISI DELLE SPINTE'!D43=0,"",'ANALISI DELLE SPINTE'!H105-'ANALISI DELLE SPINTE'!E105)</f>
        <v>212.8</v>
      </c>
      <c r="J105" s="446">
        <f>IF(D43=0,"",$D$66)</f>
        <v>0</v>
      </c>
      <c r="K105" s="447">
        <f>IF(D43=0,"",$D$67)</f>
        <v>0</v>
      </c>
      <c r="L105" s="446">
        <f>IF(D43=0,"",'FOGLIO DEPOSITO'!G245/DATI!$E$83)</f>
        <v>93.46065933494549</v>
      </c>
      <c r="M105" s="446">
        <f>IF(D43=0,"",'FOGLIO DEPOSITO'!H245/DATI!$E$84)</f>
        <v>0</v>
      </c>
      <c r="N105" s="447">
        <f>IF(D43=0,"",'FOGLIO DEPOSITO'!I245/DATI!$E$85)</f>
        <v>0</v>
      </c>
      <c r="O105" s="442">
        <f>IF(D43=0,"",(X105-V105-W105)/DATI!$E$83)</f>
        <v>0</v>
      </c>
      <c r="P105" s="442">
        <f>IF(D43=0,"",'FOGLIO DEPOSITO'!N258*IF(D43=0,"",M104*(C105-C104))*IF(C73='FOGLIO DEPOSITO'!N181,1+'FOGLIO DEPOSITO'!S188,IF(C73='FOGLIO DEPOSITO'!N182,1-'FOGLIO DEPOSITO'!S188,1)))</f>
        <v>0</v>
      </c>
      <c r="Q105" s="456">
        <f>IF(D43=0,"",'FOGLIO DEPOSITO'!N258*IF(D43=0,"",N104*(C105-C104))*IF(C73='FOGLIO DEPOSITO'!N181,1+'FOGLIO DEPOSITO'!S188,IF(C73='FOGLIO DEPOSITO'!N182,1-'FOGLIO DEPOSITO'!S188,1)))</f>
        <v>0</v>
      </c>
      <c r="R105" s="453">
        <f>IF(D43=0,"",DATI!$E$83)</f>
        <v>1</v>
      </c>
      <c r="S105" s="454">
        <f>IF(D43=0,"",DATI!$E$84)</f>
        <v>1</v>
      </c>
      <c r="T105" s="454">
        <f>IF(D43=0,"",DATI!$E$85)</f>
        <v>1</v>
      </c>
      <c r="U105" s="455">
        <f>IF(D43=0,"",O105*R105)</f>
        <v>0</v>
      </c>
      <c r="V105" s="442">
        <f>IF(D43=0,"",P105*S105)</f>
        <v>0</v>
      </c>
      <c r="W105" s="456">
        <f>IF(D43=0,"",Q105*T105)</f>
        <v>0</v>
      </c>
      <c r="X105" s="456">
        <f>IF(D43=0,"",'FOGLIO DEPOSITO'!N258*IF(D43=0,"",'FOGLIO DEPOSITO'!K244*(C105-C104)+('FOGLIO DEPOSITO'!K245-'FOGLIO DEPOSITO'!K244)*(C105-C104)/2))</f>
        <v>0</v>
      </c>
      <c r="Y105" s="455">
        <f>IF(D43=0,"",X105*COS(RADIANS($D$42+IF('FOGLIO DEPOSITO'!X248="SX",0,'FOGLIO DEPOSITO'!D196))))</f>
        <v>0</v>
      </c>
      <c r="Z105" s="511">
        <f>IF(D43=0,"",X105*SIN(RADIANS($D$42+IF('FOGLIO DEPOSITO'!X248="SX",0,'FOGLIO DEPOSITO'!D196))))</f>
        <v>0</v>
      </c>
      <c r="AA105" s="278"/>
      <c r="AG105" s="278"/>
      <c r="AH105" s="318"/>
      <c r="AI105" s="21"/>
      <c r="AJ105" s="278"/>
      <c r="AK105" s="318"/>
      <c r="AL105" s="318"/>
      <c r="AM105" s="318"/>
      <c r="AN105" s="318"/>
      <c r="AO105" s="318"/>
      <c r="AP105" s="318"/>
      <c r="AQ105" s="318"/>
      <c r="AR105" s="318"/>
      <c r="AS105" s="318"/>
      <c r="AT105" s="318"/>
      <c r="AU105" s="318"/>
      <c r="AV105" s="318"/>
    </row>
    <row r="106" spans="2:48" x14ac:dyDescent="0.25">
      <c r="B106" s="591"/>
      <c r="C106" s="444">
        <f t="shared" si="2"/>
        <v>21.602666666666668</v>
      </c>
      <c r="D106" s="405">
        <f t="shared" si="2"/>
        <v>10.402666666666667</v>
      </c>
      <c r="E106" s="446">
        <f>IF(D43=0,"",IF(D59*(C106-'FOGLIO DEPOSITO'!$C$226)&lt;0,0,$D$59*(C106-'FOGLIO DEPOSITO'!$C$226)))</f>
        <v>0</v>
      </c>
      <c r="F106" s="237">
        <f>IF(D43=0,"",VLOOKUP(C73,'FOGLIO DEPOSITO'!N178:Q184,3,FALSE))</f>
        <v>0.45117968159137756</v>
      </c>
      <c r="G106" s="446">
        <f>IF(D43=0,"",2*D41*F105^0.5)</f>
        <v>6.7169910048427006</v>
      </c>
      <c r="H106" s="445">
        <f t="shared" si="1"/>
        <v>420.85333333333335</v>
      </c>
      <c r="I106" s="483">
        <f>IF('ANALISI DELLE SPINTE'!D43=0,"",'ANALISI DELLE SPINTE'!H106-'ANALISI DELLE SPINTE'!E106)</f>
        <v>420.85333333333335</v>
      </c>
      <c r="J106" s="446">
        <f>IF(D43=0,"",$D$66)</f>
        <v>0</v>
      </c>
      <c r="K106" s="447">
        <f>IF(D43=0,"",$D$67)</f>
        <v>0</v>
      </c>
      <c r="L106" s="446">
        <f>IF(D43=0,"",'FOGLIO DEPOSITO'!G246/DATI!$E$83)</f>
        <v>191.71020577263263</v>
      </c>
      <c r="M106" s="446">
        <f>IF(D43=0,"",'FOGLIO DEPOSITO'!H246/DATI!$E$84)</f>
        <v>0</v>
      </c>
      <c r="N106" s="447">
        <f>IF(D43=0,"",'FOGLIO DEPOSITO'!I246/DATI!$E$85)</f>
        <v>0</v>
      </c>
      <c r="O106" s="442">
        <f>IF(D43=0,"",(X106-V106-W106)/DATI!$E$83)</f>
        <v>1483.2687263795497</v>
      </c>
      <c r="P106" s="442">
        <f>IF(D43=0,"",'FOGLIO DEPOSITO'!N258*IF(D43=0,"",M105*(C106-C105))*IF(C73='FOGLIO DEPOSITO'!N181,1+'FOGLIO DEPOSITO'!S188,IF(C73='FOGLIO DEPOSITO'!N182,1-'FOGLIO DEPOSITO'!S188,1)))</f>
        <v>0</v>
      </c>
      <c r="Q106" s="456">
        <f>IF(D43=0,"",'FOGLIO DEPOSITO'!N258*IF(D43=0,"",N105*(C106-C105))*IF(C73='FOGLIO DEPOSITO'!N181,1+'FOGLIO DEPOSITO'!S188,IF(C73='FOGLIO DEPOSITO'!N182,1-'FOGLIO DEPOSITO'!S188,1)))</f>
        <v>0</v>
      </c>
      <c r="R106" s="453">
        <f>IF(D43=0,"",DATI!$E$83)</f>
        <v>1</v>
      </c>
      <c r="S106" s="454">
        <f>IF(D43=0,"",DATI!$E$84)</f>
        <v>1</v>
      </c>
      <c r="T106" s="454">
        <f>IF(D43=0,"",DATI!$E$85)</f>
        <v>1</v>
      </c>
      <c r="U106" s="455">
        <f>IF(D43=0,"",O106*R106)</f>
        <v>1483.2687263795497</v>
      </c>
      <c r="V106" s="442">
        <f>IF(D43=0,"",P106*S106)</f>
        <v>0</v>
      </c>
      <c r="W106" s="456">
        <f>IF(D43=0,"",Q106*T106)</f>
        <v>0</v>
      </c>
      <c r="X106" s="456">
        <f>IF(D43=0,"",'FOGLIO DEPOSITO'!N258*IF(D43=0,"",'FOGLIO DEPOSITO'!K245*(C106-C105)+('FOGLIO DEPOSITO'!K246-'FOGLIO DEPOSITO'!K245)*(C106-C105)/2))</f>
        <v>1483.2687263795497</v>
      </c>
      <c r="Y106" s="455">
        <f>IF(D43=0,"",X106*COS(RADIANS($D$42+IF('FOGLIO DEPOSITO'!X248="SX",0,'FOGLIO DEPOSITO'!D196))))</f>
        <v>1483.2687263794674</v>
      </c>
      <c r="Z106" s="512">
        <f>IF(D43=0,"",X106*SIN(RADIANS($D$42+IF('FOGLIO DEPOSITO'!X248="SX",0,'FOGLIO DEPOSITO'!D196))))</f>
        <v>4.9442290879122034E-4</v>
      </c>
      <c r="AA106" s="278"/>
      <c r="AG106" s="278"/>
      <c r="AH106" s="318"/>
      <c r="AI106" s="21"/>
      <c r="AJ106" s="278"/>
      <c r="AK106" s="318"/>
      <c r="AL106" s="318"/>
      <c r="AM106" s="318"/>
      <c r="AN106" s="318"/>
      <c r="AO106" s="318"/>
      <c r="AP106" s="318"/>
      <c r="AQ106" s="318"/>
      <c r="AR106" s="318"/>
      <c r="AS106" s="318"/>
      <c r="AT106" s="318"/>
      <c r="AU106" s="318"/>
      <c r="AV106" s="318"/>
    </row>
    <row r="107" spans="2:48" x14ac:dyDescent="0.25">
      <c r="B107" s="591"/>
      <c r="C107" s="457">
        <f t="shared" si="2"/>
        <v>21.602666666666668</v>
      </c>
      <c r="D107" s="458">
        <f t="shared" si="2"/>
        <v>10.402666666666667</v>
      </c>
      <c r="E107" s="459">
        <f>IF(D43=0,"",IF(D59*(C107-'FOGLIO DEPOSITO'!$C$226)&lt;0,0,$D$59*(C107-'FOGLIO DEPOSITO'!$C$226)))</f>
        <v>0</v>
      </c>
      <c r="F107" s="460">
        <f>IF(D43=0,"",VLOOKUP(C73,'FOGLIO DEPOSITO'!N178:Q184,3,FALSE))</f>
        <v>0.45117968159137756</v>
      </c>
      <c r="G107" s="459">
        <f>IF(D43=0,"",2*D41*F107^0.5)</f>
        <v>6.7169910048427006</v>
      </c>
      <c r="H107" s="459">
        <f t="shared" si="1"/>
        <v>420.85333333333335</v>
      </c>
      <c r="I107" s="462">
        <f>IF('ANALISI DELLE SPINTE'!D43=0,"",'ANALISI DELLE SPINTE'!H107-'ANALISI DELLE SPINTE'!E107)</f>
        <v>420.85333333333335</v>
      </c>
      <c r="J107" s="459">
        <f>IF(D43=0,"",$D$66)</f>
        <v>0</v>
      </c>
      <c r="K107" s="461">
        <f>IF(D43=0,"",$D$67)</f>
        <v>0</v>
      </c>
      <c r="L107" s="462">
        <f>IF(D43=0,"",'FOGLIO DEPOSITO'!G247/DATI!$E$83)</f>
        <v>191.71020577263263</v>
      </c>
      <c r="M107" s="459">
        <f>IF(D43=0,"",'FOGLIO DEPOSITO'!H247/DATI!$E$84)</f>
        <v>0</v>
      </c>
      <c r="N107" s="461">
        <f>IF(D43=0,"",'FOGLIO DEPOSITO'!I247/DATI!$E$85)</f>
        <v>0</v>
      </c>
      <c r="O107" s="463">
        <f>IF(D43=0,"",(X107-V107-W107)/DATI!$E$83)</f>
        <v>0</v>
      </c>
      <c r="P107" s="464">
        <f>IF(D43=0,"",'FOGLIO DEPOSITO'!N258*IF(D43=0,"",M106*(C107-C106))*IF(C73='FOGLIO DEPOSITO'!N181,1+'FOGLIO DEPOSITO'!S188,IF(C73='FOGLIO DEPOSITO'!N182,1-'FOGLIO DEPOSITO'!S188,1)))</f>
        <v>0</v>
      </c>
      <c r="Q107" s="468">
        <f>IF(D43=0,"",'FOGLIO DEPOSITO'!N258*IF(D43=0,"",N106*(C107-C106))*IF(C73='FOGLIO DEPOSITO'!N181,1+'FOGLIO DEPOSITO'!S188,IF(C73='FOGLIO DEPOSITO'!N182,1-'FOGLIO DEPOSITO'!S188,1)))</f>
        <v>0</v>
      </c>
      <c r="R107" s="466">
        <f>IF(D43=0,"",DATI!$E$83)</f>
        <v>1</v>
      </c>
      <c r="S107" s="467">
        <f>IF(D43=0,"",DATI!$E$84)</f>
        <v>1</v>
      </c>
      <c r="T107" s="467">
        <f>IF(D43=0,"",DATI!$E$85)</f>
        <v>1</v>
      </c>
      <c r="U107" s="463">
        <f>IF(D43=0,"",O107*R107)</f>
        <v>0</v>
      </c>
      <c r="V107" s="464">
        <f>IF(D43=0,"",P107*S107)</f>
        <v>0</v>
      </c>
      <c r="W107" s="468">
        <f>IF(D43=0,"",Q107*T107)</f>
        <v>0</v>
      </c>
      <c r="X107" s="468">
        <f>IF(D43=0,"",'FOGLIO DEPOSITO'!N258*IF(D43=0,"",'FOGLIO DEPOSITO'!K246*(C107-C106)+('FOGLIO DEPOSITO'!K247-'FOGLIO DEPOSITO'!K246)*(C107-C106)/2))</f>
        <v>0</v>
      </c>
      <c r="Y107" s="463">
        <f>IF(D43=0,"",X107*COS(RADIANS($D$42+IF('FOGLIO DEPOSITO'!X248="SX",0,'FOGLIO DEPOSITO'!D196))))</f>
        <v>0</v>
      </c>
      <c r="Z107" s="469">
        <f>IF(D43=0,"",X107*SIN(RADIANS($D$42+IF('FOGLIO DEPOSITO'!X248="SX",0,'FOGLIO DEPOSITO'!D196))))</f>
        <v>0</v>
      </c>
      <c r="AA107" s="278"/>
      <c r="AG107" s="278" t="str">
        <f>IF('FOGLIO DEPOSITO'!D247="","",IF(C73='FOGLIO DEPOSITO'!N184,((D57-D43-D36)+D43/2)*'FOGLIO DEPOSITO'!AA282,""))</f>
        <v/>
      </c>
      <c r="AH107" s="318"/>
      <c r="AI107" s="278"/>
      <c r="AJ107" s="27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</row>
    <row r="108" spans="2:48" x14ac:dyDescent="0.25">
      <c r="B108" s="591" t="str">
        <f>B91</f>
        <v>3°strato: ghiaia-sabbie</v>
      </c>
      <c r="C108" s="444">
        <f t="shared" si="2"/>
        <v>21.602666666666668</v>
      </c>
      <c r="D108" s="405">
        <f t="shared" si="2"/>
        <v>0</v>
      </c>
      <c r="E108" s="446">
        <f>IF(D50=0,"",IF(D59*(C108-'FOGLIO DEPOSITO'!$C$226)&lt;0,0,$D$59*(C108-'FOGLIO DEPOSITO'!$C$226)))</f>
        <v>0</v>
      </c>
      <c r="F108" s="237">
        <f>IF(D50=0,"",VLOOKUP(C73,'FOGLIO DEPOSITO'!N178:Q184,4,FALSE))</f>
        <v>0.36072719944410481</v>
      </c>
      <c r="G108" s="446">
        <f>IF(D50=0,"",2*D48*F108^0.5)</f>
        <v>0</v>
      </c>
      <c r="H108" s="445">
        <f t="shared" si="1"/>
        <v>420.85333333333335</v>
      </c>
      <c r="I108" s="483">
        <f>IF('ANALISI DELLE SPINTE'!D50=0,"",'ANALISI DELLE SPINTE'!H108-'ANALISI DELLE SPINTE'!E108)</f>
        <v>420.85333333333335</v>
      </c>
      <c r="J108" s="446">
        <f>IF(D50=0,"",$D$66)</f>
        <v>0</v>
      </c>
      <c r="K108" s="447">
        <f>IF(D50=0,"",$D$67)</f>
        <v>0</v>
      </c>
      <c r="L108" s="446">
        <f>IF(D50=0,"",'FOGLIO DEPOSITO'!G248/DATI!$E$83)</f>
        <v>158.8971120213927</v>
      </c>
      <c r="M108" s="446">
        <f>IF(D50=0,"",'FOGLIO DEPOSITO'!H248/DATI!$E$84)</f>
        <v>0</v>
      </c>
      <c r="N108" s="447">
        <f>IF(D50=0,"",'FOGLIO DEPOSITO'!I248/DATI!$E$85)</f>
        <v>0</v>
      </c>
      <c r="O108" s="442">
        <f>IF(D50=0,"",(X108-V108-W108)/DATI!$E$83)</f>
        <v>0</v>
      </c>
      <c r="P108" s="442">
        <f>IF(D50=0,"",'FOGLIO DEPOSITO'!N258*IF(D50=0,"",M107*(C108-C107))*IF(C73='FOGLIO DEPOSITO'!N181,1+'FOGLIO DEPOSITO'!S188,IF(C73='FOGLIO DEPOSITO'!N182,1-'FOGLIO DEPOSITO'!S188,1)))</f>
        <v>0</v>
      </c>
      <c r="Q108" s="456">
        <f>IF(D50=0,"",'FOGLIO DEPOSITO'!N258*IF(D50=0,"",N107*(C108-C107))*IF(C73='FOGLIO DEPOSITO'!N181,1+'FOGLIO DEPOSITO'!S188,IF(C73='FOGLIO DEPOSITO'!N182,1-'FOGLIO DEPOSITO'!S188,1)))</f>
        <v>0</v>
      </c>
      <c r="R108" s="453">
        <f>IF(D50=0,"",DATI!$E$83)</f>
        <v>1</v>
      </c>
      <c r="S108" s="454">
        <f>IF(D50=0,"",DATI!$E$84)</f>
        <v>1</v>
      </c>
      <c r="T108" s="454">
        <f>IF(D50=0,"",DATI!$E$85)</f>
        <v>1</v>
      </c>
      <c r="U108" s="455">
        <f>IF(D50=0,"",O108*R108)</f>
        <v>0</v>
      </c>
      <c r="V108" s="442">
        <f>IF(D50=0,"",P108*S108)</f>
        <v>0</v>
      </c>
      <c r="W108" s="456">
        <f>IF(D50=0,"",Q108*T108)</f>
        <v>0</v>
      </c>
      <c r="X108" s="456">
        <f>IF(D50=0,"",'FOGLIO DEPOSITO'!N258*IF(D50=0,"",'FOGLIO DEPOSITO'!K247*(C108-C107)+('FOGLIO DEPOSITO'!K248-'FOGLIO DEPOSITO'!K247)*(C108-C107)/2))</f>
        <v>0</v>
      </c>
      <c r="Y108" s="455">
        <f>IF(D50=0,"",X108*COS(RADIANS($D$49+IF('FOGLIO DEPOSITO'!X248="SX",0,'FOGLIO DEPOSITO'!D196))))</f>
        <v>0</v>
      </c>
      <c r="Z108" s="512">
        <f>IF(D50=0,"",X108*SIN(RADIANS($D$49+IF('FOGLIO DEPOSITO'!X248="SX",0,'FOGLIO DEPOSITO'!D196))))</f>
        <v>0</v>
      </c>
      <c r="AA108" s="278"/>
      <c r="AG108" s="278"/>
      <c r="AH108" s="318"/>
      <c r="AI108" s="278"/>
      <c r="AJ108" s="278"/>
      <c r="AK108" s="318"/>
      <c r="AL108" s="318"/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</row>
    <row r="109" spans="2:48" x14ac:dyDescent="0.25">
      <c r="B109" s="591"/>
      <c r="C109" s="444">
        <f t="shared" si="2"/>
        <v>30</v>
      </c>
      <c r="D109" s="405">
        <f t="shared" si="2"/>
        <v>8.3973333333333322</v>
      </c>
      <c r="E109" s="446">
        <f>IF(D50=0,"",IF(D59*(C109-'FOGLIO DEPOSITO'!$C$226)&lt;0,0,$D$59*(C109-'FOGLIO DEPOSITO'!$C$226)))</f>
        <v>0</v>
      </c>
      <c r="F109" s="237">
        <f>IF(D50=0,"",VLOOKUP(C73,'FOGLIO DEPOSITO'!N178:Q184,4,FALSE))</f>
        <v>0.36072719944410481</v>
      </c>
      <c r="G109" s="446">
        <f>IF(D50=0,"",2*D48*F108^0.5)</f>
        <v>0</v>
      </c>
      <c r="H109" s="445">
        <f t="shared" si="1"/>
        <v>588.79999999999995</v>
      </c>
      <c r="I109" s="483">
        <f>IF('ANALISI DELLE SPINTE'!D50=0,"",'ANALISI DELLE SPINTE'!H109-'ANALISI DELLE SPINTE'!E109)</f>
        <v>588.79999999999995</v>
      </c>
      <c r="J109" s="446">
        <f>IF(D50=0,"",$D$66)</f>
        <v>0</v>
      </c>
      <c r="K109" s="447">
        <f>IF(D50=0,"",$D$67)</f>
        <v>0</v>
      </c>
      <c r="L109" s="446">
        <f>IF(D50=0,"",'FOGLIO DEPOSITO'!G249/DATI!$E$83)</f>
        <v>222.30694673883855</v>
      </c>
      <c r="M109" s="446">
        <f>IF(D50=0,"",'FOGLIO DEPOSITO'!H249/DATI!$E$84)</f>
        <v>0</v>
      </c>
      <c r="N109" s="447">
        <f>IF(D50=0,"",'FOGLIO DEPOSITO'!I249/DATI!$E$85)</f>
        <v>0</v>
      </c>
      <c r="O109" s="442">
        <f>IF(D50=0,"",(X109-V109-W109)/DATI!$E$83)</f>
        <v>1600.548774714624</v>
      </c>
      <c r="P109" s="442">
        <f>IF(D50=0,"",'FOGLIO DEPOSITO'!N258*IF(D50=0,"",M108*(C109-C108))*IF(C73='FOGLIO DEPOSITO'!N181,1+'FOGLIO DEPOSITO'!S188,IF(C73='FOGLIO DEPOSITO'!N182,1-'FOGLIO DEPOSITO'!S188,1)))</f>
        <v>0</v>
      </c>
      <c r="Q109" s="456">
        <f>IF(D50=0,"",'FOGLIO DEPOSITO'!N258*IF(D50=0,"",N108*(C109-C108))*IF(C73='FOGLIO DEPOSITO'!N181,1+'FOGLIO DEPOSITO'!S188,IF(C73='FOGLIO DEPOSITO'!N182,1-'FOGLIO DEPOSITO'!S188,1)))</f>
        <v>0</v>
      </c>
      <c r="R109" s="453">
        <f>IF(D50=0,"",DATI!$E$83)</f>
        <v>1</v>
      </c>
      <c r="S109" s="454">
        <f>IF(D50=0,"",DATI!$E$84)</f>
        <v>1</v>
      </c>
      <c r="T109" s="454">
        <f>IF(D50=0,"",DATI!$E$85)</f>
        <v>1</v>
      </c>
      <c r="U109" s="455">
        <f>IF(D50=0,"",O109*R109)</f>
        <v>1600.548774714624</v>
      </c>
      <c r="V109" s="442">
        <f>IF(D50=0,"",P109*S109)</f>
        <v>0</v>
      </c>
      <c r="W109" s="456">
        <f>IF(D50=0,"",Q109*T109)</f>
        <v>0</v>
      </c>
      <c r="X109" s="456">
        <f>IF(D50=0,"",'FOGLIO DEPOSITO'!N258*IF(D50=0,"",'FOGLIO DEPOSITO'!K248*(C109-C108)+('FOGLIO DEPOSITO'!K249-'FOGLIO DEPOSITO'!K248)*(C109-C108)/2))</f>
        <v>1600.548774714624</v>
      </c>
      <c r="Y109" s="455">
        <f>IF(D50=0,"",X109*COS(RADIANS($D$49+IF('FOGLIO DEPOSITO'!X248="SX",0,'FOGLIO DEPOSITO'!D196))))</f>
        <v>1600.5487747145351</v>
      </c>
      <c r="Z109" s="512">
        <f>IF(D50=0,"",X109*SIN(RADIANS($D$49+IF('FOGLIO DEPOSITO'!X248="SX",0,'FOGLIO DEPOSITO'!D196))))</f>
        <v>5.3351625823608989E-4</v>
      </c>
      <c r="AA109" s="278"/>
      <c r="AG109" s="278"/>
      <c r="AH109" s="318"/>
      <c r="AI109" s="278"/>
      <c r="AJ109" s="278"/>
      <c r="AK109" s="318"/>
      <c r="AL109" s="318"/>
      <c r="AM109" s="318"/>
      <c r="AN109" s="318"/>
      <c r="AO109" s="318"/>
      <c r="AP109" s="318"/>
      <c r="AQ109" s="318"/>
      <c r="AR109" s="318"/>
      <c r="AS109" s="318"/>
      <c r="AT109" s="318"/>
      <c r="AU109" s="318"/>
      <c r="AV109" s="318"/>
    </row>
    <row r="110" spans="2:48" x14ac:dyDescent="0.25">
      <c r="B110" s="591"/>
      <c r="C110" s="457">
        <f t="shared" si="2"/>
        <v>30</v>
      </c>
      <c r="D110" s="458">
        <f t="shared" si="2"/>
        <v>8.3973333333333304</v>
      </c>
      <c r="E110" s="459">
        <f>IF(D50=0,"",IF(D59*(C110-'FOGLIO DEPOSITO'!$C$226)&lt;0,0,$D$59*(C110-'FOGLIO DEPOSITO'!$C$226)))</f>
        <v>0</v>
      </c>
      <c r="F110" s="460">
        <f>IF(D50=0,"",VLOOKUP(C73,'FOGLIO DEPOSITO'!N178:Q184,4,FALSE))</f>
        <v>0.36072719944410481</v>
      </c>
      <c r="G110" s="459">
        <f>IF(D50=0,"",2*D48*F110^0.5)</f>
        <v>0</v>
      </c>
      <c r="H110" s="459">
        <f t="shared" si="1"/>
        <v>588.79999999999995</v>
      </c>
      <c r="I110" s="462">
        <f>IF('ANALISI DELLE SPINTE'!D50=0,"",'ANALISI DELLE SPINTE'!H110-'ANALISI DELLE SPINTE'!E110)</f>
        <v>588.79999999999995</v>
      </c>
      <c r="J110" s="459">
        <f>IF(D50=0,"",$D$66)</f>
        <v>0</v>
      </c>
      <c r="K110" s="461">
        <f>IF(D50=0,"",$D$67)</f>
        <v>0</v>
      </c>
      <c r="L110" s="462">
        <f>IF(D50=0,"",'FOGLIO DEPOSITO'!G250/DATI!$E$83)</f>
        <v>222.30694673883855</v>
      </c>
      <c r="M110" s="459">
        <f>IF(D50=0,"",'FOGLIO DEPOSITO'!H250/DATI!$E$84)</f>
        <v>0</v>
      </c>
      <c r="N110" s="461">
        <f>IF(D50=0,"",'FOGLIO DEPOSITO'!I250/DATI!$E$85)</f>
        <v>0</v>
      </c>
      <c r="O110" s="463">
        <f>IF(D50=0,"",(X110-V110-W110)/DATI!$E$83)</f>
        <v>0</v>
      </c>
      <c r="P110" s="464">
        <f>IF(D50=0,"",'FOGLIO DEPOSITO'!N258*IF(D50=0,"",M109*(C110-C109))*IF(C73='FOGLIO DEPOSITO'!N181,1+'FOGLIO DEPOSITO'!S188,IF(C73='FOGLIO DEPOSITO'!N182,1-'FOGLIO DEPOSITO'!S188,1)))</f>
        <v>0</v>
      </c>
      <c r="Q110" s="468">
        <f>IF(D50=0,"",'FOGLIO DEPOSITO'!N258*IF(D50=0,"",N109*(C110-C109))*IF(C73='FOGLIO DEPOSITO'!N181,1+'FOGLIO DEPOSITO'!S188,IF(C73='FOGLIO DEPOSITO'!N182,1-'FOGLIO DEPOSITO'!S188,1)))</f>
        <v>0</v>
      </c>
      <c r="R110" s="466">
        <f>IF(D50=0,"",DATI!$E$83)</f>
        <v>1</v>
      </c>
      <c r="S110" s="467">
        <f>IF(D50=0,"",DATI!$E$84)</f>
        <v>1</v>
      </c>
      <c r="T110" s="467">
        <f>IF(D50=0,"",DATI!$E$85)</f>
        <v>1</v>
      </c>
      <c r="U110" s="463">
        <f>IF(D50=0,"",O110*R110)</f>
        <v>0</v>
      </c>
      <c r="V110" s="464">
        <f>IF(D50=0,"",P110*S110)</f>
        <v>0</v>
      </c>
      <c r="W110" s="468">
        <f>IF(D50=0,"",Q110*T110)</f>
        <v>0</v>
      </c>
      <c r="X110" s="468">
        <f>IF(D50=0,"",'FOGLIO DEPOSITO'!N258*IF(D50=0,"",'FOGLIO DEPOSITO'!K249*(C110-C109)+('FOGLIO DEPOSITO'!K250-'FOGLIO DEPOSITO'!K249)*(C110-C109)/2))</f>
        <v>0</v>
      </c>
      <c r="Y110" s="463">
        <f>IF(D50=0,"",X110*COS(RADIANS($D$49+IF('FOGLIO DEPOSITO'!X248="SX",0,'FOGLIO DEPOSITO'!D196))))</f>
        <v>0</v>
      </c>
      <c r="Z110" s="469">
        <f>IF(D50=0,"",X110*SIN(RADIANS($D$49+IF('FOGLIO DEPOSITO'!X248="SX",0,'FOGLIO DEPOSITO'!D196))))</f>
        <v>0</v>
      </c>
      <c r="AA110" s="318"/>
      <c r="AG110" s="278" t="str">
        <f>IF('FOGLIO DEPOSITO'!D250="","",IF(C73='FOGLIO DEPOSITO'!N184,D50/2*'FOGLIO DEPOSITO'!AA285,""))</f>
        <v/>
      </c>
      <c r="AH110" s="318"/>
      <c r="AI110" s="278"/>
      <c r="AJ110" s="278"/>
      <c r="AK110" s="318"/>
      <c r="AL110" s="318"/>
      <c r="AM110" s="318"/>
      <c r="AN110" s="318"/>
      <c r="AO110" s="318"/>
      <c r="AP110" s="318"/>
      <c r="AQ110" s="318"/>
      <c r="AR110" s="318"/>
      <c r="AS110" s="318"/>
      <c r="AT110" s="318"/>
      <c r="AU110" s="318"/>
      <c r="AV110" s="318"/>
    </row>
    <row r="111" spans="2:48" x14ac:dyDescent="0.25">
      <c r="B111" s="471"/>
      <c r="C111" s="405"/>
      <c r="D111" s="405"/>
      <c r="E111" s="446"/>
      <c r="F111" s="237"/>
      <c r="G111" s="446"/>
      <c r="H111" s="446"/>
      <c r="I111" s="446"/>
      <c r="J111" s="446"/>
      <c r="K111" s="446"/>
      <c r="L111" s="446"/>
      <c r="M111" s="446"/>
      <c r="N111" s="446"/>
      <c r="O111" s="435">
        <f>SUM(O102:O110)</f>
        <v>3606.7281044109791</v>
      </c>
      <c r="P111" s="435">
        <f>SUM(P102:P110)</f>
        <v>0</v>
      </c>
      <c r="Q111" s="435">
        <f>SUM(Q102:Q110)</f>
        <v>0</v>
      </c>
      <c r="R111" s="474"/>
      <c r="S111" s="474"/>
      <c r="T111" s="474"/>
      <c r="U111" s="474"/>
      <c r="V111" s="474"/>
      <c r="W111" s="474"/>
      <c r="X111" s="435">
        <f>SUM(X102:X110)</f>
        <v>3606.7281044109791</v>
      </c>
      <c r="Y111" s="435">
        <f>SUM(Y102:Y110)</f>
        <v>3606.7281044107785</v>
      </c>
      <c r="Z111" s="435">
        <f>SUM(Z102:Z110)</f>
        <v>1.2022427014655532E-3</v>
      </c>
      <c r="AA111" s="435">
        <f>IF('ANALISI DELLE SPINTE'!C73='FOGLIO DEPOSITO'!N184,'ANALISI DELLE SPINTE'!K73,IF('ANALISI DELLE SPINTE'!C73='FOGLIO DEPOSITO'!N181,'ANALISI DELLE SPINTE'!K73,IF('ANALISI DELLE SPINTE'!C73='FOGLIO DEPOSITO'!N182,'ANALISI DELLE SPINTE'!K73,"")))</f>
        <v>0</v>
      </c>
      <c r="AG111" s="476" t="str">
        <f>IF(C73='FOGLIO DEPOSITO'!N184,SUM(AG104:AG110),"")</f>
        <v/>
      </c>
      <c r="AH111" s="318"/>
      <c r="AI111" s="278"/>
      <c r="AJ111" s="278"/>
      <c r="AK111" s="318"/>
      <c r="AL111" s="318"/>
      <c r="AM111" s="318"/>
      <c r="AN111" s="318"/>
      <c r="AO111" s="318"/>
      <c r="AP111" s="318"/>
      <c r="AQ111" s="318"/>
      <c r="AR111" s="318"/>
      <c r="AS111" s="318"/>
      <c r="AT111" s="318"/>
      <c r="AU111" s="318"/>
      <c r="AV111" s="318"/>
    </row>
    <row r="112" spans="2:48" ht="15.75" thickBot="1" x14ac:dyDescent="0.3">
      <c r="B112" s="599" t="s">
        <v>444</v>
      </c>
      <c r="C112" s="599"/>
      <c r="D112" s="470"/>
      <c r="E112" s="470"/>
      <c r="F112" s="395"/>
      <c r="G112" s="395"/>
      <c r="H112" s="395"/>
      <c r="I112" s="395"/>
      <c r="J112" s="395"/>
      <c r="K112" s="395"/>
      <c r="L112" s="395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435"/>
      <c r="Y112" s="435"/>
      <c r="Z112" s="435"/>
      <c r="AA112" s="318"/>
      <c r="AB112" s="318"/>
      <c r="AC112" s="318"/>
      <c r="AD112" s="318"/>
      <c r="AE112" s="318"/>
      <c r="AF112" s="435"/>
      <c r="AG112" s="21"/>
      <c r="AH112" s="278"/>
      <c r="AI112" s="278"/>
      <c r="AJ112" s="278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</row>
    <row r="113" spans="2:48" ht="16.5" customHeight="1" thickBot="1" x14ac:dyDescent="0.3">
      <c r="B113" s="391" t="s">
        <v>457</v>
      </c>
      <c r="C113" s="477">
        <f>SUM('FOGLIO DEPOSITO'!AM176:AM184)</f>
        <v>0</v>
      </c>
      <c r="D113" s="470"/>
      <c r="E113" s="470"/>
      <c r="F113" s="395"/>
      <c r="G113" s="395"/>
      <c r="H113" s="395"/>
      <c r="I113" s="395"/>
      <c r="J113" s="395"/>
      <c r="K113" s="395"/>
      <c r="L113" s="395"/>
      <c r="M113" s="318"/>
      <c r="N113" s="318"/>
      <c r="O113" s="318"/>
      <c r="P113" s="318"/>
      <c r="Q113" s="318"/>
      <c r="R113" s="318"/>
      <c r="S113" s="318"/>
      <c r="T113" s="318"/>
      <c r="U113" s="608" t="str">
        <f>IF(C73='FOGLIO DEPOSITO'!N184,"  Sono state aggiunte la spinta dinamica dell'acqua e le forze d'inerzia ;         i ΔP,i di Wood sono considerati in Sh,x →
",IF(C73='FOGLIO DEPOSITO'!N181,"  Sono state aggiunte la spinta dinamica dell'acqua e le forze d'inerzia →
",IF('ANALISI DELLE SPINTE'!C73='FOGLIO DEPOSITO'!N182,"Sono state aggiunte la spinta dinamica dell'acqua e le forze d'inerzia →","")))</f>
        <v xml:space="preserve">  Sono state aggiunte la spinta dinamica dell'acqua e le forze d'inerzia →
</v>
      </c>
      <c r="V113" s="608"/>
      <c r="W113" s="608"/>
      <c r="X113" s="608"/>
      <c r="Y113" s="609"/>
      <c r="Z113" s="478" t="s">
        <v>477</v>
      </c>
      <c r="AA113" s="435"/>
      <c r="AB113" s="435"/>
      <c r="AC113" s="435"/>
      <c r="AD113" s="435"/>
      <c r="AE113" s="435"/>
      <c r="AF113" s="435"/>
      <c r="AG113" s="21"/>
      <c r="AH113" s="278"/>
      <c r="AI113" s="278"/>
      <c r="AJ113" s="278"/>
      <c r="AK113" s="318"/>
      <c r="AL113" s="318"/>
      <c r="AM113" s="318"/>
      <c r="AN113" s="318"/>
      <c r="AO113" s="318"/>
      <c r="AP113" s="318"/>
      <c r="AQ113" s="318"/>
      <c r="AR113" s="318"/>
      <c r="AS113" s="318"/>
      <c r="AT113" s="318"/>
      <c r="AU113" s="318"/>
      <c r="AV113" s="318"/>
    </row>
    <row r="114" spans="2:48" ht="16.5" customHeight="1" x14ac:dyDescent="0.25">
      <c r="B114" s="391" t="s">
        <v>458</v>
      </c>
      <c r="C114" s="480">
        <f>C113*D59</f>
        <v>0</v>
      </c>
      <c r="D114" s="470"/>
      <c r="E114" s="470"/>
      <c r="F114" s="395"/>
      <c r="G114" s="395"/>
      <c r="H114" s="395"/>
      <c r="I114" s="395"/>
      <c r="J114" s="395"/>
      <c r="K114" s="395"/>
      <c r="L114" s="395"/>
      <c r="M114" s="318"/>
      <c r="N114" s="318"/>
      <c r="O114" s="318"/>
      <c r="P114" s="318"/>
      <c r="R114" s="318"/>
      <c r="S114" s="318"/>
      <c r="T114" s="318"/>
      <c r="U114" s="608"/>
      <c r="V114" s="608"/>
      <c r="W114" s="608"/>
      <c r="X114" s="608"/>
      <c r="Y114" s="609"/>
      <c r="Z114" s="479">
        <f>SUM(Y102:Y110)+IF('FOGLIO DEPOSITO'!D306="",0,IF('ANALISI DELLE SPINTE'!AA111="",0,'ANALISI DELLE SPINTE'!AA111))+IF('FOGLIO DEPOSITO'!D306="",0,'FOGLIO DEPOSITO'!C306*DATI!E83)</f>
        <v>3606.7281044107785</v>
      </c>
      <c r="AA114" s="435"/>
      <c r="AB114" s="435"/>
      <c r="AC114" s="435"/>
      <c r="AD114" s="435"/>
      <c r="AE114" s="435"/>
      <c r="AF114" s="435"/>
      <c r="AG114" s="21"/>
      <c r="AH114" s="278"/>
      <c r="AI114" s="278"/>
      <c r="AJ114" s="278"/>
      <c r="AK114" s="318"/>
      <c r="AL114" s="318"/>
      <c r="AM114" s="318"/>
      <c r="AN114" s="318"/>
      <c r="AO114" s="318"/>
      <c r="AP114" s="318"/>
      <c r="AQ114" s="318"/>
      <c r="AR114" s="318"/>
      <c r="AS114" s="318"/>
      <c r="AT114" s="318"/>
      <c r="AU114" s="318"/>
      <c r="AV114" s="318"/>
    </row>
    <row r="115" spans="2:48" ht="16.5" customHeight="1" x14ac:dyDescent="0.25">
      <c r="B115" s="412"/>
      <c r="C115" s="470"/>
      <c r="D115" s="470"/>
      <c r="E115" s="470"/>
      <c r="F115" s="395"/>
      <c r="G115" s="395"/>
      <c r="H115" s="395"/>
      <c r="I115" s="395"/>
      <c r="J115" s="395"/>
      <c r="K115" s="395"/>
      <c r="L115" s="395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435"/>
      <c r="AB115" s="435"/>
      <c r="AC115" s="435"/>
      <c r="AD115" s="435"/>
      <c r="AE115" s="435"/>
      <c r="AF115" s="435"/>
      <c r="AG115" s="21"/>
      <c r="AH115" s="278"/>
      <c r="AI115" s="278"/>
      <c r="AJ115" s="278"/>
      <c r="AK115" s="318"/>
      <c r="AL115" s="318"/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</row>
    <row r="116" spans="2:48" x14ac:dyDescent="0.25">
      <c r="B116" s="318"/>
      <c r="C116" s="470"/>
      <c r="D116" s="470"/>
      <c r="E116" s="470"/>
      <c r="F116" s="395"/>
      <c r="G116" s="395"/>
      <c r="H116" s="395"/>
      <c r="I116" s="395"/>
      <c r="J116" s="395"/>
      <c r="K116" s="395"/>
      <c r="L116" s="395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435"/>
      <c r="AB116" s="435"/>
      <c r="AC116" s="435"/>
      <c r="AD116" s="435"/>
      <c r="AE116" s="435"/>
      <c r="AF116" s="435"/>
      <c r="AG116" s="21"/>
      <c r="AH116" s="278"/>
      <c r="AI116" s="278"/>
      <c r="AJ116" s="278"/>
      <c r="AK116" s="318"/>
      <c r="AL116" s="318"/>
      <c r="AM116" s="318"/>
      <c r="AN116" s="318"/>
      <c r="AO116" s="318"/>
      <c r="AP116" s="318"/>
      <c r="AQ116" s="318"/>
      <c r="AR116" s="318"/>
      <c r="AS116" s="318"/>
      <c r="AT116" s="318"/>
      <c r="AU116" s="318"/>
      <c r="AV116" s="318"/>
    </row>
    <row r="117" spans="2:48" x14ac:dyDescent="0.25">
      <c r="B117" s="605" t="s">
        <v>550</v>
      </c>
      <c r="C117" s="605"/>
      <c r="D117" s="470"/>
      <c r="E117" s="470"/>
      <c r="F117" s="395"/>
      <c r="G117" s="395"/>
      <c r="H117" s="395"/>
      <c r="I117" s="395"/>
      <c r="J117" s="395"/>
      <c r="K117" s="395"/>
      <c r="L117" s="395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21"/>
      <c r="AH117" s="278"/>
      <c r="AI117" s="278"/>
      <c r="AJ117" s="278"/>
      <c r="AK117" s="318"/>
      <c r="AL117" s="318"/>
      <c r="AM117" s="318"/>
      <c r="AN117" s="318"/>
      <c r="AO117" s="318"/>
      <c r="AP117" s="318"/>
      <c r="AQ117" s="318"/>
      <c r="AR117" s="318"/>
      <c r="AS117" s="318"/>
      <c r="AT117" s="318"/>
      <c r="AU117" s="318"/>
      <c r="AV117" s="318"/>
    </row>
    <row r="118" spans="2:48" x14ac:dyDescent="0.25">
      <c r="B118" s="318"/>
      <c r="C118" s="470"/>
      <c r="D118" s="470"/>
      <c r="E118" s="470"/>
      <c r="F118" s="395"/>
      <c r="G118" s="395"/>
      <c r="H118" s="395"/>
      <c r="I118" s="395"/>
      <c r="J118" s="395"/>
      <c r="K118" s="395"/>
      <c r="L118" s="395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435"/>
      <c r="Y118" s="435"/>
      <c r="Z118" s="435"/>
      <c r="AA118" s="435"/>
      <c r="AB118" s="435"/>
      <c r="AC118" s="435"/>
      <c r="AD118" s="435"/>
      <c r="AE118" s="435"/>
      <c r="AF118" s="435"/>
      <c r="AG118" s="21"/>
      <c r="AH118" s="278"/>
      <c r="AI118" s="278"/>
      <c r="AJ118" s="278"/>
      <c r="AK118" s="318"/>
      <c r="AL118" s="318"/>
      <c r="AM118" s="318"/>
      <c r="AN118" s="318"/>
      <c r="AO118" s="318"/>
      <c r="AP118" s="318"/>
      <c r="AQ118" s="318"/>
      <c r="AR118" s="318"/>
      <c r="AS118" s="318"/>
      <c r="AT118" s="318"/>
      <c r="AU118" s="318"/>
      <c r="AV118" s="318"/>
    </row>
    <row r="119" spans="2:48" x14ac:dyDescent="0.25">
      <c r="B119" s="318"/>
      <c r="C119" s="470"/>
      <c r="D119" s="470"/>
      <c r="E119" s="470"/>
      <c r="F119" s="395"/>
      <c r="G119" s="395"/>
      <c r="H119" s="395"/>
      <c r="I119" s="395"/>
      <c r="J119" s="395"/>
      <c r="K119" s="395"/>
      <c r="L119" s="395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21"/>
      <c r="AD119" s="21"/>
      <c r="AE119" s="21"/>
      <c r="AF119" s="21"/>
      <c r="AG119" s="21"/>
      <c r="AH119" s="21"/>
      <c r="AI119" s="21"/>
      <c r="AJ119" s="21"/>
      <c r="AK119" s="21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</row>
    <row r="120" spans="2:48" x14ac:dyDescent="0.25">
      <c r="B120" s="318"/>
      <c r="C120" s="470"/>
      <c r="D120" s="470"/>
      <c r="E120" s="470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21"/>
      <c r="AD120" s="21"/>
      <c r="AE120" s="21"/>
      <c r="AF120" s="21"/>
      <c r="AG120" s="21"/>
      <c r="AH120" s="21"/>
      <c r="AI120" s="21"/>
      <c r="AJ120" s="21"/>
      <c r="AK120" s="21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</row>
    <row r="121" spans="2:48" x14ac:dyDescent="0.25">
      <c r="B121" s="318"/>
      <c r="C121" s="470"/>
      <c r="D121" s="470"/>
      <c r="E121" s="470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21"/>
      <c r="AD121" s="21"/>
      <c r="AE121" s="21"/>
      <c r="AF121" s="21"/>
      <c r="AG121" s="21"/>
      <c r="AH121" s="21"/>
      <c r="AI121" s="21"/>
      <c r="AJ121" s="21"/>
      <c r="AK121" s="21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</row>
    <row r="122" spans="2:48" x14ac:dyDescent="0.25"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</row>
    <row r="123" spans="2:48" x14ac:dyDescent="0.25">
      <c r="B123" s="318"/>
      <c r="C123" s="318"/>
      <c r="D123" s="318"/>
      <c r="E123" s="318"/>
      <c r="F123" s="318"/>
      <c r="G123" s="318"/>
      <c r="H123" s="318"/>
      <c r="I123" s="318"/>
      <c r="J123" s="515" t="s">
        <v>460</v>
      </c>
      <c r="K123" s="515"/>
      <c r="L123" s="515"/>
      <c r="M123" s="515"/>
      <c r="N123" s="515"/>
      <c r="O123" s="383"/>
      <c r="P123" s="383"/>
      <c r="Q123" s="383"/>
      <c r="R123" s="383"/>
      <c r="S123" s="383"/>
      <c r="T123" s="383"/>
      <c r="U123" s="383"/>
      <c r="V123" s="383"/>
      <c r="W123" s="383"/>
      <c r="X123" s="318"/>
      <c r="Y123" s="318"/>
      <c r="Z123" s="318"/>
      <c r="AA123" s="318"/>
      <c r="AB123" s="318"/>
      <c r="AC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  <c r="AO123" s="318"/>
      <c r="AP123" s="318"/>
      <c r="AQ123" s="318"/>
      <c r="AR123" s="318"/>
      <c r="AS123" s="318"/>
      <c r="AT123" s="318"/>
      <c r="AU123" s="318"/>
      <c r="AV123" s="318"/>
    </row>
    <row r="124" spans="2:48" ht="15.75" thickBot="1" x14ac:dyDescent="0.3"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</row>
    <row r="125" spans="2:48" ht="16.5" thickTop="1" thickBot="1" x14ac:dyDescent="0.3">
      <c r="B125" s="318"/>
      <c r="C125" s="318"/>
      <c r="D125" s="318"/>
      <c r="E125" s="318"/>
      <c r="F125" s="318"/>
      <c r="G125" s="318"/>
      <c r="H125" s="318"/>
      <c r="I125" s="318"/>
      <c r="J125" s="602" t="s">
        <v>214</v>
      </c>
      <c r="K125" s="603"/>
      <c r="L125" s="603"/>
      <c r="M125" s="603"/>
      <c r="N125" s="603"/>
      <c r="O125" s="603"/>
      <c r="P125" s="604"/>
      <c r="Q125" s="486"/>
      <c r="R125" s="486"/>
      <c r="S125" s="486"/>
      <c r="T125" s="486"/>
      <c r="U125" s="486"/>
      <c r="V125" s="486"/>
      <c r="W125" s="486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  <c r="AH125" s="318"/>
      <c r="AI125" s="318"/>
      <c r="AJ125" s="318"/>
      <c r="AK125" s="318"/>
      <c r="AL125" s="318"/>
      <c r="AM125" s="318"/>
      <c r="AN125" s="318"/>
      <c r="AO125" s="318"/>
      <c r="AP125" s="318"/>
      <c r="AQ125" s="318"/>
      <c r="AR125" s="318"/>
      <c r="AS125" s="318"/>
      <c r="AT125" s="318"/>
      <c r="AU125" s="318"/>
      <c r="AV125" s="318"/>
    </row>
    <row r="126" spans="2:48" ht="16.5" thickTop="1" thickBot="1" x14ac:dyDescent="0.3">
      <c r="B126" s="318"/>
      <c r="C126" s="318"/>
      <c r="D126" s="318"/>
      <c r="E126" s="318"/>
      <c r="F126" s="318"/>
      <c r="G126" s="318"/>
      <c r="H126" s="318"/>
      <c r="I126" s="318"/>
      <c r="J126" s="602" t="s">
        <v>222</v>
      </c>
      <c r="K126" s="603"/>
      <c r="L126" s="603"/>
      <c r="M126" s="603"/>
      <c r="N126" s="603"/>
      <c r="O126" s="603"/>
      <c r="P126" s="604"/>
      <c r="Q126" s="486"/>
      <c r="R126" s="486"/>
      <c r="S126" s="486"/>
      <c r="T126" s="486"/>
      <c r="U126" s="486"/>
      <c r="V126" s="486"/>
      <c r="W126" s="486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18"/>
      <c r="AS126" s="318"/>
      <c r="AT126" s="318"/>
      <c r="AU126" s="318"/>
      <c r="AV126" s="318"/>
    </row>
    <row r="127" spans="2:48" ht="6" customHeight="1" thickTop="1" thickBot="1" x14ac:dyDescent="0.3"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27"/>
      <c r="P127" s="327"/>
      <c r="Q127" s="327"/>
      <c r="R127" s="327"/>
      <c r="S127" s="327"/>
      <c r="T127" s="327"/>
      <c r="U127" s="327"/>
      <c r="V127" s="327"/>
      <c r="W127" s="327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</row>
    <row r="128" spans="2:48" ht="16.5" thickTop="1" thickBot="1" x14ac:dyDescent="0.3">
      <c r="B128" s="318"/>
      <c r="C128" s="318"/>
      <c r="D128" s="318"/>
      <c r="E128" s="318"/>
      <c r="F128" s="318"/>
      <c r="G128" s="318"/>
      <c r="H128" s="318"/>
      <c r="I128" s="318"/>
      <c r="J128" s="594" t="s">
        <v>475</v>
      </c>
      <c r="K128" s="595"/>
      <c r="L128" s="595"/>
      <c r="M128" s="595"/>
      <c r="N128" s="595"/>
      <c r="O128" s="595"/>
      <c r="P128" s="596"/>
      <c r="Q128" s="486"/>
      <c r="R128" s="486"/>
      <c r="S128" s="486"/>
      <c r="T128" s="486"/>
      <c r="U128" s="486"/>
      <c r="V128" s="486"/>
      <c r="W128" s="486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  <c r="AI128" s="318"/>
      <c r="AJ128" s="318"/>
      <c r="AK128" s="318"/>
      <c r="AL128" s="318"/>
      <c r="AM128" s="318"/>
      <c r="AN128" s="318"/>
      <c r="AO128" s="318"/>
      <c r="AP128" s="318"/>
      <c r="AQ128" s="318"/>
      <c r="AR128" s="318"/>
      <c r="AS128" s="318"/>
      <c r="AT128" s="318"/>
      <c r="AU128" s="318"/>
      <c r="AV128" s="318"/>
    </row>
    <row r="129" spans="2:48" ht="16.5" thickTop="1" thickBot="1" x14ac:dyDescent="0.3">
      <c r="B129" s="318"/>
      <c r="C129" s="318"/>
      <c r="D129" s="318"/>
      <c r="E129" s="318"/>
      <c r="F129" s="318"/>
      <c r="G129" s="318"/>
      <c r="H129" s="318"/>
      <c r="I129" s="318"/>
      <c r="J129" s="594" t="s">
        <v>218</v>
      </c>
      <c r="K129" s="595"/>
      <c r="L129" s="595"/>
      <c r="M129" s="595"/>
      <c r="N129" s="595"/>
      <c r="O129" s="595"/>
      <c r="P129" s="596"/>
      <c r="Q129" s="486"/>
      <c r="R129" s="486"/>
      <c r="S129" s="486"/>
      <c r="T129" s="486"/>
      <c r="U129" s="486"/>
      <c r="V129" s="486"/>
      <c r="W129" s="486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  <c r="AI129" s="318"/>
      <c r="AJ129" s="318"/>
      <c r="AK129" s="318"/>
      <c r="AL129" s="318"/>
      <c r="AM129" s="318"/>
      <c r="AN129" s="318"/>
      <c r="AO129" s="318"/>
      <c r="AP129" s="318"/>
      <c r="AQ129" s="318"/>
      <c r="AR129" s="318"/>
      <c r="AS129" s="318"/>
      <c r="AT129" s="318"/>
      <c r="AU129" s="318"/>
      <c r="AV129" s="318"/>
    </row>
    <row r="130" spans="2:48" ht="15.75" thickTop="1" x14ac:dyDescent="0.25"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</row>
    <row r="131" spans="2:48" x14ac:dyDescent="0.25">
      <c r="B131" s="318"/>
      <c r="C131" s="318"/>
      <c r="D131" s="318"/>
      <c r="E131" s="318"/>
      <c r="F131" s="318"/>
      <c r="G131" s="318"/>
      <c r="H131" s="318"/>
      <c r="I131" s="318"/>
      <c r="J131" s="434" t="str">
        <f>IF(C73='FOGLIO DEPOSITO'!N184,"Nei grafici tratteggiati sono inseriti gli incrementi di pressione orizzontale calcolati con la teoria di Wood","")</f>
        <v/>
      </c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318"/>
      <c r="AQ131" s="318"/>
      <c r="AR131" s="318"/>
      <c r="AS131" s="318"/>
      <c r="AT131" s="318"/>
      <c r="AU131" s="318"/>
      <c r="AV131" s="318"/>
    </row>
    <row r="132" spans="2:48" x14ac:dyDescent="0.25"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  <c r="AN132" s="318"/>
      <c r="AO132" s="318"/>
      <c r="AP132" s="318"/>
      <c r="AQ132" s="318"/>
      <c r="AR132" s="318"/>
      <c r="AS132" s="318"/>
      <c r="AT132" s="318"/>
      <c r="AU132" s="318"/>
      <c r="AV132" s="318"/>
    </row>
    <row r="133" spans="2:48" x14ac:dyDescent="0.25">
      <c r="B133" s="318"/>
      <c r="C133" s="318"/>
      <c r="D133" s="318"/>
      <c r="E133" s="318"/>
      <c r="F133" s="318"/>
      <c r="G133" s="318"/>
      <c r="H133" s="318"/>
      <c r="I133" s="318"/>
      <c r="J133" s="417" t="s">
        <v>549</v>
      </c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8"/>
      <c r="AL133" s="318"/>
      <c r="AM133" s="318"/>
      <c r="AN133" s="318"/>
      <c r="AO133" s="318"/>
      <c r="AP133" s="318"/>
      <c r="AQ133" s="318"/>
      <c r="AR133" s="318"/>
      <c r="AS133" s="318"/>
      <c r="AT133" s="318"/>
      <c r="AU133" s="318"/>
      <c r="AV133" s="318"/>
    </row>
    <row r="134" spans="2:48" x14ac:dyDescent="0.25"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318"/>
      <c r="AQ134" s="318"/>
      <c r="AR134" s="318"/>
      <c r="AS134" s="318"/>
      <c r="AT134" s="318"/>
      <c r="AU134" s="318"/>
      <c r="AV134" s="318"/>
    </row>
    <row r="135" spans="2:48" x14ac:dyDescent="0.25"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88" t="s">
        <v>546</v>
      </c>
      <c r="M135" s="388" t="s">
        <v>548</v>
      </c>
      <c r="N135" s="388" t="s">
        <v>547</v>
      </c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</row>
    <row r="136" spans="2:48" x14ac:dyDescent="0.25">
      <c r="B136" s="318"/>
      <c r="C136" s="318"/>
      <c r="D136" s="318"/>
      <c r="E136" s="318"/>
      <c r="F136" s="318"/>
      <c r="G136" s="318"/>
      <c r="H136" s="318"/>
      <c r="I136" s="318"/>
      <c r="J136" s="10" t="str">
        <f>'FOGLIO DEPOSITO'!N178</f>
        <v>Rankine</v>
      </c>
      <c r="K136" s="318"/>
      <c r="L136" s="231">
        <f>'FOGLIO DEPOSITO'!O178</f>
        <v>0.36103348349818304</v>
      </c>
      <c r="M136" s="231">
        <f>'FOGLIO DEPOSITO'!P178</f>
        <v>0.39046170695558291</v>
      </c>
      <c r="N136" s="231">
        <f>'FOGLIO DEPOSITO'!Q178</f>
        <v>0.30725852452246849</v>
      </c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18"/>
      <c r="AQ136" s="318"/>
      <c r="AR136" s="318"/>
      <c r="AS136" s="318"/>
      <c r="AT136" s="318"/>
      <c r="AU136" s="318"/>
      <c r="AV136" s="318"/>
    </row>
    <row r="137" spans="2:48" x14ac:dyDescent="0.25">
      <c r="B137" s="318"/>
      <c r="C137" s="318"/>
      <c r="D137" s="318"/>
      <c r="E137" s="318"/>
      <c r="F137" s="318"/>
      <c r="G137" s="318"/>
      <c r="H137" s="318"/>
      <c r="I137" s="318"/>
      <c r="J137" s="10" t="str">
        <f>'FOGLIO DEPOSITO'!N179</f>
        <v>Muller-Breslau</v>
      </c>
      <c r="K137" s="318"/>
      <c r="L137" s="231">
        <f>'FOGLIO DEPOSITO'!O179</f>
        <v>0.36103361147480711</v>
      </c>
      <c r="M137" s="231">
        <f>'FOGLIO DEPOSITO'!P179</f>
        <v>0.3904618339162011</v>
      </c>
      <c r="N137" s="231">
        <f>'FOGLIO DEPOSITO'!Q179</f>
        <v>0.30725865252011036</v>
      </c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318"/>
      <c r="AQ137" s="318"/>
      <c r="AR137" s="318"/>
      <c r="AS137" s="318"/>
      <c r="AT137" s="318"/>
      <c r="AU137" s="318"/>
      <c r="AV137" s="318"/>
    </row>
    <row r="138" spans="2:48" x14ac:dyDescent="0.25">
      <c r="B138" s="318"/>
      <c r="C138" s="318"/>
      <c r="D138" s="318"/>
      <c r="E138" s="318"/>
      <c r="F138" s="318"/>
      <c r="G138" s="318"/>
      <c r="H138" s="318"/>
      <c r="I138" s="318"/>
      <c r="J138" s="10" t="str">
        <f>'FOGLIO DEPOSITO'!N180</f>
        <v>Lancellotta</v>
      </c>
      <c r="K138" s="318"/>
      <c r="L138" s="421">
        <f>'FOGLIO DEPOSITO'!O180</f>
        <v>0.36103348349818315</v>
      </c>
      <c r="M138" s="421">
        <f>'FOGLIO DEPOSITO'!P180</f>
        <v>0.39046170695558297</v>
      </c>
      <c r="N138" s="421">
        <f>'FOGLIO DEPOSITO'!Q180</f>
        <v>0.30725852452246843</v>
      </c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  <c r="AQ138" s="318"/>
      <c r="AR138" s="318"/>
      <c r="AS138" s="318"/>
      <c r="AT138" s="318"/>
      <c r="AU138" s="318"/>
      <c r="AV138" s="318"/>
    </row>
    <row r="139" spans="2:48" x14ac:dyDescent="0.25">
      <c r="B139" s="318"/>
      <c r="C139" s="318"/>
      <c r="D139" s="318"/>
      <c r="E139" s="318"/>
      <c r="F139" s="318"/>
      <c r="G139" s="318"/>
      <c r="H139" s="318"/>
      <c r="I139" s="318"/>
      <c r="J139" s="10" t="str">
        <f>'FOGLIO DEPOSITO'!N181</f>
        <v>Mononobe Okabe K(kv+)</v>
      </c>
      <c r="K139" s="318"/>
      <c r="L139" s="231">
        <f>'FOGLIO DEPOSITO'!O181</f>
        <v>0.41923878646175688</v>
      </c>
      <c r="M139" s="231">
        <f>'FOGLIO DEPOSITO'!P181</f>
        <v>0.45117968159137756</v>
      </c>
      <c r="N139" s="231">
        <f>'FOGLIO DEPOSITO'!Q181</f>
        <v>0.36072719944410481</v>
      </c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318"/>
      <c r="AQ139" s="318"/>
      <c r="AR139" s="318"/>
      <c r="AS139" s="318"/>
      <c r="AT139" s="318"/>
      <c r="AU139" s="318"/>
      <c r="AV139" s="318"/>
    </row>
    <row r="140" spans="2:48" x14ac:dyDescent="0.25">
      <c r="B140" s="318"/>
      <c r="C140" s="318"/>
      <c r="D140" s="318"/>
      <c r="E140" s="318"/>
      <c r="F140" s="318"/>
      <c r="G140" s="318"/>
      <c r="H140" s="318"/>
      <c r="I140" s="318"/>
      <c r="J140" s="10" t="str">
        <f>'FOGLIO DEPOSITO'!N182</f>
        <v>Mononobe Okabe K(kv-)</v>
      </c>
      <c r="K140" s="318"/>
      <c r="L140" s="231">
        <f>'FOGLIO DEPOSITO'!O182</f>
        <v>0.42548739471746355</v>
      </c>
      <c r="M140" s="231">
        <f>'FOGLIO DEPOSITO'!P182</f>
        <v>0.4577246208808658</v>
      </c>
      <c r="N140" s="231">
        <f>'FOGLIO DEPOSITO'!Q182</f>
        <v>0.36643457483933434</v>
      </c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  <c r="AQ140" s="318"/>
      <c r="AR140" s="318"/>
      <c r="AS140" s="318"/>
      <c r="AT140" s="318"/>
      <c r="AU140" s="318"/>
      <c r="AV140" s="318"/>
    </row>
    <row r="141" spans="2:48" x14ac:dyDescent="0.25">
      <c r="B141" s="318"/>
      <c r="C141" s="318"/>
      <c r="D141" s="318"/>
      <c r="E141" s="318"/>
      <c r="F141" s="318"/>
      <c r="G141" s="318"/>
      <c r="H141" s="318"/>
      <c r="I141" s="318"/>
      <c r="J141" s="10" t="str">
        <f>'FOGLIO DEPOSITO'!N183</f>
        <v>Spinta a riposo</v>
      </c>
      <c r="K141" s="318"/>
      <c r="L141" s="231">
        <f>'FOGLIO DEPOSITO'!O183</f>
        <v>0.53052843721410925</v>
      </c>
      <c r="M141" s="231">
        <f>'FOGLIO DEPOSITO'!P183</f>
        <v>0.5616288532109226</v>
      </c>
      <c r="N141" s="231">
        <f>'FOGLIO DEPOSITO'!Q183</f>
        <v>0.4700807357667951</v>
      </c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  <c r="AQ141" s="318"/>
      <c r="AR141" s="318"/>
      <c r="AS141" s="318"/>
      <c r="AT141" s="318"/>
      <c r="AU141" s="318"/>
      <c r="AV141" s="318"/>
    </row>
    <row r="142" spans="2:48" x14ac:dyDescent="0.25">
      <c r="B142" s="318"/>
      <c r="C142" s="318"/>
      <c r="D142" s="318"/>
      <c r="E142" s="318"/>
      <c r="F142" s="318"/>
      <c r="G142" s="318"/>
      <c r="H142" s="318"/>
      <c r="I142" s="318"/>
      <c r="J142" s="10" t="str">
        <f>'FOGLIO DEPOSITO'!N184</f>
        <v>Wood</v>
      </c>
      <c r="K142" s="318"/>
      <c r="L142" s="231">
        <f>'FOGLIO DEPOSITO'!O184</f>
        <v>0.53052843721410925</v>
      </c>
      <c r="M142" s="231">
        <f>'FOGLIO DEPOSITO'!P184</f>
        <v>0.5616288532109226</v>
      </c>
      <c r="N142" s="231">
        <f>'FOGLIO DEPOSITO'!Q184</f>
        <v>0.4700807357667951</v>
      </c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  <c r="AO142" s="318"/>
      <c r="AP142" s="318"/>
      <c r="AQ142" s="318"/>
      <c r="AR142" s="318"/>
      <c r="AS142" s="318"/>
      <c r="AT142" s="318"/>
      <c r="AU142" s="318"/>
      <c r="AV142" s="318"/>
    </row>
    <row r="143" spans="2:48" x14ac:dyDescent="0.25"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  <c r="AQ143" s="318"/>
      <c r="AR143" s="318"/>
      <c r="AS143" s="318"/>
      <c r="AT143" s="318"/>
      <c r="AU143" s="318"/>
      <c r="AV143" s="318"/>
    </row>
    <row r="144" spans="2:48" x14ac:dyDescent="0.25"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318"/>
      <c r="AQ144" s="318"/>
      <c r="AR144" s="318"/>
      <c r="AS144" s="318"/>
      <c r="AT144" s="318"/>
      <c r="AU144" s="318"/>
      <c r="AV144" s="318"/>
    </row>
    <row r="145" spans="2:48" x14ac:dyDescent="0.25"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  <c r="AN145" s="318"/>
      <c r="AO145" s="318"/>
      <c r="AP145" s="318"/>
      <c r="AQ145" s="318"/>
      <c r="AR145" s="318"/>
      <c r="AS145" s="318"/>
      <c r="AT145" s="318"/>
      <c r="AU145" s="318"/>
      <c r="AV145" s="318"/>
    </row>
    <row r="146" spans="2:48" x14ac:dyDescent="0.25"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18"/>
      <c r="AQ146" s="318"/>
      <c r="AR146" s="318"/>
      <c r="AS146" s="318"/>
      <c r="AT146" s="318"/>
      <c r="AU146" s="318"/>
      <c r="AV146" s="318"/>
    </row>
    <row r="147" spans="2:48" x14ac:dyDescent="0.25"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  <c r="AJ147" s="318"/>
      <c r="AK147" s="318"/>
      <c r="AL147" s="318"/>
      <c r="AM147" s="318"/>
      <c r="AN147" s="318"/>
      <c r="AO147" s="318"/>
      <c r="AP147" s="318"/>
      <c r="AQ147" s="318"/>
      <c r="AR147" s="318"/>
      <c r="AS147" s="318"/>
      <c r="AT147" s="318"/>
      <c r="AU147" s="318"/>
      <c r="AV147" s="318"/>
    </row>
    <row r="148" spans="2:48" x14ac:dyDescent="0.25"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  <c r="AB148" s="318"/>
      <c r="AC148" s="318"/>
      <c r="AD148" s="318"/>
      <c r="AE148" s="318"/>
      <c r="AF148" s="318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318"/>
      <c r="AQ148" s="318"/>
      <c r="AR148" s="318"/>
      <c r="AS148" s="318"/>
      <c r="AT148" s="318"/>
      <c r="AU148" s="318"/>
      <c r="AV148" s="318"/>
    </row>
    <row r="149" spans="2:48" x14ac:dyDescent="0.25"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318"/>
      <c r="AQ149" s="318"/>
      <c r="AR149" s="318"/>
      <c r="AS149" s="318"/>
      <c r="AT149" s="318"/>
      <c r="AU149" s="318"/>
      <c r="AV149" s="318"/>
    </row>
    <row r="150" spans="2:48" x14ac:dyDescent="0.25"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</row>
    <row r="151" spans="2:48" x14ac:dyDescent="0.25"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  <c r="AH151" s="318"/>
      <c r="AI151" s="318"/>
      <c r="AJ151" s="318"/>
      <c r="AK151" s="318"/>
      <c r="AL151" s="318"/>
      <c r="AM151" s="318"/>
      <c r="AN151" s="318"/>
      <c r="AO151" s="318"/>
      <c r="AP151" s="318"/>
      <c r="AQ151" s="318"/>
      <c r="AR151" s="318"/>
      <c r="AS151" s="318"/>
      <c r="AT151" s="318"/>
      <c r="AU151" s="318"/>
      <c r="AV151" s="318"/>
    </row>
    <row r="152" spans="2:48" x14ac:dyDescent="0.25">
      <c r="B152" s="324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  <c r="AC152" s="318"/>
      <c r="AD152" s="318"/>
      <c r="AE152" s="318"/>
      <c r="AF152" s="318"/>
      <c r="AG152" s="318"/>
      <c r="AH152" s="318"/>
      <c r="AI152" s="318"/>
      <c r="AJ152" s="318"/>
      <c r="AK152" s="318"/>
      <c r="AL152" s="318"/>
      <c r="AM152" s="318"/>
      <c r="AN152" s="318"/>
      <c r="AO152" s="318"/>
      <c r="AP152" s="318"/>
      <c r="AQ152" s="318"/>
      <c r="AR152" s="318"/>
      <c r="AS152" s="318"/>
      <c r="AT152" s="318"/>
      <c r="AU152" s="318"/>
      <c r="AV152" s="318"/>
    </row>
    <row r="153" spans="2:48" x14ac:dyDescent="0.25"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  <c r="AA153" s="318"/>
      <c r="AB153" s="318"/>
      <c r="AC153" s="318"/>
      <c r="AD153" s="318"/>
      <c r="AE153" s="318"/>
      <c r="AF153" s="318"/>
      <c r="AG153" s="318"/>
      <c r="AH153" s="318"/>
      <c r="AI153" s="318"/>
      <c r="AJ153" s="318"/>
      <c r="AK153" s="318"/>
      <c r="AL153" s="318"/>
      <c r="AM153" s="318"/>
      <c r="AN153" s="318"/>
      <c r="AO153" s="318"/>
      <c r="AP153" s="318"/>
      <c r="AQ153" s="318"/>
      <c r="AR153" s="318"/>
      <c r="AS153" s="318"/>
      <c r="AT153" s="318"/>
      <c r="AU153" s="318"/>
      <c r="AV153" s="318"/>
    </row>
    <row r="154" spans="2:48" x14ac:dyDescent="0.25"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  <c r="AJ154" s="318"/>
      <c r="AK154" s="318"/>
      <c r="AL154" s="318"/>
      <c r="AM154" s="318"/>
      <c r="AN154" s="318"/>
      <c r="AO154" s="318"/>
      <c r="AP154" s="318"/>
      <c r="AQ154" s="318"/>
      <c r="AR154" s="318"/>
      <c r="AS154" s="318"/>
      <c r="AT154" s="318"/>
      <c r="AU154" s="318"/>
      <c r="AV154" s="318"/>
    </row>
    <row r="155" spans="2:48" x14ac:dyDescent="0.25"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8"/>
      <c r="AH155" s="318"/>
      <c r="AI155" s="318"/>
      <c r="AJ155" s="318"/>
      <c r="AK155" s="318"/>
      <c r="AL155" s="318"/>
      <c r="AM155" s="318"/>
      <c r="AN155" s="318"/>
      <c r="AO155" s="318"/>
      <c r="AP155" s="318"/>
      <c r="AQ155" s="318"/>
      <c r="AR155" s="318"/>
      <c r="AS155" s="318"/>
      <c r="AT155" s="318"/>
      <c r="AU155" s="318"/>
      <c r="AV155" s="318"/>
    </row>
    <row r="156" spans="2:48" x14ac:dyDescent="0.25"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  <c r="AB156" s="318"/>
      <c r="AC156" s="318"/>
      <c r="AD156" s="318"/>
      <c r="AE156" s="318"/>
      <c r="AF156" s="318"/>
      <c r="AG156" s="318"/>
      <c r="AH156" s="318"/>
      <c r="AI156" s="318"/>
      <c r="AJ156" s="318"/>
      <c r="AK156" s="318"/>
      <c r="AL156" s="318"/>
      <c r="AM156" s="318"/>
      <c r="AN156" s="318"/>
      <c r="AO156" s="318"/>
      <c r="AP156" s="318"/>
      <c r="AQ156" s="318"/>
      <c r="AR156" s="318"/>
      <c r="AS156" s="318"/>
      <c r="AT156" s="318"/>
      <c r="AU156" s="318"/>
      <c r="AV156" s="318"/>
    </row>
    <row r="157" spans="2:48" x14ac:dyDescent="0.25"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318"/>
      <c r="AQ157" s="318"/>
      <c r="AR157" s="318"/>
      <c r="AS157" s="318"/>
      <c r="AT157" s="318"/>
      <c r="AU157" s="318"/>
      <c r="AV157" s="318"/>
    </row>
    <row r="158" spans="2:48" x14ac:dyDescent="0.25"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</row>
    <row r="159" spans="2:48" x14ac:dyDescent="0.25"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  <c r="AJ159" s="318"/>
      <c r="AK159" s="318"/>
      <c r="AL159" s="318"/>
      <c r="AM159" s="318"/>
      <c r="AN159" s="318"/>
      <c r="AO159" s="318"/>
      <c r="AP159" s="318"/>
      <c r="AQ159" s="318"/>
      <c r="AR159" s="318"/>
      <c r="AS159" s="318"/>
      <c r="AT159" s="318"/>
      <c r="AU159" s="318"/>
      <c r="AV159" s="318"/>
    </row>
    <row r="160" spans="2:48" x14ac:dyDescent="0.25"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  <c r="AH160" s="318"/>
      <c r="AI160" s="318"/>
      <c r="AJ160" s="318"/>
      <c r="AK160" s="318"/>
      <c r="AL160" s="318"/>
      <c r="AM160" s="318"/>
      <c r="AN160" s="318"/>
      <c r="AO160" s="318"/>
      <c r="AP160" s="318"/>
      <c r="AQ160" s="318"/>
      <c r="AR160" s="318"/>
      <c r="AS160" s="318"/>
      <c r="AT160" s="318"/>
      <c r="AU160" s="318"/>
      <c r="AV160" s="318"/>
    </row>
    <row r="161" spans="2:48" x14ac:dyDescent="0.25"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  <c r="AH161" s="318"/>
      <c r="AI161" s="318"/>
      <c r="AJ161" s="318"/>
      <c r="AK161" s="318"/>
      <c r="AL161" s="318"/>
      <c r="AM161" s="318"/>
      <c r="AN161" s="318"/>
      <c r="AO161" s="318"/>
      <c r="AP161" s="318"/>
      <c r="AQ161" s="318"/>
      <c r="AR161" s="318"/>
      <c r="AS161" s="318"/>
      <c r="AT161" s="318"/>
      <c r="AU161" s="318"/>
      <c r="AV161" s="318"/>
    </row>
    <row r="162" spans="2:48" x14ac:dyDescent="0.25"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</row>
    <row r="163" spans="2:48" x14ac:dyDescent="0.25"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318"/>
      <c r="AJ163" s="318"/>
      <c r="AK163" s="318"/>
      <c r="AL163" s="318"/>
      <c r="AM163" s="318"/>
      <c r="AN163" s="318"/>
      <c r="AO163" s="318"/>
      <c r="AP163" s="318"/>
      <c r="AQ163" s="318"/>
      <c r="AR163" s="318"/>
      <c r="AS163" s="318"/>
      <c r="AT163" s="318"/>
      <c r="AU163" s="318"/>
      <c r="AV163" s="318"/>
    </row>
    <row r="164" spans="2:48" x14ac:dyDescent="0.25"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  <c r="AH164" s="318"/>
      <c r="AI164" s="318"/>
      <c r="AJ164" s="318"/>
      <c r="AK164" s="318"/>
      <c r="AL164" s="318"/>
      <c r="AM164" s="318"/>
      <c r="AN164" s="318"/>
      <c r="AO164" s="318"/>
      <c r="AP164" s="318"/>
      <c r="AQ164" s="318"/>
      <c r="AR164" s="318"/>
      <c r="AS164" s="318"/>
      <c r="AT164" s="318"/>
      <c r="AU164" s="318"/>
      <c r="AV164" s="318"/>
    </row>
    <row r="165" spans="2:48" x14ac:dyDescent="0.25"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8"/>
      <c r="AJ165" s="318"/>
      <c r="AK165" s="318"/>
      <c r="AL165" s="318"/>
      <c r="AM165" s="318"/>
      <c r="AN165" s="318"/>
      <c r="AO165" s="318"/>
      <c r="AP165" s="318"/>
      <c r="AQ165" s="318"/>
      <c r="AR165" s="318"/>
      <c r="AS165" s="318"/>
      <c r="AT165" s="318"/>
      <c r="AU165" s="318"/>
      <c r="AV165" s="318"/>
    </row>
    <row r="166" spans="2:48" x14ac:dyDescent="0.25"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8"/>
      <c r="AO166" s="318"/>
      <c r="AP166" s="318"/>
      <c r="AQ166" s="318"/>
      <c r="AR166" s="318"/>
      <c r="AS166" s="318"/>
      <c r="AT166" s="318"/>
      <c r="AU166" s="318"/>
      <c r="AV166" s="318"/>
    </row>
    <row r="167" spans="2:48" x14ac:dyDescent="0.25"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  <c r="AH167" s="318"/>
      <c r="AI167" s="318"/>
      <c r="AJ167" s="318"/>
      <c r="AK167" s="318"/>
      <c r="AL167" s="318"/>
      <c r="AM167" s="318"/>
      <c r="AN167" s="318"/>
      <c r="AO167" s="318"/>
      <c r="AP167" s="318"/>
      <c r="AQ167" s="318"/>
      <c r="AR167" s="318"/>
      <c r="AS167" s="318"/>
      <c r="AT167" s="318"/>
      <c r="AU167" s="318"/>
      <c r="AV167" s="318"/>
    </row>
    <row r="168" spans="2:48" x14ac:dyDescent="0.25"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  <c r="AA168" s="318"/>
      <c r="AB168" s="318"/>
      <c r="AC168" s="318"/>
      <c r="AD168" s="318"/>
      <c r="AE168" s="318"/>
      <c r="AF168" s="318"/>
      <c r="AG168" s="318"/>
      <c r="AH168" s="318"/>
      <c r="AI168" s="318"/>
      <c r="AJ168" s="318"/>
      <c r="AK168" s="318"/>
      <c r="AL168" s="318"/>
      <c r="AM168" s="318"/>
      <c r="AN168" s="318"/>
      <c r="AO168" s="318"/>
      <c r="AP168" s="318"/>
      <c r="AQ168" s="318"/>
      <c r="AR168" s="318"/>
      <c r="AS168" s="318"/>
      <c r="AT168" s="318"/>
      <c r="AU168" s="318"/>
      <c r="AV168" s="318"/>
    </row>
    <row r="169" spans="2:48" x14ac:dyDescent="0.25"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  <c r="AA169" s="318"/>
      <c r="AB169" s="318"/>
      <c r="AC169" s="318"/>
      <c r="AD169" s="318"/>
      <c r="AE169" s="318"/>
      <c r="AF169" s="318"/>
      <c r="AG169" s="318"/>
      <c r="AH169" s="318"/>
      <c r="AI169" s="318"/>
      <c r="AJ169" s="318"/>
      <c r="AK169" s="318"/>
      <c r="AL169" s="318"/>
      <c r="AM169" s="318"/>
      <c r="AN169" s="318"/>
      <c r="AO169" s="318"/>
      <c r="AP169" s="318"/>
      <c r="AQ169" s="318"/>
      <c r="AR169" s="318"/>
      <c r="AS169" s="318"/>
      <c r="AT169" s="318"/>
      <c r="AU169" s="318"/>
      <c r="AV169" s="318"/>
    </row>
    <row r="170" spans="2:48" x14ac:dyDescent="0.25"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  <c r="AA170" s="318"/>
      <c r="AB170" s="318"/>
      <c r="AC170" s="318"/>
      <c r="AD170" s="318"/>
      <c r="AE170" s="318"/>
      <c r="AF170" s="318"/>
      <c r="AG170" s="318"/>
      <c r="AH170" s="318"/>
      <c r="AI170" s="318"/>
      <c r="AJ170" s="318"/>
      <c r="AK170" s="318"/>
      <c r="AL170" s="318"/>
      <c r="AM170" s="318"/>
      <c r="AN170" s="318"/>
      <c r="AO170" s="318"/>
      <c r="AP170" s="318"/>
      <c r="AQ170" s="318"/>
      <c r="AR170" s="318"/>
      <c r="AS170" s="318"/>
      <c r="AT170" s="318"/>
      <c r="AU170" s="318"/>
      <c r="AV170" s="318"/>
    </row>
    <row r="171" spans="2:48" x14ac:dyDescent="0.25"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  <c r="AA171" s="318"/>
      <c r="AB171" s="318"/>
      <c r="AC171" s="318"/>
      <c r="AD171" s="318"/>
      <c r="AE171" s="318"/>
      <c r="AF171" s="318"/>
      <c r="AG171" s="318"/>
      <c r="AH171" s="318"/>
      <c r="AI171" s="318"/>
      <c r="AJ171" s="318"/>
      <c r="AK171" s="318"/>
      <c r="AL171" s="318"/>
      <c r="AM171" s="318"/>
      <c r="AN171" s="318"/>
      <c r="AO171" s="318"/>
      <c r="AP171" s="318"/>
      <c r="AQ171" s="318"/>
      <c r="AR171" s="318"/>
      <c r="AS171" s="318"/>
      <c r="AT171" s="318"/>
      <c r="AU171" s="318"/>
      <c r="AV171" s="318"/>
    </row>
    <row r="172" spans="2:48" x14ac:dyDescent="0.25"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  <c r="AA172" s="318"/>
      <c r="AB172" s="318"/>
      <c r="AC172" s="318"/>
      <c r="AD172" s="318"/>
      <c r="AE172" s="318"/>
      <c r="AF172" s="318"/>
      <c r="AG172" s="318"/>
      <c r="AH172" s="318"/>
      <c r="AI172" s="318"/>
      <c r="AJ172" s="318"/>
      <c r="AK172" s="318"/>
      <c r="AL172" s="318"/>
      <c r="AM172" s="318"/>
      <c r="AN172" s="318"/>
      <c r="AO172" s="318"/>
      <c r="AP172" s="318"/>
      <c r="AQ172" s="318"/>
      <c r="AR172" s="318"/>
      <c r="AS172" s="318"/>
      <c r="AT172" s="318"/>
      <c r="AU172" s="318"/>
      <c r="AV172" s="318"/>
    </row>
    <row r="173" spans="2:48" x14ac:dyDescent="0.25"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8"/>
    </row>
    <row r="174" spans="2:48" x14ac:dyDescent="0.25"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  <c r="AM174" s="318"/>
      <c r="AN174" s="318"/>
      <c r="AO174" s="318"/>
      <c r="AP174" s="318"/>
      <c r="AQ174" s="318"/>
      <c r="AR174" s="318"/>
      <c r="AS174" s="318"/>
      <c r="AT174" s="318"/>
      <c r="AU174" s="318"/>
      <c r="AV174" s="318"/>
    </row>
    <row r="175" spans="2:48" x14ac:dyDescent="0.25"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318"/>
      <c r="AC175" s="318"/>
      <c r="AD175" s="318"/>
      <c r="AE175" s="318"/>
      <c r="AF175" s="318"/>
      <c r="AG175" s="318"/>
      <c r="AH175" s="318"/>
      <c r="AI175" s="318"/>
      <c r="AJ175" s="318"/>
      <c r="AK175" s="318"/>
      <c r="AL175" s="318"/>
      <c r="AM175" s="318"/>
      <c r="AN175" s="318"/>
      <c r="AO175" s="318"/>
      <c r="AP175" s="318"/>
      <c r="AQ175" s="318"/>
      <c r="AR175" s="318"/>
      <c r="AS175" s="318"/>
      <c r="AT175" s="318"/>
      <c r="AU175" s="318"/>
      <c r="AV175" s="318"/>
    </row>
    <row r="176" spans="2:48" x14ac:dyDescent="0.25"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  <c r="AM176" s="318"/>
      <c r="AN176" s="318"/>
      <c r="AO176" s="318"/>
      <c r="AP176" s="318"/>
      <c r="AQ176" s="318"/>
      <c r="AR176" s="318"/>
      <c r="AS176" s="318"/>
      <c r="AT176" s="318"/>
      <c r="AU176" s="318"/>
      <c r="AV176" s="318"/>
    </row>
    <row r="177" spans="2:48" x14ac:dyDescent="0.25"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  <c r="AA177" s="318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8"/>
      <c r="AL177" s="318"/>
      <c r="AM177" s="318"/>
      <c r="AN177" s="318"/>
      <c r="AO177" s="318"/>
      <c r="AP177" s="318"/>
      <c r="AQ177" s="318"/>
      <c r="AR177" s="318"/>
      <c r="AS177" s="318"/>
      <c r="AT177" s="318"/>
      <c r="AU177" s="318"/>
      <c r="AV177" s="318"/>
    </row>
    <row r="178" spans="2:48" x14ac:dyDescent="0.25"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8"/>
      <c r="AB178" s="318"/>
      <c r="AC178" s="318"/>
      <c r="AD178" s="318"/>
      <c r="AE178" s="318"/>
      <c r="AF178" s="318"/>
      <c r="AG178" s="318"/>
      <c r="AH178" s="318"/>
      <c r="AI178" s="318"/>
      <c r="AJ178" s="318"/>
      <c r="AK178" s="318"/>
      <c r="AL178" s="318"/>
      <c r="AM178" s="318"/>
      <c r="AN178" s="318"/>
      <c r="AO178" s="318"/>
      <c r="AP178" s="318"/>
      <c r="AQ178" s="318"/>
      <c r="AR178" s="318"/>
      <c r="AS178" s="318"/>
      <c r="AT178" s="318"/>
      <c r="AU178" s="318"/>
      <c r="AV178" s="318"/>
    </row>
    <row r="179" spans="2:48" x14ac:dyDescent="0.25"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  <c r="AA179" s="318"/>
      <c r="AB179" s="318"/>
      <c r="AC179" s="318"/>
      <c r="AD179" s="318"/>
      <c r="AE179" s="318"/>
      <c r="AF179" s="318"/>
      <c r="AG179" s="318"/>
      <c r="AH179" s="318"/>
      <c r="AI179" s="318"/>
      <c r="AJ179" s="318"/>
      <c r="AK179" s="318"/>
      <c r="AL179" s="318"/>
      <c r="AM179" s="318"/>
      <c r="AN179" s="318"/>
      <c r="AO179" s="318"/>
      <c r="AP179" s="318"/>
      <c r="AQ179" s="318"/>
      <c r="AR179" s="318"/>
      <c r="AS179" s="318"/>
      <c r="AT179" s="318"/>
      <c r="AU179" s="318"/>
      <c r="AV179" s="318"/>
    </row>
    <row r="180" spans="2:48" x14ac:dyDescent="0.25"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  <c r="AA180" s="318"/>
      <c r="AB180" s="318"/>
      <c r="AC180" s="318"/>
      <c r="AD180" s="318"/>
      <c r="AE180" s="318"/>
      <c r="AF180" s="318"/>
      <c r="AG180" s="318"/>
      <c r="AH180" s="318"/>
      <c r="AI180" s="318"/>
      <c r="AJ180" s="318"/>
      <c r="AK180" s="318"/>
      <c r="AL180" s="318"/>
      <c r="AM180" s="318"/>
      <c r="AN180" s="318"/>
      <c r="AO180" s="318"/>
      <c r="AP180" s="318"/>
      <c r="AQ180" s="318"/>
      <c r="AR180" s="318"/>
      <c r="AS180" s="318"/>
      <c r="AT180" s="318"/>
      <c r="AU180" s="318"/>
      <c r="AV180" s="318"/>
    </row>
    <row r="181" spans="2:48" x14ac:dyDescent="0.25"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318"/>
      <c r="AI181" s="318"/>
      <c r="AJ181" s="318"/>
      <c r="AK181" s="318"/>
      <c r="AL181" s="318"/>
      <c r="AM181" s="318"/>
      <c r="AN181" s="318"/>
      <c r="AO181" s="318"/>
      <c r="AP181" s="318"/>
      <c r="AQ181" s="318"/>
      <c r="AR181" s="318"/>
      <c r="AS181" s="318"/>
      <c r="AT181" s="318"/>
      <c r="AU181" s="318"/>
      <c r="AV181" s="318"/>
    </row>
    <row r="182" spans="2:48" x14ac:dyDescent="0.25"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318"/>
      <c r="AF182" s="318"/>
      <c r="AG182" s="318"/>
      <c r="AH182" s="318"/>
      <c r="AI182" s="318"/>
      <c r="AJ182" s="318"/>
      <c r="AK182" s="318"/>
      <c r="AL182" s="318"/>
      <c r="AM182" s="318"/>
      <c r="AN182" s="318"/>
      <c r="AO182" s="318"/>
      <c r="AP182" s="318"/>
      <c r="AQ182" s="318"/>
      <c r="AR182" s="318"/>
      <c r="AS182" s="318"/>
      <c r="AT182" s="318"/>
      <c r="AU182" s="318"/>
      <c r="AV182" s="318"/>
    </row>
    <row r="183" spans="2:48" x14ac:dyDescent="0.25"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318"/>
      <c r="AF183" s="318"/>
      <c r="AG183" s="318"/>
      <c r="AH183" s="318"/>
      <c r="AI183" s="318"/>
      <c r="AJ183" s="318"/>
      <c r="AK183" s="318"/>
      <c r="AL183" s="318"/>
      <c r="AM183" s="318"/>
      <c r="AN183" s="318"/>
      <c r="AO183" s="318"/>
      <c r="AP183" s="318"/>
      <c r="AQ183" s="318"/>
      <c r="AR183" s="318"/>
      <c r="AS183" s="318"/>
      <c r="AT183" s="318"/>
      <c r="AU183" s="318"/>
      <c r="AV183" s="318"/>
    </row>
    <row r="184" spans="2:48" x14ac:dyDescent="0.25"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  <c r="AA184" s="318"/>
      <c r="AB184" s="318"/>
      <c r="AC184" s="318"/>
      <c r="AD184" s="318"/>
      <c r="AE184" s="318"/>
      <c r="AF184" s="318"/>
      <c r="AG184" s="318"/>
      <c r="AH184" s="318"/>
      <c r="AI184" s="318"/>
      <c r="AJ184" s="318"/>
      <c r="AK184" s="318"/>
      <c r="AL184" s="318"/>
      <c r="AM184" s="318"/>
      <c r="AN184" s="318"/>
      <c r="AO184" s="318"/>
      <c r="AP184" s="318"/>
      <c r="AQ184" s="318"/>
      <c r="AR184" s="318"/>
      <c r="AS184" s="318"/>
      <c r="AT184" s="318"/>
      <c r="AU184" s="318"/>
      <c r="AV184" s="318"/>
    </row>
    <row r="185" spans="2:48" x14ac:dyDescent="0.25"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  <c r="AA185" s="318"/>
      <c r="AB185" s="318"/>
      <c r="AC185" s="318"/>
      <c r="AD185" s="318"/>
      <c r="AE185" s="318"/>
      <c r="AF185" s="318"/>
      <c r="AG185" s="318"/>
      <c r="AH185" s="318"/>
      <c r="AI185" s="318"/>
      <c r="AJ185" s="318"/>
      <c r="AK185" s="318"/>
      <c r="AL185" s="318"/>
      <c r="AM185" s="318"/>
      <c r="AN185" s="318"/>
      <c r="AO185" s="318"/>
      <c r="AP185" s="318"/>
      <c r="AQ185" s="318"/>
      <c r="AR185" s="318"/>
      <c r="AS185" s="318"/>
      <c r="AT185" s="318"/>
      <c r="AU185" s="318"/>
      <c r="AV185" s="318"/>
    </row>
    <row r="186" spans="2:48" x14ac:dyDescent="0.25"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  <c r="AA186" s="318"/>
      <c r="AB186" s="318"/>
      <c r="AC186" s="318"/>
      <c r="AD186" s="318"/>
      <c r="AE186" s="318"/>
      <c r="AF186" s="318"/>
      <c r="AG186" s="318"/>
      <c r="AH186" s="318"/>
      <c r="AI186" s="318"/>
      <c r="AJ186" s="318"/>
      <c r="AK186" s="318"/>
      <c r="AL186" s="318"/>
      <c r="AM186" s="318"/>
      <c r="AN186" s="318"/>
      <c r="AO186" s="318"/>
      <c r="AP186" s="318"/>
      <c r="AQ186" s="318"/>
      <c r="AR186" s="318"/>
      <c r="AS186" s="318"/>
      <c r="AT186" s="318"/>
      <c r="AU186" s="318"/>
      <c r="AV186" s="318"/>
    </row>
    <row r="187" spans="2:48" x14ac:dyDescent="0.25"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  <c r="AA187" s="318"/>
      <c r="AB187" s="318"/>
      <c r="AC187" s="318"/>
      <c r="AD187" s="318"/>
      <c r="AE187" s="318"/>
      <c r="AF187" s="318"/>
      <c r="AG187" s="318"/>
      <c r="AH187" s="318"/>
      <c r="AI187" s="318"/>
      <c r="AJ187" s="318"/>
      <c r="AK187" s="318"/>
      <c r="AL187" s="318"/>
      <c r="AM187" s="318"/>
      <c r="AN187" s="318"/>
      <c r="AO187" s="318"/>
      <c r="AP187" s="318"/>
      <c r="AQ187" s="318"/>
      <c r="AR187" s="318"/>
      <c r="AS187" s="318"/>
      <c r="AT187" s="318"/>
      <c r="AU187" s="318"/>
      <c r="AV187" s="318"/>
    </row>
    <row r="188" spans="2:48" x14ac:dyDescent="0.25"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8"/>
      <c r="AH188" s="318"/>
      <c r="AI188" s="318"/>
      <c r="AJ188" s="318"/>
      <c r="AK188" s="318"/>
      <c r="AL188" s="318"/>
      <c r="AM188" s="318"/>
      <c r="AN188" s="318"/>
      <c r="AO188" s="318"/>
      <c r="AP188" s="318"/>
      <c r="AQ188" s="318"/>
      <c r="AR188" s="318"/>
      <c r="AS188" s="318"/>
      <c r="AT188" s="318"/>
      <c r="AU188" s="318"/>
      <c r="AV188" s="318"/>
    </row>
    <row r="189" spans="2:48" x14ac:dyDescent="0.25"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8"/>
      <c r="AE189" s="318"/>
      <c r="AF189" s="318"/>
      <c r="AG189" s="318"/>
      <c r="AH189" s="318"/>
      <c r="AI189" s="318"/>
      <c r="AJ189" s="318"/>
      <c r="AK189" s="318"/>
      <c r="AL189" s="318"/>
      <c r="AM189" s="318"/>
      <c r="AN189" s="318"/>
      <c r="AO189" s="318"/>
      <c r="AP189" s="318"/>
      <c r="AQ189" s="318"/>
      <c r="AR189" s="318"/>
      <c r="AS189" s="318"/>
      <c r="AT189" s="318"/>
      <c r="AU189" s="318"/>
      <c r="AV189" s="318"/>
    </row>
    <row r="190" spans="2:48" x14ac:dyDescent="0.25"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318"/>
      <c r="AH190" s="318"/>
      <c r="AI190" s="318"/>
      <c r="AJ190" s="318"/>
      <c r="AK190" s="318"/>
      <c r="AL190" s="318"/>
      <c r="AM190" s="318"/>
      <c r="AN190" s="318"/>
      <c r="AO190" s="318"/>
      <c r="AP190" s="318"/>
      <c r="AQ190" s="318"/>
      <c r="AR190" s="318"/>
      <c r="AS190" s="318"/>
      <c r="AT190" s="318"/>
      <c r="AU190" s="318"/>
      <c r="AV190" s="318"/>
    </row>
    <row r="191" spans="2:48" x14ac:dyDescent="0.25"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318"/>
      <c r="AF191" s="318"/>
      <c r="AG191" s="318"/>
      <c r="AH191" s="318"/>
      <c r="AI191" s="318"/>
      <c r="AJ191" s="318"/>
      <c r="AK191" s="318"/>
      <c r="AL191" s="318"/>
      <c r="AM191" s="318"/>
      <c r="AN191" s="318"/>
      <c r="AO191" s="318"/>
      <c r="AP191" s="318"/>
      <c r="AQ191" s="318"/>
      <c r="AR191" s="318"/>
      <c r="AS191" s="318"/>
      <c r="AT191" s="318"/>
      <c r="AU191" s="318"/>
      <c r="AV191" s="318"/>
    </row>
    <row r="192" spans="2:48" x14ac:dyDescent="0.25"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  <c r="AH192" s="318"/>
      <c r="AI192" s="318"/>
      <c r="AJ192" s="318"/>
      <c r="AK192" s="318"/>
      <c r="AL192" s="318"/>
      <c r="AM192" s="318"/>
      <c r="AN192" s="318"/>
      <c r="AO192" s="318"/>
      <c r="AP192" s="318"/>
      <c r="AQ192" s="318"/>
      <c r="AR192" s="318"/>
      <c r="AS192" s="318"/>
      <c r="AT192" s="318"/>
      <c r="AU192" s="318"/>
      <c r="AV192" s="318"/>
    </row>
    <row r="193" spans="2:48" x14ac:dyDescent="0.25"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8"/>
    </row>
    <row r="194" spans="2:48" x14ac:dyDescent="0.25"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8"/>
    </row>
    <row r="195" spans="2:48" x14ac:dyDescent="0.25"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  <c r="AA195" s="318"/>
      <c r="AB195" s="318"/>
      <c r="AC195" s="318"/>
      <c r="AD195" s="318"/>
      <c r="AE195" s="318"/>
      <c r="AF195" s="318"/>
      <c r="AG195" s="318"/>
      <c r="AH195" s="318"/>
      <c r="AI195" s="318"/>
      <c r="AJ195" s="318"/>
      <c r="AK195" s="318"/>
      <c r="AL195" s="318"/>
      <c r="AM195" s="318"/>
      <c r="AN195" s="318"/>
      <c r="AO195" s="318"/>
      <c r="AP195" s="318"/>
      <c r="AQ195" s="318"/>
      <c r="AR195" s="318"/>
      <c r="AS195" s="318"/>
      <c r="AT195" s="318"/>
      <c r="AU195" s="318"/>
      <c r="AV195" s="318"/>
    </row>
    <row r="196" spans="2:48" x14ac:dyDescent="0.25"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  <c r="AA196" s="318"/>
      <c r="AB196" s="318"/>
      <c r="AC196" s="318"/>
      <c r="AD196" s="318"/>
      <c r="AE196" s="318"/>
      <c r="AF196" s="318"/>
      <c r="AG196" s="318"/>
      <c r="AH196" s="318"/>
      <c r="AI196" s="318"/>
      <c r="AJ196" s="318"/>
      <c r="AK196" s="318"/>
      <c r="AL196" s="318"/>
      <c r="AM196" s="318"/>
      <c r="AN196" s="318"/>
      <c r="AO196" s="318"/>
      <c r="AP196" s="318"/>
      <c r="AQ196" s="318"/>
      <c r="AR196" s="318"/>
      <c r="AS196" s="318"/>
      <c r="AT196" s="318"/>
      <c r="AU196" s="318"/>
      <c r="AV196" s="318"/>
    </row>
    <row r="197" spans="2:48" x14ac:dyDescent="0.25"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  <c r="AA197" s="318"/>
      <c r="AB197" s="318"/>
      <c r="AC197" s="318"/>
      <c r="AD197" s="318"/>
      <c r="AE197" s="318"/>
      <c r="AF197" s="318"/>
      <c r="AG197" s="318"/>
      <c r="AH197" s="318"/>
      <c r="AI197" s="318"/>
      <c r="AJ197" s="318"/>
      <c r="AK197" s="318"/>
      <c r="AL197" s="318"/>
      <c r="AM197" s="318"/>
      <c r="AN197" s="318"/>
      <c r="AO197" s="318"/>
      <c r="AP197" s="318"/>
      <c r="AQ197" s="318"/>
      <c r="AR197" s="318"/>
      <c r="AS197" s="318"/>
      <c r="AT197" s="318"/>
      <c r="AU197" s="318"/>
      <c r="AV197" s="318"/>
    </row>
    <row r="198" spans="2:48" x14ac:dyDescent="0.25"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  <c r="AH198" s="318"/>
      <c r="AI198" s="318"/>
      <c r="AJ198" s="318"/>
      <c r="AK198" s="318"/>
      <c r="AL198" s="318"/>
      <c r="AM198" s="318"/>
      <c r="AN198" s="318"/>
      <c r="AO198" s="318"/>
      <c r="AP198" s="318"/>
      <c r="AQ198" s="318"/>
      <c r="AR198" s="318"/>
      <c r="AS198" s="318"/>
      <c r="AT198" s="318"/>
      <c r="AU198" s="318"/>
      <c r="AV198" s="318"/>
    </row>
    <row r="199" spans="2:48" x14ac:dyDescent="0.25"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  <c r="AM199" s="318"/>
      <c r="AN199" s="318"/>
      <c r="AO199" s="318"/>
      <c r="AP199" s="318"/>
      <c r="AQ199" s="318"/>
      <c r="AR199" s="318"/>
      <c r="AS199" s="318"/>
      <c r="AT199" s="318"/>
      <c r="AU199" s="318"/>
      <c r="AV199" s="318"/>
    </row>
    <row r="200" spans="2:48" x14ac:dyDescent="0.25"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  <c r="AA200" s="318"/>
      <c r="AB200" s="318"/>
      <c r="AC200" s="318"/>
      <c r="AD200" s="318"/>
      <c r="AE200" s="318"/>
      <c r="AF200" s="318"/>
      <c r="AG200" s="318"/>
      <c r="AH200" s="318"/>
      <c r="AI200" s="318"/>
      <c r="AJ200" s="318"/>
      <c r="AK200" s="318"/>
      <c r="AL200" s="318"/>
      <c r="AM200" s="318"/>
      <c r="AN200" s="318"/>
      <c r="AO200" s="318"/>
      <c r="AP200" s="318"/>
      <c r="AQ200" s="318"/>
      <c r="AR200" s="318"/>
      <c r="AS200" s="318"/>
      <c r="AT200" s="318"/>
      <c r="AU200" s="318"/>
      <c r="AV200" s="318"/>
    </row>
    <row r="201" spans="2:48" x14ac:dyDescent="0.25"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  <c r="AA201" s="318"/>
      <c r="AB201" s="318"/>
      <c r="AC201" s="318"/>
      <c r="AD201" s="318"/>
      <c r="AE201" s="318"/>
      <c r="AF201" s="318"/>
      <c r="AG201" s="318"/>
      <c r="AH201" s="318"/>
      <c r="AI201" s="318"/>
      <c r="AJ201" s="318"/>
      <c r="AK201" s="318"/>
      <c r="AL201" s="318"/>
      <c r="AM201" s="318"/>
      <c r="AN201" s="318"/>
      <c r="AO201" s="318"/>
      <c r="AP201" s="318"/>
      <c r="AQ201" s="318"/>
      <c r="AR201" s="318"/>
      <c r="AS201" s="318"/>
      <c r="AT201" s="318"/>
      <c r="AU201" s="318"/>
      <c r="AV201" s="318"/>
    </row>
    <row r="202" spans="2:48" x14ac:dyDescent="0.25"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  <c r="AA202" s="318"/>
      <c r="AB202" s="318"/>
      <c r="AC202" s="318"/>
      <c r="AD202" s="318"/>
      <c r="AE202" s="318"/>
      <c r="AF202" s="318"/>
      <c r="AG202" s="318"/>
      <c r="AH202" s="318"/>
      <c r="AI202" s="318"/>
      <c r="AJ202" s="318"/>
      <c r="AK202" s="318"/>
      <c r="AL202" s="318"/>
      <c r="AM202" s="318"/>
      <c r="AN202" s="318"/>
      <c r="AO202" s="318"/>
      <c r="AP202" s="318"/>
      <c r="AQ202" s="318"/>
      <c r="AR202" s="318"/>
      <c r="AS202" s="318"/>
      <c r="AT202" s="318"/>
      <c r="AU202" s="318"/>
      <c r="AV202" s="318"/>
    </row>
    <row r="203" spans="2:48" x14ac:dyDescent="0.25"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  <c r="AA203" s="318"/>
      <c r="AB203" s="318"/>
      <c r="AC203" s="318"/>
      <c r="AD203" s="318"/>
      <c r="AE203" s="318"/>
      <c r="AF203" s="318"/>
      <c r="AG203" s="318"/>
      <c r="AH203" s="318"/>
      <c r="AI203" s="318"/>
      <c r="AJ203" s="318"/>
      <c r="AK203" s="318"/>
      <c r="AL203" s="318"/>
      <c r="AM203" s="318"/>
      <c r="AN203" s="318"/>
      <c r="AO203" s="318"/>
      <c r="AP203" s="318"/>
      <c r="AQ203" s="318"/>
      <c r="AR203" s="318"/>
      <c r="AS203" s="318"/>
      <c r="AT203" s="318"/>
      <c r="AU203" s="318"/>
      <c r="AV203" s="318"/>
    </row>
    <row r="204" spans="2:48" x14ac:dyDescent="0.25"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  <c r="AA204" s="318"/>
      <c r="AB204" s="318"/>
      <c r="AC204" s="318"/>
      <c r="AD204" s="318"/>
      <c r="AE204" s="318"/>
      <c r="AF204" s="318"/>
      <c r="AG204" s="318"/>
      <c r="AH204" s="318"/>
      <c r="AI204" s="318"/>
      <c r="AJ204" s="318"/>
      <c r="AK204" s="318"/>
      <c r="AL204" s="318"/>
      <c r="AM204" s="318"/>
      <c r="AN204" s="318"/>
      <c r="AO204" s="318"/>
      <c r="AP204" s="318"/>
      <c r="AQ204" s="318"/>
      <c r="AR204" s="318"/>
      <c r="AS204" s="318"/>
      <c r="AT204" s="318"/>
      <c r="AU204" s="318"/>
      <c r="AV204" s="318"/>
    </row>
    <row r="205" spans="2:48" x14ac:dyDescent="0.25"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  <c r="AA205" s="318"/>
      <c r="AB205" s="318"/>
      <c r="AC205" s="318"/>
      <c r="AD205" s="318"/>
      <c r="AE205" s="318"/>
      <c r="AF205" s="318"/>
      <c r="AG205" s="318"/>
      <c r="AH205" s="318"/>
      <c r="AI205" s="318"/>
      <c r="AJ205" s="318"/>
      <c r="AK205" s="318"/>
      <c r="AL205" s="318"/>
      <c r="AM205" s="318"/>
      <c r="AN205" s="318"/>
      <c r="AO205" s="318"/>
      <c r="AP205" s="318"/>
      <c r="AQ205" s="318"/>
      <c r="AR205" s="318"/>
      <c r="AS205" s="318"/>
      <c r="AT205" s="318"/>
      <c r="AU205" s="318"/>
      <c r="AV205" s="318"/>
    </row>
    <row r="206" spans="2:48" x14ac:dyDescent="0.25"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  <c r="AA206" s="318"/>
      <c r="AB206" s="318"/>
      <c r="AC206" s="318"/>
      <c r="AD206" s="318"/>
      <c r="AE206" s="318"/>
      <c r="AF206" s="318"/>
      <c r="AG206" s="318"/>
      <c r="AH206" s="318"/>
      <c r="AI206" s="318"/>
      <c r="AJ206" s="318"/>
      <c r="AK206" s="318"/>
      <c r="AL206" s="318"/>
      <c r="AM206" s="318"/>
      <c r="AN206" s="318"/>
      <c r="AO206" s="318"/>
      <c r="AP206" s="318"/>
      <c r="AQ206" s="318"/>
      <c r="AR206" s="318"/>
      <c r="AS206" s="318"/>
      <c r="AT206" s="318"/>
      <c r="AU206" s="318"/>
      <c r="AV206" s="318"/>
    </row>
    <row r="207" spans="2:48" x14ac:dyDescent="0.25"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8"/>
      <c r="AB207" s="318"/>
      <c r="AC207" s="318"/>
      <c r="AD207" s="318"/>
      <c r="AE207" s="318"/>
      <c r="AF207" s="318"/>
      <c r="AG207" s="318"/>
      <c r="AH207" s="318"/>
      <c r="AI207" s="318"/>
      <c r="AJ207" s="318"/>
      <c r="AK207" s="318"/>
      <c r="AL207" s="318"/>
      <c r="AM207" s="318"/>
      <c r="AN207" s="318"/>
      <c r="AO207" s="318"/>
      <c r="AP207" s="318"/>
      <c r="AQ207" s="318"/>
      <c r="AR207" s="318"/>
      <c r="AS207" s="318"/>
      <c r="AT207" s="318"/>
      <c r="AU207" s="318"/>
      <c r="AV207" s="318"/>
    </row>
    <row r="208" spans="2:48" x14ac:dyDescent="0.25">
      <c r="B208" s="318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  <c r="AA208" s="318"/>
      <c r="AB208" s="318"/>
      <c r="AC208" s="318"/>
      <c r="AD208" s="318"/>
      <c r="AE208" s="318"/>
      <c r="AF208" s="318"/>
      <c r="AG208" s="318"/>
      <c r="AH208" s="318"/>
      <c r="AI208" s="318"/>
      <c r="AJ208" s="318"/>
      <c r="AK208" s="318"/>
      <c r="AL208" s="318"/>
      <c r="AM208" s="318"/>
      <c r="AN208" s="318"/>
      <c r="AO208" s="318"/>
      <c r="AP208" s="318"/>
      <c r="AQ208" s="318"/>
      <c r="AR208" s="318"/>
      <c r="AS208" s="318"/>
      <c r="AT208" s="318"/>
      <c r="AU208" s="318"/>
      <c r="AV208" s="318"/>
    </row>
    <row r="209" spans="2:48" x14ac:dyDescent="0.25">
      <c r="B209" s="318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  <c r="AA209" s="318"/>
      <c r="AB209" s="318"/>
      <c r="AC209" s="318"/>
      <c r="AD209" s="318"/>
      <c r="AE209" s="318"/>
      <c r="AF209" s="318"/>
      <c r="AG209" s="318"/>
      <c r="AH209" s="318"/>
      <c r="AI209" s="318"/>
      <c r="AJ209" s="318"/>
      <c r="AK209" s="318"/>
      <c r="AL209" s="318"/>
      <c r="AM209" s="318"/>
      <c r="AN209" s="318"/>
      <c r="AO209" s="318"/>
      <c r="AP209" s="318"/>
      <c r="AQ209" s="318"/>
      <c r="AR209" s="318"/>
      <c r="AS209" s="318"/>
      <c r="AT209" s="318"/>
      <c r="AU209" s="318"/>
      <c r="AV209" s="318"/>
    </row>
    <row r="210" spans="2:48" x14ac:dyDescent="0.25">
      <c r="B210" s="318"/>
      <c r="C210" s="318"/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  <c r="AA210" s="318"/>
      <c r="AB210" s="318"/>
      <c r="AC210" s="318"/>
      <c r="AD210" s="318"/>
      <c r="AE210" s="318"/>
      <c r="AF210" s="318"/>
      <c r="AG210" s="318"/>
      <c r="AH210" s="318"/>
      <c r="AI210" s="318"/>
      <c r="AJ210" s="318"/>
      <c r="AK210" s="318"/>
      <c r="AL210" s="318"/>
      <c r="AM210" s="318"/>
      <c r="AN210" s="318"/>
      <c r="AO210" s="318"/>
      <c r="AP210" s="318"/>
      <c r="AQ210" s="318"/>
      <c r="AR210" s="318"/>
      <c r="AS210" s="318"/>
      <c r="AT210" s="318"/>
      <c r="AU210" s="318"/>
      <c r="AV210" s="318"/>
    </row>
  </sheetData>
  <sheetProtection password="FA0B" sheet="1" objects="1" scenarios="1" selectLockedCells="1"/>
  <protectedRanges>
    <protectedRange sqref="D31:D34 D38:D41 D44:D48 D53 D51" name="Intervallo1"/>
    <protectedRange sqref="D31:D34 D38:D41 D44:D48 D53 D51" name="Intervallo1_5"/>
    <protectedRange sqref="D35 D42 D37 D49" name="Intervallo1_1"/>
    <protectedRange sqref="D35 D42 D37 D49" name="Intervallo1_5_1"/>
    <protectedRange sqref="D54:D55" name="Intervallo1_2"/>
    <protectedRange sqref="D54:D55" name="Intervallo1_5_2"/>
  </protectedRanges>
  <mergeCells count="36">
    <mergeCell ref="I83:K83"/>
    <mergeCell ref="K71:K72"/>
    <mergeCell ref="J71:J72"/>
    <mergeCell ref="U113:Y114"/>
    <mergeCell ref="R83:T83"/>
    <mergeCell ref="X83:Z83"/>
    <mergeCell ref="X100:Z100"/>
    <mergeCell ref="U83:W83"/>
    <mergeCell ref="R100:T100"/>
    <mergeCell ref="U100:W100"/>
    <mergeCell ref="U96:Y97"/>
    <mergeCell ref="H63:N65"/>
    <mergeCell ref="J129:P129"/>
    <mergeCell ref="C73:D73"/>
    <mergeCell ref="J123:N123"/>
    <mergeCell ref="B95:C95"/>
    <mergeCell ref="B112:C112"/>
    <mergeCell ref="B108:B110"/>
    <mergeCell ref="O100:Q100"/>
    <mergeCell ref="O83:Q83"/>
    <mergeCell ref="J126:P126"/>
    <mergeCell ref="J125:P125"/>
    <mergeCell ref="J128:P128"/>
    <mergeCell ref="B117:C117"/>
    <mergeCell ref="L83:N83"/>
    <mergeCell ref="I100:K100"/>
    <mergeCell ref="L100:N100"/>
    <mergeCell ref="F31:G36"/>
    <mergeCell ref="F38:G43"/>
    <mergeCell ref="F45:G50"/>
    <mergeCell ref="B102:B104"/>
    <mergeCell ref="B105:B107"/>
    <mergeCell ref="B75:B76"/>
    <mergeCell ref="B85:B87"/>
    <mergeCell ref="B88:B90"/>
    <mergeCell ref="B91:B93"/>
  </mergeCells>
  <conditionalFormatting sqref="I61:M62">
    <cfRule type="cellIs" dxfId="7" priority="5" operator="equal">
      <formula>"A tergo del paramento è stato inserito il drenaggio;                                  Si annulla la spinta dell'acqua"</formula>
    </cfRule>
  </conditionalFormatting>
  <conditionalFormatting sqref="H63:N65">
    <cfRule type="cellIs" dxfId="6" priority="4" operator="equal">
      <formula>"AGGIORNA ALTEZZA DEGLI STRATI SUI DATI!"</formula>
    </cfRule>
  </conditionalFormatting>
  <conditionalFormatting sqref="F71:K73">
    <cfRule type="notContainsBlanks" dxfId="5" priority="3">
      <formula>LEN(TRIM(F71))&gt;0</formula>
    </cfRule>
  </conditionalFormatting>
  <conditionalFormatting sqref="AA112:AG114 AG84:AG111">
    <cfRule type="notContainsBlanks" dxfId="4" priority="2">
      <formula>LEN(TRIM(AA84))&gt;0</formula>
    </cfRule>
  </conditionalFormatting>
  <conditionalFormatting sqref="AA84:AA111">
    <cfRule type="notContainsBlanks" dxfId="3" priority="1">
      <formula>LEN(TRIM(AA84))&gt;0</formula>
    </cfRule>
  </conditionalFormatting>
  <dataValidations count="5">
    <dataValidation type="list" allowBlank="1" showInputMessage="1" showErrorMessage="1" sqref="J128">
      <formula1>graf1</formula1>
    </dataValidation>
    <dataValidation type="list" allowBlank="1" showInputMessage="1" showErrorMessage="1" sqref="J125">
      <formula1>graf2</formula1>
    </dataValidation>
    <dataValidation type="list" allowBlank="1" showInputMessage="1" showErrorMessage="1" sqref="J129">
      <formula1>graf3</formula1>
    </dataValidation>
    <dataValidation type="list" allowBlank="1" showInputMessage="1" showErrorMessage="1" sqref="J126">
      <formula1>graf4</formula1>
    </dataValidation>
    <dataValidation type="list" allowBlank="1" showInputMessage="1" showErrorMessage="1" sqref="C73:D73">
      <formula1>spint</formula1>
    </dataValidation>
  </dataValidations>
  <pageMargins left="0.7" right="0.7" top="0.75" bottom="0.75" header="0.3" footer="0.3"/>
  <pageSetup paperSize="9" orientation="portrait" r:id="rId1"/>
  <ignoredErrors>
    <ignoredError sqref="D36 D43 G87:H87 K85 J87:K87 G85:H85" unlocked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D50456B5-C3AC-46AF-8CB4-7E85FE4943A3}">
            <xm:f>'FOGLIO DEPOSITO'!$H$165</xm:f>
            <x14:dxf>
              <fill>
                <patternFill>
                  <bgColor theme="0" tint="-0.14996795556505021"/>
                </patternFill>
              </fill>
            </x14:dxf>
          </x14:cfRule>
          <xm:sqref>F31:G36</xm:sqref>
        </x14:conditionalFormatting>
        <x14:conditionalFormatting xmlns:xm="http://schemas.microsoft.com/office/excel/2006/main">
          <x14:cfRule type="cellIs" priority="9" operator="equal" id="{CE7643A8-EABA-4264-904E-49396E245324}">
            <xm:f>'FOGLIO DEPOSITO'!$H$168</xm:f>
            <x14:dxf>
              <fill>
                <patternFill>
                  <bgColor theme="0" tint="-0.14996795556505021"/>
                </patternFill>
              </fill>
            </x14:dxf>
          </x14:cfRule>
          <xm:sqref>F38:G43</xm:sqref>
        </x14:conditionalFormatting>
        <x14:conditionalFormatting xmlns:xm="http://schemas.microsoft.com/office/excel/2006/main">
          <x14:cfRule type="cellIs" priority="8" operator="equal" id="{15557D6C-4D77-4FDC-B716-8F151F823315}">
            <xm:f>'FOGLIO DEPOSITO'!$H$171</xm:f>
            <x14:dxf>
              <fill>
                <patternFill>
                  <bgColor theme="0" tint="-0.14996795556505021"/>
                </patternFill>
              </fill>
            </x14:dxf>
          </x14:cfRule>
          <xm:sqref>F45:G50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1"/>
  <sheetViews>
    <sheetView topLeftCell="A87" zoomScaleNormal="100" workbookViewId="0">
      <selection activeCell="I113" sqref="I113"/>
    </sheetView>
  </sheetViews>
  <sheetFormatPr defaultRowHeight="15" x14ac:dyDescent="0.25"/>
  <cols>
    <col min="1" max="1" width="2.85546875" customWidth="1"/>
    <col min="2" max="2" width="19" customWidth="1"/>
    <col min="3" max="3" width="10.5703125" customWidth="1"/>
    <col min="4" max="4" width="10" bestFit="1" customWidth="1"/>
    <col min="8" max="8" width="10" customWidth="1"/>
    <col min="9" max="9" width="9.85546875" bestFit="1" customWidth="1"/>
    <col min="10" max="10" width="10.5703125" bestFit="1" customWidth="1"/>
    <col min="11" max="11" width="10.42578125" customWidth="1"/>
    <col min="15" max="15" width="7.42578125" customWidth="1"/>
    <col min="16" max="16" width="12.7109375" customWidth="1"/>
    <col min="17" max="17" width="55.5703125" customWidth="1"/>
  </cols>
  <sheetData>
    <row r="1" spans="2:23" x14ac:dyDescent="0.25">
      <c r="V1" s="25"/>
      <c r="W1" s="25"/>
    </row>
    <row r="2" spans="2:23" x14ac:dyDescent="0.25">
      <c r="B2" s="543" t="s">
        <v>23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5"/>
      <c r="V2" s="25"/>
      <c r="W2" s="25"/>
    </row>
    <row r="3" spans="2:23" x14ac:dyDescent="0.25">
      <c r="C3" s="295"/>
      <c r="D3" s="295" t="s">
        <v>10</v>
      </c>
      <c r="E3" s="295" t="s">
        <v>11</v>
      </c>
      <c r="F3" s="295" t="s">
        <v>12</v>
      </c>
      <c r="G3" s="295" t="s">
        <v>24</v>
      </c>
      <c r="H3" s="295" t="s">
        <v>25</v>
      </c>
      <c r="I3" s="295" t="s">
        <v>26</v>
      </c>
      <c r="J3" s="295" t="s">
        <v>27</v>
      </c>
      <c r="K3" s="295" t="s">
        <v>28</v>
      </c>
      <c r="L3" s="271" t="s">
        <v>29</v>
      </c>
      <c r="M3" s="295" t="s">
        <v>30</v>
      </c>
      <c r="N3" s="295" t="s">
        <v>31</v>
      </c>
      <c r="Q3" s="136" t="s">
        <v>32</v>
      </c>
    </row>
    <row r="4" spans="2:23" x14ac:dyDescent="0.25">
      <c r="C4" s="25"/>
      <c r="D4" s="25" t="s">
        <v>1</v>
      </c>
      <c r="E4" s="25" t="s">
        <v>1</v>
      </c>
      <c r="F4" s="25" t="s">
        <v>1</v>
      </c>
      <c r="G4" s="25" t="s">
        <v>14</v>
      </c>
      <c r="H4" s="25" t="s">
        <v>15</v>
      </c>
      <c r="I4" s="137" t="s">
        <v>16</v>
      </c>
      <c r="J4" s="25" t="s">
        <v>16</v>
      </c>
      <c r="K4" s="25" t="s">
        <v>16</v>
      </c>
      <c r="L4" s="214" t="s">
        <v>1</v>
      </c>
      <c r="M4" s="25" t="s">
        <v>1</v>
      </c>
      <c r="N4" s="25" t="s">
        <v>1</v>
      </c>
      <c r="Q4" s="136" t="s">
        <v>33</v>
      </c>
    </row>
    <row r="5" spans="2:23" x14ac:dyDescent="0.25">
      <c r="B5" s="102" t="s">
        <v>34</v>
      </c>
      <c r="C5" s="25"/>
      <c r="D5" s="25">
        <f>'FOGLIO DEPOSITO'!N285</f>
        <v>0</v>
      </c>
      <c r="E5" s="25"/>
      <c r="F5" s="25"/>
      <c r="G5" s="25">
        <f>'FOGLIO DEPOSITO'!N258*'FOGLIO DEPOSITO'!N259</f>
        <v>0.15</v>
      </c>
      <c r="H5" s="25">
        <f>G5*D5</f>
        <v>0</v>
      </c>
      <c r="I5" s="137">
        <f>H5*('FOGLIO DEPOSITO'!N259/2)</f>
        <v>0</v>
      </c>
      <c r="J5" s="25">
        <v>0</v>
      </c>
      <c r="K5" s="25">
        <f>H5*(-D5/2)</f>
        <v>0</v>
      </c>
      <c r="L5" s="208" t="e">
        <f>I5/H5</f>
        <v>#DIV/0!</v>
      </c>
      <c r="M5" s="80" t="e">
        <f>J5/H5</f>
        <v>#DIV/0!</v>
      </c>
      <c r="N5" s="80" t="e">
        <f>-K5/H5</f>
        <v>#DIV/0!</v>
      </c>
    </row>
    <row r="6" spans="2:23" x14ac:dyDescent="0.25">
      <c r="C6" s="25"/>
      <c r="D6" s="25"/>
      <c r="E6" s="25"/>
      <c r="F6" s="25"/>
      <c r="G6" s="25"/>
      <c r="H6" s="25"/>
      <c r="I6" s="137"/>
      <c r="J6" s="25"/>
      <c r="K6" s="25"/>
      <c r="L6" s="214"/>
      <c r="M6" s="25"/>
      <c r="N6" s="25"/>
    </row>
    <row r="7" spans="2:23" x14ac:dyDescent="0.25">
      <c r="B7" s="612" t="s">
        <v>9</v>
      </c>
      <c r="C7" s="98" t="s">
        <v>35</v>
      </c>
      <c r="D7" s="97" t="e">
        <f>#REF!/#REF!*#REF!</f>
        <v>#REF!</v>
      </c>
      <c r="E7" s="100">
        <f>'FOGLIO DEPOSITO'!N259+'FOGLIO DEPOSITO'!D209</f>
        <v>0.2</v>
      </c>
      <c r="F7" s="100">
        <f>E7-'FOGLIO DEPOSITO'!$N$259</f>
        <v>5.0000000000000017E-2</v>
      </c>
      <c r="G7" s="100">
        <f>F7*'FOGLIO DEPOSITO'!$N$261*'FOGLIO DEPOSITO'!$N$260+'FOGLIO DEPOSITO'!$N$258*'FOGLIO DEPOSITO'!$N$259</f>
        <v>0.17400000000000002</v>
      </c>
      <c r="I7" s="137"/>
      <c r="J7" s="25"/>
      <c r="K7" s="25"/>
      <c r="L7" s="272"/>
      <c r="N7" s="99"/>
    </row>
    <row r="8" spans="2:23" x14ac:dyDescent="0.25">
      <c r="B8" s="612"/>
      <c r="C8" s="98" t="s">
        <v>36</v>
      </c>
      <c r="D8" s="97">
        <f>DATI!E37</f>
        <v>30</v>
      </c>
      <c r="E8" s="100">
        <f>'FOGLIO DEPOSITO'!$N$259+'FOGLIO DEPOSITO'!$D$209+'FOGLIO DEPOSITO'!$D$198*D8</f>
        <v>0.20000999999999997</v>
      </c>
      <c r="F8" s="101">
        <f>E8-'FOGLIO DEPOSITO'!$N$259</f>
        <v>5.0009999999999971E-2</v>
      </c>
      <c r="G8" s="100">
        <f>F8*'FOGLIO DEPOSITO'!$N$261*'FOGLIO DEPOSITO'!$N$260+'FOGLIO DEPOSITO'!$N$258*'FOGLIO DEPOSITO'!$N$259</f>
        <v>0.17400479999999999</v>
      </c>
      <c r="I8" s="137"/>
      <c r="J8" s="25"/>
      <c r="K8" s="25"/>
      <c r="L8" s="272"/>
      <c r="N8" s="99"/>
    </row>
    <row r="9" spans="2:23" x14ac:dyDescent="0.25">
      <c r="B9" s="612"/>
      <c r="C9" s="95" t="s">
        <v>37</v>
      </c>
      <c r="G9" s="81">
        <f>G7+G8</f>
        <v>0.3480048</v>
      </c>
      <c r="H9" s="79" t="e">
        <f>('FOGLIO DEPOSITO'!$N$259*'FOGLIO DEPOSITO'!$N$258)*(D8-D7)+'FOGLIO DEPOSITO'!$N$260*(F7*'FOGLIO DEPOSITO'!$N$261*(D8-D7)+(F8-F7)*'FOGLIO DEPOSITO'!$N$261*(D8-D7)/2)</f>
        <v>#REF!</v>
      </c>
      <c r="I9" s="138" t="e">
        <f>(('FOGLIO DEPOSITO'!$N$259*'FOGLIO DEPOSITO'!$N$258)*(D8-D7)*'FOGLIO DEPOSITO'!$N$259/2+(F7*'FOGLIO DEPOSITO'!$N$261*(D8-D7)*(F7/2+'FOGLIO DEPOSITO'!$N$259)+(F8-F7)*'FOGLIO DEPOSITO'!$N$261*(D8-D7)/2*((F8-F7)/3+F7+'FOGLIO DEPOSITO'!$N$259))*'FOGLIO DEPOSITO'!$N$260)</f>
        <v>#REF!</v>
      </c>
      <c r="J9" s="79">
        <v>0</v>
      </c>
      <c r="K9" s="25" t="e">
        <f>('FOGLIO DEPOSITO'!$N$259*'FOGLIO DEPOSITO'!$N$258)*(D8-D7)*(D8-D7)/2+(F7*'FOGLIO DEPOSITO'!$N$261*(D8-D7)*(D8-D7)/2+(F8-F7)*'FOGLIO DEPOSITO'!$N$261*(D8-D7)/2*(D8-D7)*2/3)*'FOGLIO DEPOSITO'!$N$260</f>
        <v>#REF!</v>
      </c>
      <c r="L9" s="208" t="e">
        <f>I9/$H$9</f>
        <v>#REF!</v>
      </c>
      <c r="M9" s="80" t="e">
        <f>J9/$H$9</f>
        <v>#REF!</v>
      </c>
      <c r="N9" s="80" t="e">
        <f>-K9/$H$9</f>
        <v>#REF!</v>
      </c>
    </row>
    <row r="10" spans="2:23" x14ac:dyDescent="0.25">
      <c r="L10" s="161"/>
    </row>
    <row r="11" spans="2:23" x14ac:dyDescent="0.25">
      <c r="B11" s="612" t="s">
        <v>38</v>
      </c>
      <c r="C11" s="98" t="s">
        <v>39</v>
      </c>
      <c r="D11" s="97">
        <f>'FOGLIO DEPOSITO'!N271</f>
        <v>0</v>
      </c>
      <c r="E11" s="96">
        <f>'FOGLIO DEPOSITO'!N272</f>
        <v>1.2</v>
      </c>
      <c r="F11" s="96"/>
      <c r="G11" s="96">
        <f>E11*'FOGLIO DEPOSITO'!$N$258</f>
        <v>1.2</v>
      </c>
      <c r="H11" s="96">
        <f>G11*'FOGLIO DEPOSITO'!N271</f>
        <v>0</v>
      </c>
      <c r="I11" s="96">
        <f>H11*(-E11/2)</f>
        <v>0</v>
      </c>
      <c r="J11" s="96">
        <v>0</v>
      </c>
      <c r="K11" s="96">
        <f>H11*(DATI!E37+'FOGLIO DEPOSITO'!N271/2)</f>
        <v>0</v>
      </c>
      <c r="L11" s="161"/>
    </row>
    <row r="12" spans="2:23" x14ac:dyDescent="0.25">
      <c r="B12" s="612"/>
      <c r="C12" s="98" t="s">
        <v>40</v>
      </c>
      <c r="D12" s="97">
        <f>'FOGLIO DEPOSITO'!N271</f>
        <v>0</v>
      </c>
      <c r="E12" s="100">
        <f>'FOGLIO DEPOSITO'!D212+E8</f>
        <v>3.90001</v>
      </c>
      <c r="F12" s="96"/>
      <c r="G12" s="96">
        <f>E12*'FOGLIO DEPOSITO'!$N$258</f>
        <v>3.90001</v>
      </c>
      <c r="H12" s="96">
        <f>G12*'FOGLIO DEPOSITO'!N271</f>
        <v>0</v>
      </c>
      <c r="I12" s="96">
        <f>H12*(E12/2)</f>
        <v>0</v>
      </c>
      <c r="J12" s="96">
        <v>0</v>
      </c>
      <c r="K12" s="96">
        <f>H12*(DATI!E37+'FOGLIO DEPOSITO'!N271/2)</f>
        <v>0</v>
      </c>
      <c r="L12" s="161"/>
    </row>
    <row r="13" spans="2:23" x14ac:dyDescent="0.25">
      <c r="B13" s="612"/>
      <c r="C13" s="95" t="s">
        <v>37</v>
      </c>
      <c r="G13" s="25">
        <f>G11+G12</f>
        <v>5.1000100000000002</v>
      </c>
      <c r="H13" s="25">
        <f>H11+H12</f>
        <v>0</v>
      </c>
      <c r="I13" s="25">
        <f>I11+I12</f>
        <v>0</v>
      </c>
      <c r="J13" s="25">
        <f>J11+J12</f>
        <v>0</v>
      </c>
      <c r="K13" s="25">
        <f>K11+K12</f>
        <v>0</v>
      </c>
      <c r="L13" s="208" t="e">
        <f>I13/$H$13</f>
        <v>#DIV/0!</v>
      </c>
      <c r="M13" s="80" t="e">
        <f>J13/$H$13</f>
        <v>#DIV/0!</v>
      </c>
      <c r="N13" s="80" t="e">
        <f>-K13/$H$13</f>
        <v>#DIV/0!</v>
      </c>
    </row>
    <row r="14" spans="2:23" x14ac:dyDescent="0.25">
      <c r="L14" s="161"/>
    </row>
    <row r="15" spans="2:23" x14ac:dyDescent="0.25">
      <c r="B15" s="294" t="s">
        <v>41</v>
      </c>
      <c r="C15" s="94"/>
      <c r="D15" s="94">
        <f>'FOGLIO DEPOSITO'!N278</f>
        <v>0</v>
      </c>
      <c r="E15" s="94">
        <f>'FOGLIO DEPOSITO'!N280</f>
        <v>0</v>
      </c>
      <c r="F15" s="94"/>
      <c r="G15" s="94">
        <f>'FOGLIO DEPOSITO'!N280*'FOGLIO DEPOSITO'!N258</f>
        <v>0</v>
      </c>
      <c r="H15" s="94">
        <f>G15*'FOGLIO DEPOSITO'!N278</f>
        <v>0</v>
      </c>
      <c r="I15" s="94">
        <f>H15*Q15</f>
        <v>0</v>
      </c>
      <c r="J15" s="94">
        <v>0</v>
      </c>
      <c r="K15" s="94">
        <f>H15*(D8+D12+D15/2)</f>
        <v>0</v>
      </c>
      <c r="L15" s="273" t="e">
        <f>I15/$H$15</f>
        <v>#DIV/0!</v>
      </c>
      <c r="M15" s="93" t="e">
        <f>J15/$H$15</f>
        <v>#DIV/0!</v>
      </c>
      <c r="N15" s="93" t="e">
        <f>-K15/$H$15</f>
        <v>#DIV/0!</v>
      </c>
      <c r="Q15" s="89">
        <f>'FOGLIO DEPOSITO'!N281-S58</f>
        <v>0</v>
      </c>
    </row>
    <row r="16" spans="2:23" x14ac:dyDescent="0.25">
      <c r="B16" s="117" t="s">
        <v>37</v>
      </c>
      <c r="H16" s="30" t="e">
        <f>H5+H9+H13+H15</f>
        <v>#REF!</v>
      </c>
      <c r="I16" s="30" t="e">
        <f>I5+I9+I13+I15</f>
        <v>#REF!</v>
      </c>
      <c r="J16" s="30">
        <f>J5+J9+J13+J15</f>
        <v>0</v>
      </c>
      <c r="K16" s="132" t="e">
        <f>K5+K9+K13+K15</f>
        <v>#REF!</v>
      </c>
      <c r="L16" s="274" t="e">
        <f>I16/H16</f>
        <v>#REF!</v>
      </c>
      <c r="M16" s="30" t="e">
        <f>J16/H16</f>
        <v>#REF!</v>
      </c>
      <c r="N16" s="30" t="e">
        <f>-K16/H16</f>
        <v>#REF!</v>
      </c>
    </row>
    <row r="17" spans="2:17" x14ac:dyDescent="0.25">
      <c r="B17" s="117"/>
      <c r="H17" s="79"/>
      <c r="I17" s="25"/>
      <c r="J17" s="25"/>
      <c r="L17" s="208"/>
      <c r="M17" s="80"/>
      <c r="N17" s="80"/>
    </row>
    <row r="18" spans="2:17" x14ac:dyDescent="0.25">
      <c r="B18" s="613" t="s">
        <v>42</v>
      </c>
      <c r="C18" s="129" t="s">
        <v>43</v>
      </c>
      <c r="D18" s="34">
        <f>DATI!E37</f>
        <v>30</v>
      </c>
      <c r="E18" s="35">
        <f>IF(P19="sx",S58,IF(P21="muro a contrafforti",S59+'FOGLIO DEPOSITO'!D210,S59))</f>
        <v>3.7500100000000001</v>
      </c>
      <c r="F18" s="35"/>
      <c r="G18" s="35"/>
      <c r="H18" s="34">
        <f>E18*D18*S45</f>
        <v>112.5003</v>
      </c>
      <c r="I18" s="34">
        <f>IF('FOGLIO DEPOSITO'!X248="dx",IF(P21="muro a contrafforti",H18*(E18)/2,H18*('FOGLIO DEPOSITO'!D211+'geom masse muro+tensioni'!S59/2)),-H18*E18/2)</f>
        <v>210.93862500149999</v>
      </c>
      <c r="J18" s="34">
        <v>0</v>
      </c>
      <c r="K18" s="34">
        <f>H18*D18/2</f>
        <v>1687.5045</v>
      </c>
      <c r="L18" s="274">
        <f>I18/H18</f>
        <v>1.875005</v>
      </c>
      <c r="M18" s="34">
        <v>0</v>
      </c>
      <c r="N18" s="34">
        <f>-K18/H18</f>
        <v>-15</v>
      </c>
    </row>
    <row r="19" spans="2:17" x14ac:dyDescent="0.25">
      <c r="B19" s="613"/>
      <c r="C19" s="129" t="s">
        <v>44</v>
      </c>
      <c r="D19" s="34">
        <f>D18+E19*TAN('FOGLIO DEPOSITO'!S259*PI()/180)</f>
        <v>30</v>
      </c>
      <c r="E19" s="35">
        <f>IF('FOGLIO DEPOSITO'!X248="sX",'FOGLIO DEPOSITO'!N272,IF(P21="muro a contrafforti",'FOGLIO DEPOSITO'!D212+'FOGLIO DEPOSITO'!D203,'FOGLIO DEPOSITO'!D212+'FOGLIO DEPOSITO'!D210-'FOGLIO DEPOSITO'!D209))</f>
        <v>3.7500100000000001</v>
      </c>
      <c r="F19" s="35"/>
      <c r="G19" s="35"/>
      <c r="H19" s="130">
        <f>E19*(D19-D18)/2*S45</f>
        <v>0</v>
      </c>
      <c r="I19" s="34">
        <f>IF('FOGLIO DEPOSITO'!X248="dx",H19*(E19*2/3+'FOGLIO DEPOSITO'!N263),-H19*E19*2/3)</f>
        <v>0</v>
      </c>
      <c r="J19" s="34">
        <v>0</v>
      </c>
      <c r="K19" s="34">
        <f>-H19*1/3*(D19-D18)</f>
        <v>0</v>
      </c>
      <c r="L19" s="274" t="e">
        <f>I19/H19</f>
        <v>#DIV/0!</v>
      </c>
      <c r="M19" s="34">
        <v>0</v>
      </c>
      <c r="N19" s="34" t="e">
        <f>-K19/H19</f>
        <v>#DIV/0!</v>
      </c>
      <c r="P19" s="89" t="str">
        <f>'FOGLIO DEPOSITO'!X248</f>
        <v>dx</v>
      </c>
    </row>
    <row r="20" spans="2:17" s="317" customFormat="1" x14ac:dyDescent="0.25">
      <c r="B20" s="613"/>
      <c r="C20" s="129" t="s">
        <v>45</v>
      </c>
      <c r="D20" s="34">
        <f>D18</f>
        <v>30</v>
      </c>
      <c r="E20" s="35">
        <f>IF(P19="SX",0,'FOGLIO DEPOSITO'!D210-'FOGLIO DEPOSITO'!D209)</f>
        <v>1.0000000000010001E-5</v>
      </c>
      <c r="F20" s="26"/>
      <c r="G20" s="26"/>
      <c r="H20" s="33">
        <f>IF(P21="muro a contrafforti",0,E20*D20/2*S45)</f>
        <v>0</v>
      </c>
      <c r="I20" s="34">
        <f>IF('FOGLIO DEPOSITO'!X248="dx",H20*(E20/3*2+'FOGLIO DEPOSITO'!N259+'FOGLIO DEPOSITO'!D209),0)</f>
        <v>0</v>
      </c>
      <c r="J20" s="34">
        <v>0</v>
      </c>
      <c r="K20" s="34">
        <f>H20*D20/3</f>
        <v>0</v>
      </c>
      <c r="L20" s="208" t="e">
        <f>I20/H20</f>
        <v>#DIV/0!</v>
      </c>
      <c r="M20" s="34">
        <v>0</v>
      </c>
      <c r="N20" s="34" t="e">
        <f>-K20/H20</f>
        <v>#DIV/0!</v>
      </c>
      <c r="P20" s="89"/>
    </row>
    <row r="21" spans="2:17" x14ac:dyDescent="0.25">
      <c r="B21" s="614"/>
      <c r="C21" s="131" t="s">
        <v>534</v>
      </c>
      <c r="D21" s="94">
        <f>IF(('FOGLIO DEPOSITO'!D298-'FOGLIO DEPOSITO'!N271)&lt;0,0,'FOGLIO DEPOSITO'!D298-'FOGLIO DEPOSITO'!N271)</f>
        <v>1</v>
      </c>
      <c r="E21" s="94">
        <f>IF(P19="sx",IF(P21="muro a contrafforti",'FOGLIO DEPOSITO'!D211+'FOGLIO DEPOSITO'!D212-'FOGLIO DEPOSITO'!N259,'FOGLIO DEPOSITO'!D212),'FOGLIO DEPOSITO'!N272)</f>
        <v>1.2</v>
      </c>
      <c r="F21" s="31"/>
      <c r="G21" s="31"/>
      <c r="H21" s="94">
        <f>D21*E21*'FOGLIO DEPOSITO'!N258</f>
        <v>1.2</v>
      </c>
      <c r="I21" s="94">
        <f>IF(P19="sx",'FOGLIO DEPOSITO'!N272+'FOGLIO DEPOSITO'!D211+'FOGLIO DEPOSITO'!D212/2,'FOGLIO DEPOSITO'!N272/2)*H21</f>
        <v>0.72</v>
      </c>
      <c r="J21" s="94">
        <v>0</v>
      </c>
      <c r="K21" s="358">
        <f>(D20-D21/2)*H21</f>
        <v>35.4</v>
      </c>
      <c r="L21" s="273">
        <f>I21/H21</f>
        <v>0.6</v>
      </c>
      <c r="M21" s="32">
        <v>0</v>
      </c>
      <c r="N21" s="32">
        <f>-K21/H21</f>
        <v>-29.5</v>
      </c>
      <c r="P21" s="182" t="str">
        <f>'FOGLIO DEPOSITO'!L266</f>
        <v>muro a contrafforti</v>
      </c>
    </row>
    <row r="22" spans="2:17" x14ac:dyDescent="0.25">
      <c r="B22" s="117" t="s">
        <v>37</v>
      </c>
      <c r="H22" s="30">
        <f>H18+H19+H20+H21</f>
        <v>113.7003</v>
      </c>
      <c r="I22" s="30">
        <f>I18+I19+I20+I21</f>
        <v>211.65862500149998</v>
      </c>
      <c r="J22" s="30">
        <f>J18+J19+J20+J21</f>
        <v>0</v>
      </c>
      <c r="K22" s="30">
        <f>K18+K19+K20+K21</f>
        <v>1722.9045000000001</v>
      </c>
      <c r="L22" s="274">
        <f>I22/H22</f>
        <v>1.8615485183548328</v>
      </c>
      <c r="M22" s="34">
        <v>0</v>
      </c>
      <c r="N22" s="34">
        <f>-K22/H22</f>
        <v>-15.153033897008187</v>
      </c>
    </row>
    <row r="23" spans="2:17" x14ac:dyDescent="0.25">
      <c r="B23" s="117"/>
      <c r="H23" s="79"/>
      <c r="I23" s="25"/>
      <c r="J23" s="25"/>
      <c r="L23" s="202" t="s">
        <v>29</v>
      </c>
      <c r="M23" s="295" t="s">
        <v>30</v>
      </c>
      <c r="N23" s="295" t="s">
        <v>31</v>
      </c>
    </row>
    <row r="24" spans="2:17" x14ac:dyDescent="0.25">
      <c r="B24" s="615" t="s">
        <v>46</v>
      </c>
      <c r="C24" s="26"/>
      <c r="D24" s="26"/>
      <c r="E24" s="26"/>
      <c r="F24" s="26"/>
      <c r="G24" s="26"/>
      <c r="H24" s="133"/>
      <c r="I24" s="35"/>
      <c r="J24" s="35"/>
      <c r="K24" s="26"/>
      <c r="L24" s="208"/>
      <c r="M24" s="130"/>
      <c r="N24" s="130"/>
    </row>
    <row r="25" spans="2:17" x14ac:dyDescent="0.25">
      <c r="B25" s="615"/>
      <c r="C25" s="26" t="s">
        <v>47</v>
      </c>
      <c r="D25" s="26"/>
      <c r="E25" s="26"/>
      <c r="F25" s="26"/>
      <c r="G25" s="26"/>
      <c r="H25" s="34" t="e">
        <f>H16</f>
        <v>#REF!</v>
      </c>
      <c r="I25" s="34" t="e">
        <f>I16</f>
        <v>#REF!</v>
      </c>
      <c r="J25" s="34">
        <f t="shared" ref="J25:K25" si="0">J16</f>
        <v>0</v>
      </c>
      <c r="K25" s="34" t="e">
        <f t="shared" si="0"/>
        <v>#REF!</v>
      </c>
      <c r="L25" s="274" t="e">
        <f>L16</f>
        <v>#REF!</v>
      </c>
      <c r="M25" s="34" t="e">
        <f>M16</f>
        <v>#REF!</v>
      </c>
      <c r="N25" s="34" t="e">
        <f>N16</f>
        <v>#REF!</v>
      </c>
    </row>
    <row r="26" spans="2:17" x14ac:dyDescent="0.25">
      <c r="B26" s="616"/>
      <c r="C26" s="31" t="s">
        <v>48</v>
      </c>
      <c r="D26" s="31"/>
      <c r="E26" s="31"/>
      <c r="F26" s="31"/>
      <c r="G26" s="31"/>
      <c r="H26" s="32">
        <f>H22</f>
        <v>113.7003</v>
      </c>
      <c r="I26" s="32">
        <f>I22</f>
        <v>211.65862500149998</v>
      </c>
      <c r="J26" s="32">
        <f t="shared" ref="J26:K26" si="1">J22</f>
        <v>0</v>
      </c>
      <c r="K26" s="32">
        <f t="shared" si="1"/>
        <v>1722.9045000000001</v>
      </c>
      <c r="L26" s="275">
        <f>L22</f>
        <v>1.8615485183548328</v>
      </c>
      <c r="M26" s="32">
        <f>M22</f>
        <v>0</v>
      </c>
      <c r="N26" s="32">
        <f>N22</f>
        <v>-15.153033897008187</v>
      </c>
      <c r="O26" s="80"/>
    </row>
    <row r="27" spans="2:17" x14ac:dyDescent="0.25">
      <c r="B27" s="117"/>
      <c r="H27" s="30" t="e">
        <f>H25+H26</f>
        <v>#REF!</v>
      </c>
      <c r="I27" s="30" t="e">
        <f>I25+I26</f>
        <v>#REF!</v>
      </c>
      <c r="J27" s="30">
        <f t="shared" ref="J27" si="2">J25+J26</f>
        <v>0</v>
      </c>
      <c r="K27" s="30" t="e">
        <f t="shared" ref="K27" si="3">K25+K26</f>
        <v>#REF!</v>
      </c>
      <c r="L27" s="208" t="e">
        <f>I27/H27</f>
        <v>#REF!</v>
      </c>
      <c r="M27" s="130">
        <v>0</v>
      </c>
      <c r="N27" s="130" t="e">
        <f>-K27/H27</f>
        <v>#REF!</v>
      </c>
    </row>
    <row r="28" spans="2:17" x14ac:dyDescent="0.25">
      <c r="B28" s="117"/>
      <c r="H28" s="79"/>
      <c r="I28" s="25"/>
      <c r="J28" s="25"/>
      <c r="L28" s="80"/>
      <c r="M28" s="80"/>
      <c r="N28" s="80"/>
    </row>
    <row r="29" spans="2:17" x14ac:dyDescent="0.25">
      <c r="B29" s="117"/>
      <c r="H29" s="79"/>
      <c r="I29" s="25"/>
      <c r="J29" s="25"/>
      <c r="L29" s="80"/>
      <c r="M29" s="80"/>
      <c r="N29" s="80"/>
    </row>
    <row r="30" spans="2:17" x14ac:dyDescent="0.25">
      <c r="B30" s="117"/>
      <c r="H30" s="79"/>
      <c r="I30" s="25"/>
      <c r="J30" s="25"/>
      <c r="L30" s="80"/>
      <c r="M30" s="80"/>
      <c r="N30" s="80"/>
    </row>
    <row r="31" spans="2:17" x14ac:dyDescent="0.25">
      <c r="B31" s="117"/>
      <c r="H31" s="79"/>
      <c r="I31" s="25"/>
      <c r="J31" s="25"/>
      <c r="L31" s="80"/>
      <c r="M31" s="80"/>
      <c r="N31" s="80"/>
    </row>
    <row r="32" spans="2:17" x14ac:dyDescent="0.25">
      <c r="B32" s="117" t="s">
        <v>49</v>
      </c>
      <c r="H32" s="30">
        <f>H22*Q32</f>
        <v>2221.9239270967737</v>
      </c>
      <c r="I32" s="30">
        <f>I22*Q32</f>
        <v>4136.2191943841508</v>
      </c>
      <c r="J32" s="30">
        <f t="shared" ref="J32" si="4">J22</f>
        <v>0</v>
      </c>
      <c r="K32" s="30">
        <f>K22*Q32</f>
        <v>33668.888583870968</v>
      </c>
      <c r="L32" s="30"/>
      <c r="M32" s="30"/>
      <c r="N32" s="30"/>
      <c r="Q32" s="30">
        <f>('FOGLIO DEPOSITO'!W224*'FOGLIO DEPOSITO'!W227+'FOGLIO DEPOSITO'!W230*'FOGLIO DEPOSITO'!W233+'FOGLIO DEPOSITO'!W236*'FOGLIO DEPOSITO'!W239+'FOGLIO DEPOSITO'!D296*'geom masse muro+tensioni'!D21)/('FOGLIO DEPOSITO'!W227+'FOGLIO DEPOSITO'!W233+'FOGLIO DEPOSITO'!W239+'geom masse muro+tensioni'!D21)</f>
        <v>19.541935483870965</v>
      </c>
    </row>
    <row r="33" spans="2:20" x14ac:dyDescent="0.25">
      <c r="B33" s="134" t="s">
        <v>50</v>
      </c>
      <c r="C33" s="31"/>
      <c r="D33" s="31"/>
      <c r="E33" s="31"/>
      <c r="F33" s="31"/>
      <c r="G33" s="31"/>
      <c r="H33" s="32" t="e">
        <f>H16*Q33</f>
        <v>#REF!</v>
      </c>
      <c r="I33" s="32" t="e">
        <f>I16*Q33</f>
        <v>#REF!</v>
      </c>
      <c r="J33" s="32">
        <f t="shared" ref="J33" si="5">J16</f>
        <v>0</v>
      </c>
      <c r="K33" s="32" t="e">
        <f>K16*Q33</f>
        <v>#REF!</v>
      </c>
      <c r="L33" s="135"/>
      <c r="M33" s="135"/>
      <c r="N33" s="135"/>
      <c r="Q33" s="30">
        <f>'FOGLIO DEPOSITO'!D350</f>
        <v>25</v>
      </c>
    </row>
    <row r="34" spans="2:20" x14ac:dyDescent="0.25">
      <c r="B34" s="117"/>
      <c r="H34" s="30" t="e">
        <f>H32+H33</f>
        <v>#REF!</v>
      </c>
      <c r="I34" s="30" t="e">
        <f>I32+I33</f>
        <v>#REF!</v>
      </c>
      <c r="J34" s="30">
        <f t="shared" ref="J34" si="6">J32+J33</f>
        <v>0</v>
      </c>
      <c r="K34" s="30" t="e">
        <f t="shared" ref="K34" si="7">K32+K33</f>
        <v>#REF!</v>
      </c>
      <c r="L34" s="130" t="e">
        <f>I34/H34</f>
        <v>#REF!</v>
      </c>
      <c r="M34" s="130">
        <v>0</v>
      </c>
      <c r="N34" s="130" t="e">
        <f>-K34/H34</f>
        <v>#REF!</v>
      </c>
    </row>
    <row r="35" spans="2:20" x14ac:dyDescent="0.25">
      <c r="B35" s="117"/>
      <c r="H35" s="79"/>
      <c r="I35" s="25"/>
      <c r="J35" s="25"/>
      <c r="L35" s="80"/>
      <c r="M35" s="80"/>
      <c r="N35" s="80"/>
    </row>
    <row r="36" spans="2:20" x14ac:dyDescent="0.25">
      <c r="B36" s="117"/>
      <c r="I36" s="25"/>
      <c r="J36" s="25"/>
      <c r="L36" s="80"/>
      <c r="M36" s="80"/>
      <c r="N36" s="80"/>
    </row>
    <row r="37" spans="2:20" x14ac:dyDescent="0.25">
      <c r="B37" s="117"/>
      <c r="H37" s="79"/>
      <c r="I37" s="25"/>
      <c r="J37" s="25"/>
      <c r="L37" s="80"/>
      <c r="M37" s="80"/>
      <c r="N37" s="80"/>
    </row>
    <row r="38" spans="2:20" x14ac:dyDescent="0.25">
      <c r="B38" s="117"/>
      <c r="H38" s="79"/>
      <c r="I38" s="25"/>
      <c r="J38" s="25"/>
      <c r="L38" s="80"/>
      <c r="M38" s="80"/>
      <c r="N38" s="80"/>
    </row>
    <row r="41" spans="2:20" x14ac:dyDescent="0.25">
      <c r="C41" s="89" t="s">
        <v>3</v>
      </c>
      <c r="D41" s="314">
        <f>'FOGLIO DEPOSITO'!$N$260</f>
        <v>3</v>
      </c>
    </row>
    <row r="42" spans="2:20" ht="15.75" thickBot="1" x14ac:dyDescent="0.3">
      <c r="Q42" s="110" t="s">
        <v>0</v>
      </c>
      <c r="R42" s="109"/>
      <c r="S42" s="82"/>
      <c r="T42" s="2"/>
    </row>
    <row r="43" spans="2:20" x14ac:dyDescent="0.25">
      <c r="C43" s="530" t="s">
        <v>51</v>
      </c>
      <c r="D43" s="530"/>
      <c r="E43" s="26"/>
      <c r="F43" s="530" t="s">
        <v>52</v>
      </c>
      <c r="G43" s="530"/>
      <c r="I43" s="26"/>
      <c r="J43" s="530" t="s">
        <v>53</v>
      </c>
      <c r="K43" s="530"/>
      <c r="M43" s="92">
        <v>1</v>
      </c>
      <c r="T43" s="2"/>
    </row>
    <row r="44" spans="2:20" ht="18.75" thickBot="1" x14ac:dyDescent="0.3">
      <c r="C44" s="306">
        <v>0</v>
      </c>
      <c r="D44" s="307">
        <v>0</v>
      </c>
      <c r="E44" s="26"/>
      <c r="F44" s="307">
        <v>0</v>
      </c>
      <c r="G44" s="307">
        <v>0</v>
      </c>
      <c r="I44" s="26"/>
      <c r="J44" s="89">
        <v>0</v>
      </c>
      <c r="K44" s="89">
        <v>0</v>
      </c>
      <c r="M44" s="91">
        <v>2</v>
      </c>
      <c r="Q44" s="2" t="s">
        <v>54</v>
      </c>
      <c r="R44" s="46" t="s">
        <v>55</v>
      </c>
      <c r="S44" s="113">
        <f>DATI!E37</f>
        <v>30</v>
      </c>
      <c r="T44" s="25" t="s">
        <v>1</v>
      </c>
    </row>
    <row r="45" spans="2:20" ht="16.5" thickTop="1" thickBot="1" x14ac:dyDescent="0.3">
      <c r="C45" s="306">
        <f>'FOGLIO DEPOSITO'!N258/2</f>
        <v>0.5</v>
      </c>
      <c r="D45" s="307">
        <v>0</v>
      </c>
      <c r="E45" s="26"/>
      <c r="F45" s="307">
        <f>'FOGLIO DEPOSITO'!N258/2</f>
        <v>0.5</v>
      </c>
      <c r="G45" s="307">
        <v>0</v>
      </c>
      <c r="I45" s="26"/>
      <c r="J45" s="140">
        <f>M50</f>
        <v>1.2</v>
      </c>
      <c r="K45" s="89">
        <v>0</v>
      </c>
      <c r="M45" s="91">
        <v>3</v>
      </c>
      <c r="Q45" s="2" t="s">
        <v>56</v>
      </c>
      <c r="R45" s="107" t="s">
        <v>57</v>
      </c>
      <c r="S45" s="114">
        <f>'FOGLIO DEPOSITO'!N258</f>
        <v>1</v>
      </c>
      <c r="T45" s="25" t="s">
        <v>1</v>
      </c>
    </row>
    <row r="46" spans="2:20" ht="18.75" thickTop="1" x14ac:dyDescent="0.25">
      <c r="B46" s="84"/>
      <c r="C46" s="306">
        <f>C45</f>
        <v>0.5</v>
      </c>
      <c r="D46" s="307">
        <f>'FOGLIO DEPOSITO'!N259</f>
        <v>0.15</v>
      </c>
      <c r="E46" s="26"/>
      <c r="F46" s="307">
        <f>F45</f>
        <v>0.5</v>
      </c>
      <c r="G46" s="307">
        <f>'FOGLIO DEPOSITO'!N259</f>
        <v>0.15</v>
      </c>
      <c r="I46" s="34"/>
      <c r="J46" s="140">
        <f>J45</f>
        <v>1.2</v>
      </c>
      <c r="K46" s="89">
        <f>-S64</f>
        <v>0</v>
      </c>
      <c r="M46" s="91">
        <v>4</v>
      </c>
      <c r="Q46" s="2" t="s">
        <v>58</v>
      </c>
      <c r="R46" s="46" t="s">
        <v>59</v>
      </c>
      <c r="S46" s="115">
        <f>'FOGLIO DEPOSITO'!N259</f>
        <v>0.15</v>
      </c>
      <c r="T46" s="25" t="s">
        <v>1</v>
      </c>
    </row>
    <row r="47" spans="2:20" ht="15.75" thickBot="1" x14ac:dyDescent="0.3">
      <c r="B47" s="84"/>
      <c r="C47" s="308">
        <f>IF('FOGLIO DEPOSITO'!N260&gt;=2,C45-'FOGLIO DEPOSITO'!N262,C45-'FOGLIO DEPOSITO'!N258/2+'FOGLIO DEPOSITO'!N261/2)</f>
        <v>0.15000000000000002</v>
      </c>
      <c r="D47" s="308">
        <f>'FOGLIO DEPOSITO'!N259</f>
        <v>0.15</v>
      </c>
      <c r="E47" s="26"/>
      <c r="F47" s="307">
        <f>IF('FOGLIO DEPOSITO'!N260&gt;=2,F45-'FOGLIO DEPOSITO'!N262,F45-'FOGLIO DEPOSITO'!N258/2+'FOGLIO DEPOSITO'!N261/2)</f>
        <v>0.15000000000000002</v>
      </c>
      <c r="G47" s="307">
        <f>'FOGLIO DEPOSITO'!N259</f>
        <v>0.15</v>
      </c>
      <c r="I47" s="34"/>
      <c r="J47" s="140">
        <f>J46+S63</f>
        <v>1.2</v>
      </c>
      <c r="K47" s="89">
        <f>K46</f>
        <v>0</v>
      </c>
      <c r="M47" s="90">
        <v>5</v>
      </c>
      <c r="R47" s="106"/>
      <c r="S47" s="35"/>
    </row>
    <row r="48" spans="2:20" ht="15.75" thickBot="1" x14ac:dyDescent="0.3">
      <c r="B48" s="84"/>
      <c r="C48" s="308">
        <f>C47</f>
        <v>0.15000000000000002</v>
      </c>
      <c r="D48" s="308">
        <f>D47+'FOGLIO DEPOSITO'!D209</f>
        <v>0.2</v>
      </c>
      <c r="E48" s="26"/>
      <c r="F48" s="307">
        <f>F47</f>
        <v>0.15000000000000002</v>
      </c>
      <c r="G48" s="313">
        <f>G47+F8</f>
        <v>0.20000999999999997</v>
      </c>
      <c r="I48" s="26"/>
      <c r="J48" s="140">
        <f>J47</f>
        <v>1.2</v>
      </c>
      <c r="K48" s="89">
        <f>K47+S64</f>
        <v>0</v>
      </c>
      <c r="Q48" s="2" t="s">
        <v>60</v>
      </c>
      <c r="R48" s="295" t="s">
        <v>3</v>
      </c>
      <c r="S48" s="113">
        <f>'FOGLIO DEPOSITO'!N260</f>
        <v>3</v>
      </c>
      <c r="T48" s="25" t="s">
        <v>4</v>
      </c>
    </row>
    <row r="49" spans="2:20" ht="19.5" thickTop="1" thickBot="1" x14ac:dyDescent="0.3">
      <c r="B49" s="84"/>
      <c r="C49" s="308">
        <f>C48-'FOGLIO DEPOSITO'!N261</f>
        <v>-9.9999999999999811E-3</v>
      </c>
      <c r="D49" s="308">
        <f>D48</f>
        <v>0.2</v>
      </c>
      <c r="E49" s="26"/>
      <c r="F49" s="307">
        <f>F48-'FOGLIO DEPOSITO'!N261</f>
        <v>-9.9999999999999811E-3</v>
      </c>
      <c r="G49" s="313">
        <f>G48</f>
        <v>0.20000999999999997</v>
      </c>
      <c r="I49" s="26"/>
      <c r="J49" s="89">
        <f>S58+S59+'FOGLIO DEPOSITO'!$D$211</f>
        <v>5.1000100000000002</v>
      </c>
      <c r="K49" s="89">
        <f>K48</f>
        <v>0</v>
      </c>
      <c r="M49" t="s">
        <v>61</v>
      </c>
      <c r="Q49" s="2" t="s">
        <v>62</v>
      </c>
      <c r="R49" s="46" t="s">
        <v>63</v>
      </c>
      <c r="S49" s="114">
        <f>'FOGLIO DEPOSITO'!N261</f>
        <v>0.16</v>
      </c>
      <c r="T49" s="25" t="s">
        <v>1</v>
      </c>
    </row>
    <row r="50" spans="2:20" ht="19.5" thickTop="1" thickBot="1" x14ac:dyDescent="0.3">
      <c r="B50" s="84"/>
      <c r="C50" s="308">
        <f>C49</f>
        <v>-9.9999999999999811E-3</v>
      </c>
      <c r="D50" s="308">
        <f>D49-'FOGLIO DEPOSITO'!D209</f>
        <v>0.15</v>
      </c>
      <c r="E50" s="26"/>
      <c r="F50" s="307">
        <f>F49</f>
        <v>-9.9999999999999811E-3</v>
      </c>
      <c r="G50" s="313">
        <f>G49-F8</f>
        <v>0.15</v>
      </c>
      <c r="I50" s="26"/>
      <c r="J50" s="116">
        <f>J49</f>
        <v>5.1000100000000002</v>
      </c>
      <c r="K50" s="89">
        <f>K48+S57</f>
        <v>0</v>
      </c>
      <c r="M50" s="301">
        <f>'FOGLIO DEPOSITO'!N281-S63/2</f>
        <v>1.2</v>
      </c>
      <c r="Q50" s="2" t="s">
        <v>64</v>
      </c>
      <c r="R50" s="46" t="s">
        <v>65</v>
      </c>
      <c r="S50" s="114">
        <f>'FOGLIO DEPOSITO'!N262</f>
        <v>0.35</v>
      </c>
      <c r="T50" s="25" t="s">
        <v>1</v>
      </c>
    </row>
    <row r="51" spans="2:20" ht="19.5" thickTop="1" thickBot="1" x14ac:dyDescent="0.3">
      <c r="B51" s="84">
        <f>IF('FOGLIO DEPOSITO'!N260&gt;2,1,0)</f>
        <v>1</v>
      </c>
      <c r="C51" s="309">
        <f>IF(D41=1,C50,B51*(C50-IF('FOGLIO DEPOSITO'!N260&gt;=2,((('FOGLIO DEPOSITO'!N258-2*'FOGLIO DEPOSITO'!N262)-2*'FOGLIO DEPOSITO'!N261)-('FOGLIO DEPOSITO'!N260-2)*'FOGLIO DEPOSITO'!N261)/('FOGLIO DEPOSITO'!N260-1),0)))</f>
        <v>0.08</v>
      </c>
      <c r="D51" s="309">
        <f>'FOGLIO DEPOSITO'!N259</f>
        <v>0.15</v>
      </c>
      <c r="E51" s="88"/>
      <c r="F51" s="307">
        <f>IF(D41=1,C50,B51*(F50-IF('FOGLIO DEPOSITO'!N260&gt;=2,((('FOGLIO DEPOSITO'!N258-2*'FOGLIO DEPOSITO'!N262)-2*'FOGLIO DEPOSITO'!N261)-('FOGLIO DEPOSITO'!N260-2)*'FOGLIO DEPOSITO'!N261)/('FOGLIO DEPOSITO'!N260-1),0)))</f>
        <v>0.08</v>
      </c>
      <c r="G51" s="307">
        <f>'FOGLIO DEPOSITO'!N259</f>
        <v>0.15</v>
      </c>
      <c r="I51" s="26"/>
      <c r="J51" s="116">
        <f>S58+E8</f>
        <v>1.40001</v>
      </c>
      <c r="K51" s="89">
        <f>K50</f>
        <v>0</v>
      </c>
      <c r="Q51" s="2" t="s">
        <v>66</v>
      </c>
      <c r="R51" s="46" t="s">
        <v>67</v>
      </c>
      <c r="S51" s="114">
        <f>'FOGLIO DEPOSITO'!D209</f>
        <v>5.0000000000000017E-2</v>
      </c>
      <c r="T51" s="25" t="s">
        <v>1</v>
      </c>
    </row>
    <row r="52" spans="2:20" ht="16.5" thickTop="1" thickBot="1" x14ac:dyDescent="0.3">
      <c r="B52" s="84"/>
      <c r="C52" s="309">
        <f>IF(D41=1,C50,B51*C51)</f>
        <v>0.08</v>
      </c>
      <c r="D52" s="309">
        <f>IF(B51=0,'FOGLIO DEPOSITO'!N259,D51+'FOGLIO DEPOSITO'!D209)</f>
        <v>0.2</v>
      </c>
      <c r="E52" s="88"/>
      <c r="F52" s="307">
        <f>IF(D41=1,C50,B51*F51)</f>
        <v>0.08</v>
      </c>
      <c r="G52" s="307">
        <f>IF(B51=0,'FOGLIO DEPOSITO'!N259,G51+F8)</f>
        <v>0.20000999999999997</v>
      </c>
      <c r="I52" s="26"/>
      <c r="J52" s="116">
        <f>S58+E7</f>
        <v>1.4</v>
      </c>
      <c r="K52" s="89">
        <f>K51+S44</f>
        <v>30</v>
      </c>
      <c r="M52" s="26"/>
      <c r="Q52" s="2" t="s">
        <v>68</v>
      </c>
      <c r="R52" s="108" t="s">
        <v>69</v>
      </c>
      <c r="S52" s="114">
        <f>'FOGLIO DEPOSITO'!D196</f>
        <v>1.9098593170951972E-5</v>
      </c>
      <c r="T52" s="25" t="s">
        <v>7</v>
      </c>
    </row>
    <row r="53" spans="2:20" ht="15.75" thickTop="1" x14ac:dyDescent="0.25">
      <c r="B53" s="84"/>
      <c r="C53" s="309">
        <f>IF(D41=1,C50,B51*(C52-'FOGLIO DEPOSITO'!N261))</f>
        <v>-0.08</v>
      </c>
      <c r="D53" s="309">
        <f>D52</f>
        <v>0.2</v>
      </c>
      <c r="E53" s="86"/>
      <c r="F53" s="307">
        <f>IF(D41=1,C50,B51*(F52-'FOGLIO DEPOSITO'!N261))</f>
        <v>-0.08</v>
      </c>
      <c r="G53" s="307">
        <f>G52</f>
        <v>0.20000999999999997</v>
      </c>
      <c r="J53" s="116">
        <f>S58+S46</f>
        <v>1.3499999999999999</v>
      </c>
      <c r="K53" s="89">
        <f>K52</f>
        <v>30</v>
      </c>
      <c r="R53" s="295" t="s">
        <v>70</v>
      </c>
      <c r="S53" s="115">
        <f>'FOGLIO DEPOSITO'!D198</f>
        <v>3.333333333320285E-7</v>
      </c>
      <c r="T53" s="25" t="s">
        <v>8</v>
      </c>
    </row>
    <row r="54" spans="2:20" x14ac:dyDescent="0.25">
      <c r="B54" s="84"/>
      <c r="C54" s="309">
        <f>IF(D41=1,C50,B51*C53)</f>
        <v>-0.08</v>
      </c>
      <c r="D54" s="309">
        <f>IF(B51=0,'FOGLIO DEPOSITO'!N259,D53-'FOGLIO DEPOSITO'!D209)</f>
        <v>0.15</v>
      </c>
      <c r="E54" s="86"/>
      <c r="F54" s="307">
        <f>IF(D41=1,C50,B51*F53)</f>
        <v>-0.08</v>
      </c>
      <c r="G54" s="307">
        <f>IF(B51=0,'FOGLIO DEPOSITO'!N259,G53-F8)</f>
        <v>0.15</v>
      </c>
      <c r="J54" s="116">
        <f>J53</f>
        <v>1.3499999999999999</v>
      </c>
      <c r="K54" s="89">
        <f>K53+S68</f>
        <v>30</v>
      </c>
      <c r="R54" s="2"/>
      <c r="S54" s="35"/>
      <c r="T54" s="105"/>
    </row>
    <row r="55" spans="2:20" x14ac:dyDescent="0.25">
      <c r="B55" s="84">
        <f>IF('FOGLIO DEPOSITO'!N260&gt;3,1,0)</f>
        <v>0</v>
      </c>
      <c r="C55" s="310">
        <f>IF(D41=1,C50,IF(D41=3,C54,B55*(C54-IF('FOGLIO DEPOSITO'!N260&gt;=2,((('FOGLIO DEPOSITO'!N258-2*'FOGLIO DEPOSITO'!N262)-2*'FOGLIO DEPOSITO'!N261)-('FOGLIO DEPOSITO'!N260-2)*'FOGLIO DEPOSITO'!N261)/('FOGLIO DEPOSITO'!N260-1),0))))</f>
        <v>-0.08</v>
      </c>
      <c r="D55" s="310">
        <f>'FOGLIO DEPOSITO'!N259</f>
        <v>0.15</v>
      </c>
      <c r="E55" s="86"/>
      <c r="F55" s="307">
        <f>IF(D41=1,C50,IF(D41=3,C54,B55*(F54-IF('FOGLIO DEPOSITO'!N260&gt;=2,((('FOGLIO DEPOSITO'!N258-2*'FOGLIO DEPOSITO'!N262)-2*'FOGLIO DEPOSITO'!N261)-('FOGLIO DEPOSITO'!N260-2)*'FOGLIO DEPOSITO'!N261)/('FOGLIO DEPOSITO'!N260-1),0))))</f>
        <v>-0.08</v>
      </c>
      <c r="G55" s="307">
        <f>'FOGLIO DEPOSITO'!N259</f>
        <v>0.15</v>
      </c>
      <c r="J55" s="116">
        <f>J54-S46</f>
        <v>1.2</v>
      </c>
      <c r="K55" s="89">
        <f>K54</f>
        <v>30</v>
      </c>
      <c r="Q55" s="110" t="s">
        <v>17</v>
      </c>
      <c r="R55" s="109"/>
      <c r="S55" s="35"/>
      <c r="T55" s="82"/>
    </row>
    <row r="56" spans="2:20" x14ac:dyDescent="0.25">
      <c r="B56" s="84"/>
      <c r="C56" s="310">
        <f>IF(D41=1,C50,IF(D41=3,C54,B55*C55))</f>
        <v>-0.08</v>
      </c>
      <c r="D56" s="310">
        <f>IF(B55=0,'FOGLIO DEPOSITO'!N259,D55+'FOGLIO DEPOSITO'!D209)</f>
        <v>0.15</v>
      </c>
      <c r="F56" s="307">
        <f>IF(D41=1,C50,IF(D41=3,C54,B55*F55))</f>
        <v>-0.08</v>
      </c>
      <c r="G56" s="307">
        <f>IF(B55=0,'FOGLIO DEPOSITO'!N259,G55+F8)</f>
        <v>0.15</v>
      </c>
      <c r="J56" s="116">
        <f>J55</f>
        <v>1.2</v>
      </c>
      <c r="K56" s="89">
        <f>K55-S44-S68</f>
        <v>0</v>
      </c>
      <c r="S56" s="35"/>
    </row>
    <row r="57" spans="2:20" ht="18.75" thickBot="1" x14ac:dyDescent="0.3">
      <c r="B57" s="84"/>
      <c r="C57" s="310">
        <f>IF(D41=1,C50,IF(D41=3,C54,B55*(C56-'FOGLIO DEPOSITO'!N261)))</f>
        <v>-0.08</v>
      </c>
      <c r="D57" s="310">
        <f>D56</f>
        <v>0.15</v>
      </c>
      <c r="F57" s="307">
        <f>IF(D41=1,C50,IF(D41=3,C54,B55*(F56-'FOGLIO DEPOSITO'!N261)))</f>
        <v>-0.08</v>
      </c>
      <c r="G57" s="307">
        <f>G56</f>
        <v>0.15</v>
      </c>
      <c r="J57" s="116">
        <f>J56-S58</f>
        <v>0</v>
      </c>
      <c r="K57" s="89">
        <f>K56</f>
        <v>0</v>
      </c>
      <c r="Q57" s="2" t="s">
        <v>71</v>
      </c>
      <c r="R57" s="46" t="s">
        <v>72</v>
      </c>
      <c r="S57" s="113">
        <f>'FOGLIO DEPOSITO'!N271</f>
        <v>0</v>
      </c>
      <c r="T57" s="25" t="s">
        <v>1</v>
      </c>
    </row>
    <row r="58" spans="2:20" ht="19.5" thickTop="1" thickBot="1" x14ac:dyDescent="0.3">
      <c r="B58" s="84"/>
      <c r="C58" s="310">
        <f>IF(D41=1,C50,IF(D41=3,C54,B55*C57))</f>
        <v>-0.08</v>
      </c>
      <c r="D58" s="310">
        <f>IF(B55=0,'FOGLIO DEPOSITO'!N259,D57-'FOGLIO DEPOSITO'!D209)</f>
        <v>0.15</v>
      </c>
      <c r="F58" s="307">
        <f>IF(D41=1,C50,IF(D41=3,C54,B55*F57))</f>
        <v>-0.08</v>
      </c>
      <c r="G58" s="307">
        <f>IF(B55=0,'FOGLIO DEPOSITO'!N259,G57-F8)</f>
        <v>0.15</v>
      </c>
      <c r="J58" s="116">
        <f>J57</f>
        <v>0</v>
      </c>
      <c r="K58" s="89">
        <f>K57-S57</f>
        <v>0</v>
      </c>
      <c r="Q58" s="2" t="s">
        <v>73</v>
      </c>
      <c r="R58" s="46" t="s">
        <v>74</v>
      </c>
      <c r="S58" s="114">
        <f>'FOGLIO DEPOSITO'!N272</f>
        <v>1.2</v>
      </c>
      <c r="T58" s="25" t="s">
        <v>1</v>
      </c>
    </row>
    <row r="59" spans="2:20" ht="18.75" thickTop="1" x14ac:dyDescent="0.25">
      <c r="B59" s="84">
        <f>IF('FOGLIO DEPOSITO'!N260&gt;4,1,0)</f>
        <v>0</v>
      </c>
      <c r="C59" s="311">
        <f>IF(D41=4,C58,IF(D41=1,C50,IF(D41=3,C54,B59*(C58-IF('FOGLIO DEPOSITO'!N260&gt;=2,((('FOGLIO DEPOSITO'!N258-2*'FOGLIO DEPOSITO'!N262)-2*'FOGLIO DEPOSITO'!N261)-('FOGLIO DEPOSITO'!N260-2)*'FOGLIO DEPOSITO'!N261)/('FOGLIO DEPOSITO'!N260-1),0)))))</f>
        <v>-0.08</v>
      </c>
      <c r="D59" s="311">
        <f>'FOGLIO DEPOSITO'!N259</f>
        <v>0.15</v>
      </c>
      <c r="F59" s="307">
        <f>IF(D41=4,C58,IF(D41=1,C50,IF(D41=3,C54,B59*(F58-IF('FOGLIO DEPOSITO'!N260&gt;=2,((('FOGLIO DEPOSITO'!N258-2*'FOGLIO DEPOSITO'!N262)-2*'FOGLIO DEPOSITO'!N261)-('FOGLIO DEPOSITO'!N260-2)*'FOGLIO DEPOSITO'!N261)/('FOGLIO DEPOSITO'!N260-1),0)))))</f>
        <v>-0.08</v>
      </c>
      <c r="G59" s="307">
        <f>'FOGLIO DEPOSITO'!N259</f>
        <v>0.15</v>
      </c>
      <c r="Q59" s="2" t="s">
        <v>75</v>
      </c>
      <c r="R59" s="46" t="s">
        <v>76</v>
      </c>
      <c r="S59" s="115">
        <f>'FOGLIO DEPOSITO'!D212</f>
        <v>3.7</v>
      </c>
      <c r="T59" s="25" t="s">
        <v>1</v>
      </c>
    </row>
    <row r="60" spans="2:20" x14ac:dyDescent="0.25">
      <c r="B60" s="84"/>
      <c r="C60" s="311">
        <f>IF(D41=4,C58,IF(D41=1,C50,IF(D41=3,C54,B59*C59)))</f>
        <v>-0.08</v>
      </c>
      <c r="D60" s="311">
        <f>IF(B59=0,'FOGLIO DEPOSITO'!N259,D59+'FOGLIO DEPOSITO'!D209)</f>
        <v>0.15</v>
      </c>
      <c r="F60" s="307">
        <f>IF(D41=4,C58,IF(D41=1,C50,IF(D41=3,C54,B59*F59)))</f>
        <v>-0.08</v>
      </c>
      <c r="G60" s="307">
        <f>IF(B59=0,'FOGLIO DEPOSITO'!N259,G59+F8)</f>
        <v>0.15</v>
      </c>
      <c r="J60" s="25">
        <f>S58+S46</f>
        <v>1.3499999999999999</v>
      </c>
      <c r="K60" s="25">
        <f>S57</f>
        <v>0</v>
      </c>
      <c r="Q60" s="2"/>
      <c r="R60" s="46"/>
      <c r="S60" s="35"/>
      <c r="T60" s="2"/>
    </row>
    <row r="61" spans="2:20" x14ac:dyDescent="0.25">
      <c r="B61" s="84"/>
      <c r="C61" s="311">
        <f>IF(D41=4,C58,IF(D41=1,C50,IF(D41=3,C54,B59*(C60-'FOGLIO DEPOSITO'!N261))))</f>
        <v>-0.08</v>
      </c>
      <c r="D61" s="311">
        <f>D60</f>
        <v>0.15</v>
      </c>
      <c r="F61" s="307">
        <f>IF(D41=4,C58,IF(D41=1,C50,IF(D41=3,C54,B59*(F60-'FOGLIO DEPOSITO'!N261))))</f>
        <v>-0.08</v>
      </c>
      <c r="G61" s="307">
        <f>G60</f>
        <v>0.15</v>
      </c>
      <c r="J61" s="25">
        <f>J60</f>
        <v>1.3499999999999999</v>
      </c>
      <c r="K61" s="25">
        <f>S44+S57</f>
        <v>30</v>
      </c>
      <c r="Q61" s="110" t="s">
        <v>77</v>
      </c>
      <c r="R61" s="109"/>
      <c r="S61" s="35"/>
      <c r="T61" s="2"/>
    </row>
    <row r="62" spans="2:20" x14ac:dyDescent="0.25">
      <c r="B62" s="84"/>
      <c r="C62" s="311">
        <f>IF(D41=4,C58,IF(D41=1,C50,IF(D41=3,C54,B59*(C61))))</f>
        <v>-0.08</v>
      </c>
      <c r="D62" s="311">
        <f>IF(B59=0,'FOGLIO DEPOSITO'!N259,D61-'FOGLIO DEPOSITO'!D209)</f>
        <v>0.15</v>
      </c>
      <c r="F62" s="307">
        <f>IF(D41=4,C58,IF(D41=1,C50,IF(D41=3,C54,B59*(F61))))</f>
        <v>-0.08</v>
      </c>
      <c r="G62" s="307">
        <f>IF(B59=0,'FOGLIO DEPOSITO'!N259,G61-F8)</f>
        <v>0.15</v>
      </c>
      <c r="J62" s="25">
        <f>J60</f>
        <v>1.3499999999999999</v>
      </c>
      <c r="K62" s="25">
        <f>K60</f>
        <v>0</v>
      </c>
      <c r="Q62" s="2"/>
      <c r="R62" s="46"/>
      <c r="S62" s="35"/>
      <c r="T62" s="2"/>
    </row>
    <row r="63" spans="2:20" ht="15.75" thickBot="1" x14ac:dyDescent="0.3">
      <c r="B63" s="84"/>
      <c r="C63" s="312">
        <f>IF(D41=1,C50,IF('FOGLIO DEPOSITO'!N260=1,0,IF(B59=0,IF(B55=0,IF(B51=0,C50-IF('FOGLIO DEPOSITO'!N260&gt;=2,((('FOGLIO DEPOSITO'!N258-2*'FOGLIO DEPOSITO'!N262)-2*'FOGLIO DEPOSITO'!N261)-('FOGLIO DEPOSITO'!N260-2)*'FOGLIO DEPOSITO'!N261)/('FOGLIO DEPOSITO'!N260-1),0),C54-IF('FOGLIO DEPOSITO'!N260&gt;=2,((('FOGLIO DEPOSITO'!N258-2*'FOGLIO DEPOSITO'!N262)-2*'FOGLIO DEPOSITO'!N261)-('FOGLIO DEPOSITO'!N260-2)*'FOGLIO DEPOSITO'!N261)/('FOGLIO DEPOSITO'!N260-1),0)),C58-IF('FOGLIO DEPOSITO'!N260&gt;=2,((('FOGLIO DEPOSITO'!N258-2*'FOGLIO DEPOSITO'!N262)-2*'FOGLIO DEPOSITO'!N261)-('FOGLIO DEPOSITO'!N260-2)*'FOGLIO DEPOSITO'!N261)/('FOGLIO DEPOSITO'!N260-1),0)),C62-IF('FOGLIO DEPOSITO'!N260&gt;=2,((('FOGLIO DEPOSITO'!N258-2*'FOGLIO DEPOSITO'!N262)-2*'FOGLIO DEPOSITO'!N261)-('FOGLIO DEPOSITO'!N260-2)*'FOGLIO DEPOSITO'!N261)/('FOGLIO DEPOSITO'!N260-1),0))))</f>
        <v>9.9999999999999811E-3</v>
      </c>
      <c r="D63" s="312">
        <f>'FOGLIO DEPOSITO'!N259</f>
        <v>0.15</v>
      </c>
      <c r="F63" s="307">
        <f>IF(D41=1,C50,IF('FOGLIO DEPOSITO'!N260=1,0,IF(B59=0,IF(B55=0,IF(B51=0,F50-IF('FOGLIO DEPOSITO'!N260&gt;=2,((('FOGLIO DEPOSITO'!N258-2*'FOGLIO DEPOSITO'!N262)-2*'FOGLIO DEPOSITO'!N261)-('FOGLIO DEPOSITO'!N260-2)*'FOGLIO DEPOSITO'!N261)/('FOGLIO DEPOSITO'!N260-1),0),F54-IF('FOGLIO DEPOSITO'!N260&gt;=2,((('FOGLIO DEPOSITO'!N258-2*'FOGLIO DEPOSITO'!N262)-2*'FOGLIO DEPOSITO'!N261)-('FOGLIO DEPOSITO'!N260-2)*'FOGLIO DEPOSITO'!N261)/('FOGLIO DEPOSITO'!N260-1),0)),F58-IF('FOGLIO DEPOSITO'!N260&gt;=2,((('FOGLIO DEPOSITO'!N258-2*'FOGLIO DEPOSITO'!N262)-2*'FOGLIO DEPOSITO'!N261)-('FOGLIO DEPOSITO'!N260-2)*'FOGLIO DEPOSITO'!N261)/('FOGLIO DEPOSITO'!N260-1),0)),F62-IF('FOGLIO DEPOSITO'!N260&gt;=2,((('FOGLIO DEPOSITO'!N258-2*'FOGLIO DEPOSITO'!N262)-2*'FOGLIO DEPOSITO'!N261)-('FOGLIO DEPOSITO'!N260-2)*'FOGLIO DEPOSITO'!N261)/('FOGLIO DEPOSITO'!N260-1),0))))</f>
        <v>9.9999999999999811E-3</v>
      </c>
      <c r="G63" s="307">
        <f>'FOGLIO DEPOSITO'!N259</f>
        <v>0.15</v>
      </c>
      <c r="J63" s="81">
        <f>E8+S58</f>
        <v>1.40001</v>
      </c>
      <c r="K63" s="25">
        <f>K60</f>
        <v>0</v>
      </c>
      <c r="Q63" s="2" t="s">
        <v>78</v>
      </c>
      <c r="R63" t="s">
        <v>79</v>
      </c>
      <c r="S63" s="113">
        <f>'FOGLIO DEPOSITO'!N280</f>
        <v>0</v>
      </c>
      <c r="T63" s="25" t="s">
        <v>1</v>
      </c>
    </row>
    <row r="64" spans="2:20" ht="15.75" thickTop="1" x14ac:dyDescent="0.25">
      <c r="B64" s="84"/>
      <c r="C64" s="312">
        <f>C63</f>
        <v>9.9999999999999811E-3</v>
      </c>
      <c r="D64" s="312">
        <f>D63+'FOGLIO DEPOSITO'!D209</f>
        <v>0.2</v>
      </c>
      <c r="F64" s="307">
        <f>IF(D41=1,C50,F63)</f>
        <v>9.9999999999999811E-3</v>
      </c>
      <c r="G64" s="313">
        <f>G63+F8</f>
        <v>0.20000999999999997</v>
      </c>
      <c r="Q64" s="2" t="s">
        <v>80</v>
      </c>
      <c r="R64" t="s">
        <v>81</v>
      </c>
      <c r="S64" s="115">
        <f>'FOGLIO DEPOSITO'!N278</f>
        <v>0</v>
      </c>
      <c r="T64" s="25" t="s">
        <v>1</v>
      </c>
    </row>
    <row r="65" spans="1:20" x14ac:dyDescent="0.25">
      <c r="B65" s="84"/>
      <c r="C65" s="312">
        <f>IF(D41=1,C50,IF('FOGLIO DEPOSITO'!N260=1,0,C64-'FOGLIO DEPOSITO'!N261))</f>
        <v>-0.15000000000000002</v>
      </c>
      <c r="D65" s="312">
        <f>D64</f>
        <v>0.2</v>
      </c>
      <c r="F65" s="307">
        <f>IF(D41=1,C50,IF('FOGLIO DEPOSITO'!N260=1,0,F64-'FOGLIO DEPOSITO'!N261))</f>
        <v>-0.15000000000000002</v>
      </c>
      <c r="G65" s="313">
        <f>G64</f>
        <v>0.20000999999999997</v>
      </c>
      <c r="J65">
        <f>S58</f>
        <v>1.2</v>
      </c>
      <c r="K65">
        <f>S44+S57</f>
        <v>30</v>
      </c>
      <c r="Q65" s="2"/>
      <c r="R65" s="46"/>
      <c r="S65" s="35"/>
      <c r="T65" s="2"/>
    </row>
    <row r="66" spans="1:20" x14ac:dyDescent="0.25">
      <c r="B66" s="84"/>
      <c r="C66" s="312">
        <f>C65</f>
        <v>-0.15000000000000002</v>
      </c>
      <c r="D66" s="312">
        <f>D65-'FOGLIO DEPOSITO'!D209</f>
        <v>0.15</v>
      </c>
      <c r="F66" s="307">
        <f>F65</f>
        <v>-0.15000000000000002</v>
      </c>
      <c r="G66" s="313">
        <f>G65-F8</f>
        <v>0.15</v>
      </c>
      <c r="J66">
        <v>0</v>
      </c>
      <c r="K66">
        <v>0</v>
      </c>
      <c r="Q66" s="110" t="s">
        <v>82</v>
      </c>
      <c r="R66" s="111"/>
      <c r="S66" s="35"/>
      <c r="T66" s="2"/>
    </row>
    <row r="67" spans="1:20" x14ac:dyDescent="0.25">
      <c r="C67" s="306">
        <f>IF('FOGLIO DEPOSITO'!N260=1,-'FOGLIO DEPOSITO'!N258/2,C66-'FOGLIO DEPOSITO'!N262)</f>
        <v>-0.5</v>
      </c>
      <c r="D67" s="306">
        <f>'FOGLIO DEPOSITO'!N259</f>
        <v>0.15</v>
      </c>
      <c r="F67" s="307">
        <f>IF('FOGLIO DEPOSITO'!N260=1,-'FOGLIO DEPOSITO'!N258/2,F66-'FOGLIO DEPOSITO'!N262)</f>
        <v>-0.5</v>
      </c>
      <c r="G67" s="313">
        <f>'FOGLIO DEPOSITO'!N259</f>
        <v>0.15</v>
      </c>
      <c r="J67">
        <v>0</v>
      </c>
      <c r="K67">
        <v>0</v>
      </c>
      <c r="Q67" s="25"/>
      <c r="S67" s="35"/>
      <c r="T67" s="2"/>
    </row>
    <row r="68" spans="1:20" ht="18" x14ac:dyDescent="0.25">
      <c r="C68" s="306">
        <f>C67</f>
        <v>-0.5</v>
      </c>
      <c r="D68" s="306">
        <f>D67-'FOGLIO DEPOSITO'!N259</f>
        <v>0</v>
      </c>
      <c r="F68" s="307">
        <f>F67</f>
        <v>-0.5</v>
      </c>
      <c r="G68" s="313">
        <f>G67-'FOGLIO DEPOSITO'!N259</f>
        <v>0</v>
      </c>
      <c r="J68">
        <f>J65</f>
        <v>1.2</v>
      </c>
      <c r="K68">
        <f>S57</f>
        <v>0</v>
      </c>
      <c r="Q68" s="112" t="s">
        <v>83</v>
      </c>
      <c r="R68" s="46" t="s">
        <v>84</v>
      </c>
      <c r="S68" s="301">
        <f>'FOGLIO DEPOSITO'!N285</f>
        <v>0</v>
      </c>
      <c r="T68" s="25" t="s">
        <v>1</v>
      </c>
    </row>
    <row r="69" spans="1:20" x14ac:dyDescent="0.25">
      <c r="C69" s="306">
        <f>C68+'FOGLIO DEPOSITO'!N258/2</f>
        <v>0</v>
      </c>
      <c r="D69" s="306">
        <f>D68</f>
        <v>0</v>
      </c>
      <c r="F69" s="307">
        <f>F68+'FOGLIO DEPOSITO'!N258/2</f>
        <v>0</v>
      </c>
      <c r="G69" s="313">
        <f>G68</f>
        <v>0</v>
      </c>
      <c r="S69" s="35"/>
    </row>
    <row r="70" spans="1:20" x14ac:dyDescent="0.25">
      <c r="C70" s="25"/>
      <c r="D70" s="25"/>
      <c r="S70" s="35"/>
    </row>
    <row r="71" spans="1:20" x14ac:dyDescent="0.25">
      <c r="C71" s="617" t="s">
        <v>17</v>
      </c>
      <c r="D71" s="617"/>
      <c r="F71" s="617" t="s">
        <v>77</v>
      </c>
      <c r="G71" s="617"/>
      <c r="S71" s="35"/>
    </row>
    <row r="72" spans="1:20" x14ac:dyDescent="0.25">
      <c r="C72" s="306">
        <f>'FOGLIO DEPOSITO'!N258/2</f>
        <v>0.5</v>
      </c>
      <c r="D72" s="306">
        <v>0</v>
      </c>
      <c r="F72" s="306">
        <f>F73</f>
        <v>0.5</v>
      </c>
      <c r="G72" s="306">
        <f>(-'FOGLIO DEPOSITO'!N272+'FOGLIO DEPOSITO'!N281)-'FOGLIO DEPOSITO'!N280/2</f>
        <v>0</v>
      </c>
      <c r="S72" s="26"/>
    </row>
    <row r="73" spans="1:20" x14ac:dyDescent="0.25">
      <c r="C73" s="306">
        <f>C72</f>
        <v>0.5</v>
      </c>
      <c r="D73" s="306">
        <f>'FOGLIO DEPOSITO'!D212+'FOGLIO DEPOSITO'!D211</f>
        <v>3.90001</v>
      </c>
      <c r="F73" s="306">
        <f>'FOGLIO DEPOSITO'!N258/2</f>
        <v>0.5</v>
      </c>
      <c r="G73" s="306">
        <f>(-'FOGLIO DEPOSITO'!N272+'FOGLIO DEPOSITO'!N281)+'FOGLIO DEPOSITO'!N280/2</f>
        <v>0</v>
      </c>
    </row>
    <row r="74" spans="1:20" x14ac:dyDescent="0.25">
      <c r="C74" s="306">
        <f>-C73</f>
        <v>-0.5</v>
      </c>
      <c r="D74" s="306">
        <f>D73</f>
        <v>3.90001</v>
      </c>
      <c r="F74" s="306">
        <f>-F73</f>
        <v>-0.5</v>
      </c>
      <c r="G74" s="306">
        <f>G73</f>
        <v>0</v>
      </c>
    </row>
    <row r="75" spans="1:20" x14ac:dyDescent="0.25">
      <c r="C75" s="306">
        <f>C74</f>
        <v>-0.5</v>
      </c>
      <c r="D75" s="306">
        <f>-S58</f>
        <v>-1.2</v>
      </c>
      <c r="F75" s="306">
        <f>F74</f>
        <v>-0.5</v>
      </c>
      <c r="G75" s="306">
        <f>G72</f>
        <v>0</v>
      </c>
    </row>
    <row r="76" spans="1:20" x14ac:dyDescent="0.25">
      <c r="C76" s="306">
        <f>-C75</f>
        <v>0.5</v>
      </c>
      <c r="D76" s="306">
        <f>D75</f>
        <v>-1.2</v>
      </c>
      <c r="F76" s="306">
        <f>F72</f>
        <v>0.5</v>
      </c>
      <c r="G76" s="306">
        <f>G72</f>
        <v>0</v>
      </c>
    </row>
    <row r="77" spans="1:20" x14ac:dyDescent="0.25">
      <c r="C77" s="306">
        <f>C76</f>
        <v>0.5</v>
      </c>
      <c r="D77" s="306">
        <v>0</v>
      </c>
    </row>
    <row r="78" spans="1:20" x14ac:dyDescent="0.25">
      <c r="C78" s="25"/>
      <c r="D78" s="25"/>
    </row>
    <row r="79" spans="1:20" s="119" customFormat="1" x14ac:dyDescent="0.25">
      <c r="A79" s="118"/>
    </row>
    <row r="81" spans="2:17" x14ac:dyDescent="0.25">
      <c r="C81" s="618" t="s">
        <v>500</v>
      </c>
      <c r="D81" s="618"/>
      <c r="E81" s="618" t="s">
        <v>85</v>
      </c>
      <c r="F81" s="618"/>
      <c r="G81" s="515" t="s">
        <v>86</v>
      </c>
      <c r="H81" s="515"/>
      <c r="I81">
        <f>IF(H96="sx",-1,1)</f>
        <v>1</v>
      </c>
      <c r="J81" s="10" t="s">
        <v>87</v>
      </c>
      <c r="K81" s="2"/>
      <c r="M81" s="515" t="s">
        <v>537</v>
      </c>
      <c r="N81" s="515"/>
      <c r="O81" s="515" t="s">
        <v>538</v>
      </c>
      <c r="P81" s="515"/>
    </row>
    <row r="82" spans="2:17" x14ac:dyDescent="0.25">
      <c r="C82" s="325">
        <v>0</v>
      </c>
      <c r="D82" s="325">
        <v>0</v>
      </c>
      <c r="G82" s="9">
        <v>0</v>
      </c>
      <c r="H82" s="81">
        <v>0</v>
      </c>
      <c r="M82" s="139">
        <f>IF('FOGLIO DEPOSITO'!$X$248="dx",'geom masse muro+tensioni'!M86,'geom masse muro+tensioni'!M91)</f>
        <v>1.3499999999999999</v>
      </c>
      <c r="N82" s="139">
        <f>IF('FOGLIO DEPOSITO'!$X$248="dx",'geom masse muro+tensioni'!N86,'geom masse muro+tensioni'!N91)</f>
        <v>30</v>
      </c>
      <c r="O82" s="359">
        <f>IF('FOGLIO DEPOSITO'!$X$248="sx",O86,O90)</f>
        <v>0</v>
      </c>
      <c r="P82" s="359">
        <f>IF('FOGLIO DEPOSITO'!$X$248="sx",P86,P90)</f>
        <v>0</v>
      </c>
    </row>
    <row r="83" spans="2:17" x14ac:dyDescent="0.25">
      <c r="C83" s="325">
        <v>0</v>
      </c>
      <c r="D83" s="325" t="e">
        <f>-'FOGLIO DEPOSITO'!G131*0.01</f>
        <v>#REF!</v>
      </c>
      <c r="E83" s="25">
        <v>0</v>
      </c>
      <c r="F83" s="25">
        <v>0</v>
      </c>
      <c r="G83" s="9">
        <v>0</v>
      </c>
      <c r="H83" s="9" t="e">
        <f>'FOGLIO DEPOSITO'!G150*0.01</f>
        <v>#REF!</v>
      </c>
      <c r="M83" s="139">
        <f>IF('FOGLIO DEPOSITO'!$X$248="dx",'geom masse muro+tensioni'!M87,'geom masse muro+tensioni'!M92)</f>
        <v>5.1000100000000002</v>
      </c>
      <c r="N83" s="139">
        <f>IF('FOGLIO DEPOSITO'!$X$248="dx",'geom masse muro+tensioni'!N87,'geom masse muro+tensioni'!N92)</f>
        <v>30</v>
      </c>
      <c r="O83" s="359">
        <f>IF('FOGLIO DEPOSITO'!$X$248="sx",O87,O91)</f>
        <v>0</v>
      </c>
      <c r="P83" s="359">
        <f>IF('FOGLIO DEPOSITO'!$X$248="sx",P87,P91)</f>
        <v>1</v>
      </c>
    </row>
    <row r="84" spans="2:17" x14ac:dyDescent="0.25">
      <c r="C84" s="116" t="e">
        <f>IF(F98&gt;0,C83,IF(H96&lt;=C85,F97,C83))</f>
        <v>#REF!</v>
      </c>
      <c r="D84" s="116" t="e">
        <f>IF(C84=0,D83,0)</f>
        <v>#REF!</v>
      </c>
      <c r="E84" s="25">
        <v>0</v>
      </c>
      <c r="F84" s="25" t="e">
        <f>-'FOGLIO DEPOSITO'!G144*0.01</f>
        <v>#REF!</v>
      </c>
      <c r="G84" s="9">
        <f>'FOGLIO DEPOSITO'!N272+'FOGLIO DEPOSITO'!N259/2</f>
        <v>1.2749999999999999</v>
      </c>
      <c r="H84" s="9" t="e">
        <f>'FOGLIO DEPOSITO'!E152*0.01</f>
        <v>#REF!</v>
      </c>
      <c r="I84" t="e">
        <f>IF('ANALISI DELLE SPINTE'!$Y$94&gt;'ANALISI DELLE SPINTE'!$Z$114,'geom masse muro+tensioni'!J100,'geom masse muro+tensioni'!J113)</f>
        <v>#N/A</v>
      </c>
      <c r="J84" s="9" t="e">
        <f>$I$81*I84+IF(H96="dx",#REF!*1.1,-0.6)</f>
        <v>#N/A</v>
      </c>
      <c r="K84" s="3">
        <f t="shared" ref="K84:K92" si="8">K100</f>
        <v>0</v>
      </c>
      <c r="M84" s="139">
        <f>IF('FOGLIO DEPOSITO'!$X$248="dx",'geom masse muro+tensioni'!M88,'geom masse muro+tensioni'!M93)</f>
        <v>5.1000100000000002</v>
      </c>
      <c r="N84" s="139">
        <f>IF('FOGLIO DEPOSITO'!$X$248="dx",'geom masse muro+tensioni'!N88,'geom masse muro+tensioni'!N93)</f>
        <v>0</v>
      </c>
      <c r="O84" s="359">
        <f>IF('FOGLIO DEPOSITO'!$X$248="sx",O88,O92)</f>
        <v>1.2</v>
      </c>
      <c r="P84" s="359">
        <f>IF('FOGLIO DEPOSITO'!$X$248="sx",P88,P92)</f>
        <v>1</v>
      </c>
    </row>
    <row r="85" spans="2:17" x14ac:dyDescent="0.25">
      <c r="B85" s="106" t="s">
        <v>497</v>
      </c>
      <c r="C85" s="325">
        <f>'FOGLIO DEPOSITO'!N272+'FOGLIO DEPOSITO'!N259/2</f>
        <v>1.2749999999999999</v>
      </c>
      <c r="D85" s="325" t="e">
        <f>IF(D84=0,IF(D86=0,0,-'FOGLIO DEPOSITO'!D129*0.01),-'FOGLIO DEPOSITO'!D129*0.01)</f>
        <v>#REF!</v>
      </c>
      <c r="E85" s="25">
        <f>'FOGLIO DEPOSITO'!N272+'FOGLIO DEPOSITO'!N259/2</f>
        <v>1.2749999999999999</v>
      </c>
      <c r="F85" s="25" t="e">
        <f>-'FOGLIO DEPOSITO'!D142*0.01</f>
        <v>#REF!</v>
      </c>
      <c r="G85" s="9">
        <f>G84</f>
        <v>1.2749999999999999</v>
      </c>
      <c r="H85" s="9" t="e">
        <f>'FOGLIO DEPOSITO'!F157*0.01</f>
        <v>#REF!</v>
      </c>
      <c r="I85" t="e">
        <f>IF('ANALISI DELLE SPINTE'!$Y$94&gt;'ANALISI DELLE SPINTE'!$Z$114,'geom masse muro+tensioni'!J101,'geom masse muro+tensioni'!J114)</f>
        <v>#N/A</v>
      </c>
      <c r="J85" s="9" t="e">
        <f>$I$81*I85+IF(H96="dx",#REF!*1.1,-0.6)</f>
        <v>#N/A</v>
      </c>
      <c r="K85" s="3">
        <f t="shared" si="8"/>
        <v>0</v>
      </c>
      <c r="O85" s="359">
        <f>IF('FOGLIO DEPOSITO'!$X$248="sx",O89,O93)</f>
        <v>1.2</v>
      </c>
      <c r="P85" s="359">
        <f>IF('FOGLIO DEPOSITO'!$X$248="sx",P89,P93)</f>
        <v>0</v>
      </c>
    </row>
    <row r="86" spans="2:17" x14ac:dyDescent="0.25">
      <c r="C86" s="116" t="e">
        <f>IF(F98&gt;=0,C87,IF(H96&gt;=C85,F97,C87))</f>
        <v>#REF!</v>
      </c>
      <c r="D86" s="116" t="e">
        <f>IF(C86=C87,D87,0)</f>
        <v>#REF!</v>
      </c>
      <c r="E86" s="25">
        <f>'FOGLIO DEPOSITO'!D211+'FOGLIO DEPOSITO'!D212+'geom masse muro+tensioni'!S58</f>
        <v>5.1000100000000002</v>
      </c>
      <c r="F86" s="25" t="e">
        <f>-'FOGLIO DEPOSITO'!B146*0.01</f>
        <v>#REF!</v>
      </c>
      <c r="G86" s="9">
        <f>G85+'FOGLIO DEPOSITO'!D212+'FOGLIO DEPOSITO'!D211-S46/2</f>
        <v>5.1000099999999993</v>
      </c>
      <c r="H86" s="9" t="e">
        <f>'FOGLIO DEPOSITO'!C159*0.01</f>
        <v>#REF!</v>
      </c>
      <c r="I86" t="e">
        <f>IF('ANALISI DELLE SPINTE'!$Y$94&gt;'ANALISI DELLE SPINTE'!$Z$114,'geom masse muro+tensioni'!J102,'geom masse muro+tensioni'!J115)</f>
        <v>#N/A</v>
      </c>
      <c r="J86" s="9" t="e">
        <f>$I$81*I86+IF(H96="dx",#REF!*1.1,-0.6)</f>
        <v>#N/A</v>
      </c>
      <c r="K86" s="3">
        <f t="shared" si="8"/>
        <v>8.3973333333333322</v>
      </c>
      <c r="M86" s="25">
        <f>IF(P21="muro a contrafforti",'FOGLIO DEPOSITO'!N272+'FOGLIO DEPOSITO'!N259,'FOGLIO DEPOSITO'!N272+'FOGLIO DEPOSITO'!N259+S51)</f>
        <v>1.3499999999999999</v>
      </c>
      <c r="N86" s="142">
        <f>DATI!E37+'FOGLIO DEPOSITO'!N271</f>
        <v>30</v>
      </c>
      <c r="O86" s="25">
        <f>O87</f>
        <v>1.40001</v>
      </c>
      <c r="P86" s="25">
        <f>S57</f>
        <v>0</v>
      </c>
    </row>
    <row r="87" spans="2:17" x14ac:dyDescent="0.25">
      <c r="C87" s="325">
        <f>'FOGLIO DEPOSITO'!D211+'FOGLIO DEPOSITO'!D212+'geom masse muro+tensioni'!S58</f>
        <v>5.1000100000000002</v>
      </c>
      <c r="D87" s="325" t="e">
        <f>-'FOGLIO DEPOSITO'!B133*0.01</f>
        <v>#REF!</v>
      </c>
      <c r="E87" s="25">
        <f>E86</f>
        <v>5.1000100000000002</v>
      </c>
      <c r="F87" s="25">
        <v>0</v>
      </c>
      <c r="G87" s="9">
        <f>G86</f>
        <v>5.1000099999999993</v>
      </c>
      <c r="H87" s="9">
        <v>0</v>
      </c>
      <c r="I87" t="e">
        <f>IF('ANALISI DELLE SPINTE'!$Y$94&gt;'ANALISI DELLE SPINTE'!$Z$114,'geom masse muro+tensioni'!J103,'geom masse muro+tensioni'!J116)</f>
        <v>#N/A</v>
      </c>
      <c r="J87" s="9" t="e">
        <f>$I$81*I87+IF(H96="dx",#REF!*1.1,-0.6)</f>
        <v>#N/A</v>
      </c>
      <c r="K87" s="3">
        <f t="shared" si="8"/>
        <v>8.3973333333333322</v>
      </c>
      <c r="L87" s="89" t="s">
        <v>90</v>
      </c>
      <c r="M87" s="30">
        <f>IF(P21="muro a contrafforti",M82+'FOGLIO DEPOSITO'!D212+'FOGLIO DEPOSITO'!D210,M82+'FOGLIO DEPOSITO'!D212+'FOGLIO DEPOSITO'!D210-S51)</f>
        <v>5.1000100000000002</v>
      </c>
      <c r="N87" s="142">
        <f>N82+'FOGLIO DEPOSITO'!D212*TAN('FOGLIO DEPOSITO'!S259*PI()/180)</f>
        <v>30</v>
      </c>
      <c r="O87" s="35">
        <f>'FOGLIO DEPOSITO'!N272+'FOGLIO DEPOSITO'!D211</f>
        <v>1.40001</v>
      </c>
      <c r="P87" s="35">
        <f>S57+D21</f>
        <v>1</v>
      </c>
    </row>
    <row r="88" spans="2:17" x14ac:dyDescent="0.25">
      <c r="C88" s="325">
        <f>C87</f>
        <v>5.1000100000000002</v>
      </c>
      <c r="D88" s="325">
        <v>0</v>
      </c>
      <c r="G88" s="9">
        <v>0</v>
      </c>
      <c r="H88" s="9">
        <v>0</v>
      </c>
      <c r="I88" t="e">
        <f>IF('ANALISI DELLE SPINTE'!$Y$94&gt;'ANALISI DELLE SPINTE'!$Z$114,'geom masse muro+tensioni'!J104,'geom masse muro+tensioni'!J117)</f>
        <v>#N/A</v>
      </c>
      <c r="J88" s="9" t="e">
        <f>$I$81*I88+IF(H96="dx",#REF!*1.1,-0.6)</f>
        <v>#N/A</v>
      </c>
      <c r="K88" s="3">
        <f t="shared" si="8"/>
        <v>8.3973333333333322</v>
      </c>
      <c r="L88" s="89" t="s">
        <v>88</v>
      </c>
      <c r="M88" s="30">
        <f>M83</f>
        <v>5.1000100000000002</v>
      </c>
      <c r="N88" s="142">
        <f>'FOGLIO DEPOSITO'!N271</f>
        <v>0</v>
      </c>
      <c r="O88" s="35">
        <f>'FOGLIO DEPOSITO'!N272+'FOGLIO DEPOSITO'!D211+'FOGLIO DEPOSITO'!D212</f>
        <v>5.1000100000000002</v>
      </c>
      <c r="P88" s="25">
        <f>P87</f>
        <v>1</v>
      </c>
    </row>
    <row r="89" spans="2:17" x14ac:dyDescent="0.25">
      <c r="I89" t="e">
        <f>IF('ANALISI DELLE SPINTE'!$Y$94&gt;'ANALISI DELLE SPINTE'!$Z$114,'geom masse muro+tensioni'!J105,'geom masse muro+tensioni'!J118)</f>
        <v>#N/A</v>
      </c>
      <c r="J89" s="9" t="e">
        <f>$I$81*I89+IF(H96="dx",#REF!*1.1,-0.6)</f>
        <v>#N/A</v>
      </c>
      <c r="K89" s="3">
        <f t="shared" si="8"/>
        <v>18.799999999999997</v>
      </c>
      <c r="N89" s="143"/>
      <c r="O89" s="155">
        <f>O88</f>
        <v>5.1000100000000002</v>
      </c>
      <c r="P89" s="94">
        <f>S57</f>
        <v>0</v>
      </c>
    </row>
    <row r="90" spans="2:17" x14ac:dyDescent="0.25">
      <c r="E90" t="e">
        <f>IF(D84=0,IF(D86=0,0,-'FOGLIO DEPOSITO'!D129*0.01),-'FOGLIO DEPOSITO'!D129*0.01)</f>
        <v>#REF!</v>
      </c>
      <c r="I90" t="e">
        <f>IF('ANALISI DELLE SPINTE'!$Y$94&gt;'ANALISI DELLE SPINTE'!$Z$114,'geom masse muro+tensioni'!J106,'geom masse muro+tensioni'!J119)</f>
        <v>#N/A</v>
      </c>
      <c r="J90" s="9" t="e">
        <f>$I$81*I90+IF(H96="dx",#REF!*1.1,-0.6)</f>
        <v>#N/A</v>
      </c>
      <c r="K90" s="3">
        <f t="shared" si="8"/>
        <v>18.799999999999997</v>
      </c>
      <c r="N90" s="142"/>
      <c r="O90" s="35">
        <v>0</v>
      </c>
      <c r="P90" s="25">
        <f>S57</f>
        <v>0</v>
      </c>
    </row>
    <row r="91" spans="2:17" x14ac:dyDescent="0.25">
      <c r="I91" t="e">
        <f>IF('ANALISI DELLE SPINTE'!$Y$94&gt;'ANALISI DELLE SPINTE'!$Z$114,'geom masse muro+tensioni'!J107,'geom masse muro+tensioni'!J120)</f>
        <v>#N/A</v>
      </c>
      <c r="J91" s="9" t="e">
        <f>$I$81*I91+IF(H96="dx",#REF!*1.1,-0.6)</f>
        <v>#N/A</v>
      </c>
      <c r="K91" s="3">
        <f t="shared" si="8"/>
        <v>18.799999999999997</v>
      </c>
      <c r="M91" s="30">
        <v>0</v>
      </c>
      <c r="N91" s="213">
        <f>S57</f>
        <v>0</v>
      </c>
      <c r="O91" s="35">
        <v>0</v>
      </c>
      <c r="P91" s="25">
        <f>P90+D21</f>
        <v>1</v>
      </c>
    </row>
    <row r="92" spans="2:17" x14ac:dyDescent="0.25">
      <c r="I92" t="e">
        <f>IF('ANALISI DELLE SPINTE'!$Y$94&gt;'ANALISI DELLE SPINTE'!$Z$114,'geom masse muro+tensioni'!J108,'geom masse muro+tensioni'!J121)</f>
        <v>#N/A</v>
      </c>
      <c r="J92" s="9" t="e">
        <f>$I$81*I92+IF(H96="dx",#REF!*1.1,-0.6)</f>
        <v>#N/A</v>
      </c>
      <c r="K92" s="3">
        <f t="shared" si="8"/>
        <v>30</v>
      </c>
      <c r="M92" s="30">
        <v>0</v>
      </c>
      <c r="N92" s="213">
        <f>N91+'FOGLIO DEPOSITO'!N272*TAN('FOGLIO DEPOSITO'!S259*PI()/180)+S44</f>
        <v>30</v>
      </c>
      <c r="O92" s="35">
        <f>'FOGLIO DEPOSITO'!N272</f>
        <v>1.2</v>
      </c>
      <c r="P92" s="25">
        <f>P91</f>
        <v>1</v>
      </c>
    </row>
    <row r="93" spans="2:17" s="317" customFormat="1" x14ac:dyDescent="0.25">
      <c r="J93" s="9" t="e">
        <f>IF(I92=0,J92,J92+IF(H96="SX",1*I92,-1*I92))</f>
        <v>#N/A</v>
      </c>
      <c r="K93" s="3">
        <f>K92</f>
        <v>30</v>
      </c>
      <c r="M93" s="30">
        <f>S58</f>
        <v>1.2</v>
      </c>
      <c r="N93" s="213">
        <f>S44+S57</f>
        <v>30</v>
      </c>
      <c r="O93" s="25">
        <f>O92</f>
        <v>1.2</v>
      </c>
      <c r="P93" s="25">
        <f>P90</f>
        <v>0</v>
      </c>
    </row>
    <row r="94" spans="2:17" x14ac:dyDescent="0.25">
      <c r="C94" s="618" t="s">
        <v>89</v>
      </c>
      <c r="D94" s="618"/>
      <c r="J94" s="9" t="e">
        <f>J93</f>
        <v>#N/A</v>
      </c>
      <c r="K94" s="3">
        <f>K84</f>
        <v>0</v>
      </c>
      <c r="M94" s="30"/>
      <c r="N94" s="30"/>
    </row>
    <row r="95" spans="2:17" x14ac:dyDescent="0.25">
      <c r="C95" s="25">
        <f>C85</f>
        <v>1.2749999999999999</v>
      </c>
      <c r="D95" s="30" t="e">
        <f>D85</f>
        <v>#REF!</v>
      </c>
      <c r="F95" s="524" t="s">
        <v>492</v>
      </c>
      <c r="G95" s="525"/>
      <c r="H95" s="342" t="e">
        <f>'FOGLIO DEPOSITO'!I138</f>
        <v>#REF!</v>
      </c>
      <c r="J95" s="81" t="e">
        <f>J84</f>
        <v>#N/A</v>
      </c>
      <c r="K95" s="3">
        <f>K94</f>
        <v>0</v>
      </c>
      <c r="M95" s="618" t="s">
        <v>92</v>
      </c>
      <c r="N95" s="618"/>
      <c r="P95">
        <f>'FOGLIO DEPOSITO'!D198</f>
        <v>3.333333333320285E-7</v>
      </c>
    </row>
    <row r="96" spans="2:17" x14ac:dyDescent="0.25">
      <c r="C96" s="25">
        <f>'FOGLIO DEPOSITO'!N272+'FOGLIO DEPOSITO'!N259/2</f>
        <v>1.2749999999999999</v>
      </c>
      <c r="D96" s="25">
        <f>DATI!E37+'FOGLIO DEPOSITO'!N271+'FOGLIO DEPOSITO'!N285</f>
        <v>30</v>
      </c>
      <c r="F96" s="524"/>
      <c r="G96" s="525"/>
      <c r="H96" s="302" t="str">
        <f>'FOGLIO DEPOSITO'!X248</f>
        <v>dx</v>
      </c>
      <c r="M96" s="85">
        <f>M86</f>
        <v>1.3499999999999999</v>
      </c>
      <c r="N96" s="146">
        <f>P100-P96</f>
        <v>18.799999999999997</v>
      </c>
      <c r="P96" s="145">
        <f>'FOGLIO DEPOSITO'!W227</f>
        <v>11.200000000000001</v>
      </c>
      <c r="Q96" t="s">
        <v>94</v>
      </c>
    </row>
    <row r="97" spans="3:17" x14ac:dyDescent="0.25">
      <c r="C97" s="25"/>
      <c r="D97" s="25"/>
      <c r="F97" s="347" t="e">
        <f>'FOGLIO DEPOSITO'!I139</f>
        <v>#REF!</v>
      </c>
      <c r="G97" t="s">
        <v>498</v>
      </c>
      <c r="M97" s="146">
        <f>M87</f>
        <v>5.1000100000000002</v>
      </c>
      <c r="N97" s="146">
        <f>N96</f>
        <v>18.799999999999997</v>
      </c>
      <c r="P97" s="145">
        <f>'FOGLIO DEPOSITO'!W233</f>
        <v>10.402666666666667</v>
      </c>
      <c r="Q97" t="s">
        <v>97</v>
      </c>
    </row>
    <row r="98" spans="3:17" x14ac:dyDescent="0.25">
      <c r="C98" s="618" t="s">
        <v>91</v>
      </c>
      <c r="D98" s="618"/>
      <c r="F98" t="e">
        <f>'FOGLIO DEPOSITO'!B146*'FOGLIO DEPOSITO'!G144</f>
        <v>#REF!</v>
      </c>
      <c r="G98" t="s">
        <v>499</v>
      </c>
      <c r="H98" s="132"/>
      <c r="J98" s="10" t="s">
        <v>93</v>
      </c>
      <c r="K98" s="2"/>
      <c r="L98" s="106" t="s">
        <v>98</v>
      </c>
      <c r="M98" s="85">
        <f>M96</f>
        <v>1.3499999999999999</v>
      </c>
      <c r="N98" s="146">
        <f>P100-P96-P97</f>
        <v>8.3973333333333304</v>
      </c>
      <c r="P98" s="145">
        <f>'FOGLIO DEPOSITO'!W239</f>
        <v>8.3973333333333304</v>
      </c>
      <c r="Q98" t="s">
        <v>99</v>
      </c>
    </row>
    <row r="99" spans="3:17" x14ac:dyDescent="0.25">
      <c r="C99" s="25">
        <v>0</v>
      </c>
      <c r="D99" s="25">
        <f>'FOGLIO DEPOSITO'!N271*1.3</f>
        <v>0</v>
      </c>
      <c r="H99" s="132"/>
      <c r="I99" s="24">
        <v>10</v>
      </c>
      <c r="J99" s="300" t="s">
        <v>95</v>
      </c>
      <c r="K99" s="300" t="s">
        <v>96</v>
      </c>
      <c r="L99" s="106"/>
      <c r="M99" s="146">
        <f>M87</f>
        <v>5.1000100000000002</v>
      </c>
      <c r="N99" s="146">
        <f>N98</f>
        <v>8.3973333333333304</v>
      </c>
    </row>
    <row r="100" spans="3:17" x14ac:dyDescent="0.25">
      <c r="C100" s="25">
        <v>0</v>
      </c>
      <c r="D100" s="25" t="e">
        <f>#REF!*0.01+'FOGLIO DEPOSITO'!N271*1.5</f>
        <v>#REF!</v>
      </c>
      <c r="H100" s="132"/>
      <c r="I100" s="19" t="e">
        <f>'FOGLIO DEPOSITO'!X158</f>
        <v>#N/A</v>
      </c>
      <c r="J100" t="e">
        <f t="shared" ref="J100:J108" si="9">I100/$I$99</f>
        <v>#N/A</v>
      </c>
      <c r="K100" s="2">
        <f>K113</f>
        <v>0</v>
      </c>
      <c r="L100" s="106"/>
      <c r="M100" s="85"/>
      <c r="N100" s="85"/>
      <c r="P100" s="145">
        <f>'FOGLIO DEPOSITO'!X246</f>
        <v>30</v>
      </c>
      <c r="Q100" t="s">
        <v>100</v>
      </c>
    </row>
    <row r="101" spans="3:17" x14ac:dyDescent="0.25">
      <c r="C101" s="25">
        <f>'FOGLIO DEPOSITO'!D211+'FOGLIO DEPOSITO'!D212+'geom masse muro+tensioni'!S58</f>
        <v>5.1000100000000002</v>
      </c>
      <c r="D101" s="25" t="e">
        <f>D100</f>
        <v>#REF!</v>
      </c>
      <c r="H101" s="132"/>
      <c r="I101" s="19" t="e">
        <f>'FOGLIO DEPOSITO'!X157</f>
        <v>#N/A</v>
      </c>
      <c r="J101" t="e">
        <f t="shared" si="9"/>
        <v>#N/A</v>
      </c>
      <c r="K101" s="2">
        <f t="shared" ref="K101:K108" si="10">K114</f>
        <v>0</v>
      </c>
      <c r="L101" s="106"/>
      <c r="M101" s="85"/>
      <c r="N101" s="85"/>
      <c r="P101" s="132"/>
    </row>
    <row r="102" spans="3:17" x14ac:dyDescent="0.25">
      <c r="C102" s="25">
        <f>C101</f>
        <v>5.1000100000000002</v>
      </c>
      <c r="D102" s="25">
        <f>'FOGLIO DEPOSITO'!N271*1.3</f>
        <v>0</v>
      </c>
      <c r="H102" s="132"/>
      <c r="I102" s="19" t="e">
        <f>'FOGLIO DEPOSITO'!X156</f>
        <v>#N/A</v>
      </c>
      <c r="J102" t="e">
        <f t="shared" si="9"/>
        <v>#N/A</v>
      </c>
      <c r="K102" s="2">
        <f t="shared" si="10"/>
        <v>8.3973333333333322</v>
      </c>
      <c r="L102" s="106"/>
      <c r="M102" s="87">
        <v>0</v>
      </c>
      <c r="N102" s="147">
        <f>N96</f>
        <v>18.799999999999997</v>
      </c>
      <c r="P102">
        <f>DATI!E37+'FOGLIO DEPOSITO'!N271</f>
        <v>30</v>
      </c>
    </row>
    <row r="103" spans="3:17" x14ac:dyDescent="0.25">
      <c r="C103" s="25">
        <v>0</v>
      </c>
      <c r="D103" s="25">
        <f>'FOGLIO DEPOSITO'!N271*1.3</f>
        <v>0</v>
      </c>
      <c r="H103" s="132"/>
      <c r="I103" s="19" t="e">
        <f>'FOGLIO DEPOSITO'!X155</f>
        <v>#N/A</v>
      </c>
      <c r="J103" t="e">
        <f t="shared" si="9"/>
        <v>#N/A</v>
      </c>
      <c r="K103" s="2">
        <f t="shared" si="10"/>
        <v>8.3973333333333322</v>
      </c>
      <c r="L103" s="106"/>
      <c r="M103" s="87">
        <f>'FOGLIO DEPOSITO'!N272</f>
        <v>1.2</v>
      </c>
      <c r="N103" s="147">
        <f t="shared" ref="N103:N105" si="11">N97</f>
        <v>18.799999999999997</v>
      </c>
    </row>
    <row r="104" spans="3:17" x14ac:dyDescent="0.25">
      <c r="C104" s="618" t="s">
        <v>541</v>
      </c>
      <c r="D104" s="618"/>
      <c r="E104" s="618" t="s">
        <v>542</v>
      </c>
      <c r="F104" s="618"/>
      <c r="H104" s="132"/>
      <c r="I104" s="19" t="e">
        <f>'FOGLIO DEPOSITO'!X154</f>
        <v>#N/A</v>
      </c>
      <c r="J104" t="e">
        <f t="shared" si="9"/>
        <v>#N/A</v>
      </c>
      <c r="K104" s="2">
        <f t="shared" si="10"/>
        <v>8.3973333333333322</v>
      </c>
      <c r="L104" s="106" t="s">
        <v>102</v>
      </c>
      <c r="M104" s="87">
        <v>0</v>
      </c>
      <c r="N104" s="147">
        <f t="shared" si="11"/>
        <v>8.3973333333333304</v>
      </c>
    </row>
    <row r="105" spans="3:17" x14ac:dyDescent="0.25">
      <c r="C105" s="25">
        <f>IF(H96="sx",0,S58+S46)</f>
        <v>1.3499999999999999</v>
      </c>
      <c r="D105" s="25" t="e">
        <f>D100*1.2</f>
        <v>#REF!</v>
      </c>
      <c r="E105" s="25">
        <f>O82</f>
        <v>0</v>
      </c>
      <c r="F105" s="25" t="e">
        <f>D105</f>
        <v>#REF!</v>
      </c>
      <c r="H105" s="132"/>
      <c r="I105" s="19" t="e">
        <f>'FOGLIO DEPOSITO'!X153</f>
        <v>#N/A</v>
      </c>
      <c r="J105" t="e">
        <f t="shared" si="9"/>
        <v>#N/A</v>
      </c>
      <c r="K105" s="2">
        <f t="shared" si="10"/>
        <v>18.799999999999997</v>
      </c>
      <c r="L105" s="106"/>
      <c r="M105" s="87">
        <f>'FOGLIO DEPOSITO'!N272</f>
        <v>1.2</v>
      </c>
      <c r="N105" s="147">
        <f t="shared" si="11"/>
        <v>8.3973333333333304</v>
      </c>
    </row>
    <row r="106" spans="3:17" x14ac:dyDescent="0.25">
      <c r="C106" s="25">
        <f>C105</f>
        <v>1.3499999999999999</v>
      </c>
      <c r="D106" s="30" t="e">
        <f>#REF!*0.01+D105</f>
        <v>#REF!</v>
      </c>
      <c r="E106" s="25">
        <f t="shared" ref="E106:E108" si="12">O83</f>
        <v>0</v>
      </c>
      <c r="F106" s="25" t="e">
        <f>#REF!*0.01+F105</f>
        <v>#REF!</v>
      </c>
      <c r="H106" s="132"/>
      <c r="I106" s="19" t="e">
        <f>'FOGLIO DEPOSITO'!X152</f>
        <v>#N/A</v>
      </c>
      <c r="J106" t="e">
        <f t="shared" si="9"/>
        <v>#N/A</v>
      </c>
      <c r="K106" s="2">
        <f t="shared" si="10"/>
        <v>18.799999999999997</v>
      </c>
      <c r="L106" s="106"/>
      <c r="M106" s="87"/>
      <c r="N106" s="87"/>
      <c r="P106" s="366"/>
    </row>
    <row r="107" spans="3:17" x14ac:dyDescent="0.25">
      <c r="C107" s="25">
        <f>IF(H96="sx",S58,'FOGLIO DEPOSITO'!D211+'FOGLIO DEPOSITO'!D212+'geom masse muro+tensioni'!S58)</f>
        <v>5.1000100000000002</v>
      </c>
      <c r="D107" s="30" t="e">
        <f>D106</f>
        <v>#REF!</v>
      </c>
      <c r="E107" s="25">
        <f t="shared" si="12"/>
        <v>1.2</v>
      </c>
      <c r="F107" s="25" t="e">
        <f>F106</f>
        <v>#REF!</v>
      </c>
      <c r="I107" s="19" t="e">
        <f>'FOGLIO DEPOSITO'!X151</f>
        <v>#N/A</v>
      </c>
      <c r="J107" t="e">
        <f t="shared" si="9"/>
        <v>#N/A</v>
      </c>
      <c r="K107" s="2">
        <f t="shared" si="10"/>
        <v>18.799999999999997</v>
      </c>
      <c r="M107" s="87"/>
      <c r="N107" s="87"/>
      <c r="P107" s="366"/>
    </row>
    <row r="108" spans="3:17" x14ac:dyDescent="0.25">
      <c r="C108" s="25">
        <f>C107</f>
        <v>5.1000100000000002</v>
      </c>
      <c r="D108" s="30" t="e">
        <f>D105</f>
        <v>#REF!</v>
      </c>
      <c r="E108" s="25">
        <f t="shared" si="12"/>
        <v>1.2</v>
      </c>
      <c r="F108" s="25" t="e">
        <f>F105</f>
        <v>#REF!</v>
      </c>
      <c r="I108" s="19" t="e">
        <f>'FOGLIO DEPOSITO'!X150</f>
        <v>#N/A</v>
      </c>
      <c r="J108" t="e">
        <f t="shared" si="9"/>
        <v>#N/A</v>
      </c>
      <c r="K108" s="2">
        <f t="shared" si="10"/>
        <v>30</v>
      </c>
      <c r="M108" s="25"/>
      <c r="N108" s="25"/>
      <c r="P108" s="366"/>
    </row>
    <row r="109" spans="3:17" x14ac:dyDescent="0.25">
      <c r="C109" s="25">
        <f>C105</f>
        <v>1.3499999999999999</v>
      </c>
      <c r="D109" s="25" t="e">
        <f>D105</f>
        <v>#REF!</v>
      </c>
      <c r="E109" s="25">
        <f>E105</f>
        <v>0</v>
      </c>
      <c r="F109" s="25" t="e">
        <f>F108</f>
        <v>#REF!</v>
      </c>
      <c r="J109" s="2"/>
      <c r="M109" s="148">
        <f>IF('FOGLIO DEPOSITO'!$X$248="dx",M96,M102)</f>
        <v>1.3499999999999999</v>
      </c>
      <c r="N109" s="149">
        <f>N102</f>
        <v>18.799999999999997</v>
      </c>
      <c r="P109" s="366"/>
    </row>
    <row r="110" spans="3:17" x14ac:dyDescent="0.25">
      <c r="C110" s="618" t="s">
        <v>101</v>
      </c>
      <c r="D110" s="618"/>
      <c r="J110" s="2"/>
      <c r="M110" s="150">
        <f>IF('FOGLIO DEPOSITO'!$X$248="dx",M97,M103)</f>
        <v>5.1000100000000002</v>
      </c>
      <c r="N110" s="151">
        <f t="shared" ref="N110:N112" si="13">N103</f>
        <v>18.799999999999997</v>
      </c>
      <c r="P110" s="366"/>
    </row>
    <row r="111" spans="3:17" x14ac:dyDescent="0.25">
      <c r="C111" s="25">
        <f>C105</f>
        <v>1.3499999999999999</v>
      </c>
      <c r="D111" s="25" t="e">
        <f>D106*1.2</f>
        <v>#REF!</v>
      </c>
      <c r="H111" s="132"/>
      <c r="J111" s="10" t="s">
        <v>103</v>
      </c>
      <c r="M111" s="150">
        <f>IF('FOGLIO DEPOSITO'!$X$248="dx",M98,M104)</f>
        <v>1.3499999999999999</v>
      </c>
      <c r="N111" s="151">
        <f t="shared" si="13"/>
        <v>8.3973333333333304</v>
      </c>
      <c r="P111" s="366"/>
    </row>
    <row r="112" spans="3:17" x14ac:dyDescent="0.25">
      <c r="C112" s="25">
        <f>C106</f>
        <v>1.3499999999999999</v>
      </c>
      <c r="D112" s="30" t="e">
        <f>#REF!*0.01+D111</f>
        <v>#REF!</v>
      </c>
      <c r="H112" s="132"/>
      <c r="I112" s="24">
        <v>10</v>
      </c>
      <c r="J112" s="300" t="s">
        <v>95</v>
      </c>
      <c r="K112" s="300" t="s">
        <v>96</v>
      </c>
      <c r="M112" s="152">
        <f>IF('FOGLIO DEPOSITO'!$X$248="dx",M99,M105)</f>
        <v>5.1000100000000002</v>
      </c>
      <c r="N112" s="153">
        <f t="shared" si="13"/>
        <v>8.3973333333333304</v>
      </c>
      <c r="P112" s="366"/>
    </row>
    <row r="113" spans="3:16" x14ac:dyDescent="0.25">
      <c r="C113" s="25">
        <f>C107</f>
        <v>5.1000100000000002</v>
      </c>
      <c r="D113" s="30" t="e">
        <f>D112</f>
        <v>#REF!</v>
      </c>
      <c r="H113" s="132"/>
      <c r="I113" s="19" t="e">
        <f>'FOGLIO DEPOSITO'!AB158</f>
        <v>#N/A</v>
      </c>
      <c r="J113" t="e">
        <f t="shared" ref="J113:J121" si="14">I113/$I$99</f>
        <v>#N/A</v>
      </c>
      <c r="K113" s="19">
        <f>-'FOGLIO DEPOSITO'!Z174+$H$115</f>
        <v>0</v>
      </c>
      <c r="P113" s="366"/>
    </row>
    <row r="114" spans="3:16" x14ac:dyDescent="0.25">
      <c r="C114" s="25">
        <f>C108</f>
        <v>5.1000100000000002</v>
      </c>
      <c r="D114" s="25" t="e">
        <f>D115</f>
        <v>#REF!</v>
      </c>
      <c r="H114" s="132"/>
      <c r="I114" s="19" t="e">
        <f>'FOGLIO DEPOSITO'!AB157</f>
        <v>#N/A</v>
      </c>
      <c r="J114" t="e">
        <f t="shared" si="14"/>
        <v>#N/A</v>
      </c>
      <c r="K114" s="19">
        <f>-'FOGLIO DEPOSITO'!Z173+$H$115</f>
        <v>0</v>
      </c>
      <c r="M114" s="618" t="s">
        <v>105</v>
      </c>
      <c r="N114" s="618"/>
      <c r="P114" s="366"/>
    </row>
    <row r="115" spans="3:16" x14ac:dyDescent="0.25">
      <c r="C115" s="25">
        <f>C109</f>
        <v>1.3499999999999999</v>
      </c>
      <c r="D115" s="25" t="e">
        <f>D111</f>
        <v>#REF!</v>
      </c>
      <c r="H115" s="132">
        <f>'FOGLIO DEPOSITO'!X246</f>
        <v>30</v>
      </c>
      <c r="I115" s="19" t="e">
        <f>'FOGLIO DEPOSITO'!AB156</f>
        <v>#N/A</v>
      </c>
      <c r="J115" t="e">
        <f t="shared" si="14"/>
        <v>#N/A</v>
      </c>
      <c r="K115" s="19">
        <f>-'FOGLIO DEPOSITO'!Z172+$H$115</f>
        <v>8.3973333333333322</v>
      </c>
      <c r="M115" s="296" t="str">
        <f>IF(DATI!E62="no","",IF('FOGLIO DEPOSITO'!$X$248="dx",M96,M102))</f>
        <v/>
      </c>
      <c r="N115" s="154" t="str">
        <f>IF(DATI!E62="no","",P100-DATI!E63)</f>
        <v/>
      </c>
    </row>
    <row r="116" spans="3:16" x14ac:dyDescent="0.25">
      <c r="C116" s="618" t="s">
        <v>104</v>
      </c>
      <c r="D116" s="618"/>
      <c r="H116" s="132"/>
      <c r="I116" s="19" t="e">
        <f>'FOGLIO DEPOSITO'!AB155</f>
        <v>#N/A</v>
      </c>
      <c r="J116" t="e">
        <f t="shared" si="14"/>
        <v>#N/A</v>
      </c>
      <c r="K116" s="19">
        <f>-'FOGLIO DEPOSITO'!Z171+$H$115</f>
        <v>8.3973333333333322</v>
      </c>
      <c r="M116" s="155" t="str">
        <f>IF(DATI!E62="no","",IF('FOGLIO DEPOSITO'!$X$248="dx",M97,M103))</f>
        <v/>
      </c>
      <c r="N116" s="156" t="str">
        <f>N115</f>
        <v/>
      </c>
    </row>
    <row r="117" spans="3:16" x14ac:dyDescent="0.25">
      <c r="C117" s="25">
        <f>C111</f>
        <v>1.3499999999999999</v>
      </c>
      <c r="D117" s="25" t="e">
        <f>D112*1.2</f>
        <v>#REF!</v>
      </c>
      <c r="H117" s="132"/>
      <c r="I117" s="19" t="e">
        <f>'FOGLIO DEPOSITO'!AB154</f>
        <v>#N/A</v>
      </c>
      <c r="J117" t="e">
        <f t="shared" si="14"/>
        <v>#N/A</v>
      </c>
      <c r="K117" s="19">
        <f>-'FOGLIO DEPOSITO'!Z170+$H$115</f>
        <v>8.3973333333333322</v>
      </c>
    </row>
    <row r="118" spans="3:16" x14ac:dyDescent="0.25">
      <c r="C118" s="25">
        <f>C112</f>
        <v>1.3499999999999999</v>
      </c>
      <c r="D118" s="30" t="e">
        <f>#REF!*0.01+D117</f>
        <v>#REF!</v>
      </c>
      <c r="H118" s="132"/>
      <c r="I118" s="19" t="e">
        <f>'FOGLIO DEPOSITO'!AB153</f>
        <v>#N/A</v>
      </c>
      <c r="J118" t="e">
        <f t="shared" si="14"/>
        <v>#N/A</v>
      </c>
      <c r="K118" s="19">
        <f>-'FOGLIO DEPOSITO'!Z169+$H$115</f>
        <v>18.799999999999997</v>
      </c>
    </row>
    <row r="119" spans="3:16" x14ac:dyDescent="0.25">
      <c r="C119" s="25">
        <f>C113</f>
        <v>5.1000100000000002</v>
      </c>
      <c r="D119" s="30" t="e">
        <f>D118</f>
        <v>#REF!</v>
      </c>
      <c r="H119" s="132"/>
      <c r="I119" s="19" t="e">
        <f>'FOGLIO DEPOSITO'!AB152</f>
        <v>#N/A</v>
      </c>
      <c r="J119" t="e">
        <f t="shared" si="14"/>
        <v>#N/A</v>
      </c>
      <c r="K119" s="19">
        <f>-'FOGLIO DEPOSITO'!Z168+$H$115</f>
        <v>18.799999999999997</v>
      </c>
    </row>
    <row r="120" spans="3:16" x14ac:dyDescent="0.25">
      <c r="C120" s="25">
        <f>C114</f>
        <v>5.1000100000000002</v>
      </c>
      <c r="D120" s="25" t="e">
        <f>D121</f>
        <v>#REF!</v>
      </c>
      <c r="I120" s="19" t="e">
        <f>'FOGLIO DEPOSITO'!AB151</f>
        <v>#N/A</v>
      </c>
      <c r="J120" t="e">
        <f t="shared" si="14"/>
        <v>#N/A</v>
      </c>
      <c r="K120" s="19">
        <f>-'FOGLIO DEPOSITO'!Z167+$H$115</f>
        <v>18.799999999999997</v>
      </c>
    </row>
    <row r="121" spans="3:16" x14ac:dyDescent="0.25">
      <c r="C121" s="25">
        <f>C115</f>
        <v>1.3499999999999999</v>
      </c>
      <c r="D121" s="25" t="e">
        <f>D117</f>
        <v>#REF!</v>
      </c>
      <c r="I121" s="19" t="e">
        <f>'FOGLIO DEPOSITO'!AB150</f>
        <v>#N/A</v>
      </c>
      <c r="J121" t="e">
        <f t="shared" si="14"/>
        <v>#N/A</v>
      </c>
      <c r="K121" s="19">
        <f>-'FOGLIO DEPOSITO'!Z166+$H$115</f>
        <v>30</v>
      </c>
    </row>
  </sheetData>
  <mergeCells count="24">
    <mergeCell ref="M95:N95"/>
    <mergeCell ref="M114:N114"/>
    <mergeCell ref="C110:D110"/>
    <mergeCell ref="C116:D116"/>
    <mergeCell ref="C81:D81"/>
    <mergeCell ref="C94:D94"/>
    <mergeCell ref="C98:D98"/>
    <mergeCell ref="C104:D104"/>
    <mergeCell ref="F95:G96"/>
    <mergeCell ref="E81:F81"/>
    <mergeCell ref="E104:F104"/>
    <mergeCell ref="O81:P81"/>
    <mergeCell ref="B11:B13"/>
    <mergeCell ref="B2:N2"/>
    <mergeCell ref="B7:B9"/>
    <mergeCell ref="M81:N81"/>
    <mergeCell ref="B18:B21"/>
    <mergeCell ref="B24:B26"/>
    <mergeCell ref="J43:K43"/>
    <mergeCell ref="C43:D43"/>
    <mergeCell ref="F43:G43"/>
    <mergeCell ref="G81:H81"/>
    <mergeCell ref="C71:D71"/>
    <mergeCell ref="F71:G7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1"/>
  <sheetViews>
    <sheetView showGridLines="0" showRowColHeaders="0" workbookViewId="0">
      <selection activeCell="P13" sqref="P13"/>
    </sheetView>
  </sheetViews>
  <sheetFormatPr defaultRowHeight="15" x14ac:dyDescent="0.25"/>
  <cols>
    <col min="7" max="7" width="11.140625" customWidth="1"/>
    <col min="8" max="8" width="17.5703125" customWidth="1"/>
    <col min="9" max="9" width="10.5703125" customWidth="1"/>
  </cols>
  <sheetData>
    <row r="1" spans="1:19" x14ac:dyDescent="0.25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x14ac:dyDescent="0.25">
      <c r="A2" s="318"/>
      <c r="B2" s="621" t="s">
        <v>463</v>
      </c>
      <c r="C2" s="621"/>
      <c r="D2" s="401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19" x14ac:dyDescent="0.25">
      <c r="A3" s="318"/>
      <c r="B3" s="236" t="s">
        <v>464</v>
      </c>
      <c r="C3" s="387" t="s">
        <v>465</v>
      </c>
      <c r="D3" s="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</row>
    <row r="4" spans="1:19" x14ac:dyDescent="0.25">
      <c r="A4" s="318"/>
      <c r="B4" s="236" t="s">
        <v>466</v>
      </c>
      <c r="C4" s="387" t="s">
        <v>467</v>
      </c>
      <c r="D4" s="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</row>
    <row r="5" spans="1:19" x14ac:dyDescent="0.25">
      <c r="A5" s="318"/>
      <c r="B5" s="389">
        <v>0</v>
      </c>
      <c r="C5" s="398">
        <f>1/DATI!$E$12*IF(B5&lt;DATI!$E$19,DATI!$E$6*DATI!$E$16*DATI!$E$23*DATI!$E$7*(B5/DATI!$E$19+1/(DATI!$E$23*DATI!$E$7)*(1-B5/DATI!$E$19)),IF(B5&lt;DATI!$E$20,DATI!$E$6*DATI!$E$16*DATI!$E$23*DATI!$E$7,IF(B5&lt;DATI!$E$21,DATI!$E$6*DATI!$E$16*DATI!$E$23*DATI!$E$7*(DATI!$E$20/B5),DATI!$E$6*DATI!$E$16*DATI!$E$23*DATI!$E$7*((DATI!$E$20*DATI!$E$21)/B5^2))))</f>
        <v>0.30104338089176819</v>
      </c>
      <c r="D5" s="237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</row>
    <row r="6" spans="1:19" x14ac:dyDescent="0.25">
      <c r="A6" s="318"/>
      <c r="B6" s="389">
        <f t="shared" ref="B6:B69" si="0">0.01+B5</f>
        <v>0.01</v>
      </c>
      <c r="C6" s="398">
        <f>1/DATI!$E$12*IF(B6&lt;DATI!$E$19,DATI!$E$6*DATI!$E$16*DATI!$E$23*DATI!$E$7*(B6/DATI!$E$19+1/(DATI!$E$23*DATI!$E$7)*(1-B6/DATI!$E$19)),IF(B6&lt;DATI!$E$20,DATI!$E$6*DATI!$E$16*DATI!$E$23*DATI!$E$7,IF(B6&lt;DATI!$E$21,DATI!$E$6*DATI!$E$16*DATI!$E$23*DATI!$E$7*(DATI!$E$20/B6),DATI!$E$6*DATI!$E$16*DATI!$E$23*DATI!$E$7*((DATI!$E$20*DATI!$E$21)/B6^2))))</f>
        <v>0.32698025219599935</v>
      </c>
      <c r="D6" s="237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</row>
    <row r="7" spans="1:19" x14ac:dyDescent="0.25">
      <c r="A7" s="318"/>
      <c r="B7" s="389">
        <f t="shared" si="0"/>
        <v>0.02</v>
      </c>
      <c r="C7" s="398">
        <f>1/DATI!$E$12*IF(B7&lt;DATI!$E$19,DATI!$E$6*DATI!$E$16*DATI!$E$23*DATI!$E$7*(B7/DATI!$E$19+1/(DATI!$E$23*DATI!$E$7)*(1-B7/DATI!$E$19)),IF(B7&lt;DATI!$E$20,DATI!$E$6*DATI!$E$16*DATI!$E$23*DATI!$E$7,IF(B7&lt;DATI!$E$21,DATI!$E$6*DATI!$E$16*DATI!$E$23*DATI!$E$7*(DATI!$E$20/B7),DATI!$E$6*DATI!$E$16*DATI!$E$23*DATI!$E$7*((DATI!$E$20*DATI!$E$21)/B7^2))))</f>
        <v>0.35291712350023058</v>
      </c>
      <c r="D7" s="237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</row>
    <row r="8" spans="1:19" x14ac:dyDescent="0.25">
      <c r="A8" s="318"/>
      <c r="B8" s="389">
        <f t="shared" si="0"/>
        <v>0.03</v>
      </c>
      <c r="C8" s="398">
        <f>1/DATI!$E$12*IF(B8&lt;DATI!$E$19,DATI!$E$6*DATI!$E$16*DATI!$E$23*DATI!$E$7*(B8/DATI!$E$19+1/(DATI!$E$23*DATI!$E$7)*(1-B8/DATI!$E$19)),IF(B8&lt;DATI!$E$20,DATI!$E$6*DATI!$E$16*DATI!$E$23*DATI!$E$7,IF(B8&lt;DATI!$E$21,DATI!$E$6*DATI!$E$16*DATI!$E$23*DATI!$E$7*(DATI!$E$20/B8),DATI!$E$6*DATI!$E$16*DATI!$E$23*DATI!$E$7*((DATI!$E$20*DATI!$E$21)/B8^2))))</f>
        <v>0.37885399480446175</v>
      </c>
      <c r="D8" s="237"/>
      <c r="E8" s="21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</row>
    <row r="9" spans="1:19" x14ac:dyDescent="0.25">
      <c r="A9" s="318"/>
      <c r="B9" s="389">
        <f t="shared" si="0"/>
        <v>0.04</v>
      </c>
      <c r="C9" s="398">
        <f>1/DATI!$E$12*IF(B9&lt;DATI!$E$19,DATI!$E$6*DATI!$E$16*DATI!$E$23*DATI!$E$7*(B9/DATI!$E$19+1/(DATI!$E$23*DATI!$E$7)*(1-B9/DATI!$E$19)),IF(B9&lt;DATI!$E$20,DATI!$E$6*DATI!$E$16*DATI!$E$23*DATI!$E$7,IF(B9&lt;DATI!$E$21,DATI!$E$6*DATI!$E$16*DATI!$E$23*DATI!$E$7*(DATI!$E$20/B9),DATI!$E$6*DATI!$E$16*DATI!$E$23*DATI!$E$7*((DATI!$E$20*DATI!$E$21)/B9^2))))</f>
        <v>0.40479086610869297</v>
      </c>
      <c r="D9" s="237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</row>
    <row r="10" spans="1:19" x14ac:dyDescent="0.25">
      <c r="A10" s="318"/>
      <c r="B10" s="389">
        <f t="shared" si="0"/>
        <v>0.05</v>
      </c>
      <c r="C10" s="398">
        <f>1/DATI!$E$12*IF(B10&lt;DATI!$E$19,DATI!$E$6*DATI!$E$16*DATI!$E$23*DATI!$E$7*(B10/DATI!$E$19+1/(DATI!$E$23*DATI!$E$7)*(1-B10/DATI!$E$19)),IF(B10&lt;DATI!$E$20,DATI!$E$6*DATI!$E$16*DATI!$E$23*DATI!$E$7,IF(B10&lt;DATI!$E$21,DATI!$E$6*DATI!$E$16*DATI!$E$23*DATI!$E$7*(DATI!$E$20/B10),DATI!$E$6*DATI!$E$16*DATI!$E$23*DATI!$E$7*((DATI!$E$20*DATI!$E$21)/B10^2))))</f>
        <v>0.43072773741292408</v>
      </c>
      <c r="D10" s="237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x14ac:dyDescent="0.25">
      <c r="A11" s="318"/>
      <c r="B11" s="389">
        <f t="shared" si="0"/>
        <v>6.0000000000000005E-2</v>
      </c>
      <c r="C11" s="398">
        <f>1/DATI!$E$12*IF(B11&lt;DATI!$E$19,DATI!$E$6*DATI!$E$16*DATI!$E$23*DATI!$E$7*(B11/DATI!$E$19+1/(DATI!$E$23*DATI!$E$7)*(1-B11/DATI!$E$19)),IF(B11&lt;DATI!$E$20,DATI!$E$6*DATI!$E$16*DATI!$E$23*DATI!$E$7,IF(B11&lt;DATI!$E$21,DATI!$E$6*DATI!$E$16*DATI!$E$23*DATI!$E$7*(DATI!$E$20/B11),DATI!$E$6*DATI!$E$16*DATI!$E$23*DATI!$E$7*((DATI!$E$20*DATI!$E$21)/B11^2))))</f>
        <v>0.45666460871715525</v>
      </c>
      <c r="D11" s="237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x14ac:dyDescent="0.25">
      <c r="A12" s="318"/>
      <c r="B12" s="389">
        <f t="shared" si="0"/>
        <v>7.0000000000000007E-2</v>
      </c>
      <c r="C12" s="398">
        <f>1/DATI!$E$12*IF(B12&lt;DATI!$E$19,DATI!$E$6*DATI!$E$16*DATI!$E$23*DATI!$E$7*(B12/DATI!$E$19+1/(DATI!$E$23*DATI!$E$7)*(1-B12/DATI!$E$19)),IF(B12&lt;DATI!$E$20,DATI!$E$6*DATI!$E$16*DATI!$E$23*DATI!$E$7,IF(B12&lt;DATI!$E$21,DATI!$E$6*DATI!$E$16*DATI!$E$23*DATI!$E$7*(DATI!$E$20/B12),DATI!$E$6*DATI!$E$16*DATI!$E$23*DATI!$E$7*((DATI!$E$20*DATI!$E$21)/B12^2))))</f>
        <v>0.48260148002138653</v>
      </c>
      <c r="D12" s="237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19" x14ac:dyDescent="0.25">
      <c r="A13" s="318"/>
      <c r="B13" s="389">
        <f t="shared" si="0"/>
        <v>0.08</v>
      </c>
      <c r="C13" s="398">
        <f>1/DATI!$E$12*IF(B13&lt;DATI!$E$19,DATI!$E$6*DATI!$E$16*DATI!$E$23*DATI!$E$7*(B13/DATI!$E$19+1/(DATI!$E$23*DATI!$E$7)*(1-B13/DATI!$E$19)),IF(B13&lt;DATI!$E$20,DATI!$E$6*DATI!$E$16*DATI!$E$23*DATI!$E$7,IF(B13&lt;DATI!$E$21,DATI!$E$6*DATI!$E$16*DATI!$E$23*DATI!$E$7*(DATI!$E$20/B13),DATI!$E$6*DATI!$E$16*DATI!$E$23*DATI!$E$7*((DATI!$E$20*DATI!$E$21)/B13^2))))</f>
        <v>0.50853835132561775</v>
      </c>
      <c r="D13" s="23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pans="1:19" x14ac:dyDescent="0.25">
      <c r="A14" s="318"/>
      <c r="B14" s="389">
        <f t="shared" si="0"/>
        <v>0.09</v>
      </c>
      <c r="C14" s="398">
        <f>1/DATI!$E$12*IF(B14&lt;DATI!$E$19,DATI!$E$6*DATI!$E$16*DATI!$E$23*DATI!$E$7*(B14/DATI!$E$19+1/(DATI!$E$23*DATI!$E$7)*(1-B14/DATI!$E$19)),IF(B14&lt;DATI!$E$20,DATI!$E$6*DATI!$E$16*DATI!$E$23*DATI!$E$7,IF(B14&lt;DATI!$E$21,DATI!$E$6*DATI!$E$16*DATI!$E$23*DATI!$E$7*(DATI!$E$20/B14),DATI!$E$6*DATI!$E$16*DATI!$E$23*DATI!$E$7*((DATI!$E$20*DATI!$E$21)/B14^2))))</f>
        <v>0.53447522262984892</v>
      </c>
      <c r="D14" s="23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</row>
    <row r="15" spans="1:19" x14ac:dyDescent="0.25">
      <c r="A15" s="318"/>
      <c r="B15" s="389">
        <f t="shared" si="0"/>
        <v>9.9999999999999992E-2</v>
      </c>
      <c r="C15" s="398">
        <f>1/DATI!$E$12*IF(B15&lt;DATI!$E$19,DATI!$E$6*DATI!$E$16*DATI!$E$23*DATI!$E$7*(B15/DATI!$E$19+1/(DATI!$E$23*DATI!$E$7)*(1-B15/DATI!$E$19)),IF(B15&lt;DATI!$E$20,DATI!$E$6*DATI!$E$16*DATI!$E$23*DATI!$E$7,IF(B15&lt;DATI!$E$21,DATI!$E$6*DATI!$E$16*DATI!$E$23*DATI!$E$7*(DATI!$E$20/B15),DATI!$E$6*DATI!$E$16*DATI!$E$23*DATI!$E$7*((DATI!$E$20*DATI!$E$21)/B15^2))))</f>
        <v>0.56041209393408009</v>
      </c>
      <c r="D15" s="237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</row>
    <row r="16" spans="1:19" x14ac:dyDescent="0.25">
      <c r="A16" s="318"/>
      <c r="B16" s="389">
        <f t="shared" si="0"/>
        <v>0.10999999999999999</v>
      </c>
      <c r="C16" s="398">
        <f>1/DATI!$E$12*IF(B16&lt;DATI!$E$19,DATI!$E$6*DATI!$E$16*DATI!$E$23*DATI!$E$7*(B16/DATI!$E$19+1/(DATI!$E$23*DATI!$E$7)*(1-B16/DATI!$E$19)),IF(B16&lt;DATI!$E$20,DATI!$E$6*DATI!$E$16*DATI!$E$23*DATI!$E$7,IF(B16&lt;DATI!$E$21,DATI!$E$6*DATI!$E$16*DATI!$E$23*DATI!$E$7*(DATI!$E$20/B16),DATI!$E$6*DATI!$E$16*DATI!$E$23*DATI!$E$7*((DATI!$E$20*DATI!$E$21)/B16^2))))</f>
        <v>0.58634896523831126</v>
      </c>
      <c r="D16" s="237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</row>
    <row r="17" spans="1:19" x14ac:dyDescent="0.25">
      <c r="A17" s="318"/>
      <c r="B17" s="389">
        <f t="shared" si="0"/>
        <v>0.11999999999999998</v>
      </c>
      <c r="C17" s="398">
        <f>1/DATI!$E$12*IF(B17&lt;DATI!$E$19,DATI!$E$6*DATI!$E$16*DATI!$E$23*DATI!$E$7*(B17/DATI!$E$19+1/(DATI!$E$23*DATI!$E$7)*(1-B17/DATI!$E$19)),IF(B17&lt;DATI!$E$20,DATI!$E$6*DATI!$E$16*DATI!$E$23*DATI!$E$7,IF(B17&lt;DATI!$E$21,DATI!$E$6*DATI!$E$16*DATI!$E$23*DATI!$E$7*(DATI!$E$20/B17),DATI!$E$6*DATI!$E$16*DATI!$E$23*DATI!$E$7*((DATI!$E$20*DATI!$E$21)/B17^2))))</f>
        <v>0.61228583654254243</v>
      </c>
      <c r="D17" s="23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</row>
    <row r="18" spans="1:19" x14ac:dyDescent="0.25">
      <c r="A18" s="318"/>
      <c r="B18" s="389">
        <f t="shared" si="0"/>
        <v>0.12999999999999998</v>
      </c>
      <c r="C18" s="398">
        <f>1/DATI!$E$12*IF(B18&lt;DATI!$E$19,DATI!$E$6*DATI!$E$16*DATI!$E$23*DATI!$E$7*(B18/DATI!$E$19+1/(DATI!$E$23*DATI!$E$7)*(1-B18/DATI!$E$19)),IF(B18&lt;DATI!$E$20,DATI!$E$6*DATI!$E$16*DATI!$E$23*DATI!$E$7,IF(B18&lt;DATI!$E$21,DATI!$E$6*DATI!$E$16*DATI!$E$23*DATI!$E$7*(DATI!$E$20/B18),DATI!$E$6*DATI!$E$16*DATI!$E$23*DATI!$E$7*((DATI!$E$20*DATI!$E$21)/B18^2))))</f>
        <v>0.63822270784677348</v>
      </c>
      <c r="D18" s="237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</row>
    <row r="19" spans="1:19" x14ac:dyDescent="0.25">
      <c r="A19" s="318"/>
      <c r="B19" s="389">
        <f t="shared" si="0"/>
        <v>0.13999999999999999</v>
      </c>
      <c r="C19" s="398">
        <f>1/DATI!$E$12*IF(B19&lt;DATI!$E$19,DATI!$E$6*DATI!$E$16*DATI!$E$23*DATI!$E$7*(B19/DATI!$E$19+1/(DATI!$E$23*DATI!$E$7)*(1-B19/DATI!$E$19)),IF(B19&lt;DATI!$E$20,DATI!$E$6*DATI!$E$16*DATI!$E$23*DATI!$E$7,IF(B19&lt;DATI!$E$21,DATI!$E$6*DATI!$E$16*DATI!$E$23*DATI!$E$7*(DATI!$E$20/B19),DATI!$E$6*DATI!$E$16*DATI!$E$23*DATI!$E$7*((DATI!$E$20*DATI!$E$21)/B19^2))))</f>
        <v>0.66415957915100476</v>
      </c>
      <c r="D19" s="23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</row>
    <row r="20" spans="1:19" x14ac:dyDescent="0.25">
      <c r="A20" s="318"/>
      <c r="B20" s="389">
        <f t="shared" si="0"/>
        <v>0.15</v>
      </c>
      <c r="C20" s="398">
        <f>1/DATI!$E$12*IF(B20&lt;DATI!$E$19,DATI!$E$6*DATI!$E$16*DATI!$E$23*DATI!$E$7*(B20/DATI!$E$19+1/(DATI!$E$23*DATI!$E$7)*(1-B20/DATI!$E$19)),IF(B20&lt;DATI!$E$20,DATI!$E$6*DATI!$E$16*DATI!$E$23*DATI!$E$7,IF(B20&lt;DATI!$E$21,DATI!$E$6*DATI!$E$16*DATI!$E$23*DATI!$E$7*(DATI!$E$20/B20),DATI!$E$6*DATI!$E$16*DATI!$E$23*DATI!$E$7*((DATI!$E$20*DATI!$E$21)/B20^2))))</f>
        <v>0.69009645045523604</v>
      </c>
      <c r="D20" s="237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</row>
    <row r="21" spans="1:19" x14ac:dyDescent="0.25">
      <c r="A21" s="318"/>
      <c r="B21" s="389">
        <f t="shared" si="0"/>
        <v>0.16</v>
      </c>
      <c r="C21" s="398">
        <f>1/DATI!$E$12*IF(B21&lt;DATI!$E$19,DATI!$E$6*DATI!$E$16*DATI!$E$23*DATI!$E$7*(B21/DATI!$E$19+1/(DATI!$E$23*DATI!$E$7)*(1-B21/DATI!$E$19)),IF(B21&lt;DATI!$E$20,DATI!$E$6*DATI!$E$16*DATI!$E$23*DATI!$E$7,IF(B21&lt;DATI!$E$21,DATI!$E$6*DATI!$E$16*DATI!$E$23*DATI!$E$7*(DATI!$E$20/B21),DATI!$E$6*DATI!$E$16*DATI!$E$23*DATI!$E$7*((DATI!$E$20*DATI!$E$21)/B21^2))))</f>
        <v>0.71166655242813992</v>
      </c>
      <c r="D21" s="237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</row>
    <row r="22" spans="1:19" x14ac:dyDescent="0.25">
      <c r="A22" s="318"/>
      <c r="B22" s="389">
        <f t="shared" si="0"/>
        <v>0.17</v>
      </c>
      <c r="C22" s="398">
        <f>1/DATI!$E$12*IF(B22&lt;DATI!$E$19,DATI!$E$6*DATI!$E$16*DATI!$E$23*DATI!$E$7*(B22/DATI!$E$19+1/(DATI!$E$23*DATI!$E$7)*(1-B22/DATI!$E$19)),IF(B22&lt;DATI!$E$20,DATI!$E$6*DATI!$E$16*DATI!$E$23*DATI!$E$7,IF(B22&lt;DATI!$E$21,DATI!$E$6*DATI!$E$16*DATI!$E$23*DATI!$E$7*(DATI!$E$20/B22),DATI!$E$6*DATI!$E$16*DATI!$E$23*DATI!$E$7*((DATI!$E$20*DATI!$E$21)/B22^2))))</f>
        <v>0.71166655242813992</v>
      </c>
      <c r="D22" s="237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</row>
    <row r="23" spans="1:19" x14ac:dyDescent="0.25">
      <c r="A23" s="318"/>
      <c r="B23" s="389">
        <f t="shared" si="0"/>
        <v>0.18000000000000002</v>
      </c>
      <c r="C23" s="398">
        <f>1/DATI!$E$12*IF(B23&lt;DATI!$E$19,DATI!$E$6*DATI!$E$16*DATI!$E$23*DATI!$E$7*(B23/DATI!$E$19+1/(DATI!$E$23*DATI!$E$7)*(1-B23/DATI!$E$19)),IF(B23&lt;DATI!$E$20,DATI!$E$6*DATI!$E$16*DATI!$E$23*DATI!$E$7,IF(B23&lt;DATI!$E$21,DATI!$E$6*DATI!$E$16*DATI!$E$23*DATI!$E$7*(DATI!$E$20/B23),DATI!$E$6*DATI!$E$16*DATI!$E$23*DATI!$E$7*((DATI!$E$20*DATI!$E$21)/B23^2))))</f>
        <v>0.71166655242813992</v>
      </c>
      <c r="D23" s="237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</row>
    <row r="24" spans="1:19" x14ac:dyDescent="0.25">
      <c r="A24" s="318"/>
      <c r="B24" s="389">
        <f t="shared" si="0"/>
        <v>0.19000000000000003</v>
      </c>
      <c r="C24" s="398">
        <f>1/DATI!$E$12*IF(B24&lt;DATI!$E$19,DATI!$E$6*DATI!$E$16*DATI!$E$23*DATI!$E$7*(B24/DATI!$E$19+1/(DATI!$E$23*DATI!$E$7)*(1-B24/DATI!$E$19)),IF(B24&lt;DATI!$E$20,DATI!$E$6*DATI!$E$16*DATI!$E$23*DATI!$E$7,IF(B24&lt;DATI!$E$21,DATI!$E$6*DATI!$E$16*DATI!$E$23*DATI!$E$7*(DATI!$E$20/B24),DATI!$E$6*DATI!$E$16*DATI!$E$23*DATI!$E$7*((DATI!$E$20*DATI!$E$21)/B24^2))))</f>
        <v>0.71166655242813992</v>
      </c>
      <c r="D24" s="23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</row>
    <row r="25" spans="1:19" x14ac:dyDescent="0.25">
      <c r="A25" s="318"/>
      <c r="B25" s="389">
        <f t="shared" si="0"/>
        <v>0.20000000000000004</v>
      </c>
      <c r="C25" s="398">
        <f>1/DATI!$E$12*IF(B25&lt;DATI!$E$19,DATI!$E$6*DATI!$E$16*DATI!$E$23*DATI!$E$7*(B25/DATI!$E$19+1/(DATI!$E$23*DATI!$E$7)*(1-B25/DATI!$E$19)),IF(B25&lt;DATI!$E$20,DATI!$E$6*DATI!$E$16*DATI!$E$23*DATI!$E$7,IF(B25&lt;DATI!$E$21,DATI!$E$6*DATI!$E$16*DATI!$E$23*DATI!$E$7*(DATI!$E$20/B25),DATI!$E$6*DATI!$E$16*DATI!$E$23*DATI!$E$7*((DATI!$E$20*DATI!$E$21)/B25^2))))</f>
        <v>0.71166655242813992</v>
      </c>
      <c r="D25" s="237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</row>
    <row r="26" spans="1:19" x14ac:dyDescent="0.25">
      <c r="A26" s="318"/>
      <c r="B26" s="389">
        <f t="shared" si="0"/>
        <v>0.21000000000000005</v>
      </c>
      <c r="C26" s="398">
        <f>1/DATI!$E$12*IF(B26&lt;DATI!$E$19,DATI!$E$6*DATI!$E$16*DATI!$E$23*DATI!$E$7*(B26/DATI!$E$19+1/(DATI!$E$23*DATI!$E$7)*(1-B26/DATI!$E$19)),IF(B26&lt;DATI!$E$20,DATI!$E$6*DATI!$E$16*DATI!$E$23*DATI!$E$7,IF(B26&lt;DATI!$E$21,DATI!$E$6*DATI!$E$16*DATI!$E$23*DATI!$E$7*(DATI!$E$20/B26),DATI!$E$6*DATI!$E$16*DATI!$E$23*DATI!$E$7*((DATI!$E$20*DATI!$E$21)/B26^2))))</f>
        <v>0.71166655242813992</v>
      </c>
      <c r="D26" s="237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</row>
    <row r="27" spans="1:19" x14ac:dyDescent="0.25">
      <c r="A27" s="318"/>
      <c r="B27" s="389">
        <f t="shared" si="0"/>
        <v>0.22000000000000006</v>
      </c>
      <c r="C27" s="398">
        <f>1/DATI!$E$12*IF(B27&lt;DATI!$E$19,DATI!$E$6*DATI!$E$16*DATI!$E$23*DATI!$E$7*(B27/DATI!$E$19+1/(DATI!$E$23*DATI!$E$7)*(1-B27/DATI!$E$19)),IF(B27&lt;DATI!$E$20,DATI!$E$6*DATI!$E$16*DATI!$E$23*DATI!$E$7,IF(B27&lt;DATI!$E$21,DATI!$E$6*DATI!$E$16*DATI!$E$23*DATI!$E$7*(DATI!$E$20/B27),DATI!$E$6*DATI!$E$16*DATI!$E$23*DATI!$E$7*((DATI!$E$20*DATI!$E$21)/B27^2))))</f>
        <v>0.71166655242813992</v>
      </c>
      <c r="D27" s="237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</row>
    <row r="28" spans="1:19" x14ac:dyDescent="0.25">
      <c r="A28" s="318"/>
      <c r="B28" s="389">
        <f t="shared" si="0"/>
        <v>0.23000000000000007</v>
      </c>
      <c r="C28" s="398">
        <f>1/DATI!$E$12*IF(B28&lt;DATI!$E$19,DATI!$E$6*DATI!$E$16*DATI!$E$23*DATI!$E$7*(B28/DATI!$E$19+1/(DATI!$E$23*DATI!$E$7)*(1-B28/DATI!$E$19)),IF(B28&lt;DATI!$E$20,DATI!$E$6*DATI!$E$16*DATI!$E$23*DATI!$E$7,IF(B28&lt;DATI!$E$21,DATI!$E$6*DATI!$E$16*DATI!$E$23*DATI!$E$7*(DATI!$E$20/B28),DATI!$E$6*DATI!$E$16*DATI!$E$23*DATI!$E$7*((DATI!$E$20*DATI!$E$21)/B28^2))))</f>
        <v>0.71166655242813992</v>
      </c>
      <c r="D28" s="237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</row>
    <row r="29" spans="1:19" x14ac:dyDescent="0.25">
      <c r="A29" s="318"/>
      <c r="B29" s="389">
        <f t="shared" si="0"/>
        <v>0.24000000000000007</v>
      </c>
      <c r="C29" s="398">
        <f>1/DATI!$E$12*IF(B29&lt;DATI!$E$19,DATI!$E$6*DATI!$E$16*DATI!$E$23*DATI!$E$7*(B29/DATI!$E$19+1/(DATI!$E$23*DATI!$E$7)*(1-B29/DATI!$E$19)),IF(B29&lt;DATI!$E$20,DATI!$E$6*DATI!$E$16*DATI!$E$23*DATI!$E$7,IF(B29&lt;DATI!$E$21,DATI!$E$6*DATI!$E$16*DATI!$E$23*DATI!$E$7*(DATI!$E$20/B29),DATI!$E$6*DATI!$E$16*DATI!$E$23*DATI!$E$7*((DATI!$E$20*DATI!$E$21)/B29^2))))</f>
        <v>0.71166655242813992</v>
      </c>
      <c r="D29" s="237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</row>
    <row r="30" spans="1:19" x14ac:dyDescent="0.25">
      <c r="A30" s="318"/>
      <c r="B30" s="389">
        <f t="shared" si="0"/>
        <v>0.25000000000000006</v>
      </c>
      <c r="C30" s="398">
        <f>1/DATI!$E$12*IF(B30&lt;DATI!$E$19,DATI!$E$6*DATI!$E$16*DATI!$E$23*DATI!$E$7*(B30/DATI!$E$19+1/(DATI!$E$23*DATI!$E$7)*(1-B30/DATI!$E$19)),IF(B30&lt;DATI!$E$20,DATI!$E$6*DATI!$E$16*DATI!$E$23*DATI!$E$7,IF(B30&lt;DATI!$E$21,DATI!$E$6*DATI!$E$16*DATI!$E$23*DATI!$E$7*(DATI!$E$20/B30),DATI!$E$6*DATI!$E$16*DATI!$E$23*DATI!$E$7*((DATI!$E$20*DATI!$E$21)/B30^2))))</f>
        <v>0.71166655242813992</v>
      </c>
      <c r="D30" s="237"/>
      <c r="E30" s="621" t="s">
        <v>468</v>
      </c>
      <c r="F30" s="621"/>
      <c r="G30" s="622"/>
      <c r="H30" s="318"/>
      <c r="I30" s="621" t="s">
        <v>469</v>
      </c>
      <c r="J30" s="622"/>
      <c r="K30" s="318"/>
      <c r="L30" s="318"/>
      <c r="M30" s="318"/>
      <c r="N30" s="318"/>
      <c r="O30" s="318"/>
      <c r="P30" s="318"/>
      <c r="Q30" s="318"/>
      <c r="R30" s="318"/>
      <c r="S30" s="318"/>
    </row>
    <row r="31" spans="1:19" ht="18" x14ac:dyDescent="0.25">
      <c r="A31" s="318"/>
      <c r="B31" s="389">
        <f t="shared" si="0"/>
        <v>0.26000000000000006</v>
      </c>
      <c r="C31" s="398">
        <f>1/DATI!$E$12*IF(B31&lt;DATI!$E$19,DATI!$E$6*DATI!$E$16*DATI!$E$23*DATI!$E$7*(B31/DATI!$E$19+1/(DATI!$E$23*DATI!$E$7)*(1-B31/DATI!$E$19)),IF(B31&lt;DATI!$E$20,DATI!$E$6*DATI!$E$16*DATI!$E$23*DATI!$E$7,IF(B31&lt;DATI!$E$21,DATI!$E$6*DATI!$E$16*DATI!$E$23*DATI!$E$7*(DATI!$E$20/B31),DATI!$E$6*DATI!$E$16*DATI!$E$23*DATI!$E$7*((DATI!$E$20*DATI!$E$21)/B31^2))))</f>
        <v>0.71166655242813992</v>
      </c>
      <c r="D31" s="237"/>
      <c r="E31" s="619" t="s">
        <v>470</v>
      </c>
      <c r="F31" s="620"/>
      <c r="G31" s="403">
        <f>1/DATI!$E$12*IF(J31&lt;DATI!$E$19,DATI!$E$6*DATI!$E$16*DATI!$E$23*DATI!$E$7*(J31/DATI!$E$19+1/(DATI!$E$23*DATI!$E$7)*(1-J31/DATI!$E$19)),IF(J31&lt;DATI!$E$20,DATI!$E$6*DATI!$E$16*DATI!$E$23*DATI!$E$7,IF(J31&lt;DATI!$E$21,DATI!$E$6*DATI!$E$16*DATI!$E$23*DATI!$E$7*(DATI!$E$20/J31),DATI!$E$6*DATI!$E$16*DATI!$E$23*DATI!$E$7*((DATI!$E$20*DATI!$E$21)/J31^2))))</f>
        <v>0.30104338089176819</v>
      </c>
      <c r="H31" s="318"/>
      <c r="I31" s="386" t="s">
        <v>471</v>
      </c>
      <c r="J31" s="404">
        <v>0</v>
      </c>
      <c r="K31" s="318"/>
      <c r="L31" s="318"/>
      <c r="M31" s="318"/>
      <c r="N31" s="318"/>
      <c r="O31" s="318"/>
      <c r="P31" s="318"/>
      <c r="Q31" s="318"/>
      <c r="R31" s="318"/>
      <c r="S31" s="318"/>
    </row>
    <row r="32" spans="1:19" ht="18" x14ac:dyDescent="0.25">
      <c r="A32" s="318"/>
      <c r="B32" s="389">
        <f t="shared" si="0"/>
        <v>0.27000000000000007</v>
      </c>
      <c r="C32" s="398">
        <f>1/DATI!$E$12*IF(B32&lt;DATI!$E$19,DATI!$E$6*DATI!$E$16*DATI!$E$23*DATI!$E$7*(B32/DATI!$E$19+1/(DATI!$E$23*DATI!$E$7)*(1-B32/DATI!$E$19)),IF(B32&lt;DATI!$E$20,DATI!$E$6*DATI!$E$16*DATI!$E$23*DATI!$E$7,IF(B32&lt;DATI!$E$21,DATI!$E$6*DATI!$E$16*DATI!$E$23*DATI!$E$7*(DATI!$E$20/B32),DATI!$E$6*DATI!$E$16*DATI!$E$23*DATI!$E$7*((DATI!$E$20*DATI!$E$21)/B32^2))))</f>
        <v>0.71166655242813992</v>
      </c>
      <c r="D32" s="237"/>
      <c r="E32" s="619" t="s">
        <v>472</v>
      </c>
      <c r="F32" s="620"/>
      <c r="G32" s="403">
        <f>1/DATI!$E$12*IF(J32&lt;DATI!$E$19,DATI!$E$6*DATI!$E$16*DATI!$E$23*DATI!$E$7*(J32/DATI!$E$19+1/(DATI!$E$23*DATI!$E$7)*(1-J32/DATI!$E$19)),IF(J32&lt;DATI!$E$20,DATI!$E$6*DATI!$E$16*DATI!$E$23*DATI!$E$7,IF(J32&lt;DATI!$E$21,DATI!$E$6*DATI!$E$16*DATI!$E$23*DATI!$E$7*(DATI!$E$20/J32),DATI!$E$6*DATI!$E$16*DATI!$E$23*DATI!$E$7*((DATI!$E$20*DATI!$E$21)/J32^2))))</f>
        <v>0.71166655242813992</v>
      </c>
      <c r="H32" s="318"/>
      <c r="I32" s="386" t="s">
        <v>344</v>
      </c>
      <c r="J32" s="404">
        <f>DATI!E19</f>
        <v>0.15831638547297919</v>
      </c>
      <c r="K32" s="318"/>
      <c r="L32" s="318"/>
      <c r="M32" s="318"/>
      <c r="N32" s="318"/>
      <c r="O32" s="318"/>
      <c r="P32" s="318"/>
      <c r="Q32" s="318"/>
      <c r="R32" s="318"/>
      <c r="S32" s="318"/>
    </row>
    <row r="33" spans="1:19" ht="18" x14ac:dyDescent="0.25">
      <c r="A33" s="318"/>
      <c r="B33" s="389">
        <f t="shared" si="0"/>
        <v>0.28000000000000008</v>
      </c>
      <c r="C33" s="398">
        <f>1/DATI!$E$12*IF(B33&lt;DATI!$E$19,DATI!$E$6*DATI!$E$16*DATI!$E$23*DATI!$E$7*(B33/DATI!$E$19+1/(DATI!$E$23*DATI!$E$7)*(1-B33/DATI!$E$19)),IF(B33&lt;DATI!$E$20,DATI!$E$6*DATI!$E$16*DATI!$E$23*DATI!$E$7,IF(B33&lt;DATI!$E$21,DATI!$E$6*DATI!$E$16*DATI!$E$23*DATI!$E$7*(DATI!$E$20/B33),DATI!$E$6*DATI!$E$16*DATI!$E$23*DATI!$E$7*((DATI!$E$20*DATI!$E$21)/B33^2))))</f>
        <v>0.71166655242813992</v>
      </c>
      <c r="D33" s="237"/>
      <c r="E33" s="619" t="s">
        <v>473</v>
      </c>
      <c r="F33" s="620"/>
      <c r="G33" s="403">
        <f>1/DATI!$E$12*IF(J33&lt;DATI!$E$19,DATI!$E$6*DATI!$E$16*DATI!$E$23*DATI!$E$7*(J33/DATI!$E$19+1/(DATI!$E$23*DATI!$E$7)*(1-J33/DATI!$E$19)),IF(J33&lt;DATI!$E$20,DATI!$E$6*DATI!$E$16*DATI!$E$23*DATI!$E$7,IF(J33&lt;DATI!$E$21,DATI!$E$6*DATI!$E$16*DATI!$E$23*DATI!$E$7*(DATI!$E$20/J33),DATI!$E$6*DATI!$E$16*DATI!$E$23*DATI!$E$7*((DATI!$E$20*DATI!$E$21)/J33^2))))</f>
        <v>0.71166655242813992</v>
      </c>
      <c r="H33" s="318"/>
      <c r="I33" s="386" t="s">
        <v>346</v>
      </c>
      <c r="J33" s="404">
        <f>DATI!E20</f>
        <v>0.47494915641893759</v>
      </c>
      <c r="K33" s="318"/>
      <c r="L33" s="318"/>
      <c r="M33" s="318"/>
      <c r="N33" s="318"/>
      <c r="O33" s="318"/>
      <c r="P33" s="318"/>
      <c r="Q33" s="318"/>
      <c r="R33" s="318"/>
      <c r="S33" s="318"/>
    </row>
    <row r="34" spans="1:19" ht="18" x14ac:dyDescent="0.25">
      <c r="A34" s="318"/>
      <c r="B34" s="389">
        <f t="shared" si="0"/>
        <v>0.29000000000000009</v>
      </c>
      <c r="C34" s="398">
        <f>1/DATI!$E$12*IF(B34&lt;DATI!$E$19,DATI!$E$6*DATI!$E$16*DATI!$E$23*DATI!$E$7*(B34/DATI!$E$19+1/(DATI!$E$23*DATI!$E$7)*(1-B34/DATI!$E$19)),IF(B34&lt;DATI!$E$20,DATI!$E$6*DATI!$E$16*DATI!$E$23*DATI!$E$7,IF(B34&lt;DATI!$E$21,DATI!$E$6*DATI!$E$16*DATI!$E$23*DATI!$E$7*(DATI!$E$20/B34),DATI!$E$6*DATI!$E$16*DATI!$E$23*DATI!$E$7*((DATI!$E$20*DATI!$E$21)/B34^2))))</f>
        <v>0.71166655242813992</v>
      </c>
      <c r="D34" s="237"/>
      <c r="E34" s="619" t="s">
        <v>474</v>
      </c>
      <c r="F34" s="620"/>
      <c r="G34" s="403">
        <f>1/DATI!$E$12*IF(J34&lt;DATI!$E$19,DATI!$E$6*DATI!$E$16*DATI!$E$23*DATI!$E$7*(J34/DATI!$E$19+1/(DATI!$E$23*DATI!$E$7)*(1-J34/DATI!$E$19)),IF(J34&lt;DATI!$E$20,DATI!$E$6*DATI!$E$16*DATI!$E$23*DATI!$E$7,IF(J34&lt;DATI!$E$21,DATI!$E$6*DATI!$E$16*DATI!$E$23*DATI!$E$7*(DATI!$E$20/J34),DATI!$E$6*DATI!$E$16*DATI!$E$23*DATI!$E$7*((DATI!$E$20*DATI!$E$21)/J34^2))))</f>
        <v>0.12782616137927647</v>
      </c>
      <c r="H34" s="318"/>
      <c r="I34" s="386" t="s">
        <v>348</v>
      </c>
      <c r="J34" s="404">
        <f>DATI!E21</f>
        <v>2.6442586171731595</v>
      </c>
      <c r="K34" s="318"/>
      <c r="L34" s="318"/>
      <c r="M34" s="318"/>
      <c r="N34" s="318"/>
      <c r="O34" s="318"/>
      <c r="P34" s="318"/>
      <c r="Q34" s="318"/>
      <c r="R34" s="318"/>
      <c r="S34" s="318"/>
    </row>
    <row r="35" spans="1:19" x14ac:dyDescent="0.25">
      <c r="A35" s="318"/>
      <c r="B35" s="389">
        <f t="shared" si="0"/>
        <v>0.3000000000000001</v>
      </c>
      <c r="C35" s="398">
        <f>1/DATI!$E$12*IF(B35&lt;DATI!$E$19,DATI!$E$6*DATI!$E$16*DATI!$E$23*DATI!$E$7*(B35/DATI!$E$19+1/(DATI!$E$23*DATI!$E$7)*(1-B35/DATI!$E$19)),IF(B35&lt;DATI!$E$20,DATI!$E$6*DATI!$E$16*DATI!$E$23*DATI!$E$7,IF(B35&lt;DATI!$E$21,DATI!$E$6*DATI!$E$16*DATI!$E$23*DATI!$E$7*(DATI!$E$20/B35),DATI!$E$6*DATI!$E$16*DATI!$E$23*DATI!$E$7*((DATI!$E$20*DATI!$E$21)/B35^2))))</f>
        <v>0.71166655242813992</v>
      </c>
      <c r="D35" s="237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</row>
    <row r="36" spans="1:19" x14ac:dyDescent="0.25">
      <c r="A36" s="318"/>
      <c r="B36" s="389">
        <f t="shared" si="0"/>
        <v>0.31000000000000011</v>
      </c>
      <c r="C36" s="398">
        <f>1/DATI!$E$12*IF(B36&lt;DATI!$E$19,DATI!$E$6*DATI!$E$16*DATI!$E$23*DATI!$E$7*(B36/DATI!$E$19+1/(DATI!$E$23*DATI!$E$7)*(1-B36/DATI!$E$19)),IF(B36&lt;DATI!$E$20,DATI!$E$6*DATI!$E$16*DATI!$E$23*DATI!$E$7,IF(B36&lt;DATI!$E$21,DATI!$E$6*DATI!$E$16*DATI!$E$23*DATI!$E$7*(DATI!$E$20/B36),DATI!$E$6*DATI!$E$16*DATI!$E$23*DATI!$E$7*((DATI!$E$20*DATI!$E$21)/B36^2))))</f>
        <v>0.71166655242813992</v>
      </c>
      <c r="D36" s="237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</row>
    <row r="37" spans="1:19" x14ac:dyDescent="0.25">
      <c r="A37" s="318"/>
      <c r="B37" s="389">
        <f t="shared" si="0"/>
        <v>0.32000000000000012</v>
      </c>
      <c r="C37" s="398">
        <f>1/DATI!$E$12*IF(B37&lt;DATI!$E$19,DATI!$E$6*DATI!$E$16*DATI!$E$23*DATI!$E$7*(B37/DATI!$E$19+1/(DATI!$E$23*DATI!$E$7)*(1-B37/DATI!$E$19)),IF(B37&lt;DATI!$E$20,DATI!$E$6*DATI!$E$16*DATI!$E$23*DATI!$E$7,IF(B37&lt;DATI!$E$21,DATI!$E$6*DATI!$E$16*DATI!$E$23*DATI!$E$7*(DATI!$E$20/B37),DATI!$E$6*DATI!$E$16*DATI!$E$23*DATI!$E$7*((DATI!$E$20*DATI!$E$21)/B37^2))))</f>
        <v>0.71166655242813992</v>
      </c>
      <c r="D37" s="237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</row>
    <row r="38" spans="1:19" x14ac:dyDescent="0.25">
      <c r="A38" s="318"/>
      <c r="B38" s="389">
        <f t="shared" si="0"/>
        <v>0.33000000000000013</v>
      </c>
      <c r="C38" s="398">
        <f>1/DATI!$E$12*IF(B38&lt;DATI!$E$19,DATI!$E$6*DATI!$E$16*DATI!$E$23*DATI!$E$7*(B38/DATI!$E$19+1/(DATI!$E$23*DATI!$E$7)*(1-B38/DATI!$E$19)),IF(B38&lt;DATI!$E$20,DATI!$E$6*DATI!$E$16*DATI!$E$23*DATI!$E$7,IF(B38&lt;DATI!$E$21,DATI!$E$6*DATI!$E$16*DATI!$E$23*DATI!$E$7*(DATI!$E$20/B38),DATI!$E$6*DATI!$E$16*DATI!$E$23*DATI!$E$7*((DATI!$E$20*DATI!$E$21)/B38^2))))</f>
        <v>0.71166655242813992</v>
      </c>
      <c r="D38" s="237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</row>
    <row r="39" spans="1:19" x14ac:dyDescent="0.25">
      <c r="A39" s="318"/>
      <c r="B39" s="389">
        <f t="shared" si="0"/>
        <v>0.34000000000000014</v>
      </c>
      <c r="C39" s="398">
        <f>1/DATI!$E$12*IF(B39&lt;DATI!$E$19,DATI!$E$6*DATI!$E$16*DATI!$E$23*DATI!$E$7*(B39/DATI!$E$19+1/(DATI!$E$23*DATI!$E$7)*(1-B39/DATI!$E$19)),IF(B39&lt;DATI!$E$20,DATI!$E$6*DATI!$E$16*DATI!$E$23*DATI!$E$7,IF(B39&lt;DATI!$E$21,DATI!$E$6*DATI!$E$16*DATI!$E$23*DATI!$E$7*(DATI!$E$20/B39),DATI!$E$6*DATI!$E$16*DATI!$E$23*DATI!$E$7*((DATI!$E$20*DATI!$E$21)/B39^2))))</f>
        <v>0.71166655242813992</v>
      </c>
      <c r="D39" s="237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</row>
    <row r="40" spans="1:19" x14ac:dyDescent="0.25">
      <c r="A40" s="318"/>
      <c r="B40" s="389">
        <f t="shared" si="0"/>
        <v>0.35000000000000014</v>
      </c>
      <c r="C40" s="398">
        <f>1/DATI!$E$12*IF(B40&lt;DATI!$E$19,DATI!$E$6*DATI!$E$16*DATI!$E$23*DATI!$E$7*(B40/DATI!$E$19+1/(DATI!$E$23*DATI!$E$7)*(1-B40/DATI!$E$19)),IF(B40&lt;DATI!$E$20,DATI!$E$6*DATI!$E$16*DATI!$E$23*DATI!$E$7,IF(B40&lt;DATI!$E$21,DATI!$E$6*DATI!$E$16*DATI!$E$23*DATI!$E$7*(DATI!$E$20/B40),DATI!$E$6*DATI!$E$16*DATI!$E$23*DATI!$E$7*((DATI!$E$20*DATI!$E$21)/B40^2))))</f>
        <v>0.71166655242813992</v>
      </c>
      <c r="D40" s="237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</row>
    <row r="41" spans="1:19" x14ac:dyDescent="0.25">
      <c r="A41" s="318"/>
      <c r="B41" s="389">
        <f t="shared" si="0"/>
        <v>0.36000000000000015</v>
      </c>
      <c r="C41" s="398">
        <f>1/DATI!$E$12*IF(B41&lt;DATI!$E$19,DATI!$E$6*DATI!$E$16*DATI!$E$23*DATI!$E$7*(B41/DATI!$E$19+1/(DATI!$E$23*DATI!$E$7)*(1-B41/DATI!$E$19)),IF(B41&lt;DATI!$E$20,DATI!$E$6*DATI!$E$16*DATI!$E$23*DATI!$E$7,IF(B41&lt;DATI!$E$21,DATI!$E$6*DATI!$E$16*DATI!$E$23*DATI!$E$7*(DATI!$E$20/B41),DATI!$E$6*DATI!$E$16*DATI!$E$23*DATI!$E$7*((DATI!$E$20*DATI!$E$21)/B41^2))))</f>
        <v>0.71166655242813992</v>
      </c>
      <c r="D41" s="23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</row>
    <row r="42" spans="1:19" x14ac:dyDescent="0.25">
      <c r="A42" s="318"/>
      <c r="B42" s="389">
        <f t="shared" si="0"/>
        <v>0.37000000000000016</v>
      </c>
      <c r="C42" s="398">
        <f>1/DATI!$E$12*IF(B42&lt;DATI!$E$19,DATI!$E$6*DATI!$E$16*DATI!$E$23*DATI!$E$7*(B42/DATI!$E$19+1/(DATI!$E$23*DATI!$E$7)*(1-B42/DATI!$E$19)),IF(B42&lt;DATI!$E$20,DATI!$E$6*DATI!$E$16*DATI!$E$23*DATI!$E$7,IF(B42&lt;DATI!$E$21,DATI!$E$6*DATI!$E$16*DATI!$E$23*DATI!$E$7*(DATI!$E$20/B42),DATI!$E$6*DATI!$E$16*DATI!$E$23*DATI!$E$7*((DATI!$E$20*DATI!$E$21)/B42^2))))</f>
        <v>0.71166655242813992</v>
      </c>
      <c r="D42" s="23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</row>
    <row r="43" spans="1:19" x14ac:dyDescent="0.25">
      <c r="A43" s="318"/>
      <c r="B43" s="389">
        <f t="shared" si="0"/>
        <v>0.38000000000000017</v>
      </c>
      <c r="C43" s="398">
        <f>1/DATI!$E$12*IF(B43&lt;DATI!$E$19,DATI!$E$6*DATI!$E$16*DATI!$E$23*DATI!$E$7*(B43/DATI!$E$19+1/(DATI!$E$23*DATI!$E$7)*(1-B43/DATI!$E$19)),IF(B43&lt;DATI!$E$20,DATI!$E$6*DATI!$E$16*DATI!$E$23*DATI!$E$7,IF(B43&lt;DATI!$E$21,DATI!$E$6*DATI!$E$16*DATI!$E$23*DATI!$E$7*(DATI!$E$20/B43),DATI!$E$6*DATI!$E$16*DATI!$E$23*DATI!$E$7*((DATI!$E$20*DATI!$E$21)/B43^2))))</f>
        <v>0.71166655242813992</v>
      </c>
      <c r="D43" s="237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</row>
    <row r="44" spans="1:19" x14ac:dyDescent="0.25">
      <c r="A44" s="318"/>
      <c r="B44" s="389">
        <f t="shared" si="0"/>
        <v>0.39000000000000018</v>
      </c>
      <c r="C44" s="398">
        <f>1/DATI!$E$12*IF(B44&lt;DATI!$E$19,DATI!$E$6*DATI!$E$16*DATI!$E$23*DATI!$E$7*(B44/DATI!$E$19+1/(DATI!$E$23*DATI!$E$7)*(1-B44/DATI!$E$19)),IF(B44&lt;DATI!$E$20,DATI!$E$6*DATI!$E$16*DATI!$E$23*DATI!$E$7,IF(B44&lt;DATI!$E$21,DATI!$E$6*DATI!$E$16*DATI!$E$23*DATI!$E$7*(DATI!$E$20/B44),DATI!$E$6*DATI!$E$16*DATI!$E$23*DATI!$E$7*((DATI!$E$20*DATI!$E$21)/B44^2))))</f>
        <v>0.71166655242813992</v>
      </c>
      <c r="D44" s="237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</row>
    <row r="45" spans="1:19" x14ac:dyDescent="0.25">
      <c r="A45" s="318"/>
      <c r="B45" s="389">
        <f t="shared" si="0"/>
        <v>0.40000000000000019</v>
      </c>
      <c r="C45" s="398">
        <f>1/DATI!$E$12*IF(B45&lt;DATI!$E$19,DATI!$E$6*DATI!$E$16*DATI!$E$23*DATI!$E$7*(B45/DATI!$E$19+1/(DATI!$E$23*DATI!$E$7)*(1-B45/DATI!$E$19)),IF(B45&lt;DATI!$E$20,DATI!$E$6*DATI!$E$16*DATI!$E$23*DATI!$E$7,IF(B45&lt;DATI!$E$21,DATI!$E$6*DATI!$E$16*DATI!$E$23*DATI!$E$7*(DATI!$E$20/B45),DATI!$E$6*DATI!$E$16*DATI!$E$23*DATI!$E$7*((DATI!$E$20*DATI!$E$21)/B45^2))))</f>
        <v>0.71166655242813992</v>
      </c>
      <c r="D45" s="237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</row>
    <row r="46" spans="1:19" x14ac:dyDescent="0.25">
      <c r="A46" s="318"/>
      <c r="B46" s="389">
        <f t="shared" si="0"/>
        <v>0.4100000000000002</v>
      </c>
      <c r="C46" s="398">
        <f>1/DATI!$E$12*IF(B46&lt;DATI!$E$19,DATI!$E$6*DATI!$E$16*DATI!$E$23*DATI!$E$7*(B46/DATI!$E$19+1/(DATI!$E$23*DATI!$E$7)*(1-B46/DATI!$E$19)),IF(B46&lt;DATI!$E$20,DATI!$E$6*DATI!$E$16*DATI!$E$23*DATI!$E$7,IF(B46&lt;DATI!$E$21,DATI!$E$6*DATI!$E$16*DATI!$E$23*DATI!$E$7*(DATI!$E$20/B46),DATI!$E$6*DATI!$E$16*DATI!$E$23*DATI!$E$7*((DATI!$E$20*DATI!$E$21)/B46^2))))</f>
        <v>0.71166655242813992</v>
      </c>
      <c r="D46" s="237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</row>
    <row r="47" spans="1:19" x14ac:dyDescent="0.25">
      <c r="A47" s="318"/>
      <c r="B47" s="389">
        <f t="shared" si="0"/>
        <v>0.42000000000000021</v>
      </c>
      <c r="C47" s="398">
        <f>1/DATI!$E$12*IF(B47&lt;DATI!$E$19,DATI!$E$6*DATI!$E$16*DATI!$E$23*DATI!$E$7*(B47/DATI!$E$19+1/(DATI!$E$23*DATI!$E$7)*(1-B47/DATI!$E$19)),IF(B47&lt;DATI!$E$20,DATI!$E$6*DATI!$E$16*DATI!$E$23*DATI!$E$7,IF(B47&lt;DATI!$E$21,DATI!$E$6*DATI!$E$16*DATI!$E$23*DATI!$E$7*(DATI!$E$20/B47),DATI!$E$6*DATI!$E$16*DATI!$E$23*DATI!$E$7*((DATI!$E$20*DATI!$E$21)/B47^2))))</f>
        <v>0.71166655242813992</v>
      </c>
      <c r="D47" s="237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</row>
    <row r="48" spans="1:19" x14ac:dyDescent="0.25">
      <c r="A48" s="318"/>
      <c r="B48" s="389">
        <f t="shared" si="0"/>
        <v>0.43000000000000022</v>
      </c>
      <c r="C48" s="398">
        <f>1/DATI!$E$12*IF(B48&lt;DATI!$E$19,DATI!$E$6*DATI!$E$16*DATI!$E$23*DATI!$E$7*(B48/DATI!$E$19+1/(DATI!$E$23*DATI!$E$7)*(1-B48/DATI!$E$19)),IF(B48&lt;DATI!$E$20,DATI!$E$6*DATI!$E$16*DATI!$E$23*DATI!$E$7,IF(B48&lt;DATI!$E$21,DATI!$E$6*DATI!$E$16*DATI!$E$23*DATI!$E$7*(DATI!$E$20/B48),DATI!$E$6*DATI!$E$16*DATI!$E$23*DATI!$E$7*((DATI!$E$20*DATI!$E$21)/B48^2))))</f>
        <v>0.71166655242813992</v>
      </c>
      <c r="D48" s="237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</row>
    <row r="49" spans="1:19" x14ac:dyDescent="0.25">
      <c r="A49" s="318"/>
      <c r="B49" s="389">
        <f t="shared" si="0"/>
        <v>0.44000000000000022</v>
      </c>
      <c r="C49" s="398">
        <f>1/DATI!$E$12*IF(B49&lt;DATI!$E$19,DATI!$E$6*DATI!$E$16*DATI!$E$23*DATI!$E$7*(B49/DATI!$E$19+1/(DATI!$E$23*DATI!$E$7)*(1-B49/DATI!$E$19)),IF(B49&lt;DATI!$E$20,DATI!$E$6*DATI!$E$16*DATI!$E$23*DATI!$E$7,IF(B49&lt;DATI!$E$21,DATI!$E$6*DATI!$E$16*DATI!$E$23*DATI!$E$7*(DATI!$E$20/B49),DATI!$E$6*DATI!$E$16*DATI!$E$23*DATI!$E$7*((DATI!$E$20*DATI!$E$21)/B49^2))))</f>
        <v>0.71166655242813992</v>
      </c>
      <c r="D49" s="23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</row>
    <row r="50" spans="1:19" x14ac:dyDescent="0.25">
      <c r="A50" s="318"/>
      <c r="B50" s="389">
        <f t="shared" si="0"/>
        <v>0.45000000000000023</v>
      </c>
      <c r="C50" s="398">
        <f>1/DATI!$E$12*IF(B50&lt;DATI!$E$19,DATI!$E$6*DATI!$E$16*DATI!$E$23*DATI!$E$7*(B50/DATI!$E$19+1/(DATI!$E$23*DATI!$E$7)*(1-B50/DATI!$E$19)),IF(B50&lt;DATI!$E$20,DATI!$E$6*DATI!$E$16*DATI!$E$23*DATI!$E$7,IF(B50&lt;DATI!$E$21,DATI!$E$6*DATI!$E$16*DATI!$E$23*DATI!$E$7*(DATI!$E$20/B50),DATI!$E$6*DATI!$E$16*DATI!$E$23*DATI!$E$7*((DATI!$E$20*DATI!$E$21)/B50^2))))</f>
        <v>0.71166655242813992</v>
      </c>
      <c r="D50" s="237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</row>
    <row r="51" spans="1:19" x14ac:dyDescent="0.25">
      <c r="A51" s="318"/>
      <c r="B51" s="389">
        <f t="shared" si="0"/>
        <v>0.46000000000000024</v>
      </c>
      <c r="C51" s="398">
        <f>1/DATI!$E$12*IF(B51&lt;DATI!$E$19,DATI!$E$6*DATI!$E$16*DATI!$E$23*DATI!$E$7*(B51/DATI!$E$19+1/(DATI!$E$23*DATI!$E$7)*(1-B51/DATI!$E$19)),IF(B51&lt;DATI!$E$20,DATI!$E$6*DATI!$E$16*DATI!$E$23*DATI!$E$7,IF(B51&lt;DATI!$E$21,DATI!$E$6*DATI!$E$16*DATI!$E$23*DATI!$E$7*(DATI!$E$20/B51),DATI!$E$6*DATI!$E$16*DATI!$E$23*DATI!$E$7*((DATI!$E$20*DATI!$E$21)/B51^2))))</f>
        <v>0.71166655242813992</v>
      </c>
      <c r="D51" s="237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</row>
    <row r="52" spans="1:19" x14ac:dyDescent="0.25">
      <c r="A52" s="318"/>
      <c r="B52" s="389">
        <f t="shared" si="0"/>
        <v>0.47000000000000025</v>
      </c>
      <c r="C52" s="398">
        <f>1/DATI!$E$12*IF(B52&lt;DATI!$E$19,DATI!$E$6*DATI!$E$16*DATI!$E$23*DATI!$E$7*(B52/DATI!$E$19+1/(DATI!$E$23*DATI!$E$7)*(1-B52/DATI!$E$19)),IF(B52&lt;DATI!$E$20,DATI!$E$6*DATI!$E$16*DATI!$E$23*DATI!$E$7,IF(B52&lt;DATI!$E$21,DATI!$E$6*DATI!$E$16*DATI!$E$23*DATI!$E$7*(DATI!$E$20/B52),DATI!$E$6*DATI!$E$16*DATI!$E$23*DATI!$E$7*((DATI!$E$20*DATI!$E$21)/B52^2))))</f>
        <v>0.71166655242813992</v>
      </c>
      <c r="D52" s="237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</row>
    <row r="53" spans="1:19" x14ac:dyDescent="0.25">
      <c r="A53" s="318"/>
      <c r="B53" s="389">
        <f t="shared" si="0"/>
        <v>0.48000000000000026</v>
      </c>
      <c r="C53" s="398">
        <f>1/DATI!$E$12*IF(B53&lt;DATI!$E$19,DATI!$E$6*DATI!$E$16*DATI!$E$23*DATI!$E$7*(B53/DATI!$E$19+1/(DATI!$E$23*DATI!$E$7)*(1-B53/DATI!$E$19)),IF(B53&lt;DATI!$E$20,DATI!$E$6*DATI!$E$16*DATI!$E$23*DATI!$E$7,IF(B53&lt;DATI!$E$21,DATI!$E$6*DATI!$E$16*DATI!$E$23*DATI!$E$7*(DATI!$E$20/B53),DATI!$E$6*DATI!$E$16*DATI!$E$23*DATI!$E$7*((DATI!$E$20*DATI!$E$21)/B53^2))))</f>
        <v>0.70417797651524694</v>
      </c>
      <c r="D53" s="23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</row>
    <row r="54" spans="1:19" x14ac:dyDescent="0.25">
      <c r="A54" s="318"/>
      <c r="B54" s="389">
        <f t="shared" si="0"/>
        <v>0.49000000000000027</v>
      </c>
      <c r="C54" s="398">
        <f>1/DATI!$E$12*IF(B54&lt;DATI!$E$19,DATI!$E$6*DATI!$E$16*DATI!$E$23*DATI!$E$7*(B54/DATI!$E$19+1/(DATI!$E$23*DATI!$E$7)*(1-B54/DATI!$E$19)),IF(B54&lt;DATI!$E$20,DATI!$E$6*DATI!$E$16*DATI!$E$23*DATI!$E$7,IF(B54&lt;DATI!$E$21,DATI!$E$6*DATI!$E$16*DATI!$E$23*DATI!$E$7*(DATI!$E$20/B54),DATI!$E$6*DATI!$E$16*DATI!$E$23*DATI!$E$7*((DATI!$E$20*DATI!$E$21)/B54^2))))</f>
        <v>0.6898069974026908</v>
      </c>
      <c r="D54" s="237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</row>
    <row r="55" spans="1:19" x14ac:dyDescent="0.25">
      <c r="A55" s="318"/>
      <c r="B55" s="389">
        <f t="shared" si="0"/>
        <v>0.50000000000000022</v>
      </c>
      <c r="C55" s="398">
        <f>1/DATI!$E$12*IF(B55&lt;DATI!$E$19,DATI!$E$6*DATI!$E$16*DATI!$E$23*DATI!$E$7*(B55/DATI!$E$19+1/(DATI!$E$23*DATI!$E$7)*(1-B55/DATI!$E$19)),IF(B55&lt;DATI!$E$20,DATI!$E$6*DATI!$E$16*DATI!$E$23*DATI!$E$7,IF(B55&lt;DATI!$E$21,DATI!$E$6*DATI!$E$16*DATI!$E$23*DATI!$E$7*(DATI!$E$20/B55),DATI!$E$6*DATI!$E$16*DATI!$E$23*DATI!$E$7*((DATI!$E$20*DATI!$E$21)/B55^2))))</f>
        <v>0.67601085745463707</v>
      </c>
      <c r="D55" s="237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</row>
    <row r="56" spans="1:19" x14ac:dyDescent="0.25">
      <c r="A56" s="318"/>
      <c r="B56" s="389">
        <f t="shared" si="0"/>
        <v>0.51000000000000023</v>
      </c>
      <c r="C56" s="398">
        <f>1/DATI!$E$12*IF(B56&lt;DATI!$E$19,DATI!$E$6*DATI!$E$16*DATI!$E$23*DATI!$E$7*(B56/DATI!$E$19+1/(DATI!$E$23*DATI!$E$7)*(1-B56/DATI!$E$19)),IF(B56&lt;DATI!$E$20,DATI!$E$6*DATI!$E$16*DATI!$E$23*DATI!$E$7,IF(B56&lt;DATI!$E$21,DATI!$E$6*DATI!$E$16*DATI!$E$23*DATI!$E$7*(DATI!$E$20/B56),DATI!$E$6*DATI!$E$16*DATI!$E$23*DATI!$E$7*((DATI!$E$20*DATI!$E$21)/B56^2))))</f>
        <v>0.6627557426025853</v>
      </c>
      <c r="D56" s="237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</row>
    <row r="57" spans="1:19" x14ac:dyDescent="0.25">
      <c r="A57" s="318"/>
      <c r="B57" s="389">
        <f t="shared" si="0"/>
        <v>0.52000000000000024</v>
      </c>
      <c r="C57" s="398">
        <f>1/DATI!$E$12*IF(B57&lt;DATI!$E$19,DATI!$E$6*DATI!$E$16*DATI!$E$23*DATI!$E$7*(B57/DATI!$E$19+1/(DATI!$E$23*DATI!$E$7)*(1-B57/DATI!$E$19)),IF(B57&lt;DATI!$E$20,DATI!$E$6*DATI!$E$16*DATI!$E$23*DATI!$E$7,IF(B57&lt;DATI!$E$21,DATI!$E$6*DATI!$E$16*DATI!$E$23*DATI!$E$7*(DATI!$E$20/B57),DATI!$E$6*DATI!$E$16*DATI!$E$23*DATI!$E$7*((DATI!$E$20*DATI!$E$21)/B57^2))))</f>
        <v>0.650010439860228</v>
      </c>
      <c r="D57" s="237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</row>
    <row r="58" spans="1:19" x14ac:dyDescent="0.25">
      <c r="A58" s="318"/>
      <c r="B58" s="389">
        <f t="shared" si="0"/>
        <v>0.53000000000000025</v>
      </c>
      <c r="C58" s="398">
        <f>1/DATI!$E$12*IF(B58&lt;DATI!$E$19,DATI!$E$6*DATI!$E$16*DATI!$E$23*DATI!$E$7*(B58/DATI!$E$19+1/(DATI!$E$23*DATI!$E$7)*(1-B58/DATI!$E$19)),IF(B58&lt;DATI!$E$20,DATI!$E$6*DATI!$E$16*DATI!$E$23*DATI!$E$7,IF(B58&lt;DATI!$E$21,DATI!$E$6*DATI!$E$16*DATI!$E$23*DATI!$E$7*(DATI!$E$20/B58),DATI!$E$6*DATI!$E$16*DATI!$E$23*DATI!$E$7*((DATI!$E$20*DATI!$E$21)/B58^2))))</f>
        <v>0.63774609193833687</v>
      </c>
      <c r="D58" s="237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</row>
    <row r="59" spans="1:19" x14ac:dyDescent="0.25">
      <c r="A59" s="318"/>
      <c r="B59" s="389">
        <f t="shared" si="0"/>
        <v>0.54000000000000026</v>
      </c>
      <c r="C59" s="398">
        <f>1/DATI!$E$12*IF(B59&lt;DATI!$E$19,DATI!$E$6*DATI!$E$16*DATI!$E$23*DATI!$E$7*(B59/DATI!$E$19+1/(DATI!$E$23*DATI!$E$7)*(1-B59/DATI!$E$19)),IF(B59&lt;DATI!$E$20,DATI!$E$6*DATI!$E$16*DATI!$E$23*DATI!$E$7,IF(B59&lt;DATI!$E$21,DATI!$E$6*DATI!$E$16*DATI!$E$23*DATI!$E$7*(DATI!$E$20/B59),DATI!$E$6*DATI!$E$16*DATI!$E$23*DATI!$E$7*((DATI!$E$20*DATI!$E$21)/B59^2))))</f>
        <v>0.62593597912466392</v>
      </c>
      <c r="D59" s="237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</row>
    <row r="60" spans="1:19" x14ac:dyDescent="0.25">
      <c r="A60" s="318"/>
      <c r="B60" s="389">
        <f t="shared" si="0"/>
        <v>0.55000000000000027</v>
      </c>
      <c r="C60" s="398">
        <f>1/DATI!$E$12*IF(B60&lt;DATI!$E$19,DATI!$E$6*DATI!$E$16*DATI!$E$23*DATI!$E$7*(B60/DATI!$E$19+1/(DATI!$E$23*DATI!$E$7)*(1-B60/DATI!$E$19)),IF(B60&lt;DATI!$E$20,DATI!$E$6*DATI!$E$16*DATI!$E$23*DATI!$E$7,IF(B60&lt;DATI!$E$21,DATI!$E$6*DATI!$E$16*DATI!$E$23*DATI!$E$7*(DATI!$E$20/B60),DATI!$E$6*DATI!$E$16*DATI!$E$23*DATI!$E$7*((DATI!$E$20*DATI!$E$21)/B60^2))))</f>
        <v>0.61455532495876097</v>
      </c>
      <c r="D60" s="237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</row>
    <row r="61" spans="1:19" x14ac:dyDescent="0.25">
      <c r="A61" s="318"/>
      <c r="B61" s="389">
        <f t="shared" si="0"/>
        <v>0.56000000000000028</v>
      </c>
      <c r="C61" s="398">
        <f>1/DATI!$E$12*IF(B61&lt;DATI!$E$19,DATI!$E$6*DATI!$E$16*DATI!$E$23*DATI!$E$7*(B61/DATI!$E$19+1/(DATI!$E$23*DATI!$E$7)*(1-B61/DATI!$E$19)),IF(B61&lt;DATI!$E$20,DATI!$E$6*DATI!$E$16*DATI!$E$23*DATI!$E$7,IF(B61&lt;DATI!$E$21,DATI!$E$6*DATI!$E$16*DATI!$E$23*DATI!$E$7*(DATI!$E$20/B61),DATI!$E$6*DATI!$E$16*DATI!$E$23*DATI!$E$7*((DATI!$E$20*DATI!$E$21)/B61^2))))</f>
        <v>0.60358112272735454</v>
      </c>
      <c r="D61" s="237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</row>
    <row r="62" spans="1:19" x14ac:dyDescent="0.25">
      <c r="A62" s="318"/>
      <c r="B62" s="389">
        <f t="shared" si="0"/>
        <v>0.57000000000000028</v>
      </c>
      <c r="C62" s="398">
        <f>1/DATI!$E$12*IF(B62&lt;DATI!$E$19,DATI!$E$6*DATI!$E$16*DATI!$E$23*DATI!$E$7*(B62/DATI!$E$19+1/(DATI!$E$23*DATI!$E$7)*(1-B62/DATI!$E$19)),IF(B62&lt;DATI!$E$20,DATI!$E$6*DATI!$E$16*DATI!$E$23*DATI!$E$7,IF(B62&lt;DATI!$E$21,DATI!$E$6*DATI!$E$16*DATI!$E$23*DATI!$E$7*(DATI!$E$20/B62),DATI!$E$6*DATI!$E$16*DATI!$E$23*DATI!$E$7*((DATI!$E$20*DATI!$E$21)/B62^2))))</f>
        <v>0.59299198022336574</v>
      </c>
      <c r="D62" s="237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</row>
    <row r="63" spans="1:19" x14ac:dyDescent="0.25">
      <c r="A63" s="318"/>
      <c r="B63" s="389">
        <f t="shared" si="0"/>
        <v>0.58000000000000029</v>
      </c>
      <c r="C63" s="398">
        <f>1/DATI!$E$12*IF(B63&lt;DATI!$E$19,DATI!$E$6*DATI!$E$16*DATI!$E$23*DATI!$E$7*(B63/DATI!$E$19+1/(DATI!$E$23*DATI!$E$7)*(1-B63/DATI!$E$19)),IF(B63&lt;DATI!$E$20,DATI!$E$6*DATI!$E$16*DATI!$E$23*DATI!$E$7,IF(B63&lt;DATI!$E$21,DATI!$E$6*DATI!$E$16*DATI!$E$23*DATI!$E$7*(DATI!$E$20/B63),DATI!$E$6*DATI!$E$16*DATI!$E$23*DATI!$E$7*((DATI!$E$20*DATI!$E$21)/B63^2))))</f>
        <v>0.58276798056434231</v>
      </c>
      <c r="D63" s="237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</row>
    <row r="64" spans="1:19" x14ac:dyDescent="0.25">
      <c r="A64" s="318"/>
      <c r="B64" s="389">
        <f t="shared" si="0"/>
        <v>0.5900000000000003</v>
      </c>
      <c r="C64" s="398">
        <f>1/DATI!$E$12*IF(B64&lt;DATI!$E$19,DATI!$E$6*DATI!$E$16*DATI!$E$23*DATI!$E$7*(B64/DATI!$E$19+1/(DATI!$E$23*DATI!$E$7)*(1-B64/DATI!$E$19)),IF(B64&lt;DATI!$E$20,DATI!$E$6*DATI!$E$16*DATI!$E$23*DATI!$E$7,IF(B64&lt;DATI!$E$21,DATI!$E$6*DATI!$E$16*DATI!$E$23*DATI!$E$7*(DATI!$E$20/B64),DATI!$E$6*DATI!$E$16*DATI!$E$23*DATI!$E$7*((DATI!$E$20*DATI!$E$21)/B64^2))))</f>
        <v>0.57289055716494663</v>
      </c>
      <c r="D64" s="237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</row>
    <row r="65" spans="1:19" x14ac:dyDescent="0.25">
      <c r="A65" s="318"/>
      <c r="B65" s="389">
        <f t="shared" si="0"/>
        <v>0.60000000000000031</v>
      </c>
      <c r="C65" s="398">
        <f>1/DATI!$E$12*IF(B65&lt;DATI!$E$19,DATI!$E$6*DATI!$E$16*DATI!$E$23*DATI!$E$7*(B65/DATI!$E$19+1/(DATI!$E$23*DATI!$E$7)*(1-B65/DATI!$E$19)),IF(B65&lt;DATI!$E$20,DATI!$E$6*DATI!$E$16*DATI!$E$23*DATI!$E$7,IF(B65&lt;DATI!$E$21,DATI!$E$6*DATI!$E$16*DATI!$E$23*DATI!$E$7*(DATI!$E$20/B65),DATI!$E$6*DATI!$E$16*DATI!$E$23*DATI!$E$7*((DATI!$E$20*DATI!$E$21)/B65^2))))</f>
        <v>0.56334238121219748</v>
      </c>
      <c r="D65" s="237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</row>
    <row r="66" spans="1:19" x14ac:dyDescent="0.25">
      <c r="A66" s="318"/>
      <c r="B66" s="389">
        <f t="shared" si="0"/>
        <v>0.61000000000000032</v>
      </c>
      <c r="C66" s="398">
        <f>1/DATI!$E$12*IF(B66&lt;DATI!$E$19,DATI!$E$6*DATI!$E$16*DATI!$E$23*DATI!$E$7*(B66/DATI!$E$19+1/(DATI!$E$23*DATI!$E$7)*(1-B66/DATI!$E$19)),IF(B66&lt;DATI!$E$20,DATI!$E$6*DATI!$E$16*DATI!$E$23*DATI!$E$7,IF(B66&lt;DATI!$E$21,DATI!$E$6*DATI!$E$16*DATI!$E$23*DATI!$E$7*(DATI!$E$20/B66),DATI!$E$6*DATI!$E$16*DATI!$E$23*DATI!$E$7*((DATI!$E$20*DATI!$E$21)/B66^2))))</f>
        <v>0.55410726020871881</v>
      </c>
      <c r="D66" s="237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</row>
    <row r="67" spans="1:19" x14ac:dyDescent="0.25">
      <c r="A67" s="318"/>
      <c r="B67" s="389">
        <f t="shared" si="0"/>
        <v>0.62000000000000033</v>
      </c>
      <c r="C67" s="398">
        <f>1/DATI!$E$12*IF(B67&lt;DATI!$E$19,DATI!$E$6*DATI!$E$16*DATI!$E$23*DATI!$E$7*(B67/DATI!$E$19+1/(DATI!$E$23*DATI!$E$7)*(1-B67/DATI!$E$19)),IF(B67&lt;DATI!$E$20,DATI!$E$6*DATI!$E$16*DATI!$E$23*DATI!$E$7,IF(B67&lt;DATI!$E$21,DATI!$E$6*DATI!$E$16*DATI!$E$23*DATI!$E$7*(DATI!$E$20/B67),DATI!$E$6*DATI!$E$16*DATI!$E$23*DATI!$E$7*((DATI!$E$20*DATI!$E$21)/B67^2))))</f>
        <v>0.54517004633438459</v>
      </c>
      <c r="D67" s="237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</row>
    <row r="68" spans="1:19" x14ac:dyDescent="0.25">
      <c r="A68" s="318"/>
      <c r="B68" s="389">
        <f t="shared" si="0"/>
        <v>0.63000000000000034</v>
      </c>
      <c r="C68" s="398">
        <f>1/DATI!$E$12*IF(B68&lt;DATI!$E$19,DATI!$E$6*DATI!$E$16*DATI!$E$23*DATI!$E$7*(B68/DATI!$E$19+1/(DATI!$E$23*DATI!$E$7)*(1-B68/DATI!$E$19)),IF(B68&lt;DATI!$E$20,DATI!$E$6*DATI!$E$16*DATI!$E$23*DATI!$E$7,IF(B68&lt;DATI!$E$21,DATI!$E$6*DATI!$E$16*DATI!$E$23*DATI!$E$7*(DATI!$E$20/B68),DATI!$E$6*DATI!$E$16*DATI!$E$23*DATI!$E$7*((DATI!$E$20*DATI!$E$21)/B68^2))))</f>
        <v>0.53651655353542627</v>
      </c>
      <c r="D68" s="237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</row>
    <row r="69" spans="1:19" x14ac:dyDescent="0.25">
      <c r="A69" s="318"/>
      <c r="B69" s="389">
        <f t="shared" si="0"/>
        <v>0.64000000000000035</v>
      </c>
      <c r="C69" s="398">
        <f>1/DATI!$E$12*IF(B69&lt;DATI!$E$19,DATI!$E$6*DATI!$E$16*DATI!$E$23*DATI!$E$7*(B69/DATI!$E$19+1/(DATI!$E$23*DATI!$E$7)*(1-B69/DATI!$E$19)),IF(B69&lt;DATI!$E$20,DATI!$E$6*DATI!$E$16*DATI!$E$23*DATI!$E$7,IF(B69&lt;DATI!$E$21,DATI!$E$6*DATI!$E$16*DATI!$E$23*DATI!$E$7*(DATI!$E$20/B69),DATI!$E$6*DATI!$E$16*DATI!$E$23*DATI!$E$7*((DATI!$E$20*DATI!$E$21)/B69^2))))</f>
        <v>0.5281334823864352</v>
      </c>
      <c r="D69" s="237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</row>
    <row r="70" spans="1:19" x14ac:dyDescent="0.25">
      <c r="A70" s="318"/>
      <c r="B70" s="389">
        <f t="shared" ref="B70:B133" si="1">0.01+B69</f>
        <v>0.65000000000000036</v>
      </c>
      <c r="C70" s="398">
        <f>1/DATI!$E$12*IF(B70&lt;DATI!$E$19,DATI!$E$6*DATI!$E$16*DATI!$E$23*DATI!$E$7*(B70/DATI!$E$19+1/(DATI!$E$23*DATI!$E$7)*(1-B70/DATI!$E$19)),IF(B70&lt;DATI!$E$20,DATI!$E$6*DATI!$E$16*DATI!$E$23*DATI!$E$7,IF(B70&lt;DATI!$E$21,DATI!$E$6*DATI!$E$16*DATI!$E$23*DATI!$E$7*(DATI!$E$20/B70),DATI!$E$6*DATI!$E$16*DATI!$E$23*DATI!$E$7*((DATI!$E$20*DATI!$E$21)/B70^2))))</f>
        <v>0.52000835188818229</v>
      </c>
      <c r="D70" s="237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</row>
    <row r="71" spans="1:19" x14ac:dyDescent="0.25">
      <c r="A71" s="318"/>
      <c r="B71" s="389">
        <f t="shared" si="1"/>
        <v>0.66000000000000036</v>
      </c>
      <c r="C71" s="398">
        <f>1/DATI!$E$12*IF(B71&lt;DATI!$E$19,DATI!$E$6*DATI!$E$16*DATI!$E$23*DATI!$E$7*(B71/DATI!$E$19+1/(DATI!$E$23*DATI!$E$7)*(1-B71/DATI!$E$19)),IF(B71&lt;DATI!$E$20,DATI!$E$6*DATI!$E$16*DATI!$E$23*DATI!$E$7,IF(B71&lt;DATI!$E$21,DATI!$E$6*DATI!$E$16*DATI!$E$23*DATI!$E$7*(DATI!$E$20/B71),DATI!$E$6*DATI!$E$16*DATI!$E$23*DATI!$E$7*((DATI!$E$20*DATI!$E$21)/B71^2))))</f>
        <v>0.51212943746563411</v>
      </c>
      <c r="D71" s="237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</row>
    <row r="72" spans="1:19" x14ac:dyDescent="0.25">
      <c r="A72" s="318"/>
      <c r="B72" s="389">
        <f t="shared" si="1"/>
        <v>0.67000000000000037</v>
      </c>
      <c r="C72" s="398">
        <f>1/DATI!$E$12*IF(B72&lt;DATI!$E$19,DATI!$E$6*DATI!$E$16*DATI!$E$23*DATI!$E$7*(B72/DATI!$E$19+1/(DATI!$E$23*DATI!$E$7)*(1-B72/DATI!$E$19)),IF(B72&lt;DATI!$E$20,DATI!$E$6*DATI!$E$16*DATI!$E$23*DATI!$E$7,IF(B72&lt;DATI!$E$21,DATI!$E$6*DATI!$E$16*DATI!$E$23*DATI!$E$7*(DATI!$E$20/B72),DATI!$E$6*DATI!$E$16*DATI!$E$23*DATI!$E$7*((DATI!$E$20*DATI!$E$21)/B72^2))))</f>
        <v>0.50448571451838575</v>
      </c>
      <c r="D72" s="237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</row>
    <row r="73" spans="1:19" x14ac:dyDescent="0.25">
      <c r="A73" s="318"/>
      <c r="B73" s="389">
        <f t="shared" si="1"/>
        <v>0.68000000000000038</v>
      </c>
      <c r="C73" s="398">
        <f>1/DATI!$E$12*IF(B73&lt;DATI!$E$19,DATI!$E$6*DATI!$E$16*DATI!$E$23*DATI!$E$7*(B73/DATI!$E$19+1/(DATI!$E$23*DATI!$E$7)*(1-B73/DATI!$E$19)),IF(B73&lt;DATI!$E$20,DATI!$E$6*DATI!$E$16*DATI!$E$23*DATI!$E$7,IF(B73&lt;DATI!$E$21,DATI!$E$6*DATI!$E$16*DATI!$E$23*DATI!$E$7*(DATI!$E$20/B73),DATI!$E$6*DATI!$E$16*DATI!$E$23*DATI!$E$7*((DATI!$E$20*DATI!$E$21)/B73^2))))</f>
        <v>0.497066806951939</v>
      </c>
      <c r="D73" s="237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</row>
    <row r="74" spans="1:19" x14ac:dyDescent="0.25">
      <c r="A74" s="318"/>
      <c r="B74" s="389">
        <f t="shared" si="1"/>
        <v>0.69000000000000039</v>
      </c>
      <c r="C74" s="398">
        <f>1/DATI!$E$12*IF(B74&lt;DATI!$E$19,DATI!$E$6*DATI!$E$16*DATI!$E$23*DATI!$E$7*(B74/DATI!$E$19+1/(DATI!$E$23*DATI!$E$7)*(1-B74/DATI!$E$19)),IF(B74&lt;DATI!$E$20,DATI!$E$6*DATI!$E$16*DATI!$E$23*DATI!$E$7,IF(B74&lt;DATI!$E$21,DATI!$E$6*DATI!$E$16*DATI!$E$23*DATI!$E$7*(DATI!$E$20/B74),DATI!$E$6*DATI!$E$16*DATI!$E$23*DATI!$E$7*((DATI!$E$20*DATI!$E$21)/B74^2))))</f>
        <v>0.48986294018451959</v>
      </c>
      <c r="D74" s="237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</row>
    <row r="75" spans="1:19" x14ac:dyDescent="0.25">
      <c r="A75" s="318"/>
      <c r="B75" s="389">
        <f t="shared" si="1"/>
        <v>0.7000000000000004</v>
      </c>
      <c r="C75" s="398">
        <f>1/DATI!$E$12*IF(B75&lt;DATI!$E$19,DATI!$E$6*DATI!$E$16*DATI!$E$23*DATI!$E$7*(B75/DATI!$E$19+1/(DATI!$E$23*DATI!$E$7)*(1-B75/DATI!$E$19)),IF(B75&lt;DATI!$E$20,DATI!$E$6*DATI!$E$16*DATI!$E$23*DATI!$E$7,IF(B75&lt;DATI!$E$21,DATI!$E$6*DATI!$E$16*DATI!$E$23*DATI!$E$7*(DATI!$E$20/B75),DATI!$E$6*DATI!$E$16*DATI!$E$23*DATI!$E$7*((DATI!$E$20*DATI!$E$21)/B75^2))))</f>
        <v>0.48286489818188355</v>
      </c>
      <c r="D75" s="237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</row>
    <row r="76" spans="1:19" x14ac:dyDescent="0.25">
      <c r="A76" s="318"/>
      <c r="B76" s="389">
        <f t="shared" si="1"/>
        <v>0.71000000000000041</v>
      </c>
      <c r="C76" s="398">
        <f>1/DATI!$E$12*IF(B76&lt;DATI!$E$19,DATI!$E$6*DATI!$E$16*DATI!$E$23*DATI!$E$7*(B76/DATI!$E$19+1/(DATI!$E$23*DATI!$E$7)*(1-B76/DATI!$E$19)),IF(B76&lt;DATI!$E$20,DATI!$E$6*DATI!$E$16*DATI!$E$23*DATI!$E$7,IF(B76&lt;DATI!$E$21,DATI!$E$6*DATI!$E$16*DATI!$E$23*DATI!$E$7*(DATI!$E$20/B76),DATI!$E$6*DATI!$E$16*DATI!$E$23*DATI!$E$7*((DATI!$E$20*DATI!$E$21)/B76^2))))</f>
        <v>0.47606398412298379</v>
      </c>
      <c r="D76" s="237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</row>
    <row r="77" spans="1:19" x14ac:dyDescent="0.25">
      <c r="A77" s="318"/>
      <c r="B77" s="389">
        <f t="shared" si="1"/>
        <v>0.72000000000000042</v>
      </c>
      <c r="C77" s="398">
        <f>1/DATI!$E$12*IF(B77&lt;DATI!$E$19,DATI!$E$6*DATI!$E$16*DATI!$E$23*DATI!$E$7*(B77/DATI!$E$19+1/(DATI!$E$23*DATI!$E$7)*(1-B77/DATI!$E$19)),IF(B77&lt;DATI!$E$20,DATI!$E$6*DATI!$E$16*DATI!$E$23*DATI!$E$7,IF(B77&lt;DATI!$E$21,DATI!$E$6*DATI!$E$16*DATI!$E$23*DATI!$E$7*(DATI!$E$20/B77),DATI!$E$6*DATI!$E$16*DATI!$E$23*DATI!$E$7*((DATI!$E$20*DATI!$E$21)/B77^2))))</f>
        <v>0.46945198434349789</v>
      </c>
      <c r="D77" s="237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</row>
    <row r="78" spans="1:19" x14ac:dyDescent="0.25">
      <c r="A78" s="318"/>
      <c r="B78" s="389">
        <f t="shared" si="1"/>
        <v>0.73000000000000043</v>
      </c>
      <c r="C78" s="398">
        <f>1/DATI!$E$12*IF(B78&lt;DATI!$E$19,DATI!$E$6*DATI!$E$16*DATI!$E$23*DATI!$E$7*(B78/DATI!$E$19+1/(DATI!$E$23*DATI!$E$7)*(1-B78/DATI!$E$19)),IF(B78&lt;DATI!$E$20,DATI!$E$6*DATI!$E$16*DATI!$E$23*DATI!$E$7,IF(B78&lt;DATI!$E$21,DATI!$E$6*DATI!$E$16*DATI!$E$23*DATI!$E$7*(DATI!$E$20/B78),DATI!$E$6*DATI!$E$16*DATI!$E$23*DATI!$E$7*((DATI!$E$20*DATI!$E$21)/B78^2))))</f>
        <v>0.46302113524290206</v>
      </c>
      <c r="D78" s="237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</row>
    <row r="79" spans="1:19" x14ac:dyDescent="0.25">
      <c r="A79" s="318"/>
      <c r="B79" s="389">
        <f t="shared" si="1"/>
        <v>0.74000000000000044</v>
      </c>
      <c r="C79" s="398">
        <f>1/DATI!$E$12*IF(B79&lt;DATI!$E$19,DATI!$E$6*DATI!$E$16*DATI!$E$23*DATI!$E$7*(B79/DATI!$E$19+1/(DATI!$E$23*DATI!$E$7)*(1-B79/DATI!$E$19)),IF(B79&lt;DATI!$E$20,DATI!$E$6*DATI!$E$16*DATI!$E$23*DATI!$E$7,IF(B79&lt;DATI!$E$21,DATI!$E$6*DATI!$E$16*DATI!$E$23*DATI!$E$7*(DATI!$E$20/B79),DATI!$E$6*DATI!$E$16*DATI!$E$23*DATI!$E$7*((DATI!$E$20*DATI!$E$21)/B79^2))))</f>
        <v>0.45676409287475467</v>
      </c>
      <c r="D79" s="237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</row>
    <row r="80" spans="1:19" x14ac:dyDescent="0.25">
      <c r="A80" s="318"/>
      <c r="B80" s="389">
        <f t="shared" si="1"/>
        <v>0.75000000000000044</v>
      </c>
      <c r="C80" s="398">
        <f>1/DATI!$E$12*IF(B80&lt;DATI!$E$19,DATI!$E$6*DATI!$E$16*DATI!$E$23*DATI!$E$7*(B80/DATI!$E$19+1/(DATI!$E$23*DATI!$E$7)*(1-B80/DATI!$E$19)),IF(B80&lt;DATI!$E$20,DATI!$E$6*DATI!$E$16*DATI!$E$23*DATI!$E$7,IF(B80&lt;DATI!$E$21,DATI!$E$6*DATI!$E$16*DATI!$E$23*DATI!$E$7*(DATI!$E$20/B80),DATI!$E$6*DATI!$E$16*DATI!$E$23*DATI!$E$7*((DATI!$E$20*DATI!$E$21)/B80^2))))</f>
        <v>0.45067390496975795</v>
      </c>
      <c r="D80" s="237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</row>
    <row r="81" spans="1:19" x14ac:dyDescent="0.25">
      <c r="A81" s="318"/>
      <c r="B81" s="389">
        <f t="shared" si="1"/>
        <v>0.76000000000000045</v>
      </c>
      <c r="C81" s="398">
        <f>1/DATI!$E$12*IF(B81&lt;DATI!$E$19,DATI!$E$6*DATI!$E$16*DATI!$E$23*DATI!$E$7*(B81/DATI!$E$19+1/(DATI!$E$23*DATI!$E$7)*(1-B81/DATI!$E$19)),IF(B81&lt;DATI!$E$20,DATI!$E$6*DATI!$E$16*DATI!$E$23*DATI!$E$7,IF(B81&lt;DATI!$E$21,DATI!$E$6*DATI!$E$16*DATI!$E$23*DATI!$E$7*(DATI!$E$20/B81),DATI!$E$6*DATI!$E$16*DATI!$E$23*DATI!$E$7*((DATI!$E$20*DATI!$E$21)/B81^2))))</f>
        <v>0.44474398516752428</v>
      </c>
      <c r="D81" s="237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</row>
    <row r="82" spans="1:19" x14ac:dyDescent="0.25">
      <c r="A82" s="318"/>
      <c r="B82" s="389">
        <f t="shared" si="1"/>
        <v>0.77000000000000046</v>
      </c>
      <c r="C82" s="398">
        <f>1/DATI!$E$12*IF(B82&lt;DATI!$E$19,DATI!$E$6*DATI!$E$16*DATI!$E$23*DATI!$E$7*(B82/DATI!$E$19+1/(DATI!$E$23*DATI!$E$7)*(1-B82/DATI!$E$19)),IF(B82&lt;DATI!$E$20,DATI!$E$6*DATI!$E$16*DATI!$E$23*DATI!$E$7,IF(B82&lt;DATI!$E$21,DATI!$E$6*DATI!$E$16*DATI!$E$23*DATI!$E$7*(DATI!$E$20/B82),DATI!$E$6*DATI!$E$16*DATI!$E$23*DATI!$E$7*((DATI!$E$20*DATI!$E$21)/B82^2))))</f>
        <v>0.43896808925625785</v>
      </c>
      <c r="D82" s="237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</row>
    <row r="83" spans="1:19" x14ac:dyDescent="0.25">
      <c r="A83" s="318"/>
      <c r="B83" s="389">
        <f t="shared" si="1"/>
        <v>0.78000000000000047</v>
      </c>
      <c r="C83" s="398">
        <f>1/DATI!$E$12*IF(B83&lt;DATI!$E$19,DATI!$E$6*DATI!$E$16*DATI!$E$23*DATI!$E$7*(B83/DATI!$E$19+1/(DATI!$E$23*DATI!$E$7)*(1-B83/DATI!$E$19)),IF(B83&lt;DATI!$E$20,DATI!$E$6*DATI!$E$16*DATI!$E$23*DATI!$E$7,IF(B83&lt;DATI!$E$21,DATI!$E$6*DATI!$E$16*DATI!$E$23*DATI!$E$7*(DATI!$E$20/B83),DATI!$E$6*DATI!$E$16*DATI!$E$23*DATI!$E$7*((DATI!$E$20*DATI!$E$21)/B83^2))))</f>
        <v>0.43334029324015189</v>
      </c>
      <c r="D83" s="237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</row>
    <row r="84" spans="1:19" x14ac:dyDescent="0.25">
      <c r="A84" s="318"/>
      <c r="B84" s="389">
        <f t="shared" si="1"/>
        <v>0.79000000000000048</v>
      </c>
      <c r="C84" s="398">
        <f>1/DATI!$E$12*IF(B84&lt;DATI!$E$19,DATI!$E$6*DATI!$E$16*DATI!$E$23*DATI!$E$7*(B84/DATI!$E$19+1/(DATI!$E$23*DATI!$E$7)*(1-B84/DATI!$E$19)),IF(B84&lt;DATI!$E$20,DATI!$E$6*DATI!$E$16*DATI!$E$23*DATI!$E$7,IF(B84&lt;DATI!$E$21,DATI!$E$6*DATI!$E$16*DATI!$E$23*DATI!$E$7*(DATI!$E$20/B84),DATI!$E$6*DATI!$E$16*DATI!$E$23*DATI!$E$7*((DATI!$E$20*DATI!$E$21)/B84^2))))</f>
        <v>0.42785497307255499</v>
      </c>
      <c r="D84" s="237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</row>
    <row r="85" spans="1:19" x14ac:dyDescent="0.25">
      <c r="A85" s="318"/>
      <c r="B85" s="389">
        <f t="shared" si="1"/>
        <v>0.80000000000000049</v>
      </c>
      <c r="C85" s="398">
        <f>1/DATI!$E$12*IF(B85&lt;DATI!$E$19,DATI!$E$6*DATI!$E$16*DATI!$E$23*DATI!$E$7*(B85/DATI!$E$19+1/(DATI!$E$23*DATI!$E$7)*(1-B85/DATI!$E$19)),IF(B85&lt;DATI!$E$20,DATI!$E$6*DATI!$E$16*DATI!$E$23*DATI!$E$7,IF(B85&lt;DATI!$E$21,DATI!$E$6*DATI!$E$16*DATI!$E$23*DATI!$E$7*(DATI!$E$20/B85),DATI!$E$6*DATI!$E$16*DATI!$E$23*DATI!$E$7*((DATI!$E$20*DATI!$E$21)/B85^2))))</f>
        <v>0.42250678590914814</v>
      </c>
      <c r="D85" s="237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</row>
    <row r="86" spans="1:19" x14ac:dyDescent="0.25">
      <c r="A86" s="318"/>
      <c r="B86" s="389">
        <f t="shared" si="1"/>
        <v>0.8100000000000005</v>
      </c>
      <c r="C86" s="398">
        <f>1/DATI!$E$12*IF(B86&lt;DATI!$E$19,DATI!$E$6*DATI!$E$16*DATI!$E$23*DATI!$E$7*(B86/DATI!$E$19+1/(DATI!$E$23*DATI!$E$7)*(1-B86/DATI!$E$19)),IF(B86&lt;DATI!$E$20,DATI!$E$6*DATI!$E$16*DATI!$E$23*DATI!$E$7,IF(B86&lt;DATI!$E$21,DATI!$E$6*DATI!$E$16*DATI!$E$23*DATI!$E$7*(DATI!$E$20/B86),DATI!$E$6*DATI!$E$16*DATI!$E$23*DATI!$E$7*((DATI!$E$20*DATI!$E$21)/B86^2))))</f>
        <v>0.41729065274977584</v>
      </c>
      <c r="D86" s="237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</row>
    <row r="87" spans="1:19" x14ac:dyDescent="0.25">
      <c r="A87" s="318"/>
      <c r="B87" s="389">
        <f t="shared" si="1"/>
        <v>0.82000000000000051</v>
      </c>
      <c r="C87" s="398">
        <f>1/DATI!$E$12*IF(B87&lt;DATI!$E$19,DATI!$E$6*DATI!$E$16*DATI!$E$23*DATI!$E$7*(B87/DATI!$E$19+1/(DATI!$E$23*DATI!$E$7)*(1-B87/DATI!$E$19)),IF(B87&lt;DATI!$E$20,DATI!$E$6*DATI!$E$16*DATI!$E$23*DATI!$E$7,IF(B87&lt;DATI!$E$21,DATI!$E$6*DATI!$E$16*DATI!$E$23*DATI!$E$7*(DATI!$E$20/B87),DATI!$E$6*DATI!$E$16*DATI!$E$23*DATI!$E$7*((DATI!$E$20*DATI!$E$21)/B87^2))))</f>
        <v>0.41220174235038837</v>
      </c>
      <c r="D87" s="237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</row>
    <row r="88" spans="1:19" x14ac:dyDescent="0.25">
      <c r="A88" s="318"/>
      <c r="B88" s="389">
        <f t="shared" si="1"/>
        <v>0.83000000000000052</v>
      </c>
      <c r="C88" s="398">
        <f>1/DATI!$E$12*IF(B88&lt;DATI!$E$19,DATI!$E$6*DATI!$E$16*DATI!$E$23*DATI!$E$7*(B88/DATI!$E$19+1/(DATI!$E$23*DATI!$E$7)*(1-B88/DATI!$E$19)),IF(B88&lt;DATI!$E$20,DATI!$E$6*DATI!$E$16*DATI!$E$23*DATI!$E$7,IF(B88&lt;DATI!$E$21,DATI!$E$6*DATI!$E$16*DATI!$E$23*DATI!$E$7*(DATI!$E$20/B88),DATI!$E$6*DATI!$E$16*DATI!$E$23*DATI!$E$7*((DATI!$E$20*DATI!$E$21)/B88^2))))</f>
        <v>0.40723545629797409</v>
      </c>
      <c r="D88" s="237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</row>
    <row r="89" spans="1:19" x14ac:dyDescent="0.25">
      <c r="A89" s="318"/>
      <c r="B89" s="389">
        <f t="shared" si="1"/>
        <v>0.84000000000000052</v>
      </c>
      <c r="C89" s="398">
        <f>1/DATI!$E$12*IF(B89&lt;DATI!$E$19,DATI!$E$6*DATI!$E$16*DATI!$E$23*DATI!$E$7*(B89/DATI!$E$19+1/(DATI!$E$23*DATI!$E$7)*(1-B89/DATI!$E$19)),IF(B89&lt;DATI!$E$20,DATI!$E$6*DATI!$E$16*DATI!$E$23*DATI!$E$7,IF(B89&lt;DATI!$E$21,DATI!$E$6*DATI!$E$16*DATI!$E$23*DATI!$E$7*(DATI!$E$20/B89),DATI!$E$6*DATI!$E$16*DATI!$E$23*DATI!$E$7*((DATI!$E$20*DATI!$E$21)/B89^2))))</f>
        <v>0.40238741515156967</v>
      </c>
      <c r="D89" s="237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</row>
    <row r="90" spans="1:19" x14ac:dyDescent="0.25">
      <c r="A90" s="318"/>
      <c r="B90" s="389">
        <f t="shared" si="1"/>
        <v>0.85000000000000053</v>
      </c>
      <c r="C90" s="398">
        <f>1/DATI!$E$12*IF(B90&lt;DATI!$E$19,DATI!$E$6*DATI!$E$16*DATI!$E$23*DATI!$E$7*(B90/DATI!$E$19+1/(DATI!$E$23*DATI!$E$7)*(1-B90/DATI!$E$19)),IF(B90&lt;DATI!$E$20,DATI!$E$6*DATI!$E$16*DATI!$E$23*DATI!$E$7,IF(B90&lt;DATI!$E$21,DATI!$E$6*DATI!$E$16*DATI!$E$23*DATI!$E$7*(DATI!$E$20/B90),DATI!$E$6*DATI!$E$16*DATI!$E$23*DATI!$E$7*((DATI!$E$20*DATI!$E$21)/B90^2))))</f>
        <v>0.39765344556155113</v>
      </c>
      <c r="D90" s="237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</row>
    <row r="91" spans="1:19" x14ac:dyDescent="0.25">
      <c r="A91" s="318"/>
      <c r="B91" s="389">
        <f t="shared" si="1"/>
        <v>0.86000000000000054</v>
      </c>
      <c r="C91" s="398">
        <f>1/DATI!$E$12*IF(B91&lt;DATI!$E$19,DATI!$E$6*DATI!$E$16*DATI!$E$23*DATI!$E$7*(B91/DATI!$E$19+1/(DATI!$E$23*DATI!$E$7)*(1-B91/DATI!$E$19)),IF(B91&lt;DATI!$E$20,DATI!$E$6*DATI!$E$16*DATI!$E$23*DATI!$E$7,IF(B91&lt;DATI!$E$21,DATI!$E$6*DATI!$E$16*DATI!$E$23*DATI!$E$7*(DATI!$E$20/B91),DATI!$E$6*DATI!$E$16*DATI!$E$23*DATI!$E$7*((DATI!$E$20*DATI!$E$21)/B91^2))))</f>
        <v>0.39302956828757962</v>
      </c>
      <c r="D91" s="237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</row>
    <row r="92" spans="1:19" x14ac:dyDescent="0.25">
      <c r="A92" s="318"/>
      <c r="B92" s="389">
        <f t="shared" si="1"/>
        <v>0.87000000000000055</v>
      </c>
      <c r="C92" s="398">
        <f>1/DATI!$E$12*IF(B92&lt;DATI!$E$19,DATI!$E$6*DATI!$E$16*DATI!$E$23*DATI!$E$7*(B92/DATI!$E$19+1/(DATI!$E$23*DATI!$E$7)*(1-B92/DATI!$E$19)),IF(B92&lt;DATI!$E$20,DATI!$E$6*DATI!$E$16*DATI!$E$23*DATI!$E$7,IF(B92&lt;DATI!$E$21,DATI!$E$6*DATI!$E$16*DATI!$E$23*DATI!$E$7*(DATI!$E$20/B92),DATI!$E$6*DATI!$E$16*DATI!$E$23*DATI!$E$7*((DATI!$E$20*DATI!$E$21)/B92^2))))</f>
        <v>0.3885119870428948</v>
      </c>
      <c r="D92" s="237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</row>
    <row r="93" spans="1:19" x14ac:dyDescent="0.25">
      <c r="A93" s="318"/>
      <c r="B93" s="389">
        <f t="shared" si="1"/>
        <v>0.88000000000000056</v>
      </c>
      <c r="C93" s="398">
        <f>1/DATI!$E$12*IF(B93&lt;DATI!$E$19,DATI!$E$6*DATI!$E$16*DATI!$E$23*DATI!$E$7*(B93/DATI!$E$19+1/(DATI!$E$23*DATI!$E$7)*(1-B93/DATI!$E$19)),IF(B93&lt;DATI!$E$20,DATI!$E$6*DATI!$E$16*DATI!$E$23*DATI!$E$7,IF(B93&lt;DATI!$E$21,DATI!$E$6*DATI!$E$16*DATI!$E$23*DATI!$E$7*(DATI!$E$20/B93),DATI!$E$6*DATI!$E$16*DATI!$E$23*DATI!$E$7*((DATI!$E$20*DATI!$E$21)/B93^2))))</f>
        <v>0.38409707809922555</v>
      </c>
      <c r="D93" s="237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</row>
    <row r="94" spans="1:19" x14ac:dyDescent="0.25">
      <c r="A94" s="318"/>
      <c r="B94" s="389">
        <f t="shared" si="1"/>
        <v>0.89000000000000057</v>
      </c>
      <c r="C94" s="398">
        <f>1/DATI!$E$12*IF(B94&lt;DATI!$E$19,DATI!$E$6*DATI!$E$16*DATI!$E$23*DATI!$E$7*(B94/DATI!$E$19+1/(DATI!$E$23*DATI!$E$7)*(1-B94/DATI!$E$19)),IF(B94&lt;DATI!$E$20,DATI!$E$6*DATI!$E$16*DATI!$E$23*DATI!$E$7,IF(B94&lt;DATI!$E$21,DATI!$E$6*DATI!$E$16*DATI!$E$23*DATI!$E$7*(DATI!$E$20/B94),DATI!$E$6*DATI!$E$16*DATI!$E$23*DATI!$E$7*((DATI!$E$20*DATI!$E$21)/B94^2))))</f>
        <v>0.37978138059249267</v>
      </c>
      <c r="D94" s="237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</row>
    <row r="95" spans="1:19" x14ac:dyDescent="0.25">
      <c r="A95" s="318"/>
      <c r="B95" s="389">
        <f t="shared" si="1"/>
        <v>0.90000000000000058</v>
      </c>
      <c r="C95" s="398">
        <f>1/DATI!$E$12*IF(B95&lt;DATI!$E$19,DATI!$E$6*DATI!$E$16*DATI!$E$23*DATI!$E$7*(B95/DATI!$E$19+1/(DATI!$E$23*DATI!$E$7)*(1-B95/DATI!$E$19)),IF(B95&lt;DATI!$E$20,DATI!$E$6*DATI!$E$16*DATI!$E$23*DATI!$E$7,IF(B95&lt;DATI!$E$21,DATI!$E$6*DATI!$E$16*DATI!$E$23*DATI!$E$7*(DATI!$E$20/B95),DATI!$E$6*DATI!$E$16*DATI!$E$23*DATI!$E$7*((DATI!$E$20*DATI!$E$21)/B95^2))))</f>
        <v>0.37556158747479829</v>
      </c>
      <c r="D95" s="237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</row>
    <row r="96" spans="1:19" x14ac:dyDescent="0.25">
      <c r="A96" s="318"/>
      <c r="B96" s="389">
        <f t="shared" si="1"/>
        <v>0.91000000000000059</v>
      </c>
      <c r="C96" s="398">
        <f>1/DATI!$E$12*IF(B96&lt;DATI!$E$19,DATI!$E$6*DATI!$E$16*DATI!$E$23*DATI!$E$7*(B96/DATI!$E$19+1/(DATI!$E$23*DATI!$E$7)*(1-B96/DATI!$E$19)),IF(B96&lt;DATI!$E$20,DATI!$E$6*DATI!$E$16*DATI!$E$23*DATI!$E$7,IF(B96&lt;DATI!$E$21,DATI!$E$6*DATI!$E$16*DATI!$E$23*DATI!$E$7*(DATI!$E$20/B96),DATI!$E$6*DATI!$E$16*DATI!$E$23*DATI!$E$7*((DATI!$E$20*DATI!$E$21)/B96^2))))</f>
        <v>0.37143453706298735</v>
      </c>
      <c r="D96" s="237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</row>
    <row r="97" spans="1:19" x14ac:dyDescent="0.25">
      <c r="A97" s="318"/>
      <c r="B97" s="389">
        <f t="shared" si="1"/>
        <v>0.9200000000000006</v>
      </c>
      <c r="C97" s="398">
        <f>1/DATI!$E$12*IF(B97&lt;DATI!$E$19,DATI!$E$6*DATI!$E$16*DATI!$E$23*DATI!$E$7*(B97/DATI!$E$19+1/(DATI!$E$23*DATI!$E$7)*(1-B97/DATI!$E$19)),IF(B97&lt;DATI!$E$20,DATI!$E$6*DATI!$E$16*DATI!$E$23*DATI!$E$7,IF(B97&lt;DATI!$E$21,DATI!$E$6*DATI!$E$16*DATI!$E$23*DATI!$E$7*(DATI!$E$20/B97),DATI!$E$6*DATI!$E$16*DATI!$E$23*DATI!$E$7*((DATI!$E$20*DATI!$E$21)/B97^2))))</f>
        <v>0.36739720513838964</v>
      </c>
      <c r="D97" s="237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</row>
    <row r="98" spans="1:19" x14ac:dyDescent="0.25">
      <c r="A98" s="318"/>
      <c r="B98" s="389">
        <f t="shared" si="1"/>
        <v>0.9300000000000006</v>
      </c>
      <c r="C98" s="398">
        <f>1/DATI!$E$12*IF(B98&lt;DATI!$E$19,DATI!$E$6*DATI!$E$16*DATI!$E$23*DATI!$E$7*(B98/DATI!$E$19+1/(DATI!$E$23*DATI!$E$7)*(1-B98/DATI!$E$19)),IF(B98&lt;DATI!$E$20,DATI!$E$6*DATI!$E$16*DATI!$E$23*DATI!$E$7,IF(B98&lt;DATI!$E$21,DATI!$E$6*DATI!$E$16*DATI!$E$23*DATI!$E$7*(DATI!$E$20/B98),DATI!$E$6*DATI!$E$16*DATI!$E$23*DATI!$E$7*((DATI!$E$20*DATI!$E$21)/B98^2))))</f>
        <v>0.36344669755625642</v>
      </c>
      <c r="D98" s="237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</row>
    <row r="99" spans="1:19" x14ac:dyDescent="0.25">
      <c r="A99" s="318"/>
      <c r="B99" s="389">
        <f t="shared" si="1"/>
        <v>0.94000000000000061</v>
      </c>
      <c r="C99" s="398">
        <f>1/DATI!$E$12*IF(B99&lt;DATI!$E$19,DATI!$E$6*DATI!$E$16*DATI!$E$23*DATI!$E$7*(B99/DATI!$E$19+1/(DATI!$E$23*DATI!$E$7)*(1-B99/DATI!$E$19)),IF(B99&lt;DATI!$E$20,DATI!$E$6*DATI!$E$16*DATI!$E$23*DATI!$E$7,IF(B99&lt;DATI!$E$21,DATI!$E$6*DATI!$E$16*DATI!$E$23*DATI!$E$7*(DATI!$E$20/B99),DATI!$E$6*DATI!$E$16*DATI!$E$23*DATI!$E$7*((DATI!$E$20*DATI!$E$21)/B99^2))))</f>
        <v>0.35958024332693456</v>
      </c>
      <c r="D99" s="237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</row>
    <row r="100" spans="1:19" x14ac:dyDescent="0.25">
      <c r="A100" s="318"/>
      <c r="B100" s="389">
        <f t="shared" si="1"/>
        <v>0.95000000000000062</v>
      </c>
      <c r="C100" s="398">
        <f>1/DATI!$E$12*IF(B100&lt;DATI!$E$19,DATI!$E$6*DATI!$E$16*DATI!$E$23*DATI!$E$7*(B100/DATI!$E$19+1/(DATI!$E$23*DATI!$E$7)*(1-B100/DATI!$E$19)),IF(B100&lt;DATI!$E$20,DATI!$E$6*DATI!$E$16*DATI!$E$23*DATI!$E$7,IF(B100&lt;DATI!$E$21,DATI!$E$6*DATI!$E$16*DATI!$E$23*DATI!$E$7*(DATI!$E$20/B100),DATI!$E$6*DATI!$E$16*DATI!$E$23*DATI!$E$7*((DATI!$E$20*DATI!$E$21)/B100^2))))</f>
        <v>0.35579518813401945</v>
      </c>
      <c r="D100" s="237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</row>
    <row r="101" spans="1:19" x14ac:dyDescent="0.25">
      <c r="A101" s="318"/>
      <c r="B101" s="389">
        <f t="shared" si="1"/>
        <v>0.96000000000000063</v>
      </c>
      <c r="C101" s="398">
        <f>1/DATI!$E$12*IF(B101&lt;DATI!$E$19,DATI!$E$6*DATI!$E$16*DATI!$E$23*DATI!$E$7*(B101/DATI!$E$19+1/(DATI!$E$23*DATI!$E$7)*(1-B101/DATI!$E$19)),IF(B101&lt;DATI!$E$20,DATI!$E$6*DATI!$E$16*DATI!$E$23*DATI!$E$7,IF(B101&lt;DATI!$E$21,DATI!$E$6*DATI!$E$16*DATI!$E$23*DATI!$E$7*(DATI!$E$20/B101),DATI!$E$6*DATI!$E$16*DATI!$E$23*DATI!$E$7*((DATI!$E$20*DATI!$E$21)/B101^2))))</f>
        <v>0.35208898825762341</v>
      </c>
      <c r="D101" s="237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</row>
    <row r="102" spans="1:19" x14ac:dyDescent="0.25">
      <c r="A102" s="318"/>
      <c r="B102" s="389">
        <f t="shared" si="1"/>
        <v>0.97000000000000064</v>
      </c>
      <c r="C102" s="398">
        <f>1/DATI!$E$12*IF(B102&lt;DATI!$E$19,DATI!$E$6*DATI!$E$16*DATI!$E$23*DATI!$E$7*(B102/DATI!$E$19+1/(DATI!$E$23*DATI!$E$7)*(1-B102/DATI!$E$19)),IF(B102&lt;DATI!$E$20,DATI!$E$6*DATI!$E$16*DATI!$E$23*DATI!$E$7,IF(B102&lt;DATI!$E$21,DATI!$E$6*DATI!$E$16*DATI!$E$23*DATI!$E$7*(DATI!$E$20/B102),DATI!$E$6*DATI!$E$16*DATI!$E$23*DATI!$E$7*((DATI!$E$20*DATI!$E$21)/B102^2))))</f>
        <v>0.34845920487352422</v>
      </c>
      <c r="D102" s="237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</row>
    <row r="103" spans="1:19" x14ac:dyDescent="0.25">
      <c r="A103" s="318"/>
      <c r="B103" s="389">
        <f t="shared" si="1"/>
        <v>0.98000000000000065</v>
      </c>
      <c r="C103" s="398">
        <f>1/DATI!$E$12*IF(B103&lt;DATI!$E$19,DATI!$E$6*DATI!$E$16*DATI!$E$23*DATI!$E$7*(B103/DATI!$E$19+1/(DATI!$E$23*DATI!$E$7)*(1-B103/DATI!$E$19)),IF(B103&lt;DATI!$E$20,DATI!$E$6*DATI!$E$16*DATI!$E$23*DATI!$E$7,IF(B103&lt;DATI!$E$21,DATI!$E$6*DATI!$E$16*DATI!$E$23*DATI!$E$7*(DATI!$E$20/B103),DATI!$E$6*DATI!$E$16*DATI!$E$23*DATI!$E$7*((DATI!$E$20*DATI!$E$21)/B103^2))))</f>
        <v>0.3449034987013454</v>
      </c>
      <c r="D103" s="237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</row>
    <row r="104" spans="1:19" x14ac:dyDescent="0.25">
      <c r="A104" s="318"/>
      <c r="B104" s="389">
        <f t="shared" si="1"/>
        <v>0.99000000000000066</v>
      </c>
      <c r="C104" s="398">
        <f>1/DATI!$E$12*IF(B104&lt;DATI!$E$19,DATI!$E$6*DATI!$E$16*DATI!$E$23*DATI!$E$7*(B104/DATI!$E$19+1/(DATI!$E$23*DATI!$E$7)*(1-B104/DATI!$E$19)),IF(B104&lt;DATI!$E$20,DATI!$E$6*DATI!$E$16*DATI!$E$23*DATI!$E$7,IF(B104&lt;DATI!$E$21,DATI!$E$6*DATI!$E$16*DATI!$E$23*DATI!$E$7*(DATI!$E$20/B104),DATI!$E$6*DATI!$E$16*DATI!$E$23*DATI!$E$7*((DATI!$E$20*DATI!$E$21)/B104^2))))</f>
        <v>0.34141962497708939</v>
      </c>
      <c r="D104" s="237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</row>
    <row r="105" spans="1:19" x14ac:dyDescent="0.25">
      <c r="A105" s="318"/>
      <c r="B105" s="389">
        <f t="shared" si="1"/>
        <v>1.0000000000000007</v>
      </c>
      <c r="C105" s="398">
        <f>1/DATI!$E$12*IF(B105&lt;DATI!$E$19,DATI!$E$6*DATI!$E$16*DATI!$E$23*DATI!$E$7*(B105/DATI!$E$19+1/(DATI!$E$23*DATI!$E$7)*(1-B105/DATI!$E$19)),IF(B105&lt;DATI!$E$20,DATI!$E$6*DATI!$E$16*DATI!$E$23*DATI!$E$7,IF(B105&lt;DATI!$E$21,DATI!$E$6*DATI!$E$16*DATI!$E$23*DATI!$E$7*(DATI!$E$20/B105),DATI!$E$6*DATI!$E$16*DATI!$E$23*DATI!$E$7*((DATI!$E$20*DATI!$E$21)/B105^2))))</f>
        <v>0.33800542872731848</v>
      </c>
      <c r="D105" s="237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</row>
    <row r="106" spans="1:19" x14ac:dyDescent="0.25">
      <c r="A106" s="318"/>
      <c r="B106" s="389">
        <f t="shared" si="1"/>
        <v>1.0100000000000007</v>
      </c>
      <c r="C106" s="398">
        <f>1/DATI!$E$12*IF(B106&lt;DATI!$E$19,DATI!$E$6*DATI!$E$16*DATI!$E$23*DATI!$E$7*(B106/DATI!$E$19+1/(DATI!$E$23*DATI!$E$7)*(1-B106/DATI!$E$19)),IF(B106&lt;DATI!$E$20,DATI!$E$6*DATI!$E$16*DATI!$E$23*DATI!$E$7,IF(B106&lt;DATI!$E$21,DATI!$E$6*DATI!$E$16*DATI!$E$23*DATI!$E$7*(DATI!$E$20/B106),DATI!$E$6*DATI!$E$16*DATI!$E$23*DATI!$E$7*((DATI!$E$20*DATI!$E$21)/B106^2))))</f>
        <v>0.33465884032407767</v>
      </c>
      <c r="D106" s="237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</row>
    <row r="107" spans="1:19" x14ac:dyDescent="0.25">
      <c r="A107" s="318"/>
      <c r="B107" s="389">
        <f t="shared" si="1"/>
        <v>1.0200000000000007</v>
      </c>
      <c r="C107" s="398">
        <f>1/DATI!$E$12*IF(B107&lt;DATI!$E$19,DATI!$E$6*DATI!$E$16*DATI!$E$23*DATI!$E$7*(B107/DATI!$E$19+1/(DATI!$E$23*DATI!$E$7)*(1-B107/DATI!$E$19)),IF(B107&lt;DATI!$E$20,DATI!$E$6*DATI!$E$16*DATI!$E$23*DATI!$E$7,IF(B107&lt;DATI!$E$21,DATI!$E$6*DATI!$E$16*DATI!$E$23*DATI!$E$7*(DATI!$E$20/B107),DATI!$E$6*DATI!$E$16*DATI!$E$23*DATI!$E$7*((DATI!$E$20*DATI!$E$21)/B107^2))))</f>
        <v>0.33137787130129259</v>
      </c>
      <c r="D107" s="237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</row>
    <row r="108" spans="1:19" x14ac:dyDescent="0.25">
      <c r="A108" s="318"/>
      <c r="B108" s="389">
        <f t="shared" si="1"/>
        <v>1.0300000000000007</v>
      </c>
      <c r="C108" s="398">
        <f>1/DATI!$E$12*IF(B108&lt;DATI!$E$19,DATI!$E$6*DATI!$E$16*DATI!$E$23*DATI!$E$7*(B108/DATI!$E$19+1/(DATI!$E$23*DATI!$E$7)*(1-B108/DATI!$E$19)),IF(B108&lt;DATI!$E$20,DATI!$E$6*DATI!$E$16*DATI!$E$23*DATI!$E$7,IF(B108&lt;DATI!$E$21,DATI!$E$6*DATI!$E$16*DATI!$E$23*DATI!$E$7*(DATI!$E$20/B108),DATI!$E$6*DATI!$E$16*DATI!$E$23*DATI!$E$7*((DATI!$E$20*DATI!$E$21)/B108^2))))</f>
        <v>0.32816061041487227</v>
      </c>
      <c r="D108" s="237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</row>
    <row r="109" spans="1:19" x14ac:dyDescent="0.25">
      <c r="A109" s="318"/>
      <c r="B109" s="389">
        <f t="shared" si="1"/>
        <v>1.0400000000000007</v>
      </c>
      <c r="C109" s="398">
        <f>1/DATI!$E$12*IF(B109&lt;DATI!$E$19,DATI!$E$6*DATI!$E$16*DATI!$E$23*DATI!$E$7*(B109/DATI!$E$19+1/(DATI!$E$23*DATI!$E$7)*(1-B109/DATI!$E$19)),IF(B109&lt;DATI!$E$20,DATI!$E$6*DATI!$E$16*DATI!$E$23*DATI!$E$7,IF(B109&lt;DATI!$E$21,DATI!$E$6*DATI!$E$16*DATI!$E$23*DATI!$E$7*(DATI!$E$20/B109),DATI!$E$6*DATI!$E$16*DATI!$E$23*DATI!$E$7*((DATI!$E$20*DATI!$E$21)/B109^2))))</f>
        <v>0.32500521993011389</v>
      </c>
      <c r="D109" s="237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</row>
    <row r="110" spans="1:19" x14ac:dyDescent="0.25">
      <c r="A110" s="318"/>
      <c r="B110" s="389">
        <f t="shared" si="1"/>
        <v>1.0500000000000007</v>
      </c>
      <c r="C110" s="398">
        <f>1/DATI!$E$12*IF(B110&lt;DATI!$E$19,DATI!$E$6*DATI!$E$16*DATI!$E$23*DATI!$E$7*(B110/DATI!$E$19+1/(DATI!$E$23*DATI!$E$7)*(1-B110/DATI!$E$19)),IF(B110&lt;DATI!$E$20,DATI!$E$6*DATI!$E$16*DATI!$E$23*DATI!$E$7,IF(B110&lt;DATI!$E$21,DATI!$E$6*DATI!$E$16*DATI!$E$23*DATI!$E$7*(DATI!$E$20/B110),DATI!$E$6*DATI!$E$16*DATI!$E$23*DATI!$E$7*((DATI!$E$20*DATI!$E$21)/B110^2))))</f>
        <v>0.32190993212125563</v>
      </c>
      <c r="D110" s="237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</row>
    <row r="111" spans="1:19" x14ac:dyDescent="0.25">
      <c r="A111" s="318"/>
      <c r="B111" s="389">
        <f t="shared" si="1"/>
        <v>1.0600000000000007</v>
      </c>
      <c r="C111" s="398">
        <f>1/DATI!$E$12*IF(B111&lt;DATI!$E$19,DATI!$E$6*DATI!$E$16*DATI!$E$23*DATI!$E$7*(B111/DATI!$E$19+1/(DATI!$E$23*DATI!$E$7)*(1-B111/DATI!$E$19)),IF(B111&lt;DATI!$E$20,DATI!$E$6*DATI!$E$16*DATI!$E$23*DATI!$E$7,IF(B111&lt;DATI!$E$21,DATI!$E$6*DATI!$E$16*DATI!$E$23*DATI!$E$7*(DATI!$E$20/B111),DATI!$E$6*DATI!$E$16*DATI!$E$23*DATI!$E$7*((DATI!$E$20*DATI!$E$21)/B111^2))))</f>
        <v>0.31887304596916838</v>
      </c>
      <c r="D111" s="237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</row>
    <row r="112" spans="1:19" x14ac:dyDescent="0.25">
      <c r="A112" s="318"/>
      <c r="B112" s="389">
        <f t="shared" si="1"/>
        <v>1.0700000000000007</v>
      </c>
      <c r="C112" s="398">
        <f>1/DATI!$E$12*IF(B112&lt;DATI!$E$19,DATI!$E$6*DATI!$E$16*DATI!$E$23*DATI!$E$7*(B112/DATI!$E$19+1/(DATI!$E$23*DATI!$E$7)*(1-B112/DATI!$E$19)),IF(B112&lt;DATI!$E$20,DATI!$E$6*DATI!$E$16*DATI!$E$23*DATI!$E$7,IF(B112&lt;DATI!$E$21,DATI!$E$6*DATI!$E$16*DATI!$E$23*DATI!$E$7*(DATI!$E$20/B112),DATI!$E$6*DATI!$E$16*DATI!$E$23*DATI!$E$7*((DATI!$E$20*DATI!$E$21)/B112^2))))</f>
        <v>0.31589292404422287</v>
      </c>
      <c r="D112" s="237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</row>
    <row r="113" spans="1:19" x14ac:dyDescent="0.25">
      <c r="A113" s="318"/>
      <c r="B113" s="389">
        <f t="shared" si="1"/>
        <v>1.0800000000000007</v>
      </c>
      <c r="C113" s="398">
        <f>1/DATI!$E$12*IF(B113&lt;DATI!$E$19,DATI!$E$6*DATI!$E$16*DATI!$E$23*DATI!$E$7*(B113/DATI!$E$19+1/(DATI!$E$23*DATI!$E$7)*(1-B113/DATI!$E$19)),IF(B113&lt;DATI!$E$20,DATI!$E$6*DATI!$E$16*DATI!$E$23*DATI!$E$7,IF(B113&lt;DATI!$E$21,DATI!$E$6*DATI!$E$16*DATI!$E$23*DATI!$E$7*(DATI!$E$20/B113),DATI!$E$6*DATI!$E$16*DATI!$E$23*DATI!$E$7*((DATI!$E$20*DATI!$E$21)/B113^2))))</f>
        <v>0.31296798956233191</v>
      </c>
      <c r="D113" s="237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</row>
    <row r="114" spans="1:19" x14ac:dyDescent="0.25">
      <c r="A114" s="318"/>
      <c r="B114" s="389">
        <f t="shared" si="1"/>
        <v>1.0900000000000007</v>
      </c>
      <c r="C114" s="398">
        <f>1/DATI!$E$12*IF(B114&lt;DATI!$E$19,DATI!$E$6*DATI!$E$16*DATI!$E$23*DATI!$E$7*(B114/DATI!$E$19+1/(DATI!$E$23*DATI!$E$7)*(1-B114/DATI!$E$19)),IF(B114&lt;DATI!$E$20,DATI!$E$6*DATI!$E$16*DATI!$E$23*DATI!$E$7,IF(B114&lt;DATI!$E$21,DATI!$E$6*DATI!$E$16*DATI!$E$23*DATI!$E$7*(DATI!$E$20/B114),DATI!$E$6*DATI!$E$16*DATI!$E$23*DATI!$E$7*((DATI!$E$20*DATI!$E$21)/B114^2))))</f>
        <v>0.31009672360304447</v>
      </c>
      <c r="D114" s="237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</row>
    <row r="115" spans="1:19" x14ac:dyDescent="0.25">
      <c r="A115" s="318"/>
      <c r="B115" s="389">
        <f t="shared" si="1"/>
        <v>1.1000000000000008</v>
      </c>
      <c r="C115" s="398">
        <f>1/DATI!$E$12*IF(B115&lt;DATI!$E$19,DATI!$E$6*DATI!$E$16*DATI!$E$23*DATI!$E$7*(B115/DATI!$E$19+1/(DATI!$E$23*DATI!$E$7)*(1-B115/DATI!$E$19)),IF(B115&lt;DATI!$E$20,DATI!$E$6*DATI!$E$16*DATI!$E$23*DATI!$E$7,IF(B115&lt;DATI!$E$21,DATI!$E$6*DATI!$E$16*DATI!$E$23*DATI!$E$7*(DATI!$E$20/B115),DATI!$E$6*DATI!$E$16*DATI!$E$23*DATI!$E$7*((DATI!$E$20*DATI!$E$21)/B115^2))))</f>
        <v>0.30727766247938043</v>
      </c>
      <c r="D115" s="237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</row>
    <row r="116" spans="1:19" x14ac:dyDescent="0.25">
      <c r="A116" s="318"/>
      <c r="B116" s="389">
        <f t="shared" si="1"/>
        <v>1.1100000000000008</v>
      </c>
      <c r="C116" s="398">
        <f>1/DATI!$E$12*IF(B116&lt;DATI!$E$19,DATI!$E$6*DATI!$E$16*DATI!$E$23*DATI!$E$7*(B116/DATI!$E$19+1/(DATI!$E$23*DATI!$E$7)*(1-B116/DATI!$E$19)),IF(B116&lt;DATI!$E$20,DATI!$E$6*DATI!$E$16*DATI!$E$23*DATI!$E$7,IF(B116&lt;DATI!$E$21,DATI!$E$6*DATI!$E$16*DATI!$E$23*DATI!$E$7*(DATI!$E$20/B116),DATI!$E$6*DATI!$E$16*DATI!$E$23*DATI!$E$7*((DATI!$E$20*DATI!$E$21)/B116^2))))</f>
        <v>0.30450939524983645</v>
      </c>
      <c r="D116" s="237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</row>
    <row r="117" spans="1:19" x14ac:dyDescent="0.25">
      <c r="A117" s="318"/>
      <c r="B117" s="389">
        <f t="shared" si="1"/>
        <v>1.1200000000000008</v>
      </c>
      <c r="C117" s="398">
        <f>1/DATI!$E$12*IF(B117&lt;DATI!$E$19,DATI!$E$6*DATI!$E$16*DATI!$E$23*DATI!$E$7*(B117/DATI!$E$19+1/(DATI!$E$23*DATI!$E$7)*(1-B117/DATI!$E$19)),IF(B117&lt;DATI!$E$20,DATI!$E$6*DATI!$E$16*DATI!$E$23*DATI!$E$7,IF(B117&lt;DATI!$E$21,DATI!$E$6*DATI!$E$16*DATI!$E$23*DATI!$E$7*(DATI!$E$20/B117),DATI!$E$6*DATI!$E$16*DATI!$E$23*DATI!$E$7*((DATI!$E$20*DATI!$E$21)/B117^2))))</f>
        <v>0.30179056136367716</v>
      </c>
      <c r="D117" s="237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</row>
    <row r="118" spans="1:19" x14ac:dyDescent="0.25">
      <c r="A118" s="318"/>
      <c r="B118" s="389">
        <f t="shared" si="1"/>
        <v>1.1300000000000008</v>
      </c>
      <c r="C118" s="398">
        <f>1/DATI!$E$12*IF(B118&lt;DATI!$E$19,DATI!$E$6*DATI!$E$16*DATI!$E$23*DATI!$E$7*(B118/DATI!$E$19+1/(DATI!$E$23*DATI!$E$7)*(1-B118/DATI!$E$19)),IF(B118&lt;DATI!$E$20,DATI!$E$6*DATI!$E$16*DATI!$E$23*DATI!$E$7,IF(B118&lt;DATI!$E$21,DATI!$E$6*DATI!$E$16*DATI!$E$23*DATI!$E$7*(DATI!$E$20/B118),DATI!$E$6*DATI!$E$16*DATI!$E$23*DATI!$E$7*((DATI!$E$20*DATI!$E$21)/B118^2))))</f>
        <v>0.29911984843125528</v>
      </c>
      <c r="D118" s="237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</row>
    <row r="119" spans="1:19" x14ac:dyDescent="0.25">
      <c r="A119" s="318"/>
      <c r="B119" s="389">
        <f t="shared" si="1"/>
        <v>1.1400000000000008</v>
      </c>
      <c r="C119" s="398">
        <f>1/DATI!$E$12*IF(B119&lt;DATI!$E$19,DATI!$E$6*DATI!$E$16*DATI!$E$23*DATI!$E$7*(B119/DATI!$E$19+1/(DATI!$E$23*DATI!$E$7)*(1-B119/DATI!$E$19)),IF(B119&lt;DATI!$E$20,DATI!$E$6*DATI!$E$16*DATI!$E$23*DATI!$E$7,IF(B119&lt;DATI!$E$21,DATI!$E$6*DATI!$E$16*DATI!$E$23*DATI!$E$7*(DATI!$E$20/B119),DATI!$E$6*DATI!$E$16*DATI!$E$23*DATI!$E$7*((DATI!$E$20*DATI!$E$21)/B119^2))))</f>
        <v>0.29649599011168287</v>
      </c>
      <c r="D119" s="237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</row>
    <row r="120" spans="1:19" x14ac:dyDescent="0.25">
      <c r="A120" s="318"/>
      <c r="B120" s="389">
        <f t="shared" si="1"/>
        <v>1.1500000000000008</v>
      </c>
      <c r="C120" s="398">
        <f>1/DATI!$E$12*IF(B120&lt;DATI!$E$19,DATI!$E$6*DATI!$E$16*DATI!$E$23*DATI!$E$7*(B120/DATI!$E$19+1/(DATI!$E$23*DATI!$E$7)*(1-B120/DATI!$E$19)),IF(B120&lt;DATI!$E$20,DATI!$E$6*DATI!$E$16*DATI!$E$23*DATI!$E$7,IF(B120&lt;DATI!$E$21,DATI!$E$6*DATI!$E$16*DATI!$E$23*DATI!$E$7*(DATI!$E$20/B120),DATI!$E$6*DATI!$E$16*DATI!$E$23*DATI!$E$7*((DATI!$E$20*DATI!$E$21)/B120^2))))</f>
        <v>0.29391776411071169</v>
      </c>
      <c r="D120" s="237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</row>
    <row r="121" spans="1:19" x14ac:dyDescent="0.25">
      <c r="A121" s="318"/>
      <c r="B121" s="389">
        <f t="shared" si="1"/>
        <v>1.1600000000000008</v>
      </c>
      <c r="C121" s="398">
        <f>1/DATI!$E$12*IF(B121&lt;DATI!$E$19,DATI!$E$6*DATI!$E$16*DATI!$E$23*DATI!$E$7*(B121/DATI!$E$19+1/(DATI!$E$23*DATI!$E$7)*(1-B121/DATI!$E$19)),IF(B121&lt;DATI!$E$20,DATI!$E$6*DATI!$E$16*DATI!$E$23*DATI!$E$7,IF(B121&lt;DATI!$E$21,DATI!$E$6*DATI!$E$16*DATI!$E$23*DATI!$E$7*(DATI!$E$20/B121),DATI!$E$6*DATI!$E$16*DATI!$E$23*DATI!$E$7*((DATI!$E$20*DATI!$E$21)/B121^2))))</f>
        <v>0.2913839902821711</v>
      </c>
      <c r="D121" s="237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</row>
    <row r="122" spans="1:19" x14ac:dyDescent="0.25">
      <c r="A122" s="318"/>
      <c r="B122" s="389">
        <f t="shared" si="1"/>
        <v>1.1700000000000008</v>
      </c>
      <c r="C122" s="398">
        <f>1/DATI!$E$12*IF(B122&lt;DATI!$E$19,DATI!$E$6*DATI!$E$16*DATI!$E$23*DATI!$E$7*(B122/DATI!$E$19+1/(DATI!$E$23*DATI!$E$7)*(1-B122/DATI!$E$19)),IF(B122&lt;DATI!$E$20,DATI!$E$6*DATI!$E$16*DATI!$E$23*DATI!$E$7,IF(B122&lt;DATI!$E$21,DATI!$E$6*DATI!$E$16*DATI!$E$23*DATI!$E$7*(DATI!$E$20/B122),DATI!$E$6*DATI!$E$16*DATI!$E$23*DATI!$E$7*((DATI!$E$20*DATI!$E$21)/B122^2))))</f>
        <v>0.28889352882676794</v>
      </c>
      <c r="D122" s="237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</row>
    <row r="123" spans="1:19" x14ac:dyDescent="0.25">
      <c r="A123" s="318"/>
      <c r="B123" s="389">
        <f t="shared" si="1"/>
        <v>1.1800000000000008</v>
      </c>
      <c r="C123" s="398">
        <f>1/DATI!$E$12*IF(B123&lt;DATI!$E$19,DATI!$E$6*DATI!$E$16*DATI!$E$23*DATI!$E$7*(B123/DATI!$E$19+1/(DATI!$E$23*DATI!$E$7)*(1-B123/DATI!$E$19)),IF(B123&lt;DATI!$E$20,DATI!$E$6*DATI!$E$16*DATI!$E$23*DATI!$E$7,IF(B123&lt;DATI!$E$21,DATI!$E$6*DATI!$E$16*DATI!$E$23*DATI!$E$7*(DATI!$E$20/B123),DATI!$E$6*DATI!$E$16*DATI!$E$23*DATI!$E$7*((DATI!$E$20*DATI!$E$21)/B123^2))))</f>
        <v>0.28644527858247326</v>
      </c>
      <c r="D123" s="237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</row>
    <row r="124" spans="1:19" x14ac:dyDescent="0.25">
      <c r="A124" s="318"/>
      <c r="B124" s="389">
        <f t="shared" si="1"/>
        <v>1.1900000000000008</v>
      </c>
      <c r="C124" s="398">
        <f>1/DATI!$E$12*IF(B124&lt;DATI!$E$19,DATI!$E$6*DATI!$E$16*DATI!$E$23*DATI!$E$7*(B124/DATI!$E$19+1/(DATI!$E$23*DATI!$E$7)*(1-B124/DATI!$E$19)),IF(B124&lt;DATI!$E$20,DATI!$E$6*DATI!$E$16*DATI!$E$23*DATI!$E$7,IF(B124&lt;DATI!$E$21,DATI!$E$6*DATI!$E$16*DATI!$E$23*DATI!$E$7*(DATI!$E$20/B124),DATI!$E$6*DATI!$E$16*DATI!$E$23*DATI!$E$7*((DATI!$E$20*DATI!$E$21)/B124^2))))</f>
        <v>0.28403817540110793</v>
      </c>
      <c r="D124" s="237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</row>
    <row r="125" spans="1:19" x14ac:dyDescent="0.25">
      <c r="A125" s="318"/>
      <c r="B125" s="389">
        <f t="shared" si="1"/>
        <v>1.2000000000000008</v>
      </c>
      <c r="C125" s="398">
        <f>1/DATI!$E$12*IF(B125&lt;DATI!$E$19,DATI!$E$6*DATI!$E$16*DATI!$E$23*DATI!$E$7*(B125/DATI!$E$19+1/(DATI!$E$23*DATI!$E$7)*(1-B125/DATI!$E$19)),IF(B125&lt;DATI!$E$20,DATI!$E$6*DATI!$E$16*DATI!$E$23*DATI!$E$7,IF(B125&lt;DATI!$E$21,DATI!$E$6*DATI!$E$16*DATI!$E$23*DATI!$E$7*(DATI!$E$20/B125),DATI!$E$6*DATI!$E$16*DATI!$E$23*DATI!$E$7*((DATI!$E$20*DATI!$E$21)/B125^2))))</f>
        <v>0.28167119060609874</v>
      </c>
      <c r="D125" s="237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</row>
    <row r="126" spans="1:19" x14ac:dyDescent="0.25">
      <c r="A126" s="318"/>
      <c r="B126" s="389">
        <f t="shared" si="1"/>
        <v>1.2100000000000009</v>
      </c>
      <c r="C126" s="398">
        <f>1/DATI!$E$12*IF(B126&lt;DATI!$E$19,DATI!$E$6*DATI!$E$16*DATI!$E$23*DATI!$E$7*(B126/DATI!$E$19+1/(DATI!$E$23*DATI!$E$7)*(1-B126/DATI!$E$19)),IF(B126&lt;DATI!$E$20,DATI!$E$6*DATI!$E$16*DATI!$E$23*DATI!$E$7,IF(B126&lt;DATI!$E$21,DATI!$E$6*DATI!$E$16*DATI!$E$23*DATI!$E$7*(DATI!$E$20/B126),DATI!$E$6*DATI!$E$16*DATI!$E$23*DATI!$E$7*((DATI!$E$20*DATI!$E$21)/B126^2))))</f>
        <v>0.27934332952670948</v>
      </c>
      <c r="D126" s="237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</row>
    <row r="127" spans="1:19" x14ac:dyDescent="0.25">
      <c r="A127" s="318"/>
      <c r="B127" s="389">
        <f t="shared" si="1"/>
        <v>1.2200000000000009</v>
      </c>
      <c r="C127" s="398">
        <f>1/DATI!$E$12*IF(B127&lt;DATI!$E$19,DATI!$E$6*DATI!$E$16*DATI!$E$23*DATI!$E$7*(B127/DATI!$E$19+1/(DATI!$E$23*DATI!$E$7)*(1-B127/DATI!$E$19)),IF(B127&lt;DATI!$E$20,DATI!$E$6*DATI!$E$16*DATI!$E$23*DATI!$E$7,IF(B127&lt;DATI!$E$21,DATI!$E$6*DATI!$E$16*DATI!$E$23*DATI!$E$7*(DATI!$E$20/B127),DATI!$E$6*DATI!$E$16*DATI!$E$23*DATI!$E$7*((DATI!$E$20*DATI!$E$21)/B127^2))))</f>
        <v>0.27705363010435935</v>
      </c>
      <c r="D127" s="237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</row>
    <row r="128" spans="1:19" x14ac:dyDescent="0.25">
      <c r="A128" s="318"/>
      <c r="B128" s="389">
        <f t="shared" si="1"/>
        <v>1.2300000000000009</v>
      </c>
      <c r="C128" s="398">
        <f>1/DATI!$E$12*IF(B128&lt;DATI!$E$19,DATI!$E$6*DATI!$E$16*DATI!$E$23*DATI!$E$7*(B128/DATI!$E$19+1/(DATI!$E$23*DATI!$E$7)*(1-B128/DATI!$E$19)),IF(B128&lt;DATI!$E$20,DATI!$E$6*DATI!$E$16*DATI!$E$23*DATI!$E$7,IF(B128&lt;DATI!$E$21,DATI!$E$6*DATI!$E$16*DATI!$E$23*DATI!$E$7*(DATI!$E$20/B128),DATI!$E$6*DATI!$E$16*DATI!$E$23*DATI!$E$7*((DATI!$E$20*DATI!$E$21)/B128^2))))</f>
        <v>0.27480116156692558</v>
      </c>
      <c r="D128" s="237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</row>
    <row r="129" spans="1:19" x14ac:dyDescent="0.25">
      <c r="A129" s="318"/>
      <c r="B129" s="389">
        <f t="shared" si="1"/>
        <v>1.2400000000000009</v>
      </c>
      <c r="C129" s="398">
        <f>1/DATI!$E$12*IF(B129&lt;DATI!$E$19,DATI!$E$6*DATI!$E$16*DATI!$E$23*DATI!$E$7*(B129/DATI!$E$19+1/(DATI!$E$23*DATI!$E$7)*(1-B129/DATI!$E$19)),IF(B129&lt;DATI!$E$20,DATI!$E$6*DATI!$E$16*DATI!$E$23*DATI!$E$7,IF(B129&lt;DATI!$E$21,DATI!$E$6*DATI!$E$16*DATI!$E$23*DATI!$E$7*(DATI!$E$20/B129),DATI!$E$6*DATI!$E$16*DATI!$E$23*DATI!$E$7*((DATI!$E$20*DATI!$E$21)/B129^2))))</f>
        <v>0.2725850231671923</v>
      </c>
      <c r="D129" s="237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</row>
    <row r="130" spans="1:19" x14ac:dyDescent="0.25">
      <c r="A130" s="318"/>
      <c r="B130" s="389">
        <f t="shared" si="1"/>
        <v>1.2500000000000009</v>
      </c>
      <c r="C130" s="398">
        <f>1/DATI!$E$12*IF(B130&lt;DATI!$E$19,DATI!$E$6*DATI!$E$16*DATI!$E$23*DATI!$E$7*(B130/DATI!$E$19+1/(DATI!$E$23*DATI!$E$7)*(1-B130/DATI!$E$19)),IF(B130&lt;DATI!$E$20,DATI!$E$6*DATI!$E$16*DATI!$E$23*DATI!$E$7,IF(B130&lt;DATI!$E$21,DATI!$E$6*DATI!$E$16*DATI!$E$23*DATI!$E$7*(DATI!$E$20/B130),DATI!$E$6*DATI!$E$16*DATI!$E$23*DATI!$E$7*((DATI!$E$20*DATI!$E$21)/B130^2))))</f>
        <v>0.27040434298185478</v>
      </c>
      <c r="D130" s="237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</row>
    <row r="131" spans="1:19" x14ac:dyDescent="0.25">
      <c r="A131" s="318"/>
      <c r="B131" s="389">
        <f t="shared" si="1"/>
        <v>1.2600000000000009</v>
      </c>
      <c r="C131" s="398">
        <f>1/DATI!$E$12*IF(B131&lt;DATI!$E$19,DATI!$E$6*DATI!$E$16*DATI!$E$23*DATI!$E$7*(B131/DATI!$E$19+1/(DATI!$E$23*DATI!$E$7)*(1-B131/DATI!$E$19)),IF(B131&lt;DATI!$E$20,DATI!$E$6*DATI!$E$16*DATI!$E$23*DATI!$E$7,IF(B131&lt;DATI!$E$21,DATI!$E$6*DATI!$E$16*DATI!$E$23*DATI!$E$7*(DATI!$E$20/B131),DATI!$E$6*DATI!$E$16*DATI!$E$23*DATI!$E$7*((DATI!$E$20*DATI!$E$21)/B131^2))))</f>
        <v>0.26825827676771308</v>
      </c>
      <c r="D131" s="237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</row>
    <row r="132" spans="1:19" x14ac:dyDescent="0.25">
      <c r="A132" s="318"/>
      <c r="B132" s="389">
        <f t="shared" si="1"/>
        <v>1.2700000000000009</v>
      </c>
      <c r="C132" s="398">
        <f>1/DATI!$E$12*IF(B132&lt;DATI!$E$19,DATI!$E$6*DATI!$E$16*DATI!$E$23*DATI!$E$7*(B132/DATI!$E$19+1/(DATI!$E$23*DATI!$E$7)*(1-B132/DATI!$E$19)),IF(B132&lt;DATI!$E$20,DATI!$E$6*DATI!$E$16*DATI!$E$23*DATI!$E$7,IF(B132&lt;DATI!$E$21,DATI!$E$6*DATI!$E$16*DATI!$E$23*DATI!$E$7*(DATI!$E$20/B132),DATI!$E$6*DATI!$E$16*DATI!$E$23*DATI!$E$7*((DATI!$E$20*DATI!$E$21)/B132^2))))</f>
        <v>0.26614600687190426</v>
      </c>
      <c r="D132" s="237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</row>
    <row r="133" spans="1:19" x14ac:dyDescent="0.25">
      <c r="A133" s="318"/>
      <c r="B133" s="389">
        <f t="shared" si="1"/>
        <v>1.2800000000000009</v>
      </c>
      <c r="C133" s="398">
        <f>1/DATI!$E$12*IF(B133&lt;DATI!$E$19,DATI!$E$6*DATI!$E$16*DATI!$E$23*DATI!$E$7*(B133/DATI!$E$19+1/(DATI!$E$23*DATI!$E$7)*(1-B133/DATI!$E$19)),IF(B133&lt;DATI!$E$20,DATI!$E$6*DATI!$E$16*DATI!$E$23*DATI!$E$7,IF(B133&lt;DATI!$E$21,DATI!$E$6*DATI!$E$16*DATI!$E$23*DATI!$E$7*(DATI!$E$20/B133),DATI!$E$6*DATI!$E$16*DATI!$E$23*DATI!$E$7*((DATI!$E$20*DATI!$E$21)/B133^2))))</f>
        <v>0.26406674119321755</v>
      </c>
      <c r="D133" s="237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</row>
    <row r="134" spans="1:19" x14ac:dyDescent="0.25">
      <c r="A134" s="318"/>
      <c r="B134" s="389">
        <f t="shared" ref="B134:B197" si="2">0.01+B133</f>
        <v>1.2900000000000009</v>
      </c>
      <c r="C134" s="398">
        <f>1/DATI!$E$12*IF(B134&lt;DATI!$E$19,DATI!$E$6*DATI!$E$16*DATI!$E$23*DATI!$E$7*(B134/DATI!$E$19+1/(DATI!$E$23*DATI!$E$7)*(1-B134/DATI!$E$19)),IF(B134&lt;DATI!$E$20,DATI!$E$6*DATI!$E$16*DATI!$E$23*DATI!$E$7,IF(B134&lt;DATI!$E$21,DATI!$E$6*DATI!$E$16*DATI!$E$23*DATI!$E$7*(DATI!$E$20/B134),DATI!$E$6*DATI!$E$16*DATI!$E$23*DATI!$E$7*((DATI!$E$20*DATI!$E$21)/B134^2))))</f>
        <v>0.26201971219171971</v>
      </c>
      <c r="D134" s="237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</row>
    <row r="135" spans="1:19" x14ac:dyDescent="0.25">
      <c r="A135" s="318"/>
      <c r="B135" s="389">
        <f t="shared" si="2"/>
        <v>1.3000000000000009</v>
      </c>
      <c r="C135" s="398">
        <f>1/DATI!$E$12*IF(B135&lt;DATI!$E$19,DATI!$E$6*DATI!$E$16*DATI!$E$23*DATI!$E$7*(B135/DATI!$E$19+1/(DATI!$E$23*DATI!$E$7)*(1-B135/DATI!$E$19)),IF(B135&lt;DATI!$E$20,DATI!$E$6*DATI!$E$16*DATI!$E$23*DATI!$E$7,IF(B135&lt;DATI!$E$21,DATI!$E$6*DATI!$E$16*DATI!$E$23*DATI!$E$7*(DATI!$E$20/B135),DATI!$E$6*DATI!$E$16*DATI!$E$23*DATI!$E$7*((DATI!$E$20*DATI!$E$21)/B135^2))))</f>
        <v>0.26000417594409109</v>
      </c>
      <c r="D135" s="237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</row>
    <row r="136" spans="1:19" x14ac:dyDescent="0.25">
      <c r="A136" s="318"/>
      <c r="B136" s="389">
        <f t="shared" si="2"/>
        <v>1.3100000000000009</v>
      </c>
      <c r="C136" s="398">
        <f>1/DATI!$E$12*IF(B136&lt;DATI!$E$19,DATI!$E$6*DATI!$E$16*DATI!$E$23*DATI!$E$7*(B136/DATI!$E$19+1/(DATI!$E$23*DATI!$E$7)*(1-B136/DATI!$E$19)),IF(B136&lt;DATI!$E$20,DATI!$E$6*DATI!$E$16*DATI!$E$23*DATI!$E$7,IF(B136&lt;DATI!$E$21,DATI!$E$6*DATI!$E$16*DATI!$E$23*DATI!$E$7*(DATI!$E$20/B136),DATI!$E$6*DATI!$E$16*DATI!$E$23*DATI!$E$7*((DATI!$E$20*DATI!$E$21)/B136^2))))</f>
        <v>0.25801941124222783</v>
      </c>
      <c r="D136" s="237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</row>
    <row r="137" spans="1:19" x14ac:dyDescent="0.25">
      <c r="A137" s="318"/>
      <c r="B137" s="389">
        <f t="shared" si="2"/>
        <v>1.320000000000001</v>
      </c>
      <c r="C137" s="398">
        <f>1/DATI!$E$12*IF(B137&lt;DATI!$E$19,DATI!$E$6*DATI!$E$16*DATI!$E$23*DATI!$E$7*(B137/DATI!$E$19+1/(DATI!$E$23*DATI!$E$7)*(1-B137/DATI!$E$19)),IF(B137&lt;DATI!$E$20,DATI!$E$6*DATI!$E$16*DATI!$E$23*DATI!$E$7,IF(B137&lt;DATI!$E$21,DATI!$E$6*DATI!$E$16*DATI!$E$23*DATI!$E$7*(DATI!$E$20/B137),DATI!$E$6*DATI!$E$16*DATI!$E$23*DATI!$E$7*((DATI!$E$20*DATI!$E$21)/B137^2))))</f>
        <v>0.256064718732817</v>
      </c>
      <c r="D137" s="237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</row>
    <row r="138" spans="1:19" x14ac:dyDescent="0.25">
      <c r="A138" s="318"/>
      <c r="B138" s="389">
        <f t="shared" si="2"/>
        <v>1.330000000000001</v>
      </c>
      <c r="C138" s="398">
        <f>1/DATI!$E$12*IF(B138&lt;DATI!$E$19,DATI!$E$6*DATI!$E$16*DATI!$E$23*DATI!$E$7*(B138/DATI!$E$19+1/(DATI!$E$23*DATI!$E$7)*(1-B138/DATI!$E$19)),IF(B138&lt;DATI!$E$20,DATI!$E$6*DATI!$E$16*DATI!$E$23*DATI!$E$7,IF(B138&lt;DATI!$E$21,DATI!$E$6*DATI!$E$16*DATI!$E$23*DATI!$E$7*(DATI!$E$20/B138),DATI!$E$6*DATI!$E$16*DATI!$E$23*DATI!$E$7*((DATI!$E$20*DATI!$E$21)/B138^2))))</f>
        <v>0.25413942009572815</v>
      </c>
      <c r="D138" s="237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</row>
    <row r="139" spans="1:19" x14ac:dyDescent="0.25">
      <c r="A139" s="318"/>
      <c r="B139" s="389">
        <f t="shared" si="2"/>
        <v>1.340000000000001</v>
      </c>
      <c r="C139" s="398">
        <f>1/DATI!$E$12*IF(B139&lt;DATI!$E$19,DATI!$E$6*DATI!$E$16*DATI!$E$23*DATI!$E$7*(B139/DATI!$E$19+1/(DATI!$E$23*DATI!$E$7)*(1-B139/DATI!$E$19)),IF(B139&lt;DATI!$E$20,DATI!$E$6*DATI!$E$16*DATI!$E$23*DATI!$E$7,IF(B139&lt;DATI!$E$21,DATI!$E$6*DATI!$E$16*DATI!$E$23*DATI!$E$7*(DATI!$E$20/B139),DATI!$E$6*DATI!$E$16*DATI!$E$23*DATI!$E$7*((DATI!$E$20*DATI!$E$21)/B139^2))))</f>
        <v>0.25224285725919282</v>
      </c>
      <c r="D139" s="237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</row>
    <row r="140" spans="1:19" x14ac:dyDescent="0.25">
      <c r="A140" s="318"/>
      <c r="B140" s="389">
        <f t="shared" si="2"/>
        <v>1.350000000000001</v>
      </c>
      <c r="C140" s="398">
        <f>1/DATI!$E$12*IF(B140&lt;DATI!$E$19,DATI!$E$6*DATI!$E$16*DATI!$E$23*DATI!$E$7*(B140/DATI!$E$19+1/(DATI!$E$23*DATI!$E$7)*(1-B140/DATI!$E$19)),IF(B140&lt;DATI!$E$20,DATI!$E$6*DATI!$E$16*DATI!$E$23*DATI!$E$7,IF(B140&lt;DATI!$E$21,DATI!$E$6*DATI!$E$16*DATI!$E$23*DATI!$E$7*(DATI!$E$20/B140),DATI!$E$6*DATI!$E$16*DATI!$E$23*DATI!$E$7*((DATI!$E$20*DATI!$E$21)/B140^2))))</f>
        <v>0.25037439164986547</v>
      </c>
      <c r="D140" s="237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</row>
    <row r="141" spans="1:19" x14ac:dyDescent="0.25">
      <c r="A141" s="318"/>
      <c r="B141" s="389">
        <f t="shared" si="2"/>
        <v>1.360000000000001</v>
      </c>
      <c r="C141" s="398">
        <f>1/DATI!$E$12*IF(B141&lt;DATI!$E$19,DATI!$E$6*DATI!$E$16*DATI!$E$23*DATI!$E$7*(B141/DATI!$E$19+1/(DATI!$E$23*DATI!$E$7)*(1-B141/DATI!$E$19)),IF(B141&lt;DATI!$E$20,DATI!$E$6*DATI!$E$16*DATI!$E$23*DATI!$E$7,IF(B141&lt;DATI!$E$21,DATI!$E$6*DATI!$E$16*DATI!$E$23*DATI!$E$7*(DATI!$E$20/B141),DATI!$E$6*DATI!$E$16*DATI!$E$23*DATI!$E$7*((DATI!$E$20*DATI!$E$21)/B141^2))))</f>
        <v>0.24853340347596944</v>
      </c>
      <c r="D141" s="237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</row>
    <row r="142" spans="1:19" x14ac:dyDescent="0.25">
      <c r="A142" s="318"/>
      <c r="B142" s="389">
        <f t="shared" si="2"/>
        <v>1.370000000000001</v>
      </c>
      <c r="C142" s="398">
        <f>1/DATI!$E$12*IF(B142&lt;DATI!$E$19,DATI!$E$6*DATI!$E$16*DATI!$E$23*DATI!$E$7*(B142/DATI!$E$19+1/(DATI!$E$23*DATI!$E$7)*(1-B142/DATI!$E$19)),IF(B142&lt;DATI!$E$20,DATI!$E$6*DATI!$E$16*DATI!$E$23*DATI!$E$7,IF(B142&lt;DATI!$E$21,DATI!$E$6*DATI!$E$16*DATI!$E$23*DATI!$E$7*(DATI!$E$20/B142),DATI!$E$6*DATI!$E$16*DATI!$E$23*DATI!$E$7*((DATI!$E$20*DATI!$E$21)/B142^2))))</f>
        <v>0.24671929104183826</v>
      </c>
      <c r="D142" s="237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</row>
    <row r="143" spans="1:19" x14ac:dyDescent="0.25">
      <c r="A143" s="318"/>
      <c r="B143" s="389">
        <f t="shared" si="2"/>
        <v>1.380000000000001</v>
      </c>
      <c r="C143" s="398">
        <f>1/DATI!$E$12*IF(B143&lt;DATI!$E$19,DATI!$E$6*DATI!$E$16*DATI!$E$23*DATI!$E$7*(B143/DATI!$E$19+1/(DATI!$E$23*DATI!$E$7)*(1-B143/DATI!$E$19)),IF(B143&lt;DATI!$E$20,DATI!$E$6*DATI!$E$16*DATI!$E$23*DATI!$E$7,IF(B143&lt;DATI!$E$21,DATI!$E$6*DATI!$E$16*DATI!$E$23*DATI!$E$7*(DATI!$E$20/B143),DATI!$E$6*DATI!$E$16*DATI!$E$23*DATI!$E$7*((DATI!$E$20*DATI!$E$21)/B143^2))))</f>
        <v>0.24493147009225974</v>
      </c>
      <c r="D143" s="237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</row>
    <row r="144" spans="1:19" x14ac:dyDescent="0.25">
      <c r="A144" s="318"/>
      <c r="B144" s="389">
        <f t="shared" si="2"/>
        <v>1.390000000000001</v>
      </c>
      <c r="C144" s="398">
        <f>1/DATI!$E$12*IF(B144&lt;DATI!$E$19,DATI!$E$6*DATI!$E$16*DATI!$E$23*DATI!$E$7*(B144/DATI!$E$19+1/(DATI!$E$23*DATI!$E$7)*(1-B144/DATI!$E$19)),IF(B144&lt;DATI!$E$20,DATI!$E$6*DATI!$E$16*DATI!$E$23*DATI!$E$7,IF(B144&lt;DATI!$E$21,DATI!$E$6*DATI!$E$16*DATI!$E$23*DATI!$E$7*(DATI!$E$20/B144),DATI!$E$6*DATI!$E$16*DATI!$E$23*DATI!$E$7*((DATI!$E$20*DATI!$E$21)/B144^2))))</f>
        <v>0.24316937318512119</v>
      </c>
      <c r="D144" s="237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</row>
    <row r="145" spans="1:19" x14ac:dyDescent="0.25">
      <c r="A145" s="318"/>
      <c r="B145" s="389">
        <f t="shared" si="2"/>
        <v>1.400000000000001</v>
      </c>
      <c r="C145" s="398">
        <f>1/DATI!$E$12*IF(B145&lt;DATI!$E$19,DATI!$E$6*DATI!$E$16*DATI!$E$23*DATI!$E$7*(B145/DATI!$E$19+1/(DATI!$E$23*DATI!$E$7)*(1-B145/DATI!$E$19)),IF(B145&lt;DATI!$E$20,DATI!$E$6*DATI!$E$16*DATI!$E$23*DATI!$E$7,IF(B145&lt;DATI!$E$21,DATI!$E$6*DATI!$E$16*DATI!$E$23*DATI!$E$7*(DATI!$E$20/B145),DATI!$E$6*DATI!$E$16*DATI!$E$23*DATI!$E$7*((DATI!$E$20*DATI!$E$21)/B145^2))))</f>
        <v>0.24143244909094175</v>
      </c>
      <c r="D145" s="237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</row>
    <row r="146" spans="1:19" x14ac:dyDescent="0.25">
      <c r="A146" s="318"/>
      <c r="B146" s="389">
        <f t="shared" si="2"/>
        <v>1.410000000000001</v>
      </c>
      <c r="C146" s="398">
        <f>1/DATI!$E$12*IF(B146&lt;DATI!$E$19,DATI!$E$6*DATI!$E$16*DATI!$E$23*DATI!$E$7*(B146/DATI!$E$19+1/(DATI!$E$23*DATI!$E$7)*(1-B146/DATI!$E$19)),IF(B146&lt;DATI!$E$20,DATI!$E$6*DATI!$E$16*DATI!$E$23*DATI!$E$7,IF(B146&lt;DATI!$E$21,DATI!$E$6*DATI!$E$16*DATI!$E$23*DATI!$E$7*(DATI!$E$20/B146),DATI!$E$6*DATI!$E$16*DATI!$E$23*DATI!$E$7*((DATI!$E$20*DATI!$E$21)/B146^2))))</f>
        <v>0.23972016221795633</v>
      </c>
      <c r="D146" s="237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</row>
    <row r="147" spans="1:19" x14ac:dyDescent="0.25">
      <c r="A147" s="318"/>
      <c r="B147" s="389">
        <f t="shared" si="2"/>
        <v>1.420000000000001</v>
      </c>
      <c r="C147" s="398">
        <f>1/DATI!$E$12*IF(B147&lt;DATI!$E$19,DATI!$E$6*DATI!$E$16*DATI!$E$23*DATI!$E$7*(B147/DATI!$E$19+1/(DATI!$E$23*DATI!$E$7)*(1-B147/DATI!$E$19)),IF(B147&lt;DATI!$E$20,DATI!$E$6*DATI!$E$16*DATI!$E$23*DATI!$E$7,IF(B147&lt;DATI!$E$21,DATI!$E$6*DATI!$E$16*DATI!$E$23*DATI!$E$7*(DATI!$E$20/B147),DATI!$E$6*DATI!$E$16*DATI!$E$23*DATI!$E$7*((DATI!$E$20*DATI!$E$21)/B147^2))))</f>
        <v>0.23803199206149189</v>
      </c>
      <c r="D147" s="237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</row>
    <row r="148" spans="1:19" x14ac:dyDescent="0.25">
      <c r="A148" s="318"/>
      <c r="B148" s="389">
        <f t="shared" si="2"/>
        <v>1.430000000000001</v>
      </c>
      <c r="C148" s="398">
        <f>1/DATI!$E$12*IF(B148&lt;DATI!$E$19,DATI!$E$6*DATI!$E$16*DATI!$E$23*DATI!$E$7*(B148/DATI!$E$19+1/(DATI!$E$23*DATI!$E$7)*(1-B148/DATI!$E$19)),IF(B148&lt;DATI!$E$20,DATI!$E$6*DATI!$E$16*DATI!$E$23*DATI!$E$7,IF(B148&lt;DATI!$E$21,DATI!$E$6*DATI!$E$16*DATI!$E$23*DATI!$E$7*(DATI!$E$20/B148),DATI!$E$6*DATI!$E$16*DATI!$E$23*DATI!$E$7*((DATI!$E$20*DATI!$E$21)/B148^2))))</f>
        <v>0.23636743267644647</v>
      </c>
      <c r="D148" s="237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</row>
    <row r="149" spans="1:19" x14ac:dyDescent="0.25">
      <c r="A149" s="318"/>
      <c r="B149" s="389">
        <f t="shared" si="2"/>
        <v>1.4400000000000011</v>
      </c>
      <c r="C149" s="398">
        <f>1/DATI!$E$12*IF(B149&lt;DATI!$E$19,DATI!$E$6*DATI!$E$16*DATI!$E$23*DATI!$E$7*(B149/DATI!$E$19+1/(DATI!$E$23*DATI!$E$7)*(1-B149/DATI!$E$19)),IF(B149&lt;DATI!$E$20,DATI!$E$6*DATI!$E$16*DATI!$E$23*DATI!$E$7,IF(B149&lt;DATI!$E$21,DATI!$E$6*DATI!$E$16*DATI!$E$23*DATI!$E$7*(DATI!$E$20/B149),DATI!$E$6*DATI!$E$16*DATI!$E$23*DATI!$E$7*((DATI!$E$20*DATI!$E$21)/B149^2))))</f>
        <v>0.23472599217174892</v>
      </c>
      <c r="D149" s="237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</row>
    <row r="150" spans="1:19" x14ac:dyDescent="0.25">
      <c r="A150" s="318"/>
      <c r="B150" s="389">
        <f t="shared" si="2"/>
        <v>1.4500000000000011</v>
      </c>
      <c r="C150" s="398">
        <f>1/DATI!$E$12*IF(B150&lt;DATI!$E$19,DATI!$E$6*DATI!$E$16*DATI!$E$23*DATI!$E$7*(B150/DATI!$E$19+1/(DATI!$E$23*DATI!$E$7)*(1-B150/DATI!$E$19)),IF(B150&lt;DATI!$E$20,DATI!$E$6*DATI!$E$16*DATI!$E$23*DATI!$E$7,IF(B150&lt;DATI!$E$21,DATI!$E$6*DATI!$E$16*DATI!$E$23*DATI!$E$7*(DATI!$E$20/B150),DATI!$E$6*DATI!$E$16*DATI!$E$23*DATI!$E$7*((DATI!$E$20*DATI!$E$21)/B150^2))))</f>
        <v>0.23310719222573684</v>
      </c>
      <c r="D150" s="237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</row>
    <row r="151" spans="1:19" x14ac:dyDescent="0.25">
      <c r="A151" s="318"/>
      <c r="B151" s="389">
        <f t="shared" si="2"/>
        <v>1.4600000000000011</v>
      </c>
      <c r="C151" s="398">
        <f>1/DATI!$E$12*IF(B151&lt;DATI!$E$19,DATI!$E$6*DATI!$E$16*DATI!$E$23*DATI!$E$7*(B151/DATI!$E$19+1/(DATI!$E$23*DATI!$E$7)*(1-B151/DATI!$E$19)),IF(B151&lt;DATI!$E$20,DATI!$E$6*DATI!$E$16*DATI!$E$23*DATI!$E$7,IF(B151&lt;DATI!$E$21,DATI!$E$6*DATI!$E$16*DATI!$E$23*DATI!$E$7*(DATI!$E$20/B151),DATI!$E$6*DATI!$E$16*DATI!$E$23*DATI!$E$7*((DATI!$E$20*DATI!$E$21)/B151^2))))</f>
        <v>0.231510567621451</v>
      </c>
      <c r="D151" s="237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</row>
    <row r="152" spans="1:19" x14ac:dyDescent="0.25">
      <c r="A152" s="318"/>
      <c r="B152" s="389">
        <f t="shared" si="2"/>
        <v>1.4700000000000011</v>
      </c>
      <c r="C152" s="398">
        <f>1/DATI!$E$12*IF(B152&lt;DATI!$E$19,DATI!$E$6*DATI!$E$16*DATI!$E$23*DATI!$E$7*(B152/DATI!$E$19+1/(DATI!$E$23*DATI!$E$7)*(1-B152/DATI!$E$19)),IF(B152&lt;DATI!$E$20,DATI!$E$6*DATI!$E$16*DATI!$E$23*DATI!$E$7,IF(B152&lt;DATI!$E$21,DATI!$E$6*DATI!$E$16*DATI!$E$23*DATI!$E$7*(DATI!$E$20/B152),DATI!$E$6*DATI!$E$16*DATI!$E$23*DATI!$E$7*((DATI!$E$20*DATI!$E$21)/B152^2))))</f>
        <v>0.22993566580089689</v>
      </c>
      <c r="D152" s="237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</row>
    <row r="153" spans="1:19" x14ac:dyDescent="0.25">
      <c r="A153" s="318"/>
      <c r="B153" s="389">
        <f t="shared" si="2"/>
        <v>1.4800000000000011</v>
      </c>
      <c r="C153" s="398">
        <f>1/DATI!$E$12*IF(B153&lt;DATI!$E$19,DATI!$E$6*DATI!$E$16*DATI!$E$23*DATI!$E$7*(B153/DATI!$E$19+1/(DATI!$E$23*DATI!$E$7)*(1-B153/DATI!$E$19)),IF(B153&lt;DATI!$E$20,DATI!$E$6*DATI!$E$16*DATI!$E$23*DATI!$E$7,IF(B153&lt;DATI!$E$21,DATI!$E$6*DATI!$E$16*DATI!$E$23*DATI!$E$7*(DATI!$E$20/B153),DATI!$E$6*DATI!$E$16*DATI!$E$23*DATI!$E$7*((DATI!$E$20*DATI!$E$21)/B153^2))))</f>
        <v>0.22838204643737728</v>
      </c>
      <c r="D153" s="237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</row>
    <row r="154" spans="1:19" x14ac:dyDescent="0.25">
      <c r="A154" s="318"/>
      <c r="B154" s="389">
        <f t="shared" si="2"/>
        <v>1.4900000000000011</v>
      </c>
      <c r="C154" s="398">
        <f>1/DATI!$E$12*IF(B154&lt;DATI!$E$19,DATI!$E$6*DATI!$E$16*DATI!$E$23*DATI!$E$7*(B154/DATI!$E$19+1/(DATI!$E$23*DATI!$E$7)*(1-B154/DATI!$E$19)),IF(B154&lt;DATI!$E$20,DATI!$E$6*DATI!$E$16*DATI!$E$23*DATI!$E$7,IF(B154&lt;DATI!$E$21,DATI!$E$6*DATI!$E$16*DATI!$E$23*DATI!$E$7*(DATI!$E$20/B154),DATI!$E$6*DATI!$E$16*DATI!$E$23*DATI!$E$7*((DATI!$E$20*DATI!$E$21)/B154^2))))</f>
        <v>0.22684928102504592</v>
      </c>
      <c r="D154" s="237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</row>
    <row r="155" spans="1:19" x14ac:dyDescent="0.25">
      <c r="A155" s="318"/>
      <c r="B155" s="389">
        <f t="shared" si="2"/>
        <v>1.5000000000000011</v>
      </c>
      <c r="C155" s="398">
        <f>1/DATI!$E$12*IF(B155&lt;DATI!$E$19,DATI!$E$6*DATI!$E$16*DATI!$E$23*DATI!$E$7*(B155/DATI!$E$19+1/(DATI!$E$23*DATI!$E$7)*(1-B155/DATI!$E$19)),IF(B155&lt;DATI!$E$20,DATI!$E$6*DATI!$E$16*DATI!$E$23*DATI!$E$7,IF(B155&lt;DATI!$E$21,DATI!$E$6*DATI!$E$16*DATI!$E$23*DATI!$E$7*(DATI!$E$20/B155),DATI!$E$6*DATI!$E$16*DATI!$E$23*DATI!$E$7*((DATI!$E$20*DATI!$E$21)/B155^2))))</f>
        <v>0.22533695248487895</v>
      </c>
      <c r="D155" s="237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</row>
    <row r="156" spans="1:19" x14ac:dyDescent="0.25">
      <c r="A156" s="318"/>
      <c r="B156" s="389">
        <f t="shared" si="2"/>
        <v>1.5100000000000011</v>
      </c>
      <c r="C156" s="398">
        <f>1/DATI!$E$12*IF(B156&lt;DATI!$E$19,DATI!$E$6*DATI!$E$16*DATI!$E$23*DATI!$E$7*(B156/DATI!$E$19+1/(DATI!$E$23*DATI!$E$7)*(1-B156/DATI!$E$19)),IF(B156&lt;DATI!$E$20,DATI!$E$6*DATI!$E$16*DATI!$E$23*DATI!$E$7,IF(B156&lt;DATI!$E$21,DATI!$E$6*DATI!$E$16*DATI!$E$23*DATI!$E$7*(DATI!$E$20/B156),DATI!$E$6*DATI!$E$16*DATI!$E$23*DATI!$E$7*((DATI!$E$20*DATI!$E$21)/B156^2))))</f>
        <v>0.22384465478630358</v>
      </c>
      <c r="D156" s="237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</row>
    <row r="157" spans="1:19" x14ac:dyDescent="0.25">
      <c r="A157" s="318"/>
      <c r="B157" s="389">
        <f t="shared" si="2"/>
        <v>1.5200000000000011</v>
      </c>
      <c r="C157" s="398">
        <f>1/DATI!$E$12*IF(B157&lt;DATI!$E$19,DATI!$E$6*DATI!$E$16*DATI!$E$23*DATI!$E$7*(B157/DATI!$E$19+1/(DATI!$E$23*DATI!$E$7)*(1-B157/DATI!$E$19)),IF(B157&lt;DATI!$E$20,DATI!$E$6*DATI!$E$16*DATI!$E$23*DATI!$E$7,IF(B157&lt;DATI!$E$21,DATI!$E$6*DATI!$E$16*DATI!$E$23*DATI!$E$7*(DATI!$E$20/B157),DATI!$E$6*DATI!$E$16*DATI!$E$23*DATI!$E$7*((DATI!$E$20*DATI!$E$21)/B157^2))))</f>
        <v>0.22237199258376211</v>
      </c>
      <c r="D157" s="237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</row>
    <row r="158" spans="1:19" x14ac:dyDescent="0.25">
      <c r="A158" s="318"/>
      <c r="B158" s="389">
        <f t="shared" si="2"/>
        <v>1.5300000000000011</v>
      </c>
      <c r="C158" s="398">
        <f>1/DATI!$E$12*IF(B158&lt;DATI!$E$19,DATI!$E$6*DATI!$E$16*DATI!$E$23*DATI!$E$7*(B158/DATI!$E$19+1/(DATI!$E$23*DATI!$E$7)*(1-B158/DATI!$E$19)),IF(B158&lt;DATI!$E$20,DATI!$E$6*DATI!$E$16*DATI!$E$23*DATI!$E$7,IF(B158&lt;DATI!$E$21,DATI!$E$6*DATI!$E$16*DATI!$E$23*DATI!$E$7*(DATI!$E$20/B158),DATI!$E$6*DATI!$E$16*DATI!$E$23*DATI!$E$7*((DATI!$E$20*DATI!$E$21)/B158^2))))</f>
        <v>0.22091858086752841</v>
      </c>
      <c r="D158" s="237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</row>
    <row r="159" spans="1:19" x14ac:dyDescent="0.25">
      <c r="A159" s="318"/>
      <c r="B159" s="389">
        <f t="shared" si="2"/>
        <v>1.5400000000000011</v>
      </c>
      <c r="C159" s="398">
        <f>1/DATI!$E$12*IF(B159&lt;DATI!$E$19,DATI!$E$6*DATI!$E$16*DATI!$E$23*DATI!$E$7*(B159/DATI!$E$19+1/(DATI!$E$23*DATI!$E$7)*(1-B159/DATI!$E$19)),IF(B159&lt;DATI!$E$20,DATI!$E$6*DATI!$E$16*DATI!$E$23*DATI!$E$7,IF(B159&lt;DATI!$E$21,DATI!$E$6*DATI!$E$16*DATI!$E$23*DATI!$E$7*(DATI!$E$20/B159),DATI!$E$6*DATI!$E$16*DATI!$E$23*DATI!$E$7*((DATI!$E$20*DATI!$E$21)/B159^2))))</f>
        <v>0.21948404462812887</v>
      </c>
      <c r="D159" s="237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</row>
    <row r="160" spans="1:19" x14ac:dyDescent="0.25">
      <c r="A160" s="318"/>
      <c r="B160" s="389">
        <f t="shared" si="2"/>
        <v>1.5500000000000012</v>
      </c>
      <c r="C160" s="398">
        <f>1/DATI!$E$12*IF(B160&lt;DATI!$E$19,DATI!$E$6*DATI!$E$16*DATI!$E$23*DATI!$E$7*(B160/DATI!$E$19+1/(DATI!$E$23*DATI!$E$7)*(1-B160/DATI!$E$19)),IF(B160&lt;DATI!$E$20,DATI!$E$6*DATI!$E$16*DATI!$E$23*DATI!$E$7,IF(B160&lt;DATI!$E$21,DATI!$E$6*DATI!$E$16*DATI!$E$23*DATI!$E$7*(DATI!$E$20/B160),DATI!$E$6*DATI!$E$16*DATI!$E$23*DATI!$E$7*((DATI!$E$20*DATI!$E$21)/B160^2))))</f>
        <v>0.21806801853375385</v>
      </c>
      <c r="D160" s="237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</row>
    <row r="161" spans="1:19" x14ac:dyDescent="0.25">
      <c r="A161" s="318"/>
      <c r="B161" s="389">
        <f t="shared" si="2"/>
        <v>1.5600000000000012</v>
      </c>
      <c r="C161" s="398">
        <f>1/DATI!$E$12*IF(B161&lt;DATI!$E$19,DATI!$E$6*DATI!$E$16*DATI!$E$23*DATI!$E$7*(B161/DATI!$E$19+1/(DATI!$E$23*DATI!$E$7)*(1-B161/DATI!$E$19)),IF(B161&lt;DATI!$E$20,DATI!$E$6*DATI!$E$16*DATI!$E$23*DATI!$E$7,IF(B161&lt;DATI!$E$21,DATI!$E$6*DATI!$E$16*DATI!$E$23*DATI!$E$7*(DATI!$E$20/B161),DATI!$E$6*DATI!$E$16*DATI!$E$23*DATI!$E$7*((DATI!$E$20*DATI!$E$21)/B161^2))))</f>
        <v>0.21667014662007589</v>
      </c>
      <c r="D161" s="237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</row>
    <row r="162" spans="1:19" x14ac:dyDescent="0.25">
      <c r="A162" s="318"/>
      <c r="B162" s="389">
        <f t="shared" si="2"/>
        <v>1.5700000000000012</v>
      </c>
      <c r="C162" s="398">
        <f>1/DATI!$E$12*IF(B162&lt;DATI!$E$19,DATI!$E$6*DATI!$E$16*DATI!$E$23*DATI!$E$7*(B162/DATI!$E$19+1/(DATI!$E$23*DATI!$E$7)*(1-B162/DATI!$E$19)),IF(B162&lt;DATI!$E$20,DATI!$E$6*DATI!$E$16*DATI!$E$23*DATI!$E$7,IF(B162&lt;DATI!$E$21,DATI!$E$6*DATI!$E$16*DATI!$E$23*DATI!$E$7*(DATI!$E$20/B162),DATI!$E$6*DATI!$E$16*DATI!$E$23*DATI!$E$7*((DATI!$E$20*DATI!$E$21)/B162^2))))</f>
        <v>0.21529008199192257</v>
      </c>
      <c r="D162" s="237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</row>
    <row r="163" spans="1:19" x14ac:dyDescent="0.25">
      <c r="A163" s="318"/>
      <c r="B163" s="389">
        <f t="shared" si="2"/>
        <v>1.5800000000000012</v>
      </c>
      <c r="C163" s="398">
        <f>1/DATI!$E$12*IF(B163&lt;DATI!$E$19,DATI!$E$6*DATI!$E$16*DATI!$E$23*DATI!$E$7*(B163/DATI!$E$19+1/(DATI!$E$23*DATI!$E$7)*(1-B163/DATI!$E$19)),IF(B163&lt;DATI!$E$20,DATI!$E$6*DATI!$E$16*DATI!$E$23*DATI!$E$7,IF(B163&lt;DATI!$E$21,DATI!$E$6*DATI!$E$16*DATI!$E$23*DATI!$E$7*(DATI!$E$20/B163),DATI!$E$6*DATI!$E$16*DATI!$E$23*DATI!$E$7*((DATI!$E$20*DATI!$E$21)/B163^2))))</f>
        <v>0.21392748653627749</v>
      </c>
      <c r="D163" s="237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</row>
    <row r="164" spans="1:19" x14ac:dyDescent="0.25">
      <c r="A164" s="318"/>
      <c r="B164" s="389">
        <f t="shared" si="2"/>
        <v>1.5900000000000012</v>
      </c>
      <c r="C164" s="398">
        <f>1/DATI!$E$12*IF(B164&lt;DATI!$E$19,DATI!$E$6*DATI!$E$16*DATI!$E$23*DATI!$E$7*(B164/DATI!$E$19+1/(DATI!$E$23*DATI!$E$7)*(1-B164/DATI!$E$19)),IF(B164&lt;DATI!$E$20,DATI!$E$6*DATI!$E$16*DATI!$E$23*DATI!$E$7,IF(B164&lt;DATI!$E$21,DATI!$E$6*DATI!$E$16*DATI!$E$23*DATI!$E$7*(DATI!$E$20/B164),DATI!$E$6*DATI!$E$16*DATI!$E$23*DATI!$E$7*((DATI!$E$20*DATI!$E$21)/B164^2))))</f>
        <v>0.2125820306461122</v>
      </c>
      <c r="D164" s="237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</row>
    <row r="165" spans="1:19" x14ac:dyDescent="0.25">
      <c r="A165" s="318"/>
      <c r="B165" s="389">
        <f t="shared" si="2"/>
        <v>1.6000000000000012</v>
      </c>
      <c r="C165" s="398">
        <f>1/DATI!$E$12*IF(B165&lt;DATI!$E$19,DATI!$E$6*DATI!$E$16*DATI!$E$23*DATI!$E$7*(B165/DATI!$E$19+1/(DATI!$E$23*DATI!$E$7)*(1-B165/DATI!$E$19)),IF(B165&lt;DATI!$E$20,DATI!$E$6*DATI!$E$16*DATI!$E$23*DATI!$E$7,IF(B165&lt;DATI!$E$21,DATI!$E$6*DATI!$E$16*DATI!$E$23*DATI!$E$7*(DATI!$E$20/B165),DATI!$E$6*DATI!$E$16*DATI!$E$23*DATI!$E$7*((DATI!$E$20*DATI!$E$21)/B165^2))))</f>
        <v>0.21125339295457402</v>
      </c>
      <c r="D165" s="237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</row>
    <row r="166" spans="1:19" x14ac:dyDescent="0.25">
      <c r="A166" s="318"/>
      <c r="B166" s="389">
        <f t="shared" si="2"/>
        <v>1.6100000000000012</v>
      </c>
      <c r="C166" s="398">
        <f>1/DATI!$E$12*IF(B166&lt;DATI!$E$19,DATI!$E$6*DATI!$E$16*DATI!$E$23*DATI!$E$7*(B166/DATI!$E$19+1/(DATI!$E$23*DATI!$E$7)*(1-B166/DATI!$E$19)),IF(B166&lt;DATI!$E$20,DATI!$E$6*DATI!$E$16*DATI!$E$23*DATI!$E$7,IF(B166&lt;DATI!$E$21,DATI!$E$6*DATI!$E$16*DATI!$E$23*DATI!$E$7*(DATI!$E$20/B166),DATI!$E$6*DATI!$E$16*DATI!$E$23*DATI!$E$7*((DATI!$E$20*DATI!$E$21)/B166^2))))</f>
        <v>0.20994126007907979</v>
      </c>
      <c r="D166" s="237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</row>
    <row r="167" spans="1:19" x14ac:dyDescent="0.25">
      <c r="A167" s="318"/>
      <c r="B167" s="389">
        <f t="shared" si="2"/>
        <v>1.6200000000000012</v>
      </c>
      <c r="C167" s="398">
        <f>1/DATI!$E$12*IF(B167&lt;DATI!$E$19,DATI!$E$6*DATI!$E$16*DATI!$E$23*DATI!$E$7*(B167/DATI!$E$19+1/(DATI!$E$23*DATI!$E$7)*(1-B167/DATI!$E$19)),IF(B167&lt;DATI!$E$20,DATI!$E$6*DATI!$E$16*DATI!$E$23*DATI!$E$7,IF(B167&lt;DATI!$E$21,DATI!$E$6*DATI!$E$16*DATI!$E$23*DATI!$E$7*(DATI!$E$20/B167),DATI!$E$6*DATI!$E$16*DATI!$E$23*DATI!$E$7*((DATI!$E$20*DATI!$E$21)/B167^2))))</f>
        <v>0.20864532637488792</v>
      </c>
      <c r="D167" s="237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</row>
    <row r="168" spans="1:19" x14ac:dyDescent="0.25">
      <c r="A168" s="318"/>
      <c r="B168" s="389">
        <f t="shared" si="2"/>
        <v>1.6300000000000012</v>
      </c>
      <c r="C168" s="398">
        <f>1/DATI!$E$12*IF(B168&lt;DATI!$E$19,DATI!$E$6*DATI!$E$16*DATI!$E$23*DATI!$E$7*(B168/DATI!$E$19+1/(DATI!$E$23*DATI!$E$7)*(1-B168/DATI!$E$19)),IF(B168&lt;DATI!$E$20,DATI!$E$6*DATI!$E$16*DATI!$E$23*DATI!$E$7,IF(B168&lt;DATI!$E$21,DATI!$E$6*DATI!$E$16*DATI!$E$23*DATI!$E$7*(DATI!$E$20/B168),DATI!$E$6*DATI!$E$16*DATI!$E$23*DATI!$E$7*((DATI!$E$20*DATI!$E$21)/B168^2))))</f>
        <v>0.20736529369774137</v>
      </c>
      <c r="D168" s="237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</row>
    <row r="169" spans="1:19" x14ac:dyDescent="0.25">
      <c r="A169" s="318"/>
      <c r="B169" s="389">
        <f t="shared" si="2"/>
        <v>1.6400000000000012</v>
      </c>
      <c r="C169" s="398">
        <f>1/DATI!$E$12*IF(B169&lt;DATI!$E$19,DATI!$E$6*DATI!$E$16*DATI!$E$23*DATI!$E$7*(B169/DATI!$E$19+1/(DATI!$E$23*DATI!$E$7)*(1-B169/DATI!$E$19)),IF(B169&lt;DATI!$E$20,DATI!$E$6*DATI!$E$16*DATI!$E$23*DATI!$E$7,IF(B169&lt;DATI!$E$21,DATI!$E$6*DATI!$E$16*DATI!$E$23*DATI!$E$7*(DATI!$E$20/B169),DATI!$E$6*DATI!$E$16*DATI!$E$23*DATI!$E$7*((DATI!$E$20*DATI!$E$21)/B169^2))))</f>
        <v>0.20610087117519418</v>
      </c>
      <c r="D169" s="237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</row>
    <row r="170" spans="1:19" x14ac:dyDescent="0.25">
      <c r="A170" s="318"/>
      <c r="B170" s="389">
        <f t="shared" si="2"/>
        <v>1.6500000000000012</v>
      </c>
      <c r="C170" s="398">
        <f>1/DATI!$E$12*IF(B170&lt;DATI!$E$19,DATI!$E$6*DATI!$E$16*DATI!$E$23*DATI!$E$7*(B170/DATI!$E$19+1/(DATI!$E$23*DATI!$E$7)*(1-B170/DATI!$E$19)),IF(B170&lt;DATI!$E$20,DATI!$E$6*DATI!$E$16*DATI!$E$23*DATI!$E$7,IF(B170&lt;DATI!$E$21,DATI!$E$6*DATI!$E$16*DATI!$E$23*DATI!$E$7*(DATI!$E$20/B170),DATI!$E$6*DATI!$E$16*DATI!$E$23*DATI!$E$7*((DATI!$E$20*DATI!$E$21)/B170^2))))</f>
        <v>0.20485177498625362</v>
      </c>
      <c r="D170" s="237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</row>
    <row r="171" spans="1:19" x14ac:dyDescent="0.25">
      <c r="A171" s="318"/>
      <c r="B171" s="389">
        <f t="shared" si="2"/>
        <v>1.6600000000000013</v>
      </c>
      <c r="C171" s="398">
        <f>1/DATI!$E$12*IF(B171&lt;DATI!$E$19,DATI!$E$6*DATI!$E$16*DATI!$E$23*DATI!$E$7*(B171/DATI!$E$19+1/(DATI!$E$23*DATI!$E$7)*(1-B171/DATI!$E$19)),IF(B171&lt;DATI!$E$20,DATI!$E$6*DATI!$E$16*DATI!$E$23*DATI!$E$7,IF(B171&lt;DATI!$E$21,DATI!$E$6*DATI!$E$16*DATI!$E$23*DATI!$E$7*(DATI!$E$20/B171),DATI!$E$6*DATI!$E$16*DATI!$E$23*DATI!$E$7*((DATI!$E$20*DATI!$E$21)/B171^2))))</f>
        <v>0.20361772814898699</v>
      </c>
      <c r="D171" s="237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</row>
    <row r="172" spans="1:19" x14ac:dyDescent="0.25">
      <c r="A172" s="318"/>
      <c r="B172" s="389">
        <f t="shared" si="2"/>
        <v>1.6700000000000013</v>
      </c>
      <c r="C172" s="398">
        <f>1/DATI!$E$12*IF(B172&lt;DATI!$E$19,DATI!$E$6*DATI!$E$16*DATI!$E$23*DATI!$E$7*(B172/DATI!$E$19+1/(DATI!$E$23*DATI!$E$7)*(1-B172/DATI!$E$19)),IF(B172&lt;DATI!$E$20,DATI!$E$6*DATI!$E$16*DATI!$E$23*DATI!$E$7,IF(B172&lt;DATI!$E$21,DATI!$E$6*DATI!$E$16*DATI!$E$23*DATI!$E$7*(DATI!$E$20/B172),DATI!$E$6*DATI!$E$16*DATI!$E$23*DATI!$E$7*((DATI!$E$20*DATI!$E$21)/B172^2))))</f>
        <v>0.20239846031575953</v>
      </c>
      <c r="D172" s="237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</row>
    <row r="173" spans="1:19" x14ac:dyDescent="0.25">
      <c r="A173" s="318"/>
      <c r="B173" s="389">
        <f t="shared" si="2"/>
        <v>1.6800000000000013</v>
      </c>
      <c r="C173" s="398">
        <f>1/DATI!$E$12*IF(B173&lt;DATI!$E$19,DATI!$E$6*DATI!$E$16*DATI!$E$23*DATI!$E$7*(B173/DATI!$E$19+1/(DATI!$E$23*DATI!$E$7)*(1-B173/DATI!$E$19)),IF(B173&lt;DATI!$E$20,DATI!$E$6*DATI!$E$16*DATI!$E$23*DATI!$E$7,IF(B173&lt;DATI!$E$21,DATI!$E$6*DATI!$E$16*DATI!$E$23*DATI!$E$7*(DATI!$E$20/B173),DATI!$E$6*DATI!$E$16*DATI!$E$23*DATI!$E$7*((DATI!$E$20*DATI!$E$21)/B173^2))))</f>
        <v>0.20119370757578478</v>
      </c>
      <c r="D173" s="237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</row>
    <row r="174" spans="1:19" x14ac:dyDescent="0.25">
      <c r="A174" s="318"/>
      <c r="B174" s="389">
        <f t="shared" si="2"/>
        <v>1.6900000000000013</v>
      </c>
      <c r="C174" s="398">
        <f>1/DATI!$E$12*IF(B174&lt;DATI!$E$19,DATI!$E$6*DATI!$E$16*DATI!$E$23*DATI!$E$7*(B174/DATI!$E$19+1/(DATI!$E$23*DATI!$E$7)*(1-B174/DATI!$E$19)),IF(B174&lt;DATI!$E$20,DATI!$E$6*DATI!$E$16*DATI!$E$23*DATI!$E$7,IF(B174&lt;DATI!$E$21,DATI!$E$6*DATI!$E$16*DATI!$E$23*DATI!$E$7*(DATI!$E$20/B174),DATI!$E$6*DATI!$E$16*DATI!$E$23*DATI!$E$7*((DATI!$E$20*DATI!$E$21)/B174^2))))</f>
        <v>0.20000321226468545</v>
      </c>
      <c r="D174" s="237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</row>
    <row r="175" spans="1:19" x14ac:dyDescent="0.25">
      <c r="A175" s="318"/>
      <c r="B175" s="389">
        <f t="shared" si="2"/>
        <v>1.7000000000000013</v>
      </c>
      <c r="C175" s="398">
        <f>1/DATI!$E$12*IF(B175&lt;DATI!$E$19,DATI!$E$6*DATI!$E$16*DATI!$E$23*DATI!$E$7*(B175/DATI!$E$19+1/(DATI!$E$23*DATI!$E$7)*(1-B175/DATI!$E$19)),IF(B175&lt;DATI!$E$20,DATI!$E$6*DATI!$E$16*DATI!$E$23*DATI!$E$7,IF(B175&lt;DATI!$E$21,DATI!$E$6*DATI!$E$16*DATI!$E$23*DATI!$E$7*(DATI!$E$20/B175),DATI!$E$6*DATI!$E$16*DATI!$E$23*DATI!$E$7*((DATI!$E$20*DATI!$E$21)/B175^2))))</f>
        <v>0.19882672278077557</v>
      </c>
      <c r="D175" s="237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</row>
    <row r="176" spans="1:19" x14ac:dyDescent="0.25">
      <c r="A176" s="318"/>
      <c r="B176" s="389">
        <f t="shared" si="2"/>
        <v>1.7100000000000013</v>
      </c>
      <c r="C176" s="398">
        <f>1/DATI!$E$12*IF(B176&lt;DATI!$E$19,DATI!$E$6*DATI!$E$16*DATI!$E$23*DATI!$E$7*(B176/DATI!$E$19+1/(DATI!$E$23*DATI!$E$7)*(1-B176/DATI!$E$19)),IF(B176&lt;DATI!$E$20,DATI!$E$6*DATI!$E$16*DATI!$E$23*DATI!$E$7,IF(B176&lt;DATI!$E$21,DATI!$E$6*DATI!$E$16*DATI!$E$23*DATI!$E$7*(DATI!$E$20/B176),DATI!$E$6*DATI!$E$16*DATI!$E$23*DATI!$E$7*((DATI!$E$20*DATI!$E$21)/B176^2))))</f>
        <v>0.19766399340778856</v>
      </c>
      <c r="D176" s="237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</row>
    <row r="177" spans="1:19" x14ac:dyDescent="0.25">
      <c r="A177" s="318"/>
      <c r="B177" s="389">
        <f t="shared" si="2"/>
        <v>1.7200000000000013</v>
      </c>
      <c r="C177" s="398">
        <f>1/DATI!$E$12*IF(B177&lt;DATI!$E$19,DATI!$E$6*DATI!$E$16*DATI!$E$23*DATI!$E$7*(B177/DATI!$E$19+1/(DATI!$E$23*DATI!$E$7)*(1-B177/DATI!$E$19)),IF(B177&lt;DATI!$E$20,DATI!$E$6*DATI!$E$16*DATI!$E$23*DATI!$E$7,IF(B177&lt;DATI!$E$21,DATI!$E$6*DATI!$E$16*DATI!$E$23*DATI!$E$7*(DATI!$E$20/B177),DATI!$E$6*DATI!$E$16*DATI!$E$23*DATI!$E$7*((DATI!$E$20*DATI!$E$21)/B177^2))))</f>
        <v>0.19651478414378981</v>
      </c>
      <c r="D177" s="237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</row>
    <row r="178" spans="1:19" x14ac:dyDescent="0.25">
      <c r="A178" s="318"/>
      <c r="B178" s="389">
        <f t="shared" si="2"/>
        <v>1.7300000000000013</v>
      </c>
      <c r="C178" s="398">
        <f>1/DATI!$E$12*IF(B178&lt;DATI!$E$19,DATI!$E$6*DATI!$E$16*DATI!$E$23*DATI!$E$7*(B178/DATI!$E$19+1/(DATI!$E$23*DATI!$E$7)*(1-B178/DATI!$E$19)),IF(B178&lt;DATI!$E$20,DATI!$E$6*DATI!$E$16*DATI!$E$23*DATI!$E$7,IF(B178&lt;DATI!$E$21,DATI!$E$6*DATI!$E$16*DATI!$E$23*DATI!$E$7*(DATI!$E$20/B178),DATI!$E$6*DATI!$E$16*DATI!$E$23*DATI!$E$7*((DATI!$E$20*DATI!$E$21)/B178^2))))</f>
        <v>0.19537886053602219</v>
      </c>
      <c r="D178" s="237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</row>
    <row r="179" spans="1:19" x14ac:dyDescent="0.25">
      <c r="A179" s="318"/>
      <c r="B179" s="389">
        <f t="shared" si="2"/>
        <v>1.7400000000000013</v>
      </c>
      <c r="C179" s="398">
        <f>1/DATI!$E$12*IF(B179&lt;DATI!$E$19,DATI!$E$6*DATI!$E$16*DATI!$E$23*DATI!$E$7*(B179/DATI!$E$19+1/(DATI!$E$23*DATI!$E$7)*(1-B179/DATI!$E$19)),IF(B179&lt;DATI!$E$20,DATI!$E$6*DATI!$E$16*DATI!$E$23*DATI!$E$7,IF(B179&lt;DATI!$E$21,DATI!$E$6*DATI!$E$16*DATI!$E$23*DATI!$E$7*(DATI!$E$20/B179),DATI!$E$6*DATI!$E$16*DATI!$E$23*DATI!$E$7*((DATI!$E$20*DATI!$E$21)/B179^2))))</f>
        <v>0.19425599352144735</v>
      </c>
      <c r="D179" s="237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</row>
    <row r="180" spans="1:19" x14ac:dyDescent="0.25">
      <c r="A180" s="318"/>
      <c r="B180" s="389">
        <f t="shared" si="2"/>
        <v>1.7500000000000013</v>
      </c>
      <c r="C180" s="398">
        <f>1/DATI!$E$12*IF(B180&lt;DATI!$E$19,DATI!$E$6*DATI!$E$16*DATI!$E$23*DATI!$E$7*(B180/DATI!$E$19+1/(DATI!$E$23*DATI!$E$7)*(1-B180/DATI!$E$19)),IF(B180&lt;DATI!$E$20,DATI!$E$6*DATI!$E$16*DATI!$E$23*DATI!$E$7,IF(B180&lt;DATI!$E$21,DATI!$E$6*DATI!$E$16*DATI!$E$23*DATI!$E$7*(DATI!$E$20/B180),DATI!$E$6*DATI!$E$16*DATI!$E$23*DATI!$E$7*((DATI!$E$20*DATI!$E$21)/B180^2))))</f>
        <v>0.19314595927275335</v>
      </c>
      <c r="D180" s="237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</row>
    <row r="181" spans="1:19" x14ac:dyDescent="0.25">
      <c r="A181" s="318"/>
      <c r="B181" s="389">
        <f t="shared" si="2"/>
        <v>1.7600000000000013</v>
      </c>
      <c r="C181" s="398">
        <f>1/DATI!$E$12*IF(B181&lt;DATI!$E$19,DATI!$E$6*DATI!$E$16*DATI!$E$23*DATI!$E$7*(B181/DATI!$E$19+1/(DATI!$E$23*DATI!$E$7)*(1-B181/DATI!$E$19)),IF(B181&lt;DATI!$E$20,DATI!$E$6*DATI!$E$16*DATI!$E$23*DATI!$E$7,IF(B181&lt;DATI!$E$21,DATI!$E$6*DATI!$E$16*DATI!$E$23*DATI!$E$7*(DATI!$E$20/B181),DATI!$E$6*DATI!$E$16*DATI!$E$23*DATI!$E$7*((DATI!$E$20*DATI!$E$21)/B181^2))))</f>
        <v>0.19204853904961272</v>
      </c>
      <c r="D181" s="237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</row>
    <row r="182" spans="1:19" x14ac:dyDescent="0.25">
      <c r="A182" s="318"/>
      <c r="B182" s="389">
        <f t="shared" si="2"/>
        <v>1.7700000000000014</v>
      </c>
      <c r="C182" s="398">
        <f>1/DATI!$E$12*IF(B182&lt;DATI!$E$19,DATI!$E$6*DATI!$E$16*DATI!$E$23*DATI!$E$7*(B182/DATI!$E$19+1/(DATI!$E$23*DATI!$E$7)*(1-B182/DATI!$E$19)),IF(B182&lt;DATI!$E$20,DATI!$E$6*DATI!$E$16*DATI!$E$23*DATI!$E$7,IF(B182&lt;DATI!$E$21,DATI!$E$6*DATI!$E$16*DATI!$E$23*DATI!$E$7*(DATI!$E$20/B182),DATI!$E$6*DATI!$E$16*DATI!$E$23*DATI!$E$7*((DATI!$E$20*DATI!$E$21)/B182^2))))</f>
        <v>0.19096351905498218</v>
      </c>
      <c r="D182" s="237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</row>
    <row r="183" spans="1:19" x14ac:dyDescent="0.25">
      <c r="A183" s="318"/>
      <c r="B183" s="389">
        <f t="shared" si="2"/>
        <v>1.7800000000000014</v>
      </c>
      <c r="C183" s="398">
        <f>1/DATI!$E$12*IF(B183&lt;DATI!$E$19,DATI!$E$6*DATI!$E$16*DATI!$E$23*DATI!$E$7*(B183/DATI!$E$19+1/(DATI!$E$23*DATI!$E$7)*(1-B183/DATI!$E$19)),IF(B183&lt;DATI!$E$20,DATI!$E$6*DATI!$E$16*DATI!$E$23*DATI!$E$7,IF(B183&lt;DATI!$E$21,DATI!$E$6*DATI!$E$16*DATI!$E$23*DATI!$E$7*(DATI!$E$20/B183),DATI!$E$6*DATI!$E$16*DATI!$E$23*DATI!$E$7*((DATI!$E$20*DATI!$E$21)/B183^2))))</f>
        <v>0.18989069029624631</v>
      </c>
      <c r="D183" s="237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</row>
    <row r="184" spans="1:19" x14ac:dyDescent="0.25">
      <c r="A184" s="318"/>
      <c r="B184" s="389">
        <f t="shared" si="2"/>
        <v>1.7900000000000014</v>
      </c>
      <c r="C184" s="398">
        <f>1/DATI!$E$12*IF(B184&lt;DATI!$E$19,DATI!$E$6*DATI!$E$16*DATI!$E$23*DATI!$E$7*(B184/DATI!$E$19+1/(DATI!$E$23*DATI!$E$7)*(1-B184/DATI!$E$19)),IF(B184&lt;DATI!$E$20,DATI!$E$6*DATI!$E$16*DATI!$E$23*DATI!$E$7,IF(B184&lt;DATI!$E$21,DATI!$E$6*DATI!$E$16*DATI!$E$23*DATI!$E$7*(DATI!$E$20/B184),DATI!$E$6*DATI!$E$16*DATI!$E$23*DATI!$E$7*((DATI!$E$20*DATI!$E$21)/B184^2))))</f>
        <v>0.18882984845101586</v>
      </c>
      <c r="D184" s="237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</row>
    <row r="185" spans="1:19" x14ac:dyDescent="0.25">
      <c r="A185" s="318"/>
      <c r="B185" s="389">
        <f t="shared" si="2"/>
        <v>1.8000000000000014</v>
      </c>
      <c r="C185" s="398">
        <f>1/DATI!$E$12*IF(B185&lt;DATI!$E$19,DATI!$E$6*DATI!$E$16*DATI!$E$23*DATI!$E$7*(B185/DATI!$E$19+1/(DATI!$E$23*DATI!$E$7)*(1-B185/DATI!$E$19)),IF(B185&lt;DATI!$E$20,DATI!$E$6*DATI!$E$16*DATI!$E$23*DATI!$E$7,IF(B185&lt;DATI!$E$21,DATI!$E$6*DATI!$E$16*DATI!$E$23*DATI!$E$7*(DATI!$E$20/B185),DATI!$E$6*DATI!$E$16*DATI!$E$23*DATI!$E$7*((DATI!$E$20*DATI!$E$21)/B185^2))))</f>
        <v>0.18778079373739909</v>
      </c>
      <c r="D185" s="237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</row>
    <row r="186" spans="1:19" x14ac:dyDescent="0.25">
      <c r="A186" s="318"/>
      <c r="B186" s="389">
        <f t="shared" si="2"/>
        <v>1.8100000000000014</v>
      </c>
      <c r="C186" s="398">
        <f>1/DATI!$E$12*IF(B186&lt;DATI!$E$19,DATI!$E$6*DATI!$E$16*DATI!$E$23*DATI!$E$7*(B186/DATI!$E$19+1/(DATI!$E$23*DATI!$E$7)*(1-B186/DATI!$E$19)),IF(B186&lt;DATI!$E$20,DATI!$E$6*DATI!$E$16*DATI!$E$23*DATI!$E$7,IF(B186&lt;DATI!$E$21,DATI!$E$6*DATI!$E$16*DATI!$E$23*DATI!$E$7*(DATI!$E$20/B186),DATI!$E$6*DATI!$E$16*DATI!$E$23*DATI!$E$7*((DATI!$E$20*DATI!$E$21)/B186^2))))</f>
        <v>0.18674333078857372</v>
      </c>
      <c r="D186" s="237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</row>
    <row r="187" spans="1:19" x14ac:dyDescent="0.25">
      <c r="A187" s="318"/>
      <c r="B187" s="389">
        <f t="shared" si="2"/>
        <v>1.8200000000000014</v>
      </c>
      <c r="C187" s="398">
        <f>1/DATI!$E$12*IF(B187&lt;DATI!$E$19,DATI!$E$6*DATI!$E$16*DATI!$E$23*DATI!$E$7*(B187/DATI!$E$19+1/(DATI!$E$23*DATI!$E$7)*(1-B187/DATI!$E$19)),IF(B187&lt;DATI!$E$20,DATI!$E$6*DATI!$E$16*DATI!$E$23*DATI!$E$7,IF(B187&lt;DATI!$E$21,DATI!$E$6*DATI!$E$16*DATI!$E$23*DATI!$E$7*(DATI!$E$20/B187),DATI!$E$6*DATI!$E$16*DATI!$E$23*DATI!$E$7*((DATI!$E$20*DATI!$E$21)/B187^2))))</f>
        <v>0.18571726853149365</v>
      </c>
      <c r="D187" s="237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</row>
    <row r="188" spans="1:19" x14ac:dyDescent="0.25">
      <c r="A188" s="318"/>
      <c r="B188" s="389">
        <f t="shared" si="2"/>
        <v>1.8300000000000014</v>
      </c>
      <c r="C188" s="398">
        <f>1/DATI!$E$12*IF(B188&lt;DATI!$E$19,DATI!$E$6*DATI!$E$16*DATI!$E$23*DATI!$E$7*(B188/DATI!$E$19+1/(DATI!$E$23*DATI!$E$7)*(1-B188/DATI!$E$19)),IF(B188&lt;DATI!$E$20,DATI!$E$6*DATI!$E$16*DATI!$E$23*DATI!$E$7,IF(B188&lt;DATI!$E$21,DATI!$E$6*DATI!$E$16*DATI!$E$23*DATI!$E$7*(DATI!$E$20/B188),DATI!$E$6*DATI!$E$16*DATI!$E$23*DATI!$E$7*((DATI!$E$20*DATI!$E$21)/B188^2))))</f>
        <v>0.18470242006957291</v>
      </c>
      <c r="D188" s="237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</row>
    <row r="189" spans="1:19" x14ac:dyDescent="0.25">
      <c r="A189" s="318"/>
      <c r="B189" s="389">
        <f t="shared" si="2"/>
        <v>1.8400000000000014</v>
      </c>
      <c r="C189" s="398">
        <f>1/DATI!$E$12*IF(B189&lt;DATI!$E$19,DATI!$E$6*DATI!$E$16*DATI!$E$23*DATI!$E$7*(B189/DATI!$E$19+1/(DATI!$E$23*DATI!$E$7)*(1-B189/DATI!$E$19)),IF(B189&lt;DATI!$E$20,DATI!$E$6*DATI!$E$16*DATI!$E$23*DATI!$E$7,IF(B189&lt;DATI!$E$21,DATI!$E$6*DATI!$E$16*DATI!$E$23*DATI!$E$7*(DATI!$E$20/B189),DATI!$E$6*DATI!$E$16*DATI!$E$23*DATI!$E$7*((DATI!$E$20*DATI!$E$21)/B189^2))))</f>
        <v>0.18369860256919482</v>
      </c>
      <c r="D189" s="237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</row>
    <row r="190" spans="1:19" x14ac:dyDescent="0.25">
      <c r="A190" s="318"/>
      <c r="B190" s="389">
        <f t="shared" si="2"/>
        <v>1.8500000000000014</v>
      </c>
      <c r="C190" s="398">
        <f>1/DATI!$E$12*IF(B190&lt;DATI!$E$19,DATI!$E$6*DATI!$E$16*DATI!$E$23*DATI!$E$7*(B190/DATI!$E$19+1/(DATI!$E$23*DATI!$E$7)*(1-B190/DATI!$E$19)),IF(B190&lt;DATI!$E$20,DATI!$E$6*DATI!$E$16*DATI!$E$23*DATI!$E$7,IF(B190&lt;DATI!$E$21,DATI!$E$6*DATI!$E$16*DATI!$E$23*DATI!$E$7*(DATI!$E$20/B190),DATI!$E$6*DATI!$E$16*DATI!$E$23*DATI!$E$7*((DATI!$E$20*DATI!$E$21)/B190^2))))</f>
        <v>0.18270563714990185</v>
      </c>
      <c r="D190" s="237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</row>
    <row r="191" spans="1:19" x14ac:dyDescent="0.25">
      <c r="A191" s="318"/>
      <c r="B191" s="389">
        <f t="shared" si="2"/>
        <v>1.8600000000000014</v>
      </c>
      <c r="C191" s="398">
        <f>1/DATI!$E$12*IF(B191&lt;DATI!$E$19,DATI!$E$6*DATI!$E$16*DATI!$E$23*DATI!$E$7*(B191/DATI!$E$19+1/(DATI!$E$23*DATI!$E$7)*(1-B191/DATI!$E$19)),IF(B191&lt;DATI!$E$20,DATI!$E$6*DATI!$E$16*DATI!$E$23*DATI!$E$7,IF(B191&lt;DATI!$E$21,DATI!$E$6*DATI!$E$16*DATI!$E$23*DATI!$E$7*(DATI!$E$20/B191),DATI!$E$6*DATI!$E$16*DATI!$E$23*DATI!$E$7*((DATI!$E$20*DATI!$E$21)/B191^2))))</f>
        <v>0.18172334877812818</v>
      </c>
      <c r="D191" s="237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</row>
    <row r="192" spans="1:19" x14ac:dyDescent="0.25">
      <c r="A192" s="318"/>
      <c r="B192" s="389">
        <f t="shared" si="2"/>
        <v>1.8700000000000014</v>
      </c>
      <c r="C192" s="398">
        <f>1/DATI!$E$12*IF(B192&lt;DATI!$E$19,DATI!$E$6*DATI!$E$16*DATI!$E$23*DATI!$E$7*(B192/DATI!$E$19+1/(DATI!$E$23*DATI!$E$7)*(1-B192/DATI!$E$19)),IF(B192&lt;DATI!$E$20,DATI!$E$6*DATI!$E$16*DATI!$E$23*DATI!$E$7,IF(B192&lt;DATI!$E$21,DATI!$E$6*DATI!$E$16*DATI!$E$23*DATI!$E$7*(DATI!$E$20/B192),DATI!$E$6*DATI!$E$16*DATI!$E$23*DATI!$E$7*((DATI!$E$20*DATI!$E$21)/B192^2))))</f>
        <v>0.1807515661643414</v>
      </c>
      <c r="D192" s="237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</row>
    <row r="193" spans="1:19" x14ac:dyDescent="0.25">
      <c r="A193" s="318"/>
      <c r="B193" s="389">
        <f t="shared" si="2"/>
        <v>1.8800000000000014</v>
      </c>
      <c r="C193" s="398">
        <f>1/DATI!$E$12*IF(B193&lt;DATI!$E$19,DATI!$E$6*DATI!$E$16*DATI!$E$23*DATI!$E$7*(B193/DATI!$E$19+1/(DATI!$E$23*DATI!$E$7)*(1-B193/DATI!$E$19)),IF(B193&lt;DATI!$E$20,DATI!$E$6*DATI!$E$16*DATI!$E$23*DATI!$E$7,IF(B193&lt;DATI!$E$21,DATI!$E$6*DATI!$E$16*DATI!$E$23*DATI!$E$7*(DATI!$E$20/B193),DATI!$E$6*DATI!$E$16*DATI!$E$23*DATI!$E$7*((DATI!$E$20*DATI!$E$21)/B193^2))))</f>
        <v>0.17979012166346722</v>
      </c>
      <c r="D193" s="237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</row>
    <row r="194" spans="1:19" x14ac:dyDescent="0.25">
      <c r="A194" s="318"/>
      <c r="B194" s="389">
        <f t="shared" si="2"/>
        <v>1.8900000000000015</v>
      </c>
      <c r="C194" s="398">
        <f>1/DATI!$E$12*IF(B194&lt;DATI!$E$19,DATI!$E$6*DATI!$E$16*DATI!$E$23*DATI!$E$7*(B194/DATI!$E$19+1/(DATI!$E$23*DATI!$E$7)*(1-B194/DATI!$E$19)),IF(B194&lt;DATI!$E$20,DATI!$E$6*DATI!$E$16*DATI!$E$23*DATI!$E$7,IF(B194&lt;DATI!$E$21,DATI!$E$6*DATI!$E$16*DATI!$E$23*DATI!$E$7*(DATI!$E$20/B194),DATI!$E$6*DATI!$E$16*DATI!$E$23*DATI!$E$7*((DATI!$E$20*DATI!$E$21)/B194^2))))</f>
        <v>0.17883885117847537</v>
      </c>
      <c r="D194" s="237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</row>
    <row r="195" spans="1:19" x14ac:dyDescent="0.25">
      <c r="A195" s="318"/>
      <c r="B195" s="389">
        <f t="shared" si="2"/>
        <v>1.9000000000000015</v>
      </c>
      <c r="C195" s="398">
        <f>1/DATI!$E$12*IF(B195&lt;DATI!$E$19,DATI!$E$6*DATI!$E$16*DATI!$E$23*DATI!$E$7*(B195/DATI!$E$19+1/(DATI!$E$23*DATI!$E$7)*(1-B195/DATI!$E$19)),IF(B195&lt;DATI!$E$20,DATI!$E$6*DATI!$E$16*DATI!$E$23*DATI!$E$7,IF(B195&lt;DATI!$E$21,DATI!$E$6*DATI!$E$16*DATI!$E$23*DATI!$E$7*(DATI!$E$20/B195),DATI!$E$6*DATI!$E$16*DATI!$E$23*DATI!$E$7*((DATI!$E$20*DATI!$E$21)/B195^2))))</f>
        <v>0.1778975940670097</v>
      </c>
      <c r="D195" s="237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</row>
    <row r="196" spans="1:19" x14ac:dyDescent="0.25">
      <c r="A196" s="318"/>
      <c r="B196" s="389">
        <f t="shared" si="2"/>
        <v>1.9100000000000015</v>
      </c>
      <c r="C196" s="398">
        <f>1/DATI!$E$12*IF(B196&lt;DATI!$E$19,DATI!$E$6*DATI!$E$16*DATI!$E$23*DATI!$E$7*(B196/DATI!$E$19+1/(DATI!$E$23*DATI!$E$7)*(1-B196/DATI!$E$19)),IF(B196&lt;DATI!$E$20,DATI!$E$6*DATI!$E$16*DATI!$E$23*DATI!$E$7,IF(B196&lt;DATI!$E$21,DATI!$E$6*DATI!$E$16*DATI!$E$23*DATI!$E$7*(DATI!$E$20/B196),DATI!$E$6*DATI!$E$16*DATI!$E$23*DATI!$E$7*((DATI!$E$20*DATI!$E$21)/B196^2))))</f>
        <v>0.17696619305095207</v>
      </c>
      <c r="D196" s="237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</row>
    <row r="197" spans="1:19" x14ac:dyDescent="0.25">
      <c r="A197" s="318"/>
      <c r="B197" s="389">
        <f t="shared" si="2"/>
        <v>1.9200000000000015</v>
      </c>
      <c r="C197" s="398">
        <f>1/DATI!$E$12*IF(B197&lt;DATI!$E$19,DATI!$E$6*DATI!$E$16*DATI!$E$23*DATI!$E$7*(B197/DATI!$E$19+1/(DATI!$E$23*DATI!$E$7)*(1-B197/DATI!$E$19)),IF(B197&lt;DATI!$E$20,DATI!$E$6*DATI!$E$16*DATI!$E$23*DATI!$E$7,IF(B197&lt;DATI!$E$21,DATI!$E$6*DATI!$E$16*DATI!$E$23*DATI!$E$7*(DATI!$E$20/B197),DATI!$E$6*DATI!$E$16*DATI!$E$23*DATI!$E$7*((DATI!$E$20*DATI!$E$21)/B197^2))))</f>
        <v>0.17604449412881168</v>
      </c>
      <c r="D197" s="237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</row>
    <row r="198" spans="1:19" x14ac:dyDescent="0.25">
      <c r="A198" s="318"/>
      <c r="B198" s="389">
        <f t="shared" ref="B198:B261" si="3">0.01+B197</f>
        <v>1.9300000000000015</v>
      </c>
      <c r="C198" s="398">
        <f>1/DATI!$E$12*IF(B198&lt;DATI!$E$19,DATI!$E$6*DATI!$E$16*DATI!$E$23*DATI!$E$7*(B198/DATI!$E$19+1/(DATI!$E$23*DATI!$E$7)*(1-B198/DATI!$E$19)),IF(B198&lt;DATI!$E$20,DATI!$E$6*DATI!$E$16*DATI!$E$23*DATI!$E$7,IF(B198&lt;DATI!$E$21,DATI!$E$6*DATI!$E$16*DATI!$E$23*DATI!$E$7*(DATI!$E$20/B198),DATI!$E$6*DATI!$E$16*DATI!$E$23*DATI!$E$7*((DATI!$E$20*DATI!$E$21)/B198^2))))</f>
        <v>0.17513234649083856</v>
      </c>
      <c r="D198" s="237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</row>
    <row r="199" spans="1:19" x14ac:dyDescent="0.25">
      <c r="A199" s="318"/>
      <c r="B199" s="389">
        <f t="shared" si="3"/>
        <v>1.9400000000000015</v>
      </c>
      <c r="C199" s="398">
        <f>1/DATI!$E$12*IF(B199&lt;DATI!$E$19,DATI!$E$6*DATI!$E$16*DATI!$E$23*DATI!$E$7*(B199/DATI!$E$19+1/(DATI!$E$23*DATI!$E$7)*(1-B199/DATI!$E$19)),IF(B199&lt;DATI!$E$20,DATI!$E$6*DATI!$E$16*DATI!$E$23*DATI!$E$7,IF(B199&lt;DATI!$E$21,DATI!$E$6*DATI!$E$16*DATI!$E$23*DATI!$E$7*(DATI!$E$20/B199),DATI!$E$6*DATI!$E$16*DATI!$E$23*DATI!$E$7*((DATI!$E$20*DATI!$E$21)/B199^2))))</f>
        <v>0.17422960243676208</v>
      </c>
      <c r="D199" s="237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</row>
    <row r="200" spans="1:19" x14ac:dyDescent="0.25">
      <c r="A200" s="318"/>
      <c r="B200" s="389">
        <f t="shared" si="3"/>
        <v>1.9500000000000015</v>
      </c>
      <c r="C200" s="398">
        <f>1/DATI!$E$12*IF(B200&lt;DATI!$E$19,DATI!$E$6*DATI!$E$16*DATI!$E$23*DATI!$E$7*(B200/DATI!$E$19+1/(DATI!$E$23*DATI!$E$7)*(1-B200/DATI!$E$19)),IF(B200&lt;DATI!$E$20,DATI!$E$6*DATI!$E$16*DATI!$E$23*DATI!$E$7,IF(B200&lt;DATI!$E$21,DATI!$E$6*DATI!$E$16*DATI!$E$23*DATI!$E$7*(DATI!$E$20/B200),DATI!$E$6*DATI!$E$16*DATI!$E$23*DATI!$E$7*((DATI!$E$20*DATI!$E$21)/B200^2))))</f>
        <v>0.17333611729606074</v>
      </c>
      <c r="D200" s="237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</row>
    <row r="201" spans="1:19" x14ac:dyDescent="0.25">
      <c r="A201" s="318"/>
      <c r="B201" s="389">
        <f t="shared" si="3"/>
        <v>1.9600000000000015</v>
      </c>
      <c r="C201" s="398">
        <f>1/DATI!$E$12*IF(B201&lt;DATI!$E$19,DATI!$E$6*DATI!$E$16*DATI!$E$23*DATI!$E$7*(B201/DATI!$E$19+1/(DATI!$E$23*DATI!$E$7)*(1-B201/DATI!$E$19)),IF(B201&lt;DATI!$E$20,DATI!$E$6*DATI!$E$16*DATI!$E$23*DATI!$E$7,IF(B201&lt;DATI!$E$21,DATI!$E$6*DATI!$E$16*DATI!$E$23*DATI!$E$7*(DATI!$E$20/B201),DATI!$E$6*DATI!$E$16*DATI!$E$23*DATI!$E$7*((DATI!$E$20*DATI!$E$21)/B201^2))))</f>
        <v>0.17245174935067267</v>
      </c>
      <c r="D201" s="237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</row>
    <row r="202" spans="1:19" x14ac:dyDescent="0.25">
      <c r="A202" s="318"/>
      <c r="B202" s="389">
        <f t="shared" si="3"/>
        <v>1.9700000000000015</v>
      </c>
      <c r="C202" s="398">
        <f>1/DATI!$E$12*IF(B202&lt;DATI!$E$19,DATI!$E$6*DATI!$E$16*DATI!$E$23*DATI!$E$7*(B202/DATI!$E$19+1/(DATI!$E$23*DATI!$E$7)*(1-B202/DATI!$E$19)),IF(B202&lt;DATI!$E$20,DATI!$E$6*DATI!$E$16*DATI!$E$23*DATI!$E$7,IF(B202&lt;DATI!$E$21,DATI!$E$6*DATI!$E$16*DATI!$E$23*DATI!$E$7*(DATI!$E$20/B202),DATI!$E$6*DATI!$E$16*DATI!$E$23*DATI!$E$7*((DATI!$E$20*DATI!$E$21)/B202^2))))</f>
        <v>0.17157635976006011</v>
      </c>
      <c r="D202" s="237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</row>
    <row r="203" spans="1:19" x14ac:dyDescent="0.25">
      <c r="A203" s="318"/>
      <c r="B203" s="389">
        <f t="shared" si="3"/>
        <v>1.9800000000000015</v>
      </c>
      <c r="C203" s="398">
        <f>1/DATI!$E$12*IF(B203&lt;DATI!$E$19,DATI!$E$6*DATI!$E$16*DATI!$E$23*DATI!$E$7*(B203/DATI!$E$19+1/(DATI!$E$23*DATI!$E$7)*(1-B203/DATI!$E$19)),IF(B203&lt;DATI!$E$20,DATI!$E$6*DATI!$E$16*DATI!$E$23*DATI!$E$7,IF(B203&lt;DATI!$E$21,DATI!$E$6*DATI!$E$16*DATI!$E$23*DATI!$E$7*(DATI!$E$20/B203),DATI!$E$6*DATI!$E$16*DATI!$E$23*DATI!$E$7*((DATI!$E$20*DATI!$E$21)/B203^2))))</f>
        <v>0.17070981248854467</v>
      </c>
      <c r="D203" s="237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</row>
    <row r="204" spans="1:19" x14ac:dyDescent="0.25">
      <c r="A204" s="318"/>
      <c r="B204" s="389">
        <f t="shared" si="3"/>
        <v>1.9900000000000015</v>
      </c>
      <c r="C204" s="398">
        <f>1/DATI!$E$12*IF(B204&lt;DATI!$E$19,DATI!$E$6*DATI!$E$16*DATI!$E$23*DATI!$E$7*(B204/DATI!$E$19+1/(DATI!$E$23*DATI!$E$7)*(1-B204/DATI!$E$19)),IF(B204&lt;DATI!$E$20,DATI!$E$6*DATI!$E$16*DATI!$E$23*DATI!$E$7,IF(B204&lt;DATI!$E$21,DATI!$E$6*DATI!$E$16*DATI!$E$23*DATI!$E$7*(DATI!$E$20/B204),DATI!$E$6*DATI!$E$16*DATI!$E$23*DATI!$E$7*((DATI!$E$20*DATI!$E$21)/B204^2))))</f>
        <v>0.16985197423483336</v>
      </c>
      <c r="D204" s="237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</row>
    <row r="205" spans="1:19" x14ac:dyDescent="0.25">
      <c r="A205" s="318"/>
      <c r="B205" s="389">
        <f t="shared" si="3"/>
        <v>2.0000000000000013</v>
      </c>
      <c r="C205" s="398">
        <f>1/DATI!$E$12*IF(B205&lt;DATI!$E$19,DATI!$E$6*DATI!$E$16*DATI!$E$23*DATI!$E$7*(B205/DATI!$E$19+1/(DATI!$E$23*DATI!$E$7)*(1-B205/DATI!$E$19)),IF(B205&lt;DATI!$E$20,DATI!$E$6*DATI!$E$16*DATI!$E$23*DATI!$E$7,IF(B205&lt;DATI!$E$21,DATI!$E$6*DATI!$E$16*DATI!$E$23*DATI!$E$7*(DATI!$E$20/B205),DATI!$E$6*DATI!$E$16*DATI!$E$23*DATI!$E$7*((DATI!$E$20*DATI!$E$21)/B205^2))))</f>
        <v>0.16900271436365924</v>
      </c>
      <c r="D205" s="237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</row>
    <row r="206" spans="1:19" x14ac:dyDescent="0.25">
      <c r="A206" s="318"/>
      <c r="B206" s="389">
        <f t="shared" si="3"/>
        <v>2.0100000000000011</v>
      </c>
      <c r="C206" s="398">
        <f>1/DATI!$E$12*IF(B206&lt;DATI!$E$19,DATI!$E$6*DATI!$E$16*DATI!$E$23*DATI!$E$7*(B206/DATI!$E$19+1/(DATI!$E$23*DATI!$E$7)*(1-B206/DATI!$E$19)),IF(B206&lt;DATI!$E$20,DATI!$E$6*DATI!$E$16*DATI!$E$23*DATI!$E$7,IF(B206&lt;DATI!$E$21,DATI!$E$6*DATI!$E$16*DATI!$E$23*DATI!$E$7*(DATI!$E$20/B206),DATI!$E$6*DATI!$E$16*DATI!$E$23*DATI!$E$7*((DATI!$E$20*DATI!$E$21)/B206^2))))</f>
        <v>0.16816190483946195</v>
      </c>
      <c r="D206" s="237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</row>
    <row r="207" spans="1:19" x14ac:dyDescent="0.25">
      <c r="A207" s="318"/>
      <c r="B207" s="389">
        <f t="shared" si="3"/>
        <v>2.0200000000000009</v>
      </c>
      <c r="C207" s="398">
        <f>1/DATI!$E$12*IF(B207&lt;DATI!$E$19,DATI!$E$6*DATI!$E$16*DATI!$E$23*DATI!$E$7*(B207/DATI!$E$19+1/(DATI!$E$23*DATI!$E$7)*(1-B207/DATI!$E$19)),IF(B207&lt;DATI!$E$20,DATI!$E$6*DATI!$E$16*DATI!$E$23*DATI!$E$7,IF(B207&lt;DATI!$E$21,DATI!$E$6*DATI!$E$16*DATI!$E$23*DATI!$E$7*(DATI!$E$20/B207),DATI!$E$6*DATI!$E$16*DATI!$E$23*DATI!$E$7*((DATI!$E$20*DATI!$E$21)/B207^2))))</f>
        <v>0.16732942016203886</v>
      </c>
      <c r="D207" s="237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</row>
    <row r="208" spans="1:19" x14ac:dyDescent="0.25">
      <c r="A208" s="318"/>
      <c r="B208" s="389">
        <f t="shared" si="3"/>
        <v>2.0300000000000007</v>
      </c>
      <c r="C208" s="398">
        <f>1/DATI!$E$12*IF(B208&lt;DATI!$E$19,DATI!$E$6*DATI!$E$16*DATI!$E$23*DATI!$E$7*(B208/DATI!$E$19+1/(DATI!$E$23*DATI!$E$7)*(1-B208/DATI!$E$19)),IF(B208&lt;DATI!$E$20,DATI!$E$6*DATI!$E$16*DATI!$E$23*DATI!$E$7,IF(B208&lt;DATI!$E$21,DATI!$E$6*DATI!$E$16*DATI!$E$23*DATI!$E$7*(DATI!$E$20/B208),DATI!$E$6*DATI!$E$16*DATI!$E$23*DATI!$E$7*((DATI!$E$20*DATI!$E$21)/B208^2))))</f>
        <v>0.1665051373040978</v>
      </c>
      <c r="D208" s="237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</row>
    <row r="209" spans="1:19" x14ac:dyDescent="0.25">
      <c r="A209" s="318"/>
      <c r="B209" s="389">
        <f t="shared" si="3"/>
        <v>2.0400000000000005</v>
      </c>
      <c r="C209" s="398">
        <f>1/DATI!$E$12*IF(B209&lt;DATI!$E$19,DATI!$E$6*DATI!$E$16*DATI!$E$23*DATI!$E$7*(B209/DATI!$E$19+1/(DATI!$E$23*DATI!$E$7)*(1-B209/DATI!$E$19)),IF(B209&lt;DATI!$E$20,DATI!$E$6*DATI!$E$16*DATI!$E$23*DATI!$E$7,IF(B209&lt;DATI!$E$21,DATI!$E$6*DATI!$E$16*DATI!$E$23*DATI!$E$7*(DATI!$E$20/B209),DATI!$E$6*DATI!$E$16*DATI!$E$23*DATI!$E$7*((DATI!$E$20*DATI!$E$21)/B209^2))))</f>
        <v>0.16568893565064638</v>
      </c>
      <c r="D209" s="237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</row>
    <row r="210" spans="1:19" x14ac:dyDescent="0.25">
      <c r="A210" s="318"/>
      <c r="B210" s="389">
        <f t="shared" si="3"/>
        <v>2.0500000000000003</v>
      </c>
      <c r="C210" s="398">
        <f>1/DATI!$E$12*IF(B210&lt;DATI!$E$19,DATI!$E$6*DATI!$E$16*DATI!$E$23*DATI!$E$7*(B210/DATI!$E$19+1/(DATI!$E$23*DATI!$E$7)*(1-B210/DATI!$E$19)),IF(B210&lt;DATI!$E$20,DATI!$E$6*DATI!$E$16*DATI!$E$23*DATI!$E$7,IF(B210&lt;DATI!$E$21,DATI!$E$6*DATI!$E$16*DATI!$E$23*DATI!$E$7*(DATI!$E$20/B210),DATI!$E$6*DATI!$E$16*DATI!$E$23*DATI!$E$7*((DATI!$E$20*DATI!$E$21)/B210^2))))</f>
        <v>0.16488069694015542</v>
      </c>
      <c r="D210" s="237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</row>
    <row r="211" spans="1:19" x14ac:dyDescent="0.25">
      <c r="A211" s="318"/>
      <c r="B211" s="389">
        <f t="shared" si="3"/>
        <v>2.06</v>
      </c>
      <c r="C211" s="398">
        <f>1/DATI!$E$12*IF(B211&lt;DATI!$E$19,DATI!$E$6*DATI!$E$16*DATI!$E$23*DATI!$E$7*(B211/DATI!$E$19+1/(DATI!$E$23*DATI!$E$7)*(1-B211/DATI!$E$19)),IF(B211&lt;DATI!$E$20,DATI!$E$6*DATI!$E$16*DATI!$E$23*DATI!$E$7,IF(B211&lt;DATI!$E$21,DATI!$E$6*DATI!$E$16*DATI!$E$23*DATI!$E$7*(DATI!$E$20/B211),DATI!$E$6*DATI!$E$16*DATI!$E$23*DATI!$E$7*((DATI!$E$20*DATI!$E$21)/B211^2))))</f>
        <v>0.16408030520743624</v>
      </c>
      <c r="D211" s="237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</row>
    <row r="212" spans="1:19" x14ac:dyDescent="0.25">
      <c r="A212" s="318"/>
      <c r="B212" s="389">
        <f t="shared" si="3"/>
        <v>2.0699999999999998</v>
      </c>
      <c r="C212" s="398">
        <f>1/DATI!$E$12*IF(B212&lt;DATI!$E$19,DATI!$E$6*DATI!$E$16*DATI!$E$23*DATI!$E$7*(B212/DATI!$E$19+1/(DATI!$E$23*DATI!$E$7)*(1-B212/DATI!$E$19)),IF(B212&lt;DATI!$E$20,DATI!$E$6*DATI!$E$16*DATI!$E$23*DATI!$E$7,IF(B212&lt;DATI!$E$21,DATI!$E$6*DATI!$E$16*DATI!$E$23*DATI!$E$7*(DATI!$E$20/B212),DATI!$E$6*DATI!$E$16*DATI!$E$23*DATI!$E$7*((DATI!$E$20*DATI!$E$21)/B212^2))))</f>
        <v>0.16328764672817331</v>
      </c>
      <c r="D212" s="237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8"/>
      <c r="P212" s="318"/>
      <c r="Q212" s="318"/>
      <c r="R212" s="318"/>
      <c r="S212" s="318"/>
    </row>
    <row r="213" spans="1:19" x14ac:dyDescent="0.25">
      <c r="A213" s="318"/>
      <c r="B213" s="389">
        <f t="shared" si="3"/>
        <v>2.0799999999999996</v>
      </c>
      <c r="C213" s="398">
        <f>1/DATI!$E$12*IF(B213&lt;DATI!$E$19,DATI!$E$6*DATI!$E$16*DATI!$E$23*DATI!$E$7*(B213/DATI!$E$19+1/(DATI!$E$23*DATI!$E$7)*(1-B213/DATI!$E$19)),IF(B213&lt;DATI!$E$20,DATI!$E$6*DATI!$E$16*DATI!$E$23*DATI!$E$7,IF(B213&lt;DATI!$E$21,DATI!$E$6*DATI!$E$16*DATI!$E$23*DATI!$E$7*(DATI!$E$20/B213),DATI!$E$6*DATI!$E$16*DATI!$E$23*DATI!$E$7*((DATI!$E$20*DATI!$E$21)/B213^2))))</f>
        <v>0.16250260996505708</v>
      </c>
      <c r="D213" s="237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</row>
    <row r="214" spans="1:19" x14ac:dyDescent="0.25">
      <c r="A214" s="318"/>
      <c r="B214" s="389">
        <f t="shared" si="3"/>
        <v>2.0899999999999994</v>
      </c>
      <c r="C214" s="398">
        <f>1/DATI!$E$12*IF(B214&lt;DATI!$E$19,DATI!$E$6*DATI!$E$16*DATI!$E$23*DATI!$E$7*(B214/DATI!$E$19+1/(DATI!$E$23*DATI!$E$7)*(1-B214/DATI!$E$19)),IF(B214&lt;DATI!$E$20,DATI!$E$6*DATI!$E$16*DATI!$E$23*DATI!$E$7,IF(B214&lt;DATI!$E$21,DATI!$E$6*DATI!$E$16*DATI!$E$23*DATI!$E$7*(DATI!$E$20/B214),DATI!$E$6*DATI!$E$16*DATI!$E$23*DATI!$E$7*((DATI!$E$20*DATI!$E$21)/B214^2))))</f>
        <v>0.16172508551546355</v>
      </c>
      <c r="D214" s="237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</row>
    <row r="215" spans="1:19" x14ac:dyDescent="0.25">
      <c r="A215" s="318"/>
      <c r="B215" s="389">
        <f t="shared" si="3"/>
        <v>2.0999999999999992</v>
      </c>
      <c r="C215" s="398">
        <f>1/DATI!$E$12*IF(B215&lt;DATI!$E$19,DATI!$E$6*DATI!$E$16*DATI!$E$23*DATI!$E$7*(B215/DATI!$E$19+1/(DATI!$E$23*DATI!$E$7)*(1-B215/DATI!$E$19)),IF(B215&lt;DATI!$E$20,DATI!$E$6*DATI!$E$16*DATI!$E$23*DATI!$E$7,IF(B215&lt;DATI!$E$21,DATI!$E$6*DATI!$E$16*DATI!$E$23*DATI!$E$7*(DATI!$E$20/B215),DATI!$E$6*DATI!$E$16*DATI!$E$23*DATI!$E$7*((DATI!$E$20*DATI!$E$21)/B215^2))))</f>
        <v>0.16095496606062801</v>
      </c>
      <c r="D215" s="237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</row>
    <row r="216" spans="1:19" x14ac:dyDescent="0.25">
      <c r="A216" s="318"/>
      <c r="B216" s="389">
        <f t="shared" si="3"/>
        <v>2.109999999999999</v>
      </c>
      <c r="C216" s="398">
        <f>1/DATI!$E$12*IF(B216&lt;DATI!$E$19,DATI!$E$6*DATI!$E$16*DATI!$E$23*DATI!$E$7*(B216/DATI!$E$19+1/(DATI!$E$23*DATI!$E$7)*(1-B216/DATI!$E$19)),IF(B216&lt;DATI!$E$20,DATI!$E$6*DATI!$E$16*DATI!$E$23*DATI!$E$7,IF(B216&lt;DATI!$E$21,DATI!$E$6*DATI!$E$16*DATI!$E$23*DATI!$E$7*(DATI!$E$20/B216),DATI!$E$6*DATI!$E$16*DATI!$E$23*DATI!$E$7*((DATI!$E$20*DATI!$E$21)/B216^2))))</f>
        <v>0.16019214631626486</v>
      </c>
      <c r="D216" s="237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</row>
    <row r="217" spans="1:19" x14ac:dyDescent="0.25">
      <c r="A217" s="318"/>
      <c r="B217" s="389">
        <f t="shared" si="3"/>
        <v>2.1199999999999988</v>
      </c>
      <c r="C217" s="398">
        <f>1/DATI!$E$12*IF(B217&lt;DATI!$E$19,DATI!$E$6*DATI!$E$16*DATI!$E$23*DATI!$E$7*(B217/DATI!$E$19+1/(DATI!$E$23*DATI!$E$7)*(1-B217/DATI!$E$19)),IF(B217&lt;DATI!$E$20,DATI!$E$6*DATI!$E$16*DATI!$E$23*DATI!$E$7,IF(B217&lt;DATI!$E$21,DATI!$E$6*DATI!$E$16*DATI!$E$23*DATI!$E$7*(DATI!$E$20/B217),DATI!$E$6*DATI!$E$16*DATI!$E$23*DATI!$E$7*((DATI!$E$20*DATI!$E$21)/B217^2))))</f>
        <v>0.15943652298458438</v>
      </c>
      <c r="D217" s="237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</row>
    <row r="218" spans="1:19" x14ac:dyDescent="0.25">
      <c r="A218" s="318"/>
      <c r="B218" s="389">
        <f t="shared" si="3"/>
        <v>2.1299999999999986</v>
      </c>
      <c r="C218" s="398">
        <f>1/DATI!$E$12*IF(B218&lt;DATI!$E$19,DATI!$E$6*DATI!$E$16*DATI!$E$23*DATI!$E$7*(B218/DATI!$E$19+1/(DATI!$E$23*DATI!$E$7)*(1-B218/DATI!$E$19)),IF(B218&lt;DATI!$E$20,DATI!$E$6*DATI!$E$16*DATI!$E$23*DATI!$E$7,IF(B218&lt;DATI!$E$21,DATI!$E$6*DATI!$E$16*DATI!$E$23*DATI!$E$7*(DATI!$E$20/B218),DATI!$E$6*DATI!$E$16*DATI!$E$23*DATI!$E$7*((DATI!$E$20*DATI!$E$21)/B218^2))))</f>
        <v>0.15868799470766146</v>
      </c>
      <c r="D218" s="237"/>
      <c r="E218" s="318"/>
      <c r="F218" s="318"/>
      <c r="G218" s="318"/>
      <c r="H218" s="318"/>
      <c r="I218" s="318"/>
      <c r="J218" s="318"/>
      <c r="K218" s="318"/>
      <c r="L218" s="318"/>
      <c r="M218" s="318"/>
      <c r="N218" s="318"/>
      <c r="O218" s="318"/>
      <c r="P218" s="318"/>
      <c r="Q218" s="318"/>
      <c r="R218" s="318"/>
      <c r="S218" s="318"/>
    </row>
    <row r="219" spans="1:19" x14ac:dyDescent="0.25">
      <c r="A219" s="318"/>
      <c r="B219" s="389">
        <f t="shared" si="3"/>
        <v>2.1399999999999983</v>
      </c>
      <c r="C219" s="398">
        <f>1/DATI!$E$12*IF(B219&lt;DATI!$E$19,DATI!$E$6*DATI!$E$16*DATI!$E$23*DATI!$E$7*(B219/DATI!$E$19+1/(DATI!$E$23*DATI!$E$7)*(1-B219/DATI!$E$19)),IF(B219&lt;DATI!$E$20,DATI!$E$6*DATI!$E$16*DATI!$E$23*DATI!$E$7,IF(B219&lt;DATI!$E$21,DATI!$E$6*DATI!$E$16*DATI!$E$23*DATI!$E$7*(DATI!$E$20/B219),DATI!$E$6*DATI!$E$16*DATI!$E$23*DATI!$E$7*((DATI!$E$20*DATI!$E$21)/B219^2))))</f>
        <v>0.15794646202211168</v>
      </c>
      <c r="D219" s="237"/>
      <c r="E219" s="318"/>
      <c r="F219" s="318"/>
      <c r="G219" s="318"/>
      <c r="H219" s="318"/>
      <c r="I219" s="318"/>
      <c r="J219" s="318"/>
      <c r="K219" s="318"/>
      <c r="L219" s="318"/>
      <c r="M219" s="318"/>
      <c r="N219" s="318"/>
      <c r="O219" s="318"/>
      <c r="P219" s="318"/>
      <c r="Q219" s="318"/>
      <c r="R219" s="318"/>
      <c r="S219" s="318"/>
    </row>
    <row r="220" spans="1:19" x14ac:dyDescent="0.25">
      <c r="A220" s="318"/>
      <c r="B220" s="389">
        <f t="shared" si="3"/>
        <v>2.1499999999999981</v>
      </c>
      <c r="C220" s="398">
        <f>1/DATI!$E$12*IF(B220&lt;DATI!$E$19,DATI!$E$6*DATI!$E$16*DATI!$E$23*DATI!$E$7*(B220/DATI!$E$19+1/(DATI!$E$23*DATI!$E$7)*(1-B220/DATI!$E$19)),IF(B220&lt;DATI!$E$20,DATI!$E$6*DATI!$E$16*DATI!$E$23*DATI!$E$7,IF(B220&lt;DATI!$E$21,DATI!$E$6*DATI!$E$16*DATI!$E$23*DATI!$E$7*(DATI!$E$20/B220),DATI!$E$6*DATI!$E$16*DATI!$E$23*DATI!$E$7*((DATI!$E$20*DATI!$E$21)/B220^2))))</f>
        <v>0.15721182731503208</v>
      </c>
      <c r="D220" s="237"/>
      <c r="E220" s="318"/>
      <c r="F220" s="318"/>
      <c r="G220" s="318"/>
      <c r="H220" s="318"/>
      <c r="I220" s="318"/>
      <c r="J220" s="318"/>
      <c r="K220" s="318"/>
      <c r="L220" s="318"/>
      <c r="M220" s="318"/>
      <c r="N220" s="318"/>
      <c r="O220" s="318"/>
      <c r="P220" s="318"/>
      <c r="Q220" s="318"/>
      <c r="R220" s="318"/>
      <c r="S220" s="318"/>
    </row>
    <row r="221" spans="1:19" x14ac:dyDescent="0.25">
      <c r="A221" s="318"/>
      <c r="B221" s="389">
        <f t="shared" si="3"/>
        <v>2.1599999999999979</v>
      </c>
      <c r="C221" s="398">
        <f>1/DATI!$E$12*IF(B221&lt;DATI!$E$19,DATI!$E$6*DATI!$E$16*DATI!$E$23*DATI!$E$7*(B221/DATI!$E$19+1/(DATI!$E$23*DATI!$E$7)*(1-B221/DATI!$E$19)),IF(B221&lt;DATI!$E$20,DATI!$E$6*DATI!$E$16*DATI!$E$23*DATI!$E$7,IF(B221&lt;DATI!$E$21,DATI!$E$6*DATI!$E$16*DATI!$E$23*DATI!$E$7*(DATI!$E$20/B221),DATI!$E$6*DATI!$E$16*DATI!$E$23*DATI!$E$7*((DATI!$E$20*DATI!$E$21)/B221^2))))</f>
        <v>0.1564839947811662</v>
      </c>
      <c r="D221" s="237"/>
      <c r="E221" s="318"/>
      <c r="F221" s="318"/>
      <c r="G221" s="318"/>
      <c r="H221" s="318"/>
      <c r="I221" s="318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</row>
    <row r="222" spans="1:19" x14ac:dyDescent="0.25">
      <c r="A222" s="318"/>
      <c r="B222" s="389">
        <f t="shared" si="3"/>
        <v>2.1699999999999977</v>
      </c>
      <c r="C222" s="398">
        <f>1/DATI!$E$12*IF(B222&lt;DATI!$E$19,DATI!$E$6*DATI!$E$16*DATI!$E$23*DATI!$E$7*(B222/DATI!$E$19+1/(DATI!$E$23*DATI!$E$7)*(1-B222/DATI!$E$19)),IF(B222&lt;DATI!$E$20,DATI!$E$6*DATI!$E$16*DATI!$E$23*DATI!$E$7,IF(B222&lt;DATI!$E$21,DATI!$E$6*DATI!$E$16*DATI!$E$23*DATI!$E$7*(DATI!$E$20/B222),DATI!$E$6*DATI!$E$16*DATI!$E$23*DATI!$E$7*((DATI!$E$20*DATI!$E$21)/B222^2))))</f>
        <v>0.15576287038125303</v>
      </c>
      <c r="D222" s="237"/>
      <c r="E222" s="318"/>
      <c r="F222" s="318"/>
      <c r="G222" s="318"/>
      <c r="H222" s="318"/>
      <c r="I222" s="318"/>
      <c r="J222" s="318"/>
      <c r="K222" s="318"/>
      <c r="L222" s="318"/>
      <c r="M222" s="318"/>
      <c r="N222" s="318"/>
      <c r="O222" s="318"/>
      <c r="P222" s="318"/>
      <c r="Q222" s="318"/>
      <c r="R222" s="318"/>
      <c r="S222" s="318"/>
    </row>
    <row r="223" spans="1:19" x14ac:dyDescent="0.25">
      <c r="A223" s="318"/>
      <c r="B223" s="389">
        <f t="shared" si="3"/>
        <v>2.1799999999999975</v>
      </c>
      <c r="C223" s="398">
        <f>1/DATI!$E$12*IF(B223&lt;DATI!$E$19,DATI!$E$6*DATI!$E$16*DATI!$E$23*DATI!$E$7*(B223/DATI!$E$19+1/(DATI!$E$23*DATI!$E$7)*(1-B223/DATI!$E$19)),IF(B223&lt;DATI!$E$20,DATI!$E$6*DATI!$E$16*DATI!$E$23*DATI!$E$7,IF(B223&lt;DATI!$E$21,DATI!$E$6*DATI!$E$16*DATI!$E$23*DATI!$E$7*(DATI!$E$20/B223),DATI!$E$6*DATI!$E$16*DATI!$E$23*DATI!$E$7*((DATI!$E$20*DATI!$E$21)/B223^2))))</f>
        <v>0.15504836180152251</v>
      </c>
      <c r="D223" s="237"/>
      <c r="E223" s="318"/>
      <c r="F223" s="318"/>
      <c r="G223" s="318"/>
      <c r="H223" s="318"/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</row>
    <row r="224" spans="1:19" x14ac:dyDescent="0.25">
      <c r="A224" s="318"/>
      <c r="B224" s="389">
        <f t="shared" si="3"/>
        <v>2.1899999999999973</v>
      </c>
      <c r="C224" s="398">
        <f>1/DATI!$E$12*IF(B224&lt;DATI!$E$19,DATI!$E$6*DATI!$E$16*DATI!$E$23*DATI!$E$7*(B224/DATI!$E$19+1/(DATI!$E$23*DATI!$E$7)*(1-B224/DATI!$E$19)),IF(B224&lt;DATI!$E$20,DATI!$E$6*DATI!$E$16*DATI!$E$23*DATI!$E$7,IF(B224&lt;DATI!$E$21,DATI!$E$6*DATI!$E$16*DATI!$E$23*DATI!$E$7*(DATI!$E$20/B224),DATI!$E$6*DATI!$E$16*DATI!$E$23*DATI!$E$7*((DATI!$E$20*DATI!$E$21)/B224^2))))</f>
        <v>0.15434037841430098</v>
      </c>
      <c r="D224" s="237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</row>
    <row r="225" spans="1:19" x14ac:dyDescent="0.25">
      <c r="A225" s="318"/>
      <c r="B225" s="389">
        <f t="shared" si="3"/>
        <v>2.1999999999999971</v>
      </c>
      <c r="C225" s="398">
        <f>1/DATI!$E$12*IF(B225&lt;DATI!$E$19,DATI!$E$6*DATI!$E$16*DATI!$E$23*DATI!$E$7*(B225/DATI!$E$19+1/(DATI!$E$23*DATI!$E$7)*(1-B225/DATI!$E$19)),IF(B225&lt;DATI!$E$20,DATI!$E$6*DATI!$E$16*DATI!$E$23*DATI!$E$7,IF(B225&lt;DATI!$E$21,DATI!$E$6*DATI!$E$16*DATI!$E$23*DATI!$E$7*(DATI!$E$20/B225),DATI!$E$6*DATI!$E$16*DATI!$E$23*DATI!$E$7*((DATI!$E$20*DATI!$E$21)/B225^2))))</f>
        <v>0.15363883123969052</v>
      </c>
      <c r="D225" s="237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</row>
    <row r="226" spans="1:19" x14ac:dyDescent="0.25">
      <c r="A226" s="318"/>
      <c r="B226" s="389">
        <f t="shared" si="3"/>
        <v>2.2099999999999969</v>
      </c>
      <c r="C226" s="398">
        <f>1/DATI!$E$12*IF(B226&lt;DATI!$E$19,DATI!$E$6*DATI!$E$16*DATI!$E$23*DATI!$E$7*(B226/DATI!$E$19+1/(DATI!$E$23*DATI!$E$7)*(1-B226/DATI!$E$19)),IF(B226&lt;DATI!$E$20,DATI!$E$6*DATI!$E$16*DATI!$E$23*DATI!$E$7,IF(B226&lt;DATI!$E$21,DATI!$E$6*DATI!$E$16*DATI!$E$23*DATI!$E$7*(DATI!$E$20/B226),DATI!$E$6*DATI!$E$16*DATI!$E$23*DATI!$E$7*((DATI!$E$20*DATI!$E$21)/B226^2))))</f>
        <v>0.15294363290828922</v>
      </c>
      <c r="D226" s="237"/>
      <c r="E226" s="318"/>
      <c r="F226" s="318"/>
      <c r="G226" s="318"/>
      <c r="H226" s="318"/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</row>
    <row r="227" spans="1:19" x14ac:dyDescent="0.25">
      <c r="A227" s="318"/>
      <c r="B227" s="389">
        <f t="shared" si="3"/>
        <v>2.2199999999999966</v>
      </c>
      <c r="C227" s="398">
        <f>1/DATI!$E$12*IF(B227&lt;DATI!$E$19,DATI!$E$6*DATI!$E$16*DATI!$E$23*DATI!$E$7*(B227/DATI!$E$19+1/(DATI!$E$23*DATI!$E$7)*(1-B227/DATI!$E$19)),IF(B227&lt;DATI!$E$20,DATI!$E$6*DATI!$E$16*DATI!$E$23*DATI!$E$7,IF(B227&lt;DATI!$E$21,DATI!$E$6*DATI!$E$16*DATI!$E$23*DATI!$E$7*(DATI!$E$20/B227),DATI!$E$6*DATI!$E$16*DATI!$E$23*DATI!$E$7*((DATI!$E$20*DATI!$E$21)/B227^2))))</f>
        <v>0.15225469762491856</v>
      </c>
      <c r="D227" s="237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</row>
    <row r="228" spans="1:19" x14ac:dyDescent="0.25">
      <c r="A228" s="318"/>
      <c r="B228" s="389">
        <f t="shared" si="3"/>
        <v>2.2299999999999964</v>
      </c>
      <c r="C228" s="398">
        <f>1/DATI!$E$12*IF(B228&lt;DATI!$E$19,DATI!$E$6*DATI!$E$16*DATI!$E$23*DATI!$E$7*(B228/DATI!$E$19+1/(DATI!$E$23*DATI!$E$7)*(1-B228/DATI!$E$19)),IF(B228&lt;DATI!$E$20,DATI!$E$6*DATI!$E$16*DATI!$E$23*DATI!$E$7,IF(B228&lt;DATI!$E$21,DATI!$E$6*DATI!$E$16*DATI!$E$23*DATI!$E$7*(DATI!$E$20/B228),DATI!$E$6*DATI!$E$16*DATI!$E$23*DATI!$E$7*((DATI!$E$20*DATI!$E$21)/B228^2))))</f>
        <v>0.15157194113332703</v>
      </c>
      <c r="D228" s="237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</row>
    <row r="229" spans="1:19" x14ac:dyDescent="0.25">
      <c r="A229" s="318"/>
      <c r="B229" s="389">
        <f t="shared" si="3"/>
        <v>2.2399999999999962</v>
      </c>
      <c r="C229" s="398">
        <f>1/DATI!$E$12*IF(B229&lt;DATI!$E$19,DATI!$E$6*DATI!$E$16*DATI!$E$23*DATI!$E$7*(B229/DATI!$E$19+1/(DATI!$E$23*DATI!$E$7)*(1-B229/DATI!$E$19)),IF(B229&lt;DATI!$E$20,DATI!$E$6*DATI!$E$16*DATI!$E$23*DATI!$E$7,IF(B229&lt;DATI!$E$21,DATI!$E$6*DATI!$E$16*DATI!$E$23*DATI!$E$7*(DATI!$E$20/B229),DATI!$E$6*DATI!$E$16*DATI!$E$23*DATI!$E$7*((DATI!$E$20*DATI!$E$21)/B229^2))))</f>
        <v>0.15089528068183894</v>
      </c>
      <c r="D229" s="237"/>
      <c r="E229" s="318"/>
      <c r="F229" s="318"/>
      <c r="G229" s="318"/>
      <c r="H229" s="318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</row>
    <row r="230" spans="1:19" x14ac:dyDescent="0.25">
      <c r="A230" s="318"/>
      <c r="B230" s="389">
        <f t="shared" si="3"/>
        <v>2.249999999999996</v>
      </c>
      <c r="C230" s="398">
        <f>1/DATI!$E$12*IF(B230&lt;DATI!$E$19,DATI!$E$6*DATI!$E$16*DATI!$E$23*DATI!$E$7*(B230/DATI!$E$19+1/(DATI!$E$23*DATI!$E$7)*(1-B230/DATI!$E$19)),IF(B230&lt;DATI!$E$20,DATI!$E$6*DATI!$E$16*DATI!$E$23*DATI!$E$7,IF(B230&lt;DATI!$E$21,DATI!$E$6*DATI!$E$16*DATI!$E$23*DATI!$E$7*(DATI!$E$20/B230),DATI!$E$6*DATI!$E$16*DATI!$E$23*DATI!$E$7*((DATI!$E$20*DATI!$E$21)/B230^2))))</f>
        <v>0.15022463498991967</v>
      </c>
      <c r="D230" s="237"/>
      <c r="E230" s="318"/>
      <c r="F230" s="318"/>
      <c r="G230" s="318"/>
      <c r="H230" s="318"/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</row>
    <row r="231" spans="1:19" x14ac:dyDescent="0.25">
      <c r="A231" s="318"/>
      <c r="B231" s="389">
        <f t="shared" si="3"/>
        <v>2.2599999999999958</v>
      </c>
      <c r="C231" s="398">
        <f>1/DATI!$E$12*IF(B231&lt;DATI!$E$19,DATI!$E$6*DATI!$E$16*DATI!$E$23*DATI!$E$7*(B231/DATI!$E$19+1/(DATI!$E$23*DATI!$E$7)*(1-B231/DATI!$E$19)),IF(B231&lt;DATI!$E$20,DATI!$E$6*DATI!$E$16*DATI!$E$23*DATI!$E$7,IF(B231&lt;DATI!$E$21,DATI!$E$6*DATI!$E$16*DATI!$E$23*DATI!$E$7*(DATI!$E$20/B231),DATI!$E$6*DATI!$E$16*DATI!$E$23*DATI!$E$7*((DATI!$E$20*DATI!$E$21)/B231^2))))</f>
        <v>0.149559924215628</v>
      </c>
      <c r="D231" s="237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</row>
    <row r="232" spans="1:19" x14ac:dyDescent="0.25">
      <c r="A232" s="318"/>
      <c r="B232" s="389">
        <f t="shared" si="3"/>
        <v>2.2699999999999956</v>
      </c>
      <c r="C232" s="398">
        <f>1/DATI!$E$12*IF(B232&lt;DATI!$E$19,DATI!$E$6*DATI!$E$16*DATI!$E$23*DATI!$E$7*(B232/DATI!$E$19+1/(DATI!$E$23*DATI!$E$7)*(1-B232/DATI!$E$19)),IF(B232&lt;DATI!$E$20,DATI!$E$6*DATI!$E$16*DATI!$E$23*DATI!$E$7,IF(B232&lt;DATI!$E$21,DATI!$E$6*DATI!$E$16*DATI!$E$23*DATI!$E$7*(DATI!$E$20/B232),DATI!$E$6*DATI!$E$16*DATI!$E$23*DATI!$E$7*((DATI!$E$20*DATI!$E$21)/B232^2))))</f>
        <v>0.14890106992392921</v>
      </c>
      <c r="D232" s="237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</row>
    <row r="233" spans="1:19" x14ac:dyDescent="0.25">
      <c r="A233" s="318"/>
      <c r="B233" s="389">
        <f t="shared" si="3"/>
        <v>2.2799999999999954</v>
      </c>
      <c r="C233" s="398">
        <f>1/DATI!$E$12*IF(B233&lt;DATI!$E$19,DATI!$E$6*DATI!$E$16*DATI!$E$23*DATI!$E$7*(B233/DATI!$E$19+1/(DATI!$E$23*DATI!$E$7)*(1-B233/DATI!$E$19)),IF(B233&lt;DATI!$E$20,DATI!$E$6*DATI!$E$16*DATI!$E$23*DATI!$E$7,IF(B233&lt;DATI!$E$21,DATI!$E$6*DATI!$E$16*DATI!$E$23*DATI!$E$7*(DATI!$E$20/B233),DATI!$E$6*DATI!$E$16*DATI!$E$23*DATI!$E$7*((DATI!$E$20*DATI!$E$21)/B233^2))))</f>
        <v>0.14824799505584182</v>
      </c>
      <c r="D233" s="237"/>
      <c r="E233" s="318"/>
      <c r="F233" s="318"/>
      <c r="G233" s="318"/>
      <c r="H233" s="318"/>
      <c r="I233" s="318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</row>
    <row r="234" spans="1:19" x14ac:dyDescent="0.25">
      <c r="A234" s="318"/>
      <c r="B234" s="389">
        <f t="shared" si="3"/>
        <v>2.2899999999999952</v>
      </c>
      <c r="C234" s="398">
        <f>1/DATI!$E$12*IF(B234&lt;DATI!$E$19,DATI!$E$6*DATI!$E$16*DATI!$E$23*DATI!$E$7*(B234/DATI!$E$19+1/(DATI!$E$23*DATI!$E$7)*(1-B234/DATI!$E$19)),IF(B234&lt;DATI!$E$20,DATI!$E$6*DATI!$E$16*DATI!$E$23*DATI!$E$7,IF(B234&lt;DATI!$E$21,DATI!$E$6*DATI!$E$16*DATI!$E$23*DATI!$E$7*(DATI!$E$20/B234),DATI!$E$6*DATI!$E$16*DATI!$E$23*DATI!$E$7*((DATI!$E$20*DATI!$E$21)/B234^2))))</f>
        <v>0.14760062389839274</v>
      </c>
      <c r="D234" s="237"/>
      <c r="E234" s="318"/>
      <c r="F234" s="318"/>
      <c r="G234" s="318"/>
      <c r="H234" s="318"/>
      <c r="I234" s="318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</row>
    <row r="235" spans="1:19" x14ac:dyDescent="0.25">
      <c r="A235" s="318"/>
      <c r="B235" s="389">
        <f t="shared" si="3"/>
        <v>2.2999999999999949</v>
      </c>
      <c r="C235" s="398">
        <f>1/DATI!$E$12*IF(B235&lt;DATI!$E$19,DATI!$E$6*DATI!$E$16*DATI!$E$23*DATI!$E$7*(B235/DATI!$E$19+1/(DATI!$E$23*DATI!$E$7)*(1-B235/DATI!$E$19)),IF(B235&lt;DATI!$E$20,DATI!$E$6*DATI!$E$16*DATI!$E$23*DATI!$E$7,IF(B235&lt;DATI!$E$21,DATI!$E$6*DATI!$E$16*DATI!$E$23*DATI!$E$7*(DATI!$E$20/B235),DATI!$E$6*DATI!$E$16*DATI!$E$23*DATI!$E$7*((DATI!$E$20*DATI!$E$21)/B235^2))))</f>
        <v>0.14695888205535629</v>
      </c>
      <c r="D235" s="237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</row>
    <row r="236" spans="1:19" x14ac:dyDescent="0.25">
      <c r="A236" s="318"/>
      <c r="B236" s="389">
        <f t="shared" si="3"/>
        <v>2.3099999999999947</v>
      </c>
      <c r="C236" s="398">
        <f>1/DATI!$E$12*IF(B236&lt;DATI!$E$19,DATI!$E$6*DATI!$E$16*DATI!$E$23*DATI!$E$7*(B236/DATI!$E$19+1/(DATI!$E$23*DATI!$E$7)*(1-B236/DATI!$E$19)),IF(B236&lt;DATI!$E$20,DATI!$E$6*DATI!$E$16*DATI!$E$23*DATI!$E$7,IF(B236&lt;DATI!$E$21,DATI!$E$6*DATI!$E$16*DATI!$E$23*DATI!$E$7*(DATI!$E$20/B236),DATI!$E$6*DATI!$E$16*DATI!$E$23*DATI!$E$7*((DATI!$E$20*DATI!$E$21)/B236^2))))</f>
        <v>0.14632269641875301</v>
      </c>
      <c r="D236" s="237"/>
      <c r="E236" s="318"/>
      <c r="F236" s="318"/>
      <c r="G236" s="318"/>
      <c r="H236" s="318"/>
      <c r="I236" s="318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</row>
    <row r="237" spans="1:19" x14ac:dyDescent="0.25">
      <c r="A237" s="318"/>
      <c r="B237" s="389">
        <f t="shared" si="3"/>
        <v>2.3199999999999945</v>
      </c>
      <c r="C237" s="398">
        <f>1/DATI!$E$12*IF(B237&lt;DATI!$E$19,DATI!$E$6*DATI!$E$16*DATI!$E$23*DATI!$E$7*(B237/DATI!$E$19+1/(DATI!$E$23*DATI!$E$7)*(1-B237/DATI!$E$19)),IF(B237&lt;DATI!$E$20,DATI!$E$6*DATI!$E$16*DATI!$E$23*DATI!$E$7,IF(B237&lt;DATI!$E$21,DATI!$E$6*DATI!$E$16*DATI!$E$23*DATI!$E$7*(DATI!$E$20/B237),DATI!$E$6*DATI!$E$16*DATI!$E$23*DATI!$E$7*((DATI!$E$20*DATI!$E$21)/B237^2))))</f>
        <v>0.14569199514108599</v>
      </c>
      <c r="D237" s="237"/>
      <c r="E237" s="318"/>
      <c r="F237" s="318"/>
      <c r="G237" s="318"/>
      <c r="H237" s="318"/>
      <c r="I237" s="318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</row>
    <row r="238" spans="1:19" x14ac:dyDescent="0.25">
      <c r="A238" s="318"/>
      <c r="B238" s="389">
        <f t="shared" si="3"/>
        <v>2.3299999999999943</v>
      </c>
      <c r="C238" s="398">
        <f>1/DATI!$E$12*IF(B238&lt;DATI!$E$19,DATI!$E$6*DATI!$E$16*DATI!$E$23*DATI!$E$7*(B238/DATI!$E$19+1/(DATI!$E$23*DATI!$E$7)*(1-B238/DATI!$E$19)),IF(B238&lt;DATI!$E$20,DATI!$E$6*DATI!$E$16*DATI!$E$23*DATI!$E$7,IF(B238&lt;DATI!$E$21,DATI!$E$6*DATI!$E$16*DATI!$E$23*DATI!$E$7*(DATI!$E$20/B238),DATI!$E$6*DATI!$E$16*DATI!$E$23*DATI!$E$7*((DATI!$E$20*DATI!$E$21)/B238^2))))</f>
        <v>0.14506670760829166</v>
      </c>
      <c r="D238" s="237"/>
      <c r="E238" s="318"/>
      <c r="F238" s="318"/>
      <c r="G238" s="318"/>
      <c r="H238" s="318"/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</row>
    <row r="239" spans="1:19" x14ac:dyDescent="0.25">
      <c r="A239" s="318"/>
      <c r="B239" s="389">
        <f t="shared" si="3"/>
        <v>2.3399999999999941</v>
      </c>
      <c r="C239" s="398">
        <f>1/DATI!$E$12*IF(B239&lt;DATI!$E$19,DATI!$E$6*DATI!$E$16*DATI!$E$23*DATI!$E$7*(B239/DATI!$E$19+1/(DATI!$E$23*DATI!$E$7)*(1-B239/DATI!$E$19)),IF(B239&lt;DATI!$E$20,DATI!$E$6*DATI!$E$16*DATI!$E$23*DATI!$E$7,IF(B239&lt;DATI!$E$21,DATI!$E$6*DATI!$E$16*DATI!$E$23*DATI!$E$7*(DATI!$E$20/B239),DATI!$E$6*DATI!$E$16*DATI!$E$23*DATI!$E$7*((DATI!$E$20*DATI!$E$21)/B239^2))))</f>
        <v>0.14444676441338442</v>
      </c>
      <c r="D239" s="237"/>
      <c r="E239" s="318"/>
      <c r="F239" s="318"/>
      <c r="G239" s="318"/>
      <c r="H239" s="318"/>
      <c r="I239" s="318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</row>
    <row r="240" spans="1:19" x14ac:dyDescent="0.25">
      <c r="A240" s="318"/>
      <c r="B240" s="389">
        <f t="shared" si="3"/>
        <v>2.3499999999999939</v>
      </c>
      <c r="C240" s="398">
        <f>1/DATI!$E$12*IF(B240&lt;DATI!$E$19,DATI!$E$6*DATI!$E$16*DATI!$E$23*DATI!$E$7*(B240/DATI!$E$19+1/(DATI!$E$23*DATI!$E$7)*(1-B240/DATI!$E$19)),IF(B240&lt;DATI!$E$20,DATI!$E$6*DATI!$E$16*DATI!$E$23*DATI!$E$7,IF(B240&lt;DATI!$E$21,DATI!$E$6*DATI!$E$16*DATI!$E$23*DATI!$E$7*(DATI!$E$20/B240),DATI!$E$6*DATI!$E$16*DATI!$E$23*DATI!$E$7*((DATI!$E$20*DATI!$E$21)/B240^2))))</f>
        <v>0.14383209733077429</v>
      </c>
      <c r="D240" s="237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</row>
    <row r="241" spans="1:19" x14ac:dyDescent="0.25">
      <c r="A241" s="318"/>
      <c r="B241" s="389">
        <f t="shared" si="3"/>
        <v>2.3599999999999937</v>
      </c>
      <c r="C241" s="398">
        <f>1/DATI!$E$12*IF(B241&lt;DATI!$E$19,DATI!$E$6*DATI!$E$16*DATI!$E$23*DATI!$E$7*(B241/DATI!$E$19+1/(DATI!$E$23*DATI!$E$7)*(1-B241/DATI!$E$19)),IF(B241&lt;DATI!$E$20,DATI!$E$6*DATI!$E$16*DATI!$E$23*DATI!$E$7,IF(B241&lt;DATI!$E$21,DATI!$E$6*DATI!$E$16*DATI!$E$23*DATI!$E$7*(DATI!$E$20/B241),DATI!$E$6*DATI!$E$16*DATI!$E$23*DATI!$E$7*((DATI!$E$20*DATI!$E$21)/B241^2))))</f>
        <v>0.1432226392912371</v>
      </c>
      <c r="D241" s="237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</row>
    <row r="242" spans="1:19" x14ac:dyDescent="0.25">
      <c r="A242" s="318"/>
      <c r="B242" s="389">
        <f t="shared" si="3"/>
        <v>2.3699999999999934</v>
      </c>
      <c r="C242" s="398">
        <f>1/DATI!$E$12*IF(B242&lt;DATI!$E$19,DATI!$E$6*DATI!$E$16*DATI!$E$23*DATI!$E$7*(B242/DATI!$E$19+1/(DATI!$E$23*DATI!$E$7)*(1-B242/DATI!$E$19)),IF(B242&lt;DATI!$E$20,DATI!$E$6*DATI!$E$16*DATI!$E$23*DATI!$E$7,IF(B242&lt;DATI!$E$21,DATI!$E$6*DATI!$E$16*DATI!$E$23*DATI!$E$7*(DATI!$E$20/B242),DATI!$E$6*DATI!$E$16*DATI!$E$23*DATI!$E$7*((DATI!$E$20*DATI!$E$21)/B242^2))))</f>
        <v>0.14261832435751881</v>
      </c>
      <c r="D242" s="237"/>
      <c r="E242" s="318"/>
      <c r="F242" s="318"/>
      <c r="G242" s="318"/>
      <c r="H242" s="318"/>
      <c r="I242" s="318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</row>
    <row r="243" spans="1:19" x14ac:dyDescent="0.25">
      <c r="A243" s="318"/>
      <c r="B243" s="389">
        <f t="shared" si="3"/>
        <v>2.3799999999999932</v>
      </c>
      <c r="C243" s="398">
        <f>1/DATI!$E$12*IF(B243&lt;DATI!$E$19,DATI!$E$6*DATI!$E$16*DATI!$E$23*DATI!$E$7*(B243/DATI!$E$19+1/(DATI!$E$23*DATI!$E$7)*(1-B243/DATI!$E$19)),IF(B243&lt;DATI!$E$20,DATI!$E$6*DATI!$E$16*DATI!$E$23*DATI!$E$7,IF(B243&lt;DATI!$E$21,DATI!$E$6*DATI!$E$16*DATI!$E$23*DATI!$E$7*(DATI!$E$20/B243),DATI!$E$6*DATI!$E$16*DATI!$E$23*DATI!$E$7*((DATI!$E$20*DATI!$E$21)/B243^2))))</f>
        <v>0.14201908770055446</v>
      </c>
      <c r="D243" s="237"/>
      <c r="E243" s="318"/>
      <c r="F243" s="318"/>
      <c r="G243" s="318"/>
      <c r="H243" s="318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</row>
    <row r="244" spans="1:19" x14ac:dyDescent="0.25">
      <c r="A244" s="318"/>
      <c r="B244" s="389">
        <f t="shared" si="3"/>
        <v>2.389999999999993</v>
      </c>
      <c r="C244" s="398">
        <f>1/DATI!$E$12*IF(B244&lt;DATI!$E$19,DATI!$E$6*DATI!$E$16*DATI!$E$23*DATI!$E$7*(B244/DATI!$E$19+1/(DATI!$E$23*DATI!$E$7)*(1-B244/DATI!$E$19)),IF(B244&lt;DATI!$E$20,DATI!$E$6*DATI!$E$16*DATI!$E$23*DATI!$E$7,IF(B244&lt;DATI!$E$21,DATI!$E$6*DATI!$E$16*DATI!$E$23*DATI!$E$7*(DATI!$E$20/B244),DATI!$E$6*DATI!$E$16*DATI!$E$23*DATI!$E$7*((DATI!$E$20*DATI!$E$21)/B244^2))))</f>
        <v>0.14142486557628439</v>
      </c>
      <c r="D244" s="237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</row>
    <row r="245" spans="1:19" x14ac:dyDescent="0.25">
      <c r="A245" s="318"/>
      <c r="B245" s="389">
        <f t="shared" si="3"/>
        <v>2.3999999999999928</v>
      </c>
      <c r="C245" s="398">
        <f>1/DATI!$E$12*IF(B245&lt;DATI!$E$19,DATI!$E$6*DATI!$E$16*DATI!$E$23*DATI!$E$7*(B245/DATI!$E$19+1/(DATI!$E$23*DATI!$E$7)*(1-B245/DATI!$E$19)),IF(B245&lt;DATI!$E$20,DATI!$E$6*DATI!$E$16*DATI!$E$23*DATI!$E$7,IF(B245&lt;DATI!$E$21,DATI!$E$6*DATI!$E$16*DATI!$E$23*DATI!$E$7*(DATI!$E$20/B245),DATI!$E$6*DATI!$E$16*DATI!$E$23*DATI!$E$7*((DATI!$E$20*DATI!$E$21)/B245^2))))</f>
        <v>0.14083559530304987</v>
      </c>
      <c r="D245" s="237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</row>
    <row r="246" spans="1:19" x14ac:dyDescent="0.25">
      <c r="A246" s="318"/>
      <c r="B246" s="389">
        <f t="shared" si="3"/>
        <v>2.4099999999999926</v>
      </c>
      <c r="C246" s="398">
        <f>1/DATI!$E$12*IF(B246&lt;DATI!$E$19,DATI!$E$6*DATI!$E$16*DATI!$E$23*DATI!$E$7*(B246/DATI!$E$19+1/(DATI!$E$23*DATI!$E$7)*(1-B246/DATI!$E$19)),IF(B246&lt;DATI!$E$20,DATI!$E$6*DATI!$E$16*DATI!$E$23*DATI!$E$7,IF(B246&lt;DATI!$E$21,DATI!$E$6*DATI!$E$16*DATI!$E$23*DATI!$E$7*(DATI!$E$20/B246),DATI!$E$6*DATI!$E$16*DATI!$E$23*DATI!$E$7*((DATI!$E$20*DATI!$E$21)/B246^2))))</f>
        <v>0.14025121523955175</v>
      </c>
      <c r="D246" s="237"/>
      <c r="E246" s="318"/>
      <c r="F246" s="318"/>
      <c r="G246" s="318"/>
      <c r="H246" s="318"/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</row>
    <row r="247" spans="1:19" x14ac:dyDescent="0.25">
      <c r="A247" s="318"/>
      <c r="B247" s="389">
        <f t="shared" si="3"/>
        <v>2.4199999999999924</v>
      </c>
      <c r="C247" s="398">
        <f>1/DATI!$E$12*IF(B247&lt;DATI!$E$19,DATI!$E$6*DATI!$E$16*DATI!$E$23*DATI!$E$7*(B247/DATI!$E$19+1/(DATI!$E$23*DATI!$E$7)*(1-B247/DATI!$E$19)),IF(B247&lt;DATI!$E$20,DATI!$E$6*DATI!$E$16*DATI!$E$23*DATI!$E$7,IF(B247&lt;DATI!$E$21,DATI!$E$6*DATI!$E$16*DATI!$E$23*DATI!$E$7*(DATI!$E$20/B247),DATI!$E$6*DATI!$E$16*DATI!$E$23*DATI!$E$7*((DATI!$E$20*DATI!$E$21)/B247^2))))</f>
        <v>0.13967166476335527</v>
      </c>
      <c r="D247" s="237"/>
      <c r="E247" s="318"/>
      <c r="F247" s="318"/>
      <c r="G247" s="318"/>
      <c r="H247" s="318"/>
      <c r="I247" s="318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</row>
    <row r="248" spans="1:19" x14ac:dyDescent="0.25">
      <c r="A248" s="318"/>
      <c r="B248" s="389">
        <f t="shared" si="3"/>
        <v>2.4299999999999922</v>
      </c>
      <c r="C248" s="398">
        <f>1/DATI!$E$12*IF(B248&lt;DATI!$E$19,DATI!$E$6*DATI!$E$16*DATI!$E$23*DATI!$E$7*(B248/DATI!$E$19+1/(DATI!$E$23*DATI!$E$7)*(1-B248/DATI!$E$19)),IF(B248&lt;DATI!$E$20,DATI!$E$6*DATI!$E$16*DATI!$E$23*DATI!$E$7,IF(B248&lt;DATI!$E$21,DATI!$E$6*DATI!$E$16*DATI!$E$23*DATI!$E$7*(DATI!$E$20/B248),DATI!$E$6*DATI!$E$16*DATI!$E$23*DATI!$E$7*((DATI!$E$20*DATI!$E$21)/B248^2))))</f>
        <v>0.13909688424992583</v>
      </c>
      <c r="D248" s="237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</row>
    <row r="249" spans="1:19" x14ac:dyDescent="0.25">
      <c r="A249" s="318"/>
      <c r="B249" s="389">
        <f t="shared" si="3"/>
        <v>2.439999999999992</v>
      </c>
      <c r="C249" s="398">
        <f>1/DATI!$E$12*IF(B249&lt;DATI!$E$19,DATI!$E$6*DATI!$E$16*DATI!$E$23*DATI!$E$7*(B249/DATI!$E$19+1/(DATI!$E$23*DATI!$E$7)*(1-B249/DATI!$E$19)),IF(B249&lt;DATI!$E$20,DATI!$E$6*DATI!$E$16*DATI!$E$23*DATI!$E$7,IF(B249&lt;DATI!$E$21,DATI!$E$6*DATI!$E$16*DATI!$E$23*DATI!$E$7*(DATI!$E$20/B249),DATI!$E$6*DATI!$E$16*DATI!$E$23*DATI!$E$7*((DATI!$E$20*DATI!$E$21)/B249^2))))</f>
        <v>0.13852681505218026</v>
      </c>
      <c r="D249" s="237"/>
      <c r="E249" s="318"/>
      <c r="F249" s="318"/>
      <c r="G249" s="318"/>
      <c r="H249" s="318"/>
      <c r="I249" s="318"/>
      <c r="J249" s="318"/>
      <c r="K249" s="318"/>
      <c r="L249" s="318"/>
      <c r="M249" s="318"/>
      <c r="N249" s="318"/>
      <c r="O249" s="318"/>
      <c r="P249" s="318"/>
      <c r="Q249" s="318"/>
      <c r="R249" s="318"/>
      <c r="S249" s="318"/>
    </row>
    <row r="250" spans="1:19" x14ac:dyDescent="0.25">
      <c r="A250" s="318"/>
      <c r="B250" s="389">
        <f t="shared" si="3"/>
        <v>2.4499999999999917</v>
      </c>
      <c r="C250" s="398">
        <f>1/DATI!$E$12*IF(B250&lt;DATI!$E$19,DATI!$E$6*DATI!$E$16*DATI!$E$23*DATI!$E$7*(B250/DATI!$E$19+1/(DATI!$E$23*DATI!$E$7)*(1-B250/DATI!$E$19)),IF(B250&lt;DATI!$E$20,DATI!$E$6*DATI!$E$16*DATI!$E$23*DATI!$E$7,IF(B250&lt;DATI!$E$21,DATI!$E$6*DATI!$E$16*DATI!$E$23*DATI!$E$7*(DATI!$E$20/B250),DATI!$E$6*DATI!$E$16*DATI!$E$23*DATI!$E$7*((DATI!$E$20*DATI!$E$21)/B250^2))))</f>
        <v>0.1379613994805387</v>
      </c>
      <c r="D250" s="237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</row>
    <row r="251" spans="1:19" x14ac:dyDescent="0.25">
      <c r="A251" s="318"/>
      <c r="B251" s="389">
        <f t="shared" si="3"/>
        <v>2.4599999999999915</v>
      </c>
      <c r="C251" s="398">
        <f>1/DATI!$E$12*IF(B251&lt;DATI!$E$19,DATI!$E$6*DATI!$E$16*DATI!$E$23*DATI!$E$7*(B251/DATI!$E$19+1/(DATI!$E$23*DATI!$E$7)*(1-B251/DATI!$E$19)),IF(B251&lt;DATI!$E$20,DATI!$E$6*DATI!$E$16*DATI!$E$23*DATI!$E$7,IF(B251&lt;DATI!$E$21,DATI!$E$6*DATI!$E$16*DATI!$E$23*DATI!$E$7*(DATI!$E$20/B251),DATI!$E$6*DATI!$E$16*DATI!$E$23*DATI!$E$7*((DATI!$E$20*DATI!$E$21)/B251^2))))</f>
        <v>0.13740058078346337</v>
      </c>
      <c r="D251" s="237"/>
      <c r="E251" s="318"/>
      <c r="F251" s="318"/>
      <c r="G251" s="318"/>
      <c r="H251" s="318"/>
      <c r="I251" s="318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</row>
    <row r="252" spans="1:19" x14ac:dyDescent="0.25">
      <c r="A252" s="318"/>
      <c r="B252" s="389">
        <f t="shared" si="3"/>
        <v>2.4699999999999913</v>
      </c>
      <c r="C252" s="398">
        <f>1/DATI!$E$12*IF(B252&lt;DATI!$E$19,DATI!$E$6*DATI!$E$16*DATI!$E$23*DATI!$E$7*(B252/DATI!$E$19+1/(DATI!$E$23*DATI!$E$7)*(1-B252/DATI!$E$19)),IF(B252&lt;DATI!$E$20,DATI!$E$6*DATI!$E$16*DATI!$E$23*DATI!$E$7,IF(B252&lt;DATI!$E$21,DATI!$E$6*DATI!$E$16*DATI!$E$23*DATI!$E$7*(DATI!$E$20/B252),DATI!$E$6*DATI!$E$16*DATI!$E$23*DATI!$E$7*((DATI!$E$20*DATI!$E$21)/B252^2))))</f>
        <v>0.13684430312846957</v>
      </c>
      <c r="D252" s="237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</row>
    <row r="253" spans="1:19" x14ac:dyDescent="0.25">
      <c r="A253" s="318"/>
      <c r="B253" s="389">
        <f t="shared" si="3"/>
        <v>2.4799999999999911</v>
      </c>
      <c r="C253" s="398">
        <f>1/DATI!$E$12*IF(B253&lt;DATI!$E$19,DATI!$E$6*DATI!$E$16*DATI!$E$23*DATI!$E$7*(B253/DATI!$E$19+1/(DATI!$E$23*DATI!$E$7)*(1-B253/DATI!$E$19)),IF(B253&lt;DATI!$E$20,DATI!$E$6*DATI!$E$16*DATI!$E$23*DATI!$E$7,IF(B253&lt;DATI!$E$21,DATI!$E$6*DATI!$E$16*DATI!$E$23*DATI!$E$7*(DATI!$E$20/B253),DATI!$E$6*DATI!$E$16*DATI!$E$23*DATI!$E$7*((DATI!$E$20*DATI!$E$21)/B253^2))))</f>
        <v>0.13629251158359673</v>
      </c>
      <c r="D253" s="237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</row>
    <row r="254" spans="1:19" x14ac:dyDescent="0.25">
      <c r="A254" s="318"/>
      <c r="B254" s="389">
        <f t="shared" si="3"/>
        <v>2.4899999999999909</v>
      </c>
      <c r="C254" s="398">
        <f>1/DATI!$E$12*IF(B254&lt;DATI!$E$19,DATI!$E$6*DATI!$E$16*DATI!$E$23*DATI!$E$7*(B254/DATI!$E$19+1/(DATI!$E$23*DATI!$E$7)*(1-B254/DATI!$E$19)),IF(B254&lt;DATI!$E$20,DATI!$E$6*DATI!$E$16*DATI!$E$23*DATI!$E$7,IF(B254&lt;DATI!$E$21,DATI!$E$6*DATI!$E$16*DATI!$E$23*DATI!$E$7*(DATI!$E$20/B254),DATI!$E$6*DATI!$E$16*DATI!$E$23*DATI!$E$7*((DATI!$E$20*DATI!$E$21)/B254^2))))</f>
        <v>0.13574515209932528</v>
      </c>
      <c r="D254" s="237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</row>
    <row r="255" spans="1:19" x14ac:dyDescent="0.25">
      <c r="A255" s="318"/>
      <c r="B255" s="389">
        <f t="shared" si="3"/>
        <v>2.4999999999999907</v>
      </c>
      <c r="C255" s="398">
        <f>1/DATI!$E$12*IF(B255&lt;DATI!$E$19,DATI!$E$6*DATI!$E$16*DATI!$E$23*DATI!$E$7*(B255/DATI!$E$19+1/(DATI!$E$23*DATI!$E$7)*(1-B255/DATI!$E$19)),IF(B255&lt;DATI!$E$20,DATI!$E$6*DATI!$E$16*DATI!$E$23*DATI!$E$7,IF(B255&lt;DATI!$E$21,DATI!$E$6*DATI!$E$16*DATI!$E$23*DATI!$E$7*(DATI!$E$20/B255),DATI!$E$6*DATI!$E$16*DATI!$E$23*DATI!$E$7*((DATI!$E$20*DATI!$E$21)/B255^2))))</f>
        <v>0.135202171490928</v>
      </c>
      <c r="D255" s="237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</row>
    <row r="256" spans="1:19" x14ac:dyDescent="0.25">
      <c r="A256" s="318"/>
      <c r="B256" s="389">
        <f t="shared" si="3"/>
        <v>2.5099999999999905</v>
      </c>
      <c r="C256" s="398">
        <f>1/DATI!$E$12*IF(B256&lt;DATI!$E$19,DATI!$E$6*DATI!$E$16*DATI!$E$23*DATI!$E$7*(B256/DATI!$E$19+1/(DATI!$E$23*DATI!$E$7)*(1-B256/DATI!$E$19)),IF(B256&lt;DATI!$E$20,DATI!$E$6*DATI!$E$16*DATI!$E$23*DATI!$E$7,IF(B256&lt;DATI!$E$21,DATI!$E$6*DATI!$E$16*DATI!$E$23*DATI!$E$7*(DATI!$E$20/B256),DATI!$E$6*DATI!$E$16*DATI!$E$23*DATI!$E$7*((DATI!$E$20*DATI!$E$21)/B256^2))))</f>
        <v>0.13466351742124302</v>
      </c>
      <c r="D256" s="237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</row>
    <row r="257" spans="1:19" x14ac:dyDescent="0.25">
      <c r="A257" s="318"/>
      <c r="B257" s="389">
        <f t="shared" si="3"/>
        <v>2.5199999999999902</v>
      </c>
      <c r="C257" s="398">
        <f>1/DATI!$E$12*IF(B257&lt;DATI!$E$19,DATI!$E$6*DATI!$E$16*DATI!$E$23*DATI!$E$7*(B257/DATI!$E$19+1/(DATI!$E$23*DATI!$E$7)*(1-B257/DATI!$E$19)),IF(B257&lt;DATI!$E$20,DATI!$E$6*DATI!$E$16*DATI!$E$23*DATI!$E$7,IF(B257&lt;DATI!$E$21,DATI!$E$6*DATI!$E$16*DATI!$E$23*DATI!$E$7*(DATI!$E$20/B257),DATI!$E$6*DATI!$E$16*DATI!$E$23*DATI!$E$7*((DATI!$E$20*DATI!$E$21)/B257^2))))</f>
        <v>0.13412913838385715</v>
      </c>
      <c r="D257" s="237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</row>
    <row r="258" spans="1:19" x14ac:dyDescent="0.25">
      <c r="A258" s="318"/>
      <c r="B258" s="389">
        <f t="shared" si="3"/>
        <v>2.52999999999999</v>
      </c>
      <c r="C258" s="398">
        <f>1/DATI!$E$12*IF(B258&lt;DATI!$E$19,DATI!$E$6*DATI!$E$16*DATI!$E$23*DATI!$E$7*(B258/DATI!$E$19+1/(DATI!$E$23*DATI!$E$7)*(1-B258/DATI!$E$19)),IF(B258&lt;DATI!$E$20,DATI!$E$6*DATI!$E$16*DATI!$E$23*DATI!$E$7,IF(B258&lt;DATI!$E$21,DATI!$E$6*DATI!$E$16*DATI!$E$23*DATI!$E$7*(DATI!$E$20/B258),DATI!$E$6*DATI!$E$16*DATI!$E$23*DATI!$E$7*((DATI!$E$20*DATI!$E$21)/B258^2))))</f>
        <v>0.13359898368668774</v>
      </c>
      <c r="D258" s="237"/>
      <c r="E258" s="318"/>
      <c r="F258" s="318"/>
      <c r="G258" s="318"/>
      <c r="H258" s="318"/>
      <c r="I258" s="318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</row>
    <row r="259" spans="1:19" x14ac:dyDescent="0.25">
      <c r="A259" s="318"/>
      <c r="B259" s="389">
        <f t="shared" si="3"/>
        <v>2.5399999999999898</v>
      </c>
      <c r="C259" s="398">
        <f>1/DATI!$E$12*IF(B259&lt;DATI!$E$19,DATI!$E$6*DATI!$E$16*DATI!$E$23*DATI!$E$7*(B259/DATI!$E$19+1/(DATI!$E$23*DATI!$E$7)*(1-B259/DATI!$E$19)),IF(B259&lt;DATI!$E$20,DATI!$E$6*DATI!$E$16*DATI!$E$23*DATI!$E$7,IF(B259&lt;DATI!$E$21,DATI!$E$6*DATI!$E$16*DATI!$E$23*DATI!$E$7*(DATI!$E$20/B259),DATI!$E$6*DATI!$E$16*DATI!$E$23*DATI!$E$7*((DATI!$E$20*DATI!$E$21)/B259^2))))</f>
        <v>0.13307300343595277</v>
      </c>
      <c r="D259" s="237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</row>
    <row r="260" spans="1:19" x14ac:dyDescent="0.25">
      <c r="A260" s="318"/>
      <c r="B260" s="389">
        <f t="shared" si="3"/>
        <v>2.5499999999999896</v>
      </c>
      <c r="C260" s="398">
        <f>1/DATI!$E$12*IF(B260&lt;DATI!$E$19,DATI!$E$6*DATI!$E$16*DATI!$E$23*DATI!$E$7*(B260/DATI!$E$19+1/(DATI!$E$23*DATI!$E$7)*(1-B260/DATI!$E$19)),IF(B260&lt;DATI!$E$20,DATI!$E$6*DATI!$E$16*DATI!$E$23*DATI!$E$7,IF(B260&lt;DATI!$E$21,DATI!$E$6*DATI!$E$16*DATI!$E$23*DATI!$E$7*(DATI!$E$20/B260),DATI!$E$6*DATI!$E$16*DATI!$E$23*DATI!$E$7*((DATI!$E$20*DATI!$E$21)/B260^2))))</f>
        <v>0.13255114852051766</v>
      </c>
      <c r="D260" s="237"/>
      <c r="E260" s="318"/>
      <c r="F260" s="318"/>
      <c r="G260" s="318"/>
      <c r="H260" s="318"/>
      <c r="I260" s="318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</row>
    <row r="261" spans="1:19" x14ac:dyDescent="0.25">
      <c r="A261" s="318"/>
      <c r="B261" s="389">
        <f t="shared" si="3"/>
        <v>2.5599999999999894</v>
      </c>
      <c r="C261" s="398">
        <f>1/DATI!$E$12*IF(B261&lt;DATI!$E$19,DATI!$E$6*DATI!$E$16*DATI!$E$23*DATI!$E$7*(B261/DATI!$E$19+1/(DATI!$E$23*DATI!$E$7)*(1-B261/DATI!$E$19)),IF(B261&lt;DATI!$E$20,DATI!$E$6*DATI!$E$16*DATI!$E$23*DATI!$E$7,IF(B261&lt;DATI!$E$21,DATI!$E$6*DATI!$E$16*DATI!$E$23*DATI!$E$7*(DATI!$E$20/B261),DATI!$E$6*DATI!$E$16*DATI!$E$23*DATI!$E$7*((DATI!$E$20*DATI!$E$21)/B261^2))))</f>
        <v>0.13203337059660941</v>
      </c>
      <c r="D261" s="237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</row>
    <row r="262" spans="1:19" x14ac:dyDescent="0.25">
      <c r="A262" s="318"/>
      <c r="B262" s="389">
        <f t="shared" ref="B262:B325" si="4">0.01+B261</f>
        <v>2.5699999999999892</v>
      </c>
      <c r="C262" s="398">
        <f>1/DATI!$E$12*IF(B262&lt;DATI!$E$19,DATI!$E$6*DATI!$E$16*DATI!$E$23*DATI!$E$7*(B262/DATI!$E$19+1/(DATI!$E$23*DATI!$E$7)*(1-B262/DATI!$E$19)),IF(B262&lt;DATI!$E$20,DATI!$E$6*DATI!$E$16*DATI!$E$23*DATI!$E$7,IF(B262&lt;DATI!$E$21,DATI!$E$6*DATI!$E$16*DATI!$E$23*DATI!$E$7*(DATI!$E$20/B262),DATI!$E$6*DATI!$E$16*DATI!$E$23*DATI!$E$7*((DATI!$E$20*DATI!$E$21)/B262^2))))</f>
        <v>0.1315196220728872</v>
      </c>
      <c r="D262" s="237"/>
      <c r="E262" s="318"/>
      <c r="F262" s="318"/>
      <c r="G262" s="318"/>
      <c r="H262" s="318"/>
      <c r="I262" s="318"/>
      <c r="J262" s="318"/>
      <c r="K262" s="318"/>
      <c r="L262" s="318"/>
      <c r="M262" s="318"/>
      <c r="N262" s="318"/>
      <c r="O262" s="318"/>
      <c r="P262" s="318"/>
      <c r="Q262" s="318"/>
      <c r="R262" s="318"/>
      <c r="S262" s="318"/>
    </row>
    <row r="263" spans="1:19" x14ac:dyDescent="0.25">
      <c r="A263" s="318"/>
      <c r="B263" s="389">
        <f t="shared" si="4"/>
        <v>2.579999999999989</v>
      </c>
      <c r="C263" s="398">
        <f>1/DATI!$E$12*IF(B263&lt;DATI!$E$19,DATI!$E$6*DATI!$E$16*DATI!$E$23*DATI!$E$7*(B263/DATI!$E$19+1/(DATI!$E$23*DATI!$E$7)*(1-B263/DATI!$E$19)),IF(B263&lt;DATI!$E$20,DATI!$E$6*DATI!$E$16*DATI!$E$23*DATI!$E$7,IF(B263&lt;DATI!$E$21,DATI!$E$6*DATI!$E$16*DATI!$E$23*DATI!$E$7*(DATI!$E$20/B263),DATI!$E$6*DATI!$E$16*DATI!$E$23*DATI!$E$7*((DATI!$E$20*DATI!$E$21)/B263^2))))</f>
        <v>0.13100985609586052</v>
      </c>
      <c r="D263" s="237"/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</row>
    <row r="264" spans="1:19" x14ac:dyDescent="0.25">
      <c r="A264" s="318"/>
      <c r="B264" s="389">
        <f t="shared" si="4"/>
        <v>2.5899999999999888</v>
      </c>
      <c r="C264" s="398">
        <f>1/DATI!$E$12*IF(B264&lt;DATI!$E$19,DATI!$E$6*DATI!$E$16*DATI!$E$23*DATI!$E$7*(B264/DATI!$E$19+1/(DATI!$E$23*DATI!$E$7)*(1-B264/DATI!$E$19)),IF(B264&lt;DATI!$E$20,DATI!$E$6*DATI!$E$16*DATI!$E$23*DATI!$E$7,IF(B264&lt;DATI!$E$21,DATI!$E$6*DATI!$E$16*DATI!$E$23*DATI!$E$7*(DATI!$E$20/B264),DATI!$E$6*DATI!$E$16*DATI!$E$23*DATI!$E$7*((DATI!$E$20*DATI!$E$21)/B264^2))))</f>
        <v>0.13050402653564486</v>
      </c>
      <c r="D264" s="237"/>
      <c r="E264" s="318"/>
      <c r="F264" s="318"/>
      <c r="G264" s="318"/>
      <c r="H264" s="318"/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</row>
    <row r="265" spans="1:19" x14ac:dyDescent="0.25">
      <c r="A265" s="318"/>
      <c r="B265" s="389">
        <f t="shared" si="4"/>
        <v>2.5999999999999885</v>
      </c>
      <c r="C265" s="398">
        <f>1/DATI!$E$12*IF(B265&lt;DATI!$E$19,DATI!$E$6*DATI!$E$16*DATI!$E$23*DATI!$E$7*(B265/DATI!$E$19+1/(DATI!$E$23*DATI!$E$7)*(1-B265/DATI!$E$19)),IF(B265&lt;DATI!$E$20,DATI!$E$6*DATI!$E$16*DATI!$E$23*DATI!$E$7,IF(B265&lt;DATI!$E$21,DATI!$E$6*DATI!$E$16*DATI!$E$23*DATI!$E$7*(DATI!$E$20/B265),DATI!$E$6*DATI!$E$16*DATI!$E$23*DATI!$E$7*((DATI!$E$20*DATI!$E$21)/B265^2))))</f>
        <v>0.13000208797204621</v>
      </c>
      <c r="D265" s="237"/>
      <c r="E265" s="318"/>
      <c r="F265" s="318"/>
      <c r="G265" s="318"/>
      <c r="H265" s="318"/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</row>
    <row r="266" spans="1:19" x14ac:dyDescent="0.25">
      <c r="A266" s="318"/>
      <c r="B266" s="389">
        <f t="shared" si="4"/>
        <v>2.6099999999999883</v>
      </c>
      <c r="C266" s="398">
        <f>1/DATI!$E$12*IF(B266&lt;DATI!$E$19,DATI!$E$6*DATI!$E$16*DATI!$E$23*DATI!$E$7*(B266/DATI!$E$19+1/(DATI!$E$23*DATI!$E$7)*(1-B266/DATI!$E$19)),IF(B266&lt;DATI!$E$20,DATI!$E$6*DATI!$E$16*DATI!$E$23*DATI!$E$7,IF(B266&lt;DATI!$E$21,DATI!$E$6*DATI!$E$16*DATI!$E$23*DATI!$E$7*(DATI!$E$20/B266),DATI!$E$6*DATI!$E$16*DATI!$E$23*DATI!$E$7*((DATI!$E$20*DATI!$E$21)/B266^2))))</f>
        <v>0.12950399568096557</v>
      </c>
      <c r="D266" s="237"/>
      <c r="E266" s="318"/>
      <c r="F266" s="318"/>
      <c r="G266" s="318"/>
      <c r="H266" s="318"/>
      <c r="I266" s="318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</row>
    <row r="267" spans="1:19" x14ac:dyDescent="0.25">
      <c r="A267" s="318"/>
      <c r="B267" s="389">
        <f t="shared" si="4"/>
        <v>2.6199999999999881</v>
      </c>
      <c r="C267" s="398">
        <f>1/DATI!$E$12*IF(B267&lt;DATI!$E$19,DATI!$E$6*DATI!$E$16*DATI!$E$23*DATI!$E$7*(B267/DATI!$E$19+1/(DATI!$E$23*DATI!$E$7)*(1-B267/DATI!$E$19)),IF(B267&lt;DATI!$E$20,DATI!$E$6*DATI!$E$16*DATI!$E$23*DATI!$E$7,IF(B267&lt;DATI!$E$21,DATI!$E$6*DATI!$E$16*DATI!$E$23*DATI!$E$7*(DATI!$E$20/B267),DATI!$E$6*DATI!$E$16*DATI!$E$23*DATI!$E$7*((DATI!$E$20*DATI!$E$21)/B267^2))))</f>
        <v>0.12900970562111461</v>
      </c>
      <c r="D267" s="237"/>
      <c r="E267" s="318"/>
      <c r="F267" s="318"/>
      <c r="G267" s="318"/>
      <c r="H267" s="318"/>
      <c r="I267" s="318"/>
      <c r="J267" s="318"/>
      <c r="K267" s="318"/>
      <c r="L267" s="318"/>
      <c r="M267" s="318"/>
      <c r="N267" s="318"/>
      <c r="O267" s="318"/>
      <c r="P267" s="318"/>
      <c r="Q267" s="318"/>
      <c r="R267" s="318"/>
      <c r="S267" s="318"/>
    </row>
    <row r="268" spans="1:19" x14ac:dyDescent="0.25">
      <c r="A268" s="318"/>
      <c r="B268" s="389">
        <f t="shared" si="4"/>
        <v>2.6299999999999879</v>
      </c>
      <c r="C268" s="398">
        <f>1/DATI!$E$12*IF(B268&lt;DATI!$E$19,DATI!$E$6*DATI!$E$16*DATI!$E$23*DATI!$E$7*(B268/DATI!$E$19+1/(DATI!$E$23*DATI!$E$7)*(1-B268/DATI!$E$19)),IF(B268&lt;DATI!$E$20,DATI!$E$6*DATI!$E$16*DATI!$E$23*DATI!$E$7,IF(B268&lt;DATI!$E$21,DATI!$E$6*DATI!$E$16*DATI!$E$23*DATI!$E$7*(DATI!$E$20/B268),DATI!$E$6*DATI!$E$16*DATI!$E$23*DATI!$E$7*((DATI!$E$20*DATI!$E$21)/B268^2))))</f>
        <v>0.1285191744210343</v>
      </c>
      <c r="D268" s="237"/>
      <c r="E268" s="318"/>
      <c r="F268" s="318"/>
      <c r="G268" s="318"/>
      <c r="H268" s="318"/>
      <c r="I268" s="318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</row>
    <row r="269" spans="1:19" x14ac:dyDescent="0.25">
      <c r="A269" s="318"/>
      <c r="B269" s="389">
        <f t="shared" si="4"/>
        <v>2.6399999999999877</v>
      </c>
      <c r="C269" s="398">
        <f>1/DATI!$E$12*IF(B269&lt;DATI!$E$19,DATI!$E$6*DATI!$E$16*DATI!$E$23*DATI!$E$7*(B269/DATI!$E$19+1/(DATI!$E$23*DATI!$E$7)*(1-B269/DATI!$E$19)),IF(B269&lt;DATI!$E$20,DATI!$E$6*DATI!$E$16*DATI!$E$23*DATI!$E$7,IF(B269&lt;DATI!$E$21,DATI!$E$6*DATI!$E$16*DATI!$E$23*DATI!$E$7*(DATI!$E$20/B269),DATI!$E$6*DATI!$E$16*DATI!$E$23*DATI!$E$7*((DATI!$E$20*DATI!$E$21)/B269^2))))</f>
        <v>0.12803235936640919</v>
      </c>
      <c r="D269" s="237"/>
      <c r="E269" s="318"/>
      <c r="F269" s="318"/>
      <c r="G269" s="318"/>
      <c r="H269" s="318"/>
      <c r="I269" s="318"/>
      <c r="J269" s="318"/>
      <c r="K269" s="318"/>
      <c r="L269" s="318"/>
      <c r="M269" s="318"/>
      <c r="N269" s="318"/>
      <c r="O269" s="318"/>
      <c r="P269" s="318"/>
      <c r="Q269" s="318"/>
      <c r="R269" s="318"/>
      <c r="S269" s="318"/>
    </row>
    <row r="270" spans="1:19" x14ac:dyDescent="0.25">
      <c r="A270" s="318"/>
      <c r="B270" s="389">
        <f t="shared" si="4"/>
        <v>2.6499999999999875</v>
      </c>
      <c r="C270" s="398">
        <f>1/DATI!$E$12*IF(B270&lt;DATI!$E$19,DATI!$E$6*DATI!$E$16*DATI!$E$23*DATI!$E$7*(B270/DATI!$E$19+1/(DATI!$E$23*DATI!$E$7)*(1-B270/DATI!$E$19)),IF(B270&lt;DATI!$E$20,DATI!$E$6*DATI!$E$16*DATI!$E$23*DATI!$E$7,IF(B270&lt;DATI!$E$21,DATI!$E$6*DATI!$E$16*DATI!$E$23*DATI!$E$7*(DATI!$E$20/B270),DATI!$E$6*DATI!$E$16*DATI!$E$23*DATI!$E$7*((DATI!$E$20*DATI!$E$21)/B270^2))))</f>
        <v>0.12727287540954491</v>
      </c>
      <c r="D270" s="237"/>
      <c r="E270" s="318"/>
      <c r="F270" s="318"/>
      <c r="G270" s="318"/>
      <c r="H270" s="318"/>
      <c r="I270" s="318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</row>
    <row r="271" spans="1:19" x14ac:dyDescent="0.25">
      <c r="A271" s="318"/>
      <c r="B271" s="389">
        <f t="shared" si="4"/>
        <v>2.6599999999999873</v>
      </c>
      <c r="C271" s="398">
        <f>1/DATI!$E$12*IF(B271&lt;DATI!$E$19,DATI!$E$6*DATI!$E$16*DATI!$E$23*DATI!$E$7*(B271/DATI!$E$19+1/(DATI!$E$23*DATI!$E$7)*(1-B271/DATI!$E$19)),IF(B271&lt;DATI!$E$20,DATI!$E$6*DATI!$E$16*DATI!$E$23*DATI!$E$7,IF(B271&lt;DATI!$E$21,DATI!$E$6*DATI!$E$16*DATI!$E$23*DATI!$E$7*(DATI!$E$20/B271),DATI!$E$6*DATI!$E$16*DATI!$E$23*DATI!$E$7*((DATI!$E$20*DATI!$E$21)/B271^2))))</f>
        <v>0.12631773525404622</v>
      </c>
      <c r="D271" s="237"/>
      <c r="E271" s="318"/>
      <c r="F271" s="318"/>
      <c r="G271" s="318"/>
      <c r="H271" s="318"/>
      <c r="I271" s="318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</row>
    <row r="272" spans="1:19" x14ac:dyDescent="0.25">
      <c r="A272" s="318"/>
      <c r="B272" s="389">
        <f t="shared" si="4"/>
        <v>2.6699999999999871</v>
      </c>
      <c r="C272" s="398">
        <f>1/DATI!$E$12*IF(B272&lt;DATI!$E$19,DATI!$E$6*DATI!$E$16*DATI!$E$23*DATI!$E$7*(B272/DATI!$E$19+1/(DATI!$E$23*DATI!$E$7)*(1-B272/DATI!$E$19)),IF(B272&lt;DATI!$E$20,DATI!$E$6*DATI!$E$16*DATI!$E$23*DATI!$E$7,IF(B272&lt;DATI!$E$21,DATI!$E$6*DATI!$E$16*DATI!$E$23*DATI!$E$7*(DATI!$E$20/B272),DATI!$E$6*DATI!$E$16*DATI!$E$23*DATI!$E$7*((DATI!$E$20*DATI!$E$21)/B272^2))))</f>
        <v>0.12537330690057785</v>
      </c>
      <c r="D272" s="237"/>
      <c r="E272" s="318"/>
      <c r="F272" s="318"/>
      <c r="G272" s="318"/>
      <c r="H272" s="318"/>
      <c r="I272" s="318"/>
      <c r="J272" s="318"/>
      <c r="K272" s="318"/>
      <c r="L272" s="318"/>
      <c r="M272" s="318"/>
      <c r="N272" s="318"/>
      <c r="O272" s="318"/>
      <c r="P272" s="318"/>
      <c r="Q272" s="318"/>
      <c r="R272" s="318"/>
      <c r="S272" s="318"/>
    </row>
    <row r="273" spans="1:19" x14ac:dyDescent="0.25">
      <c r="A273" s="318"/>
      <c r="B273" s="389">
        <f t="shared" si="4"/>
        <v>2.6799999999999868</v>
      </c>
      <c r="C273" s="398">
        <f>1/DATI!$E$12*IF(B273&lt;DATI!$E$19,DATI!$E$6*DATI!$E$16*DATI!$E$23*DATI!$E$7*(B273/DATI!$E$19+1/(DATI!$E$23*DATI!$E$7)*(1-B273/DATI!$E$19)),IF(B273&lt;DATI!$E$20,DATI!$E$6*DATI!$E$16*DATI!$E$23*DATI!$E$7,IF(B273&lt;DATI!$E$21,DATI!$E$6*DATI!$E$16*DATI!$E$23*DATI!$E$7*(DATI!$E$20/B273),DATI!$E$6*DATI!$E$16*DATI!$E$23*DATI!$E$7*((DATI!$E$20*DATI!$E$21)/B273^2))))</f>
        <v>0.12443943077015059</v>
      </c>
      <c r="D273" s="237"/>
      <c r="E273" s="318"/>
      <c r="F273" s="318"/>
      <c r="G273" s="318"/>
      <c r="H273" s="318"/>
      <c r="I273" s="318"/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</row>
    <row r="274" spans="1:19" x14ac:dyDescent="0.25">
      <c r="A274" s="318"/>
      <c r="B274" s="389">
        <f t="shared" si="4"/>
        <v>2.6899999999999866</v>
      </c>
      <c r="C274" s="398">
        <f>1/DATI!$E$12*IF(B274&lt;DATI!$E$19,DATI!$E$6*DATI!$E$16*DATI!$E$23*DATI!$E$7*(B274/DATI!$E$19+1/(DATI!$E$23*DATI!$E$7)*(1-B274/DATI!$E$19)),IF(B274&lt;DATI!$E$20,DATI!$E$6*DATI!$E$16*DATI!$E$23*DATI!$E$7,IF(B274&lt;DATI!$E$21,DATI!$E$6*DATI!$E$16*DATI!$E$23*DATI!$E$7*(DATI!$E$20/B274),DATI!$E$6*DATI!$E$16*DATI!$E$23*DATI!$E$7*((DATI!$E$20*DATI!$E$21)/B274^2))))</f>
        <v>0.12351595024440368</v>
      </c>
      <c r="D274" s="237"/>
      <c r="E274" s="318"/>
      <c r="F274" s="318"/>
      <c r="G274" s="318"/>
      <c r="H274" s="318"/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</row>
    <row r="275" spans="1:19" x14ac:dyDescent="0.25">
      <c r="A275" s="318"/>
      <c r="B275" s="389">
        <f t="shared" si="4"/>
        <v>2.6999999999999864</v>
      </c>
      <c r="C275" s="398">
        <f>1/DATI!$E$12*IF(B275&lt;DATI!$E$19,DATI!$E$6*DATI!$E$16*DATI!$E$23*DATI!$E$7*(B275/DATI!$E$19+1/(DATI!$E$23*DATI!$E$7)*(1-B275/DATI!$E$19)),IF(B275&lt;DATI!$E$20,DATI!$E$6*DATI!$E$16*DATI!$E$23*DATI!$E$7,IF(B275&lt;DATI!$E$21,DATI!$E$6*DATI!$E$16*DATI!$E$23*DATI!$E$7*(DATI!$E$20/B275),DATI!$E$6*DATI!$E$16*DATI!$E$23*DATI!$E$7*((DATI!$E$20*DATI!$E$21)/B275^2))))</f>
        <v>0.12260271159993548</v>
      </c>
      <c r="D275" s="237"/>
      <c r="E275" s="318"/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</row>
    <row r="276" spans="1:19" x14ac:dyDescent="0.25">
      <c r="A276" s="318"/>
      <c r="B276" s="389">
        <f t="shared" si="4"/>
        <v>2.7099999999999862</v>
      </c>
      <c r="C276" s="398">
        <f>1/DATI!$E$12*IF(B276&lt;DATI!$E$19,DATI!$E$6*DATI!$E$16*DATI!$E$23*DATI!$E$7*(B276/DATI!$E$19+1/(DATI!$E$23*DATI!$E$7)*(1-B276/DATI!$E$19)),IF(B276&lt;DATI!$E$20,DATI!$E$6*DATI!$E$16*DATI!$E$23*DATI!$E$7,IF(B276&lt;DATI!$E$21,DATI!$E$6*DATI!$E$16*DATI!$E$23*DATI!$E$7*(DATI!$E$20/B276),DATI!$E$6*DATI!$E$16*DATI!$E$23*DATI!$E$7*((DATI!$E$20*DATI!$E$21)/B276^2))))</f>
        <v>0.1216995639443267</v>
      </c>
      <c r="D276" s="237"/>
      <c r="E276" s="318"/>
      <c r="F276" s="318"/>
      <c r="G276" s="318"/>
      <c r="H276" s="318"/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</row>
    <row r="277" spans="1:19" x14ac:dyDescent="0.25">
      <c r="A277" s="318"/>
      <c r="B277" s="389">
        <f t="shared" si="4"/>
        <v>2.719999999999986</v>
      </c>
      <c r="C277" s="398">
        <f>1/DATI!$E$12*IF(B277&lt;DATI!$E$19,DATI!$E$6*DATI!$E$16*DATI!$E$23*DATI!$E$7*(B277/DATI!$E$19+1/(DATI!$E$23*DATI!$E$7)*(1-B277/DATI!$E$19)),IF(B277&lt;DATI!$E$20,DATI!$E$6*DATI!$E$16*DATI!$E$23*DATI!$E$7,IF(B277&lt;DATI!$E$21,DATI!$E$6*DATI!$E$16*DATI!$E$23*DATI!$E$7*(DATI!$E$20/B277),DATI!$E$6*DATI!$E$16*DATI!$E$23*DATI!$E$7*((DATI!$E$20*DATI!$E$21)/B277^2))))</f>
        <v>0.12080635915380755</v>
      </c>
      <c r="D277" s="237"/>
      <c r="E277" s="318"/>
      <c r="F277" s="318"/>
      <c r="G277" s="318"/>
      <c r="H277" s="318"/>
      <c r="I277" s="318"/>
      <c r="J277" s="318"/>
      <c r="K277" s="318"/>
      <c r="L277" s="318"/>
      <c r="M277" s="318"/>
      <c r="N277" s="318"/>
      <c r="O277" s="318"/>
      <c r="P277" s="318"/>
      <c r="Q277" s="318"/>
      <c r="R277" s="318"/>
      <c r="S277" s="318"/>
    </row>
    <row r="278" spans="1:19" x14ac:dyDescent="0.25">
      <c r="A278" s="318"/>
      <c r="B278" s="389">
        <f t="shared" si="4"/>
        <v>2.7299999999999858</v>
      </c>
      <c r="C278" s="398">
        <f>1/DATI!$E$12*IF(B278&lt;DATI!$E$19,DATI!$E$6*DATI!$E$16*DATI!$E$23*DATI!$E$7*(B278/DATI!$E$19+1/(DATI!$E$23*DATI!$E$7)*(1-B278/DATI!$E$19)),IF(B278&lt;DATI!$E$20,DATI!$E$6*DATI!$E$16*DATI!$E$23*DATI!$E$7,IF(B278&lt;DATI!$E$21,DATI!$E$6*DATI!$E$16*DATI!$E$23*DATI!$E$7*(DATI!$E$20/B278),DATI!$E$6*DATI!$E$16*DATI!$E$23*DATI!$E$7*((DATI!$E$20*DATI!$E$21)/B278^2))))</f>
        <v>0.11992295181251995</v>
      </c>
      <c r="D278" s="237"/>
      <c r="E278" s="318"/>
      <c r="F278" s="318"/>
      <c r="G278" s="318"/>
      <c r="H278" s="318"/>
      <c r="I278" s="318"/>
      <c r="J278" s="318"/>
      <c r="K278" s="318"/>
      <c r="L278" s="318"/>
      <c r="M278" s="318"/>
      <c r="N278" s="318"/>
      <c r="O278" s="318"/>
      <c r="P278" s="318"/>
      <c r="Q278" s="318"/>
      <c r="R278" s="318"/>
      <c r="S278" s="318"/>
    </row>
    <row r="279" spans="1:19" x14ac:dyDescent="0.25">
      <c r="A279" s="318"/>
      <c r="B279" s="389">
        <f t="shared" si="4"/>
        <v>2.7399999999999856</v>
      </c>
      <c r="C279" s="398">
        <f>1/DATI!$E$12*IF(B279&lt;DATI!$E$19,DATI!$E$6*DATI!$E$16*DATI!$E$23*DATI!$E$7*(B279/DATI!$E$19+1/(DATI!$E$23*DATI!$E$7)*(1-B279/DATI!$E$19)),IF(B279&lt;DATI!$E$20,DATI!$E$6*DATI!$E$16*DATI!$E$23*DATI!$E$7,IF(B279&lt;DATI!$E$21,DATI!$E$6*DATI!$E$16*DATI!$E$23*DATI!$E$7*(DATI!$E$20/B279),DATI!$E$6*DATI!$E$16*DATI!$E$23*DATI!$E$7*((DATI!$E$20*DATI!$E$21)/B279^2))))</f>
        <v>0.11904919915332862</v>
      </c>
      <c r="D279" s="237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</row>
    <row r="280" spans="1:19" x14ac:dyDescent="0.25">
      <c r="A280" s="318"/>
      <c r="B280" s="389">
        <f t="shared" si="4"/>
        <v>2.7499999999999853</v>
      </c>
      <c r="C280" s="398">
        <f>1/DATI!$E$12*IF(B280&lt;DATI!$E$19,DATI!$E$6*DATI!$E$16*DATI!$E$23*DATI!$E$7*(B280/DATI!$E$19+1/(DATI!$E$23*DATI!$E$7)*(1-B280/DATI!$E$19)),IF(B280&lt;DATI!$E$20,DATI!$E$6*DATI!$E$16*DATI!$E$23*DATI!$E$7,IF(B280&lt;DATI!$E$21,DATI!$E$6*DATI!$E$16*DATI!$E$23*DATI!$E$7*(DATI!$E$20/B280),DATI!$E$6*DATI!$E$16*DATI!$E$23*DATI!$E$7*((DATI!$E$20*DATI!$E$21)/B280^2))))</f>
        <v>0.11818496100013623</v>
      </c>
      <c r="D280" s="237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</row>
    <row r="281" spans="1:19" x14ac:dyDescent="0.25">
      <c r="A281" s="318"/>
      <c r="B281" s="389">
        <f t="shared" si="4"/>
        <v>2.7599999999999851</v>
      </c>
      <c r="C281" s="398">
        <f>1/DATI!$E$12*IF(B281&lt;DATI!$E$19,DATI!$E$6*DATI!$E$16*DATI!$E$23*DATI!$E$7*(B281/DATI!$E$19+1/(DATI!$E$23*DATI!$E$7)*(1-B281/DATI!$E$19)),IF(B281&lt;DATI!$E$20,DATI!$E$6*DATI!$E$16*DATI!$E$23*DATI!$E$7,IF(B281&lt;DATI!$E$21,DATI!$E$6*DATI!$E$16*DATI!$E$23*DATI!$E$7*(DATI!$E$20/B281),DATI!$E$6*DATI!$E$16*DATI!$E$23*DATI!$E$7*((DATI!$E$20*DATI!$E$21)/B281^2))))</f>
        <v>0.11733009971165857</v>
      </c>
      <c r="D281" s="237"/>
      <c r="E281" s="318"/>
      <c r="F281" s="318"/>
      <c r="G281" s="318"/>
      <c r="H281" s="318"/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</row>
    <row r="282" spans="1:19" x14ac:dyDescent="0.25">
      <c r="A282" s="318"/>
      <c r="B282" s="389">
        <f t="shared" si="4"/>
        <v>2.7699999999999849</v>
      </c>
      <c r="C282" s="398">
        <f>1/DATI!$E$12*IF(B282&lt;DATI!$E$19,DATI!$E$6*DATI!$E$16*DATI!$E$23*DATI!$E$7*(B282/DATI!$E$19+1/(DATI!$E$23*DATI!$E$7)*(1-B282/DATI!$E$19)),IF(B282&lt;DATI!$E$20,DATI!$E$6*DATI!$E$16*DATI!$E$23*DATI!$E$7,IF(B282&lt;DATI!$E$21,DATI!$E$6*DATI!$E$16*DATI!$E$23*DATI!$E$7*(DATI!$E$20/B282),DATI!$E$6*DATI!$E$16*DATI!$E$23*DATI!$E$7*((DATI!$E$20*DATI!$E$21)/B282^2))))</f>
        <v>0.11648448012661841</v>
      </c>
      <c r="D282" s="237"/>
      <c r="E282" s="318"/>
      <c r="F282" s="318"/>
      <c r="G282" s="318"/>
      <c r="H282" s="318"/>
      <c r="I282" s="318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</row>
    <row r="283" spans="1:19" x14ac:dyDescent="0.25">
      <c r="A283" s="318"/>
      <c r="B283" s="389">
        <f t="shared" si="4"/>
        <v>2.7799999999999847</v>
      </c>
      <c r="C283" s="398">
        <f>1/DATI!$E$12*IF(B283&lt;DATI!$E$19,DATI!$E$6*DATI!$E$16*DATI!$E$23*DATI!$E$7*(B283/DATI!$E$19+1/(DATI!$E$23*DATI!$E$7)*(1-B283/DATI!$E$19)),IF(B283&lt;DATI!$E$20,DATI!$E$6*DATI!$E$16*DATI!$E$23*DATI!$E$7,IF(B283&lt;DATI!$E$21,DATI!$E$6*DATI!$E$16*DATI!$E$23*DATI!$E$7*(DATI!$E$20/B283),DATI!$E$6*DATI!$E$16*DATI!$E$23*DATI!$E$7*((DATI!$E$20*DATI!$E$21)/B283^2))))</f>
        <v>0.11564796951031654</v>
      </c>
      <c r="D283" s="237"/>
      <c r="E283" s="318"/>
      <c r="F283" s="318"/>
      <c r="G283" s="318"/>
      <c r="H283" s="318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</row>
    <row r="284" spans="1:19" x14ac:dyDescent="0.25">
      <c r="A284" s="318"/>
      <c r="B284" s="389">
        <f t="shared" si="4"/>
        <v>2.7899999999999845</v>
      </c>
      <c r="C284" s="398">
        <f>1/DATI!$E$12*IF(B284&lt;DATI!$E$19,DATI!$E$6*DATI!$E$16*DATI!$E$23*DATI!$E$7*(B284/DATI!$E$19+1/(DATI!$E$23*DATI!$E$7)*(1-B284/DATI!$E$19)),IF(B284&lt;DATI!$E$20,DATI!$E$6*DATI!$E$16*DATI!$E$23*DATI!$E$7,IF(B284&lt;DATI!$E$21,DATI!$E$6*DATI!$E$16*DATI!$E$23*DATI!$E$7*(DATI!$E$20/B284),DATI!$E$6*DATI!$E$16*DATI!$E$23*DATI!$E$7*((DATI!$E$20*DATI!$E$21)/B284^2))))</f>
        <v>0.11482043750254116</v>
      </c>
      <c r="D284" s="237"/>
      <c r="E284" s="318"/>
      <c r="F284" s="318"/>
      <c r="G284" s="318"/>
      <c r="H284" s="318"/>
      <c r="I284" s="318"/>
      <c r="J284" s="318"/>
      <c r="K284" s="318"/>
      <c r="L284" s="318"/>
      <c r="M284" s="318"/>
      <c r="N284" s="318"/>
      <c r="O284" s="318"/>
      <c r="P284" s="318"/>
      <c r="Q284" s="318"/>
      <c r="R284" s="318"/>
      <c r="S284" s="318"/>
    </row>
    <row r="285" spans="1:19" x14ac:dyDescent="0.25">
      <c r="A285" s="318"/>
      <c r="B285" s="389">
        <f t="shared" si="4"/>
        <v>2.7999999999999843</v>
      </c>
      <c r="C285" s="398">
        <f>1/DATI!$E$12*IF(B285&lt;DATI!$E$19,DATI!$E$6*DATI!$E$16*DATI!$E$23*DATI!$E$7*(B285/DATI!$E$19+1/(DATI!$E$23*DATI!$E$7)*(1-B285/DATI!$E$19)),IF(B285&lt;DATI!$E$20,DATI!$E$6*DATI!$E$16*DATI!$E$23*DATI!$E$7,IF(B285&lt;DATI!$E$21,DATI!$E$6*DATI!$E$16*DATI!$E$23*DATI!$E$7*(DATI!$E$20/B285),DATI!$E$6*DATI!$E$16*DATI!$E$23*DATI!$E$7*((DATI!$E$20*DATI!$E$21)/B285^2))))</f>
        <v>0.11400175606677686</v>
      </c>
      <c r="D285" s="237"/>
      <c r="E285" s="318"/>
      <c r="F285" s="318"/>
      <c r="G285" s="318"/>
      <c r="H285" s="318"/>
      <c r="I285" s="318"/>
      <c r="J285" s="318"/>
      <c r="K285" s="318"/>
      <c r="L285" s="318"/>
      <c r="M285" s="318"/>
      <c r="N285" s="318"/>
      <c r="O285" s="318"/>
      <c r="P285" s="318"/>
      <c r="Q285" s="318"/>
      <c r="R285" s="318"/>
      <c r="S285" s="318"/>
    </row>
    <row r="286" spans="1:19" x14ac:dyDescent="0.25">
      <c r="A286" s="318"/>
      <c r="B286" s="389">
        <f t="shared" si="4"/>
        <v>2.8099999999999841</v>
      </c>
      <c r="C286" s="398">
        <f>1/DATI!$E$12*IF(B286&lt;DATI!$E$19,DATI!$E$6*DATI!$E$16*DATI!$E$23*DATI!$E$7*(B286/DATI!$E$19+1/(DATI!$E$23*DATI!$E$7)*(1-B286/DATI!$E$19)),IF(B286&lt;DATI!$E$20,DATI!$E$6*DATI!$E$16*DATI!$E$23*DATI!$E$7,IF(B286&lt;DATI!$E$21,DATI!$E$6*DATI!$E$16*DATI!$E$23*DATI!$E$7*(DATI!$E$20/B286),DATI!$E$6*DATI!$E$16*DATI!$E$23*DATI!$E$7*((DATI!$E$20*DATI!$E$21)/B286^2))))</f>
        <v>0.11319179944067714</v>
      </c>
      <c r="D286" s="237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</row>
    <row r="287" spans="1:19" x14ac:dyDescent="0.25">
      <c r="A287" s="318"/>
      <c r="B287" s="389">
        <f t="shared" si="4"/>
        <v>2.8199999999999839</v>
      </c>
      <c r="C287" s="398">
        <f>1/DATI!$E$12*IF(B287&lt;DATI!$E$19,DATI!$E$6*DATI!$E$16*DATI!$E$23*DATI!$E$7*(B287/DATI!$E$19+1/(DATI!$E$23*DATI!$E$7)*(1-B287/DATI!$E$19)),IF(B287&lt;DATI!$E$20,DATI!$E$6*DATI!$E$16*DATI!$E$23*DATI!$E$7,IF(B287&lt;DATI!$E$21,DATI!$E$6*DATI!$E$16*DATI!$E$23*DATI!$E$7*(DATI!$E$20/B287),DATI!$E$6*DATI!$E$16*DATI!$E$23*DATI!$E$7*((DATI!$E$20*DATI!$E$21)/B287^2))))</f>
        <v>0.11239044408776355</v>
      </c>
      <c r="D287" s="237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</row>
    <row r="288" spans="1:19" x14ac:dyDescent="0.25">
      <c r="A288" s="318"/>
      <c r="B288" s="389">
        <f t="shared" si="4"/>
        <v>2.8299999999999836</v>
      </c>
      <c r="C288" s="398">
        <f>1/DATI!$E$12*IF(B288&lt;DATI!$E$19,DATI!$E$6*DATI!$E$16*DATI!$E$23*DATI!$E$7*(B288/DATI!$E$19+1/(DATI!$E$23*DATI!$E$7)*(1-B288/DATI!$E$19)),IF(B288&lt;DATI!$E$20,DATI!$E$6*DATI!$E$16*DATI!$E$23*DATI!$E$7,IF(B288&lt;DATI!$E$21,DATI!$E$6*DATI!$E$16*DATI!$E$23*DATI!$E$7*(DATI!$E$20/B288),DATI!$E$6*DATI!$E$16*DATI!$E$23*DATI!$E$7*((DATI!$E$20*DATI!$E$21)/B288^2))))</f>
        <v>0.1115975686503179</v>
      </c>
      <c r="D288" s="237"/>
      <c r="E288" s="318"/>
      <c r="F288" s="318"/>
      <c r="G288" s="318"/>
      <c r="H288" s="318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</row>
    <row r="289" spans="1:19" x14ac:dyDescent="0.25">
      <c r="A289" s="318"/>
      <c r="B289" s="389">
        <f t="shared" si="4"/>
        <v>2.8399999999999834</v>
      </c>
      <c r="C289" s="398">
        <f>1/DATI!$E$12*IF(B289&lt;DATI!$E$19,DATI!$E$6*DATI!$E$16*DATI!$E$23*DATI!$E$7*(B289/DATI!$E$19+1/(DATI!$E$23*DATI!$E$7)*(1-B289/DATI!$E$19)),IF(B289&lt;DATI!$E$20,DATI!$E$6*DATI!$E$16*DATI!$E$23*DATI!$E$7,IF(B289&lt;DATI!$E$21,DATI!$E$6*DATI!$E$16*DATI!$E$23*DATI!$E$7*(DATI!$E$20/B289),DATI!$E$6*DATI!$E$16*DATI!$E$23*DATI!$E$7*((DATI!$E$20*DATI!$E$21)/B289^2))))</f>
        <v>0.11081305390343324</v>
      </c>
      <c r="D289" s="237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</row>
    <row r="290" spans="1:19" x14ac:dyDescent="0.25">
      <c r="A290" s="318"/>
      <c r="B290" s="389">
        <f t="shared" si="4"/>
        <v>2.8499999999999832</v>
      </c>
      <c r="C290" s="398">
        <f>1/DATI!$E$12*IF(B290&lt;DATI!$E$19,DATI!$E$6*DATI!$E$16*DATI!$E$23*DATI!$E$7*(B290/DATI!$E$19+1/(DATI!$E$23*DATI!$E$7)*(1-B290/DATI!$E$19)),IF(B290&lt;DATI!$E$20,DATI!$E$6*DATI!$E$16*DATI!$E$23*DATI!$E$7,IF(B290&lt;DATI!$E$21,DATI!$E$6*DATI!$E$16*DATI!$E$23*DATI!$E$7*(DATI!$E$20/B290),DATI!$E$6*DATI!$E$16*DATI!$E$23*DATI!$E$7*((DATI!$E$20*DATI!$E$21)/B290^2))))</f>
        <v>0.11003678271019159</v>
      </c>
      <c r="D290" s="237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</row>
    <row r="291" spans="1:19" x14ac:dyDescent="0.25">
      <c r="A291" s="318"/>
      <c r="B291" s="389">
        <f t="shared" si="4"/>
        <v>2.859999999999983</v>
      </c>
      <c r="C291" s="398">
        <f>1/DATI!$E$12*IF(B291&lt;DATI!$E$19,DATI!$E$6*DATI!$E$16*DATI!$E$23*DATI!$E$7*(B291/DATI!$E$19+1/(DATI!$E$23*DATI!$E$7)*(1-B291/DATI!$E$19)),IF(B291&lt;DATI!$E$20,DATI!$E$6*DATI!$E$16*DATI!$E$23*DATI!$E$7,IF(B291&lt;DATI!$E$21,DATI!$E$6*DATI!$E$16*DATI!$E$23*DATI!$E$7*(DATI!$E$20/B291),DATI!$E$6*DATI!$E$16*DATI!$E$23*DATI!$E$7*((DATI!$E$20*DATI!$E$21)/B291^2))))</f>
        <v>0.10926863997793673</v>
      </c>
      <c r="D291" s="237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</row>
    <row r="292" spans="1:19" x14ac:dyDescent="0.25">
      <c r="A292" s="318"/>
      <c r="B292" s="389">
        <f t="shared" si="4"/>
        <v>2.8699999999999828</v>
      </c>
      <c r="C292" s="398">
        <f>1/DATI!$E$12*IF(B292&lt;DATI!$E$19,DATI!$E$6*DATI!$E$16*DATI!$E$23*DATI!$E$7*(B292/DATI!$E$19+1/(DATI!$E$23*DATI!$E$7)*(1-B292/DATI!$E$19)),IF(B292&lt;DATI!$E$20,DATI!$E$6*DATI!$E$16*DATI!$E$23*DATI!$E$7,IF(B292&lt;DATI!$E$21,DATI!$E$6*DATI!$E$16*DATI!$E$23*DATI!$E$7*(DATI!$E$20/B292),DATI!$E$6*DATI!$E$16*DATI!$E$23*DATI!$E$7*((DATI!$E$20*DATI!$E$21)/B292^2))))</f>
        <v>0.10850851261561163</v>
      </c>
      <c r="D292" s="237"/>
      <c r="E292" s="318"/>
      <c r="F292" s="318"/>
      <c r="G292" s="318"/>
      <c r="H292" s="318"/>
      <c r="I292" s="318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</row>
    <row r="293" spans="1:19" x14ac:dyDescent="0.25">
      <c r="A293" s="318"/>
      <c r="B293" s="389">
        <f t="shared" si="4"/>
        <v>2.8799999999999826</v>
      </c>
      <c r="C293" s="398">
        <f>1/DATI!$E$12*IF(B293&lt;DATI!$E$19,DATI!$E$6*DATI!$E$16*DATI!$E$23*DATI!$E$7*(B293/DATI!$E$19+1/(DATI!$E$23*DATI!$E$7)*(1-B293/DATI!$E$19)),IF(B293&lt;DATI!$E$20,DATI!$E$6*DATI!$E$16*DATI!$E$23*DATI!$E$7,IF(B293&lt;DATI!$E$21,DATI!$E$6*DATI!$E$16*DATI!$E$23*DATI!$E$7*(DATI!$E$20/B293),DATI!$E$6*DATI!$E$16*DATI!$E$23*DATI!$E$7*((DATI!$E$20*DATI!$E$21)/B293^2))))</f>
        <v>0.10775628949213099</v>
      </c>
      <c r="D293" s="237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</row>
    <row r="294" spans="1:19" x14ac:dyDescent="0.25">
      <c r="A294" s="318"/>
      <c r="B294" s="389">
        <f t="shared" si="4"/>
        <v>2.8899999999999824</v>
      </c>
      <c r="C294" s="398">
        <f>1/DATI!$E$12*IF(B294&lt;DATI!$E$19,DATI!$E$6*DATI!$E$16*DATI!$E$23*DATI!$E$7*(B294/DATI!$E$19+1/(DATI!$E$23*DATI!$E$7)*(1-B294/DATI!$E$19)),IF(B294&lt;DATI!$E$20,DATI!$E$6*DATI!$E$16*DATI!$E$23*DATI!$E$7,IF(B294&lt;DATI!$E$21,DATI!$E$6*DATI!$E$16*DATI!$E$23*DATI!$E$7*(DATI!$E$20/B294),DATI!$E$6*DATI!$E$16*DATI!$E$23*DATI!$E$7*((DATI!$E$20*DATI!$E$21)/B294^2))))</f>
        <v>0.10701186139576052</v>
      </c>
      <c r="D294" s="237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</row>
    <row r="295" spans="1:19" x14ac:dyDescent="0.25">
      <c r="A295" s="318"/>
      <c r="B295" s="389">
        <f t="shared" si="4"/>
        <v>2.8999999999999821</v>
      </c>
      <c r="C295" s="398">
        <f>1/DATI!$E$12*IF(B295&lt;DATI!$E$19,DATI!$E$6*DATI!$E$16*DATI!$E$23*DATI!$E$7*(B295/DATI!$E$19+1/(DATI!$E$23*DATI!$E$7)*(1-B295/DATI!$E$19)),IF(B295&lt;DATI!$E$20,DATI!$E$6*DATI!$E$16*DATI!$E$23*DATI!$E$7,IF(B295&lt;DATI!$E$21,DATI!$E$6*DATI!$E$16*DATI!$E$23*DATI!$E$7*(DATI!$E$20/B295),DATI!$E$6*DATI!$E$16*DATI!$E$23*DATI!$E$7*((DATI!$E$20*DATI!$E$21)/B295^2))))</f>
        <v>0.10627512099447464</v>
      </c>
      <c r="D295" s="237"/>
      <c r="E295" s="318"/>
      <c r="F295" s="318"/>
      <c r="G295" s="318"/>
      <c r="H295" s="318"/>
      <c r="I295" s="318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</row>
    <row r="296" spans="1:19" x14ac:dyDescent="0.25">
      <c r="A296" s="318"/>
      <c r="B296" s="389">
        <f t="shared" si="4"/>
        <v>2.9099999999999819</v>
      </c>
      <c r="C296" s="398">
        <f>1/DATI!$E$12*IF(B296&lt;DATI!$E$19,DATI!$E$6*DATI!$E$16*DATI!$E$23*DATI!$E$7*(B296/DATI!$E$19+1/(DATI!$E$23*DATI!$E$7)*(1-B296/DATI!$E$19)),IF(B296&lt;DATI!$E$20,DATI!$E$6*DATI!$E$16*DATI!$E$23*DATI!$E$7,IF(B296&lt;DATI!$E$21,DATI!$E$6*DATI!$E$16*DATI!$E$23*DATI!$E$7*(DATI!$E$20/B296),DATI!$E$6*DATI!$E$16*DATI!$E$23*DATI!$E$7*((DATI!$E$20*DATI!$E$21)/B296^2))))</f>
        <v>0.10554596279726643</v>
      </c>
      <c r="D296" s="237"/>
      <c r="E296" s="318"/>
      <c r="F296" s="318"/>
      <c r="G296" s="318"/>
      <c r="H296" s="318"/>
      <c r="I296" s="318"/>
      <c r="J296" s="318"/>
      <c r="K296" s="318"/>
      <c r="L296" s="318"/>
      <c r="M296" s="318"/>
      <c r="N296" s="318"/>
      <c r="O296" s="318"/>
      <c r="P296" s="318"/>
      <c r="Q296" s="318"/>
      <c r="R296" s="318"/>
      <c r="S296" s="318"/>
    </row>
    <row r="297" spans="1:19" x14ac:dyDescent="0.25">
      <c r="A297" s="318"/>
      <c r="B297" s="389">
        <f t="shared" si="4"/>
        <v>2.9199999999999817</v>
      </c>
      <c r="C297" s="398">
        <f>1/DATI!$E$12*IF(B297&lt;DATI!$E$19,DATI!$E$6*DATI!$E$16*DATI!$E$23*DATI!$E$7*(B297/DATI!$E$19+1/(DATI!$E$23*DATI!$E$7)*(1-B297/DATI!$E$19)),IF(B297&lt;DATI!$E$20,DATI!$E$6*DATI!$E$16*DATI!$E$23*DATI!$E$7,IF(B297&lt;DATI!$E$21,DATI!$E$6*DATI!$E$16*DATI!$E$23*DATI!$E$7*(DATI!$E$20/B297),DATI!$E$6*DATI!$E$16*DATI!$E$23*DATI!$E$7*((DATI!$E$20*DATI!$E$21)/B297^2))))</f>
        <v>0.10482428311638343</v>
      </c>
      <c r="D297" s="237"/>
      <c r="E297" s="318"/>
      <c r="F297" s="318"/>
      <c r="G297" s="318"/>
      <c r="H297" s="318"/>
      <c r="I297" s="318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</row>
    <row r="298" spans="1:19" x14ac:dyDescent="0.25">
      <c r="A298" s="318"/>
      <c r="B298" s="389">
        <f t="shared" si="4"/>
        <v>2.9299999999999815</v>
      </c>
      <c r="C298" s="398">
        <f>1/DATI!$E$12*IF(B298&lt;DATI!$E$19,DATI!$E$6*DATI!$E$16*DATI!$E$23*DATI!$E$7*(B298/DATI!$E$19+1/(DATI!$E$23*DATI!$E$7)*(1-B298/DATI!$E$19)),IF(B298&lt;DATI!$E$20,DATI!$E$6*DATI!$E$16*DATI!$E$23*DATI!$E$7,IF(B298&lt;DATI!$E$21,DATI!$E$6*DATI!$E$16*DATI!$E$23*DATI!$E$7*(DATI!$E$20/B298),DATI!$E$6*DATI!$E$16*DATI!$E$23*DATI!$E$7*((DATI!$E$20*DATI!$E$21)/B298^2))))</f>
        <v>0.10410998003046418</v>
      </c>
      <c r="D298" s="237"/>
      <c r="E298" s="318"/>
      <c r="F298" s="318"/>
      <c r="G298" s="318"/>
      <c r="H298" s="318"/>
      <c r="I298" s="318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</row>
    <row r="299" spans="1:19" x14ac:dyDescent="0.25">
      <c r="A299" s="318"/>
      <c r="B299" s="389">
        <f t="shared" si="4"/>
        <v>2.9399999999999813</v>
      </c>
      <c r="C299" s="398">
        <f>1/DATI!$E$12*IF(B299&lt;DATI!$E$19,DATI!$E$6*DATI!$E$16*DATI!$E$23*DATI!$E$7*(B299/DATI!$E$19+1/(DATI!$E$23*DATI!$E$7)*(1-B299/DATI!$E$19)),IF(B299&lt;DATI!$E$20,DATI!$E$6*DATI!$E$16*DATI!$E$23*DATI!$E$7,IF(B299&lt;DATI!$E$21,DATI!$E$6*DATI!$E$16*DATI!$E$23*DATI!$E$7*(DATI!$E$20/B299),DATI!$E$6*DATI!$E$16*DATI!$E$23*DATI!$E$7*((DATI!$E$20*DATI!$E$21)/B299^2))))</f>
        <v>0.10340295334855062</v>
      </c>
      <c r="D299" s="237"/>
      <c r="E299" s="318"/>
      <c r="F299" s="318"/>
      <c r="G299" s="318"/>
      <c r="H299" s="318"/>
      <c r="I299" s="318"/>
      <c r="J299" s="318"/>
      <c r="K299" s="318"/>
      <c r="L299" s="318"/>
      <c r="M299" s="318"/>
      <c r="N299" s="318"/>
      <c r="O299" s="318"/>
      <c r="P299" s="318"/>
      <c r="Q299" s="318"/>
      <c r="R299" s="318"/>
      <c r="S299" s="318"/>
    </row>
    <row r="300" spans="1:19" x14ac:dyDescent="0.25">
      <c r="A300" s="318"/>
      <c r="B300" s="389">
        <f t="shared" si="4"/>
        <v>2.9499999999999811</v>
      </c>
      <c r="C300" s="398">
        <f>1/DATI!$E$12*IF(B300&lt;DATI!$E$19,DATI!$E$6*DATI!$E$16*DATI!$E$23*DATI!$E$7*(B300/DATI!$E$19+1/(DATI!$E$23*DATI!$E$7)*(1-B300/DATI!$E$19)),IF(B300&lt;DATI!$E$20,DATI!$E$6*DATI!$E$16*DATI!$E$23*DATI!$E$7,IF(B300&lt;DATI!$E$21,DATI!$E$6*DATI!$E$16*DATI!$E$23*DATI!$E$7*(DATI!$E$20/B300),DATI!$E$6*DATI!$E$16*DATI!$E$23*DATI!$E$7*((DATI!$E$20*DATI!$E$21)/B300^2))))</f>
        <v>0.10270310457495344</v>
      </c>
      <c r="D300" s="237"/>
      <c r="E300" s="318"/>
      <c r="F300" s="318"/>
      <c r="G300" s="318"/>
      <c r="H300" s="318"/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</row>
    <row r="301" spans="1:19" x14ac:dyDescent="0.25">
      <c r="A301" s="318"/>
      <c r="B301" s="389">
        <f t="shared" si="4"/>
        <v>2.9599999999999809</v>
      </c>
      <c r="C301" s="398">
        <f>1/DATI!$E$12*IF(B301&lt;DATI!$E$19,DATI!$E$6*DATI!$E$16*DATI!$E$23*DATI!$E$7*(B301/DATI!$E$19+1/(DATI!$E$23*DATI!$E$7)*(1-B301/DATI!$E$19)),IF(B301&lt;DATI!$E$20,DATI!$E$6*DATI!$E$16*DATI!$E$23*DATI!$E$7,IF(B301&lt;DATI!$E$21,DATI!$E$6*DATI!$E$16*DATI!$E$23*DATI!$E$7*(DATI!$E$20/B301),DATI!$E$6*DATI!$E$16*DATI!$E$23*DATI!$E$7*((DATI!$E$20*DATI!$E$21)/B301^2))))</f>
        <v>0.10201033687494661</v>
      </c>
      <c r="D301" s="237"/>
      <c r="E301" s="318"/>
      <c r="F301" s="318"/>
      <c r="G301" s="318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</row>
    <row r="302" spans="1:19" x14ac:dyDescent="0.25">
      <c r="A302" s="318"/>
      <c r="B302" s="389">
        <f t="shared" si="4"/>
        <v>2.9699999999999807</v>
      </c>
      <c r="C302" s="398">
        <f>1/DATI!$E$12*IF(B302&lt;DATI!$E$19,DATI!$E$6*DATI!$E$16*DATI!$E$23*DATI!$E$7*(B302/DATI!$E$19+1/(DATI!$E$23*DATI!$E$7)*(1-B302/DATI!$E$19)),IF(B302&lt;DATI!$E$20,DATI!$E$6*DATI!$E$16*DATI!$E$23*DATI!$E$7,IF(B302&lt;DATI!$E$21,DATI!$E$6*DATI!$E$16*DATI!$E$23*DATI!$E$7*(DATI!$E$20/B302),DATI!$E$6*DATI!$E$16*DATI!$E$23*DATI!$E$7*((DATI!$E$20*DATI!$E$21)/B302^2))))</f>
        <v>0.1013245550412693</v>
      </c>
      <c r="D302" s="237"/>
      <c r="E302" s="318"/>
      <c r="F302" s="318"/>
      <c r="G302" s="318"/>
      <c r="H302" s="318"/>
      <c r="I302" s="318"/>
      <c r="J302" s="318"/>
      <c r="K302" s="318"/>
      <c r="L302" s="318"/>
      <c r="M302" s="318"/>
      <c r="N302" s="318"/>
      <c r="O302" s="318"/>
      <c r="P302" s="318"/>
      <c r="Q302" s="318"/>
      <c r="R302" s="318"/>
      <c r="S302" s="318"/>
    </row>
    <row r="303" spans="1:19" x14ac:dyDescent="0.25">
      <c r="A303" s="318"/>
      <c r="B303" s="389">
        <f t="shared" si="4"/>
        <v>2.9799999999999804</v>
      </c>
      <c r="C303" s="398">
        <f>1/DATI!$E$12*IF(B303&lt;DATI!$E$19,DATI!$E$6*DATI!$E$16*DATI!$E$23*DATI!$E$7*(B303/DATI!$E$19+1/(DATI!$E$23*DATI!$E$7)*(1-B303/DATI!$E$19)),IF(B303&lt;DATI!$E$20,DATI!$E$6*DATI!$E$16*DATI!$E$23*DATI!$E$7,IF(B303&lt;DATI!$E$21,DATI!$E$6*DATI!$E$16*DATI!$E$23*DATI!$E$7*(DATI!$E$20/B303),DATI!$E$6*DATI!$E$16*DATI!$E$23*DATI!$E$7*((DATI!$E$20*DATI!$E$21)/B303^2))))</f>
        <v>0.10064566546141306</v>
      </c>
      <c r="D303" s="237"/>
      <c r="E303" s="318"/>
      <c r="F303" s="318"/>
      <c r="G303" s="318"/>
      <c r="H303" s="318"/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</row>
    <row r="304" spans="1:19" x14ac:dyDescent="0.25">
      <c r="A304" s="318"/>
      <c r="B304" s="389">
        <f t="shared" si="4"/>
        <v>2.9899999999999802</v>
      </c>
      <c r="C304" s="398">
        <f>1/DATI!$E$12*IF(B304&lt;DATI!$E$19,DATI!$E$6*DATI!$E$16*DATI!$E$23*DATI!$E$7*(B304/DATI!$E$19+1/(DATI!$E$23*DATI!$E$7)*(1-B304/DATI!$E$19)),IF(B304&lt;DATI!$E$20,DATI!$E$6*DATI!$E$16*DATI!$E$23*DATI!$E$7,IF(B304&lt;DATI!$E$21,DATI!$E$6*DATI!$E$16*DATI!$E$23*DATI!$E$7*(DATI!$E$20/B304),DATI!$E$6*DATI!$E$16*DATI!$E$23*DATI!$E$7*((DATI!$E$20*DATI!$E$21)/B304^2))))</f>
        <v>9.997357608567381E-2</v>
      </c>
      <c r="D304" s="237"/>
      <c r="E304" s="318"/>
      <c r="F304" s="318"/>
      <c r="G304" s="318"/>
      <c r="H304" s="318"/>
      <c r="I304" s="318"/>
      <c r="J304" s="318"/>
      <c r="K304" s="318"/>
      <c r="L304" s="318"/>
      <c r="M304" s="318"/>
      <c r="N304" s="318"/>
      <c r="O304" s="318"/>
      <c r="P304" s="318"/>
      <c r="Q304" s="318"/>
      <c r="R304" s="318"/>
      <c r="S304" s="318"/>
    </row>
    <row r="305" spans="1:19" x14ac:dyDescent="0.25">
      <c r="A305" s="318"/>
      <c r="B305" s="389">
        <f t="shared" si="4"/>
        <v>2.99999999999998</v>
      </c>
      <c r="C305" s="398">
        <f>1/DATI!$E$12*IF(B305&lt;DATI!$E$19,DATI!$E$6*DATI!$E$16*DATI!$E$23*DATI!$E$7*(B305/DATI!$E$19+1/(DATI!$E$23*DATI!$E$7)*(1-B305/DATI!$E$19)),IF(B305&lt;DATI!$E$20,DATI!$E$6*DATI!$E$16*DATI!$E$23*DATI!$E$7,IF(B305&lt;DATI!$E$21,DATI!$E$6*DATI!$E$16*DATI!$E$23*DATI!$E$7*(DATI!$E$20/B305),DATI!$E$6*DATI!$E$16*DATI!$E$23*DATI!$E$7*((DATI!$E$20*DATI!$E$21)/B305^2))))</f>
        <v>9.9308196395948067E-2</v>
      </c>
      <c r="D305" s="237"/>
      <c r="E305" s="318"/>
      <c r="F305" s="318"/>
      <c r="G305" s="318"/>
      <c r="H305" s="318"/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</row>
    <row r="306" spans="1:19" x14ac:dyDescent="0.25">
      <c r="A306" s="318"/>
      <c r="B306" s="389">
        <f t="shared" si="4"/>
        <v>3.0099999999999798</v>
      </c>
      <c r="C306" s="398">
        <f>1/DATI!$E$12*IF(B306&lt;DATI!$E$19,DATI!$E$6*DATI!$E$16*DATI!$E$23*DATI!$E$7*(B306/DATI!$E$19+1/(DATI!$E$23*DATI!$E$7)*(1-B306/DATI!$E$19)),IF(B306&lt;DATI!$E$20,DATI!$E$6*DATI!$E$16*DATI!$E$23*DATI!$E$7,IF(B306&lt;DATI!$E$21,DATI!$E$6*DATI!$E$16*DATI!$E$23*DATI!$E$7*(DATI!$E$20/B306),DATI!$E$6*DATI!$E$16*DATI!$E$23*DATI!$E$7*((DATI!$E$20*DATI!$E$21)/B306^2))))</f>
        <v>9.8649437375253335E-2</v>
      </c>
      <c r="D306" s="237"/>
      <c r="E306" s="318"/>
      <c r="F306" s="318"/>
      <c r="G306" s="318"/>
      <c r="H306" s="318"/>
      <c r="I306" s="318"/>
      <c r="J306" s="318"/>
      <c r="K306" s="318"/>
      <c r="L306" s="318"/>
      <c r="M306" s="318"/>
      <c r="N306" s="318"/>
      <c r="O306" s="318"/>
      <c r="P306" s="318"/>
      <c r="Q306" s="318"/>
      <c r="R306" s="318"/>
      <c r="S306" s="318"/>
    </row>
    <row r="307" spans="1:19" x14ac:dyDescent="0.25">
      <c r="A307" s="318"/>
      <c r="B307" s="389">
        <f t="shared" si="4"/>
        <v>3.0199999999999796</v>
      </c>
      <c r="C307" s="398">
        <f>1/DATI!$E$12*IF(B307&lt;DATI!$E$19,DATI!$E$6*DATI!$E$16*DATI!$E$23*DATI!$E$7*(B307/DATI!$E$19+1/(DATI!$E$23*DATI!$E$7)*(1-B307/DATI!$E$19)),IF(B307&lt;DATI!$E$20,DATI!$E$6*DATI!$E$16*DATI!$E$23*DATI!$E$7,IF(B307&lt;DATI!$E$21,DATI!$E$6*DATI!$E$16*DATI!$E$23*DATI!$E$7*(DATI!$E$20/B307),DATI!$E$6*DATI!$E$16*DATI!$E$23*DATI!$E$7*((DATI!$E$20*DATI!$E$21)/B307^2))))</f>
        <v>9.7997211477954121E-2</v>
      </c>
      <c r="D307" s="237"/>
      <c r="E307" s="318"/>
      <c r="F307" s="318"/>
      <c r="G307" s="318"/>
      <c r="H307" s="318"/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</row>
    <row r="308" spans="1:19" x14ac:dyDescent="0.25">
      <c r="A308" s="318"/>
      <c r="B308" s="389">
        <f t="shared" si="4"/>
        <v>3.0299999999999794</v>
      </c>
      <c r="C308" s="398">
        <f>1/DATI!$E$12*IF(B308&lt;DATI!$E$19,DATI!$E$6*DATI!$E$16*DATI!$E$23*DATI!$E$7*(B308/DATI!$E$19+1/(DATI!$E$23*DATI!$E$7)*(1-B308/DATI!$E$19)),IF(B308&lt;DATI!$E$20,DATI!$E$6*DATI!$E$16*DATI!$E$23*DATI!$E$7,IF(B308&lt;DATI!$E$21,DATI!$E$6*DATI!$E$16*DATI!$E$23*DATI!$E$7*(DATI!$E$20/B308),DATI!$E$6*DATI!$E$16*DATI!$E$23*DATI!$E$7*((DATI!$E$20*DATI!$E$21)/B308^2))))</f>
        <v>9.735143260067454E-2</v>
      </c>
      <c r="D308" s="237"/>
      <c r="E308" s="318"/>
      <c r="F308" s="318"/>
      <c r="G308" s="318"/>
      <c r="H308" s="318"/>
      <c r="I308" s="318"/>
      <c r="J308" s="318"/>
      <c r="K308" s="318"/>
      <c r="L308" s="318"/>
      <c r="M308" s="318"/>
      <c r="N308" s="318"/>
      <c r="O308" s="318"/>
      <c r="P308" s="318"/>
      <c r="Q308" s="318"/>
      <c r="R308" s="318"/>
      <c r="S308" s="318"/>
    </row>
    <row r="309" spans="1:19" x14ac:dyDescent="0.25">
      <c r="A309" s="318"/>
      <c r="B309" s="389">
        <f t="shared" si="4"/>
        <v>3.0399999999999792</v>
      </c>
      <c r="C309" s="398">
        <f>1/DATI!$E$12*IF(B309&lt;DATI!$E$19,DATI!$E$6*DATI!$E$16*DATI!$E$23*DATI!$E$7*(B309/DATI!$E$19+1/(DATI!$E$23*DATI!$E$7)*(1-B309/DATI!$E$19)),IF(B309&lt;DATI!$E$20,DATI!$E$6*DATI!$E$16*DATI!$E$23*DATI!$E$7,IF(B309&lt;DATI!$E$21,DATI!$E$6*DATI!$E$16*DATI!$E$23*DATI!$E$7*(DATI!$E$20/B309),DATI!$E$6*DATI!$E$16*DATI!$E$23*DATI!$E$7*((DATI!$E$20*DATI!$E$21)/B309^2))))</f>
        <v>9.671201605387951E-2</v>
      </c>
      <c r="D309" s="237"/>
      <c r="E309" s="318"/>
      <c r="F309" s="318"/>
      <c r="G309" s="318"/>
      <c r="H309" s="318"/>
      <c r="I309" s="318"/>
      <c r="J309" s="318"/>
      <c r="K309" s="318"/>
      <c r="L309" s="318"/>
      <c r="M309" s="318"/>
      <c r="N309" s="318"/>
      <c r="O309" s="318"/>
      <c r="P309" s="318"/>
      <c r="Q309" s="318"/>
      <c r="R309" s="318"/>
      <c r="S309" s="318"/>
    </row>
    <row r="310" spans="1:19" x14ac:dyDescent="0.25">
      <c r="A310" s="318"/>
      <c r="B310" s="389">
        <f t="shared" si="4"/>
        <v>3.049999999999979</v>
      </c>
      <c r="C310" s="398">
        <f>1/DATI!$E$12*IF(B310&lt;DATI!$E$19,DATI!$E$6*DATI!$E$16*DATI!$E$23*DATI!$E$7*(B310/DATI!$E$19+1/(DATI!$E$23*DATI!$E$7)*(1-B310/DATI!$E$19)),IF(B310&lt;DATI!$E$20,DATI!$E$6*DATI!$E$16*DATI!$E$23*DATI!$E$7,IF(B310&lt;DATI!$E$21,DATI!$E$6*DATI!$E$16*DATI!$E$23*DATI!$E$7*(DATI!$E$20/B310),DATI!$E$6*DATI!$E$16*DATI!$E$23*DATI!$E$7*((DATI!$E$20*DATI!$E$21)/B310^2))))</f>
        <v>9.6078878534107279E-2</v>
      </c>
      <c r="D310" s="237"/>
      <c r="E310" s="318"/>
      <c r="F310" s="318"/>
      <c r="G310" s="318"/>
      <c r="H310" s="318"/>
      <c r="I310" s="318"/>
      <c r="J310" s="318"/>
      <c r="K310" s="318"/>
      <c r="L310" s="318"/>
      <c r="M310" s="318"/>
      <c r="N310" s="318"/>
      <c r="O310" s="318"/>
      <c r="P310" s="318"/>
      <c r="Q310" s="318"/>
      <c r="R310" s="318"/>
      <c r="S310" s="318"/>
    </row>
    <row r="311" spans="1:19" x14ac:dyDescent="0.25">
      <c r="A311" s="318"/>
      <c r="B311" s="389">
        <f t="shared" si="4"/>
        <v>3.0599999999999787</v>
      </c>
      <c r="C311" s="398">
        <f>1/DATI!$E$12*IF(B311&lt;DATI!$E$19,DATI!$E$6*DATI!$E$16*DATI!$E$23*DATI!$E$7*(B311/DATI!$E$19+1/(DATI!$E$23*DATI!$E$7)*(1-B311/DATI!$E$19)),IF(B311&lt;DATI!$E$20,DATI!$E$6*DATI!$E$16*DATI!$E$23*DATI!$E$7,IF(B311&lt;DATI!$E$21,DATI!$E$6*DATI!$E$16*DATI!$E$23*DATI!$E$7*(DATI!$E$20/B311),DATI!$E$6*DATI!$E$16*DATI!$E$23*DATI!$E$7*((DATI!$E$20*DATI!$E$21)/B311^2))))</f>
        <v>9.5451938096835942E-2</v>
      </c>
      <c r="D311" s="237"/>
      <c r="E311" s="318"/>
      <c r="F311" s="318"/>
      <c r="G311" s="318"/>
      <c r="H311" s="318"/>
      <c r="I311" s="318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</row>
    <row r="312" spans="1:19" x14ac:dyDescent="0.25">
      <c r="A312" s="318"/>
      <c r="B312" s="389">
        <f t="shared" si="4"/>
        <v>3.0699999999999785</v>
      </c>
      <c r="C312" s="398">
        <f>1/DATI!$E$12*IF(B312&lt;DATI!$E$19,DATI!$E$6*DATI!$E$16*DATI!$E$23*DATI!$E$7*(B312/DATI!$E$19+1/(DATI!$E$23*DATI!$E$7)*(1-B312/DATI!$E$19)),IF(B312&lt;DATI!$E$20,DATI!$E$6*DATI!$E$16*DATI!$E$23*DATI!$E$7,IF(B312&lt;DATI!$E$21,DATI!$E$6*DATI!$E$16*DATI!$E$23*DATI!$E$7*(DATI!$E$20/B312),DATI!$E$6*DATI!$E$16*DATI!$E$23*DATI!$E$7*((DATI!$E$20*DATI!$E$21)/B312^2))))</f>
        <v>9.4831114129967767E-2</v>
      </c>
      <c r="D312" s="237"/>
      <c r="E312" s="318"/>
      <c r="F312" s="318"/>
      <c r="G312" s="318"/>
      <c r="H312" s="318"/>
      <c r="I312" s="318"/>
      <c r="J312" s="318"/>
      <c r="K312" s="318"/>
      <c r="L312" s="318"/>
      <c r="M312" s="318"/>
      <c r="N312" s="318"/>
      <c r="O312" s="318"/>
      <c r="P312" s="318"/>
      <c r="Q312" s="318"/>
      <c r="R312" s="318"/>
      <c r="S312" s="318"/>
    </row>
    <row r="313" spans="1:19" x14ac:dyDescent="0.25">
      <c r="A313" s="318"/>
      <c r="B313" s="389">
        <f t="shared" si="4"/>
        <v>3.0799999999999783</v>
      </c>
      <c r="C313" s="398">
        <f>1/DATI!$E$12*IF(B313&lt;DATI!$E$19,DATI!$E$6*DATI!$E$16*DATI!$E$23*DATI!$E$7*(B313/DATI!$E$19+1/(DATI!$E$23*DATI!$E$7)*(1-B313/DATI!$E$19)),IF(B313&lt;DATI!$E$20,DATI!$E$6*DATI!$E$16*DATI!$E$23*DATI!$E$7,IF(B313&lt;DATI!$E$21,DATI!$E$6*DATI!$E$16*DATI!$E$23*DATI!$E$7*(DATI!$E$20/B313),DATI!$E$6*DATI!$E$16*DATI!$E$23*DATI!$E$7*((DATI!$E$20*DATI!$E$21)/B313^2))))</f>
        <v>9.4216327327915045E-2</v>
      </c>
      <c r="D313" s="237"/>
      <c r="E313" s="318"/>
      <c r="F313" s="318"/>
      <c r="G313" s="318"/>
      <c r="H313" s="318"/>
      <c r="I313" s="318"/>
      <c r="J313" s="318"/>
      <c r="K313" s="318"/>
      <c r="L313" s="318"/>
      <c r="M313" s="318"/>
      <c r="N313" s="318"/>
      <c r="O313" s="318"/>
      <c r="P313" s="318"/>
      <c r="Q313" s="318"/>
      <c r="R313" s="318"/>
      <c r="S313" s="318"/>
    </row>
    <row r="314" spans="1:19" x14ac:dyDescent="0.25">
      <c r="A314" s="318"/>
      <c r="B314" s="389">
        <f t="shared" si="4"/>
        <v>3.0899999999999781</v>
      </c>
      <c r="C314" s="398">
        <f>1/DATI!$E$12*IF(B314&lt;DATI!$E$19,DATI!$E$6*DATI!$E$16*DATI!$E$23*DATI!$E$7*(B314/DATI!$E$19+1/(DATI!$E$23*DATI!$E$7)*(1-B314/DATI!$E$19)),IF(B314&lt;DATI!$E$20,DATI!$E$6*DATI!$E$16*DATI!$E$23*DATI!$E$7,IF(B314&lt;DATI!$E$21,DATI!$E$6*DATI!$E$16*DATI!$E$23*DATI!$E$7*(DATI!$E$20/B314),DATI!$E$6*DATI!$E$16*DATI!$E$23*DATI!$E$7*((DATI!$E$20*DATI!$E$21)/B314^2))))</f>
        <v>9.3607499666272187E-2</v>
      </c>
      <c r="D314" s="237"/>
      <c r="E314" s="318"/>
      <c r="F314" s="318"/>
      <c r="G314" s="318"/>
      <c r="H314" s="318"/>
      <c r="I314" s="318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</row>
    <row r="315" spans="1:19" x14ac:dyDescent="0.25">
      <c r="A315" s="318"/>
      <c r="B315" s="389">
        <f t="shared" si="4"/>
        <v>3.0999999999999779</v>
      </c>
      <c r="C315" s="398">
        <f>1/DATI!$E$12*IF(B315&lt;DATI!$E$19,DATI!$E$6*DATI!$E$16*DATI!$E$23*DATI!$E$7*(B315/DATI!$E$19+1/(DATI!$E$23*DATI!$E$7)*(1-B315/DATI!$E$19)),IF(B315&lt;DATI!$E$20,DATI!$E$6*DATI!$E$16*DATI!$E$23*DATI!$E$7,IF(B315&lt;DATI!$E$21,DATI!$E$6*DATI!$E$16*DATI!$E$23*DATI!$E$7*(DATI!$E$20/B315),DATI!$E$6*DATI!$E$16*DATI!$E$23*DATI!$E$7*((DATI!$E$20*DATI!$E$21)/B315^2))))</f>
        <v>9.3004554377058624E-2</v>
      </c>
      <c r="D315" s="237"/>
      <c r="E315" s="318"/>
      <c r="F315" s="318"/>
      <c r="G315" s="318"/>
      <c r="H315" s="318"/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</row>
    <row r="316" spans="1:19" x14ac:dyDescent="0.25">
      <c r="A316" s="318"/>
      <c r="B316" s="389">
        <f t="shared" si="4"/>
        <v>3.1099999999999777</v>
      </c>
      <c r="C316" s="398">
        <f>1/DATI!$E$12*IF(B316&lt;DATI!$E$19,DATI!$E$6*DATI!$E$16*DATI!$E$23*DATI!$E$7*(B316/DATI!$E$19+1/(DATI!$E$23*DATI!$E$7)*(1-B316/DATI!$E$19)),IF(B316&lt;DATI!$E$20,DATI!$E$6*DATI!$E$16*DATI!$E$23*DATI!$E$7,IF(B316&lt;DATI!$E$21,DATI!$E$6*DATI!$E$16*DATI!$E$23*DATI!$E$7*(DATI!$E$20/B316),DATI!$E$6*DATI!$E$16*DATI!$E$23*DATI!$E$7*((DATI!$E$20*DATI!$E$21)/B316^2))))</f>
        <v>9.2407415924518316E-2</v>
      </c>
      <c r="D316" s="237"/>
      <c r="E316" s="318"/>
      <c r="F316" s="318"/>
      <c r="G316" s="318"/>
      <c r="H316" s="318"/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</row>
    <row r="317" spans="1:19" x14ac:dyDescent="0.25">
      <c r="A317" s="318"/>
      <c r="B317" s="389">
        <f t="shared" si="4"/>
        <v>3.1199999999999775</v>
      </c>
      <c r="C317" s="398">
        <f>1/DATI!$E$12*IF(B317&lt;DATI!$E$19,DATI!$E$6*DATI!$E$16*DATI!$E$23*DATI!$E$7*(B317/DATI!$E$19+1/(DATI!$E$23*DATI!$E$7)*(1-B317/DATI!$E$19)),IF(B317&lt;DATI!$E$20,DATI!$E$6*DATI!$E$16*DATI!$E$23*DATI!$E$7,IF(B317&lt;DATI!$E$21,DATI!$E$6*DATI!$E$16*DATI!$E$23*DATI!$E$7*(DATI!$E$20/B317),DATI!$E$6*DATI!$E$16*DATI!$E$23*DATI!$E$7*((DATI!$E$20*DATI!$E$21)/B317^2))))</f>
        <v>9.1816009981460972E-2</v>
      </c>
      <c r="D317" s="237"/>
      <c r="E317" s="318"/>
      <c r="F317" s="318"/>
      <c r="G317" s="318"/>
      <c r="H317" s="318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</row>
    <row r="318" spans="1:19" x14ac:dyDescent="0.25">
      <c r="A318" s="318"/>
      <c r="B318" s="389">
        <f t="shared" si="4"/>
        <v>3.1299999999999772</v>
      </c>
      <c r="C318" s="398">
        <f>1/DATI!$E$12*IF(B318&lt;DATI!$E$19,DATI!$E$6*DATI!$E$16*DATI!$E$23*DATI!$E$7*(B318/DATI!$E$19+1/(DATI!$E$23*DATI!$E$7)*(1-B318/DATI!$E$19)),IF(B318&lt;DATI!$E$20,DATI!$E$6*DATI!$E$16*DATI!$E$23*DATI!$E$7,IF(B318&lt;DATI!$E$21,DATI!$E$6*DATI!$E$16*DATI!$E$23*DATI!$E$7*(DATI!$E$20/B318),DATI!$E$6*DATI!$E$16*DATI!$E$23*DATI!$E$7*((DATI!$E$20*DATI!$E$21)/B318^2))))</f>
        <v>9.1230263406131912E-2</v>
      </c>
      <c r="D318" s="237"/>
      <c r="E318" s="318"/>
      <c r="F318" s="318"/>
      <c r="G318" s="318"/>
      <c r="H318" s="318"/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</row>
    <row r="319" spans="1:19" x14ac:dyDescent="0.25">
      <c r="A319" s="318"/>
      <c r="B319" s="389">
        <f t="shared" si="4"/>
        <v>3.139999999999977</v>
      </c>
      <c r="C319" s="398">
        <f>1/DATI!$E$12*IF(B319&lt;DATI!$E$19,DATI!$E$6*DATI!$E$16*DATI!$E$23*DATI!$E$7*(B319/DATI!$E$19+1/(DATI!$E$23*DATI!$E$7)*(1-B319/DATI!$E$19)),IF(B319&lt;DATI!$E$20,DATI!$E$6*DATI!$E$16*DATI!$E$23*DATI!$E$7,IF(B319&lt;DATI!$E$21,DATI!$E$6*DATI!$E$16*DATI!$E$23*DATI!$E$7*(DATI!$E$20/B319),DATI!$E$6*DATI!$E$16*DATI!$E$23*DATI!$E$7*((DATI!$E$20*DATI!$E$21)/B319^2))))</f>
        <v>9.0650104219596517E-2</v>
      </c>
      <c r="D319" s="237"/>
      <c r="E319" s="318"/>
      <c r="F319" s="318"/>
      <c r="G319" s="318"/>
      <c r="H319" s="318"/>
      <c r="I319" s="318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</row>
    <row r="320" spans="1:19" x14ac:dyDescent="0.25">
      <c r="A320" s="318"/>
      <c r="B320" s="389">
        <f t="shared" si="4"/>
        <v>3.1499999999999768</v>
      </c>
      <c r="C320" s="398">
        <f>1/DATI!$E$12*IF(B320&lt;DATI!$E$19,DATI!$E$6*DATI!$E$16*DATI!$E$23*DATI!$E$7*(B320/DATI!$E$19+1/(DATI!$E$23*DATI!$E$7)*(1-B320/DATI!$E$19)),IF(B320&lt;DATI!$E$20,DATI!$E$6*DATI!$E$16*DATI!$E$23*DATI!$E$7,IF(B320&lt;DATI!$E$21,DATI!$E$6*DATI!$E$16*DATI!$E$23*DATI!$E$7*(DATI!$E$20/B320),DATI!$E$6*DATI!$E$16*DATI!$E$23*DATI!$E$7*((DATI!$E$20*DATI!$E$21)/B320^2))))</f>
        <v>9.007546158362649E-2</v>
      </c>
      <c r="D320" s="237"/>
      <c r="E320" s="318"/>
      <c r="F320" s="318"/>
      <c r="G320" s="318"/>
      <c r="H320" s="318"/>
      <c r="I320" s="318"/>
      <c r="J320" s="318"/>
      <c r="K320" s="318"/>
      <c r="L320" s="318"/>
      <c r="M320" s="318"/>
      <c r="N320" s="318"/>
      <c r="O320" s="318"/>
      <c r="P320" s="318"/>
      <c r="Q320" s="318"/>
      <c r="R320" s="318"/>
      <c r="S320" s="318"/>
    </row>
    <row r="321" spans="1:19" x14ac:dyDescent="0.25">
      <c r="A321" s="318"/>
      <c r="B321" s="389">
        <f t="shared" si="4"/>
        <v>3.1599999999999766</v>
      </c>
      <c r="C321" s="398">
        <f>1/DATI!$E$12*IF(B321&lt;DATI!$E$19,DATI!$E$6*DATI!$E$16*DATI!$E$23*DATI!$E$7*(B321/DATI!$E$19+1/(DATI!$E$23*DATI!$E$7)*(1-B321/DATI!$E$19)),IF(B321&lt;DATI!$E$20,DATI!$E$6*DATI!$E$16*DATI!$E$23*DATI!$E$7,IF(B321&lt;DATI!$E$21,DATI!$E$6*DATI!$E$16*DATI!$E$23*DATI!$E$7*(DATI!$E$20/B321),DATI!$E$6*DATI!$E$16*DATI!$E$23*DATI!$E$7*((DATI!$E$20*DATI!$E$21)/B321^2))))</f>
        <v>8.9506265779075264E-2</v>
      </c>
      <c r="D321" s="237"/>
      <c r="E321" s="318"/>
      <c r="F321" s="318"/>
      <c r="G321" s="318"/>
      <c r="H321" s="318"/>
      <c r="I321" s="318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</row>
    <row r="322" spans="1:19" x14ac:dyDescent="0.25">
      <c r="A322" s="318"/>
      <c r="B322" s="389">
        <f t="shared" si="4"/>
        <v>3.1699999999999764</v>
      </c>
      <c r="C322" s="398">
        <f>1/DATI!$E$12*IF(B322&lt;DATI!$E$19,DATI!$E$6*DATI!$E$16*DATI!$E$23*DATI!$E$7*(B322/DATI!$E$19+1/(DATI!$E$23*DATI!$E$7)*(1-B322/DATI!$E$19)),IF(B322&lt;DATI!$E$20,DATI!$E$6*DATI!$E$16*DATI!$E$23*DATI!$E$7,IF(B322&lt;DATI!$E$21,DATI!$E$6*DATI!$E$16*DATI!$E$23*DATI!$E$7*(DATI!$E$20/B322),DATI!$E$6*DATI!$E$16*DATI!$E$23*DATI!$E$7*((DATI!$E$20*DATI!$E$21)/B322^2))))</f>
        <v>8.8942448184730072E-2</v>
      </c>
      <c r="D322" s="237"/>
      <c r="E322" s="318"/>
      <c r="F322" s="318"/>
      <c r="G322" s="318"/>
      <c r="H322" s="318"/>
      <c r="I322" s="318"/>
      <c r="J322" s="318"/>
      <c r="K322" s="318"/>
      <c r="L322" s="318"/>
      <c r="M322" s="318"/>
      <c r="N322" s="318"/>
      <c r="O322" s="318"/>
      <c r="P322" s="318"/>
      <c r="Q322" s="318"/>
      <c r="R322" s="318"/>
      <c r="S322" s="318"/>
    </row>
    <row r="323" spans="1:19" x14ac:dyDescent="0.25">
      <c r="A323" s="318"/>
      <c r="B323" s="389">
        <f t="shared" si="4"/>
        <v>3.1799999999999762</v>
      </c>
      <c r="C323" s="398">
        <f>1/DATI!$E$12*IF(B323&lt;DATI!$E$19,DATI!$E$6*DATI!$E$16*DATI!$E$23*DATI!$E$7*(B323/DATI!$E$19+1/(DATI!$E$23*DATI!$E$7)*(1-B323/DATI!$E$19)),IF(B323&lt;DATI!$E$20,DATI!$E$6*DATI!$E$16*DATI!$E$23*DATI!$E$7,IF(B323&lt;DATI!$E$21,DATI!$E$6*DATI!$E$16*DATI!$E$23*DATI!$E$7*(DATI!$E$20/B323),DATI!$E$6*DATI!$E$16*DATI!$E$23*DATI!$E$7*((DATI!$E$20*DATI!$E$21)/B323^2))))</f>
        <v>8.8383941256628906E-2</v>
      </c>
      <c r="D323" s="237"/>
      <c r="E323" s="318"/>
      <c r="F323" s="318"/>
      <c r="G323" s="318"/>
      <c r="H323" s="318"/>
      <c r="I323" s="318"/>
      <c r="J323" s="318"/>
      <c r="K323" s="318"/>
      <c r="L323" s="318"/>
      <c r="M323" s="318"/>
      <c r="N323" s="318"/>
      <c r="O323" s="318"/>
      <c r="P323" s="318"/>
      <c r="Q323" s="318"/>
      <c r="R323" s="318"/>
      <c r="S323" s="318"/>
    </row>
    <row r="324" spans="1:19" x14ac:dyDescent="0.25">
      <c r="A324" s="318"/>
      <c r="B324" s="389">
        <f t="shared" si="4"/>
        <v>3.189999999999976</v>
      </c>
      <c r="C324" s="398">
        <f>1/DATI!$E$12*IF(B324&lt;DATI!$E$19,DATI!$E$6*DATI!$E$16*DATI!$E$23*DATI!$E$7*(B324/DATI!$E$19+1/(DATI!$E$23*DATI!$E$7)*(1-B324/DATI!$E$19)),IF(B324&lt;DATI!$E$20,DATI!$E$6*DATI!$E$16*DATI!$E$23*DATI!$E$7,IF(B324&lt;DATI!$E$21,DATI!$E$6*DATI!$E$16*DATI!$E$23*DATI!$E$7*(DATI!$E$20/B324),DATI!$E$6*DATI!$E$16*DATI!$E$23*DATI!$E$7*((DATI!$E$20*DATI!$E$21)/B324^2))))</f>
        <v>8.7830678507830509E-2</v>
      </c>
      <c r="D324" s="237"/>
      <c r="E324" s="318"/>
      <c r="F324" s="318"/>
      <c r="G324" s="318"/>
      <c r="H324" s="318"/>
      <c r="I324" s="318"/>
      <c r="J324" s="318"/>
      <c r="K324" s="318"/>
      <c r="L324" s="318"/>
      <c r="M324" s="318"/>
      <c r="N324" s="318"/>
      <c r="O324" s="318"/>
      <c r="P324" s="318"/>
      <c r="Q324" s="318"/>
      <c r="R324" s="318"/>
      <c r="S324" s="318"/>
    </row>
    <row r="325" spans="1:19" x14ac:dyDescent="0.25">
      <c r="A325" s="318"/>
      <c r="B325" s="389">
        <f t="shared" si="4"/>
        <v>3.1999999999999758</v>
      </c>
      <c r="C325" s="398">
        <f>1/DATI!$E$12*IF(B325&lt;DATI!$E$19,DATI!$E$6*DATI!$E$16*DATI!$E$23*DATI!$E$7*(B325/DATI!$E$19+1/(DATI!$E$23*DATI!$E$7)*(1-B325/DATI!$E$19)),IF(B325&lt;DATI!$E$20,DATI!$E$6*DATI!$E$16*DATI!$E$23*DATI!$E$7,IF(B325&lt;DATI!$E$21,DATI!$E$6*DATI!$E$16*DATI!$E$23*DATI!$E$7*(DATI!$E$20/B325),DATI!$E$6*DATI!$E$16*DATI!$E$23*DATI!$E$7*((DATI!$E$20*DATI!$E$21)/B325^2))))</f>
        <v>8.728259448862638E-2</v>
      </c>
      <c r="D325" s="237"/>
      <c r="E325" s="318"/>
      <c r="F325" s="318"/>
      <c r="G325" s="318"/>
      <c r="H325" s="318"/>
      <c r="I325" s="318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</row>
    <row r="326" spans="1:19" x14ac:dyDescent="0.25">
      <c r="A326" s="318"/>
      <c r="B326" s="389">
        <f t="shared" ref="B326:B389" si="5">0.01+B325</f>
        <v>3.2099999999999755</v>
      </c>
      <c r="C326" s="398">
        <f>1/DATI!$E$12*IF(B326&lt;DATI!$E$19,DATI!$E$6*DATI!$E$16*DATI!$E$23*DATI!$E$7*(B326/DATI!$E$19+1/(DATI!$E$23*DATI!$E$7)*(1-B326/DATI!$E$19)),IF(B326&lt;DATI!$E$20,DATI!$E$6*DATI!$E$16*DATI!$E$23*DATI!$E$7,IF(B326&lt;DATI!$E$21,DATI!$E$6*DATI!$E$16*DATI!$E$23*DATI!$E$7*(DATI!$E$20/B326),DATI!$E$6*DATI!$E$16*DATI!$E$23*DATI!$E$7*((DATI!$E$20*DATI!$E$21)/B326^2))))</f>
        <v>8.6739624767183374E-2</v>
      </c>
      <c r="D326" s="237"/>
      <c r="E326" s="318"/>
      <c r="F326" s="318"/>
      <c r="G326" s="318"/>
      <c r="H326" s="318"/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</row>
    <row r="327" spans="1:19" x14ac:dyDescent="0.25">
      <c r="A327" s="318"/>
      <c r="B327" s="389">
        <f t="shared" si="5"/>
        <v>3.2199999999999753</v>
      </c>
      <c r="C327" s="398">
        <f>1/DATI!$E$12*IF(B327&lt;DATI!$E$19,DATI!$E$6*DATI!$E$16*DATI!$E$23*DATI!$E$7*(B327/DATI!$E$19+1/(DATI!$E$23*DATI!$E$7)*(1-B327/DATI!$E$19)),IF(B327&lt;DATI!$E$20,DATI!$E$6*DATI!$E$16*DATI!$E$23*DATI!$E$7,IF(B327&lt;DATI!$E$21,DATI!$E$6*DATI!$E$16*DATI!$E$23*DATI!$E$7*(DATI!$E$20/B327),DATI!$E$6*DATI!$E$16*DATI!$E$23*DATI!$E$7*((DATI!$E$20*DATI!$E$21)/B327^2))))</f>
        <v>8.6201705910606691E-2</v>
      </c>
      <c r="D327" s="237"/>
      <c r="E327" s="318"/>
      <c r="F327" s="318"/>
      <c r="G327" s="318"/>
      <c r="H327" s="318"/>
      <c r="I327" s="318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</row>
    <row r="328" spans="1:19" x14ac:dyDescent="0.25">
      <c r="A328" s="318"/>
      <c r="B328" s="389">
        <f t="shared" si="5"/>
        <v>3.2299999999999751</v>
      </c>
      <c r="C328" s="398">
        <f>1/DATI!$E$12*IF(B328&lt;DATI!$E$19,DATI!$E$6*DATI!$E$16*DATI!$E$23*DATI!$E$7*(B328/DATI!$E$19+1/(DATI!$E$23*DATI!$E$7)*(1-B328/DATI!$E$19)),IF(B328&lt;DATI!$E$20,DATI!$E$6*DATI!$E$16*DATI!$E$23*DATI!$E$7,IF(B328&lt;DATI!$E$21,DATI!$E$6*DATI!$E$16*DATI!$E$23*DATI!$E$7*(DATI!$E$20/B328),DATI!$E$6*DATI!$E$16*DATI!$E$23*DATI!$E$7*((DATI!$E$20*DATI!$E$21)/B328^2))))</f>
        <v>8.5668775466412453E-2</v>
      </c>
      <c r="D328" s="237"/>
      <c r="E328" s="318"/>
      <c r="F328" s="318"/>
      <c r="G328" s="318"/>
      <c r="H328" s="318"/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</row>
    <row r="329" spans="1:19" x14ac:dyDescent="0.25">
      <c r="A329" s="318"/>
      <c r="B329" s="389">
        <f t="shared" si="5"/>
        <v>3.2399999999999749</v>
      </c>
      <c r="C329" s="398">
        <f>1/DATI!$E$12*IF(B329&lt;DATI!$E$19,DATI!$E$6*DATI!$E$16*DATI!$E$23*DATI!$E$7*(B329/DATI!$E$19+1/(DATI!$E$23*DATI!$E$7)*(1-B329/DATI!$E$19)),IF(B329&lt;DATI!$E$20,DATI!$E$6*DATI!$E$16*DATI!$E$23*DATI!$E$7,IF(B329&lt;DATI!$E$21,DATI!$E$6*DATI!$E$16*DATI!$E$23*DATI!$E$7*(DATI!$E$20/B329),DATI!$E$6*DATI!$E$16*DATI!$E$23*DATI!$E$7*((DATI!$E$20*DATI!$E$21)/B329^2))))</f>
        <v>8.5140771944400104E-2</v>
      </c>
      <c r="D329" s="237"/>
      <c r="E329" s="318"/>
      <c r="F329" s="318"/>
      <c r="G329" s="318"/>
      <c r="H329" s="318"/>
      <c r="I329" s="318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</row>
    <row r="330" spans="1:19" x14ac:dyDescent="0.25">
      <c r="A330" s="318"/>
      <c r="B330" s="389">
        <f t="shared" si="5"/>
        <v>3.2499999999999747</v>
      </c>
      <c r="C330" s="398">
        <f>1/DATI!$E$12*IF(B330&lt;DATI!$E$19,DATI!$E$6*DATI!$E$16*DATI!$E$23*DATI!$E$7*(B330/DATI!$E$19+1/(DATI!$E$23*DATI!$E$7)*(1-B330/DATI!$E$19)),IF(B330&lt;DATI!$E$20,DATI!$E$6*DATI!$E$16*DATI!$E$23*DATI!$E$7,IF(B330&lt;DATI!$E$21,DATI!$E$6*DATI!$E$16*DATI!$E$23*DATI!$E$7*(DATI!$E$20/B330),DATI!$E$6*DATI!$E$16*DATI!$E$23*DATI!$E$7*((DATI!$E$20*DATI!$E$21)/B330^2))))</f>
        <v>8.4617634798914515E-2</v>
      </c>
      <c r="D330" s="237"/>
      <c r="E330" s="318"/>
      <c r="F330" s="318"/>
      <c r="G330" s="318"/>
      <c r="H330" s="318"/>
      <c r="I330" s="318"/>
      <c r="J330" s="318"/>
      <c r="K330" s="318"/>
      <c r="L330" s="318"/>
      <c r="M330" s="318"/>
      <c r="N330" s="318"/>
      <c r="O330" s="318"/>
      <c r="P330" s="318"/>
      <c r="Q330" s="318"/>
      <c r="R330" s="318"/>
      <c r="S330" s="318"/>
    </row>
    <row r="331" spans="1:19" x14ac:dyDescent="0.25">
      <c r="A331" s="318"/>
      <c r="B331" s="389">
        <f t="shared" si="5"/>
        <v>3.2599999999999745</v>
      </c>
      <c r="C331" s="398">
        <f>1/DATI!$E$12*IF(B331&lt;DATI!$E$19,DATI!$E$6*DATI!$E$16*DATI!$E$23*DATI!$E$7*(B331/DATI!$E$19+1/(DATI!$E$23*DATI!$E$7)*(1-B331/DATI!$E$19)),IF(B331&lt;DATI!$E$20,DATI!$E$6*DATI!$E$16*DATI!$E$23*DATI!$E$7,IF(B331&lt;DATI!$E$21,DATI!$E$6*DATI!$E$16*DATI!$E$23*DATI!$E$7*(DATI!$E$20/B331),DATI!$E$6*DATI!$E$16*DATI!$E$23*DATI!$E$7*((DATI!$E$20*DATI!$E$21)/B331^2))))</f>
        <v>8.409930441148844E-2</v>
      </c>
      <c r="D331" s="237"/>
      <c r="E331" s="318"/>
      <c r="F331" s="318"/>
      <c r="G331" s="318"/>
      <c r="H331" s="318"/>
      <c r="I331" s="318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</row>
    <row r="332" spans="1:19" x14ac:dyDescent="0.25">
      <c r="A332" s="318"/>
      <c r="B332" s="389">
        <f t="shared" si="5"/>
        <v>3.2699999999999743</v>
      </c>
      <c r="C332" s="398">
        <f>1/DATI!$E$12*IF(B332&lt;DATI!$E$19,DATI!$E$6*DATI!$E$16*DATI!$E$23*DATI!$E$7*(B332/DATI!$E$19+1/(DATI!$E$23*DATI!$E$7)*(1-B332/DATI!$E$19)),IF(B332&lt;DATI!$E$20,DATI!$E$6*DATI!$E$16*DATI!$E$23*DATI!$E$7,IF(B332&lt;DATI!$E$21,DATI!$E$6*DATI!$E$16*DATI!$E$23*DATI!$E$7*(DATI!$E$20/B332),DATI!$E$6*DATI!$E$16*DATI!$E$23*DATI!$E$7*((DATI!$E$20*DATI!$E$21)/B332^2))))</f>
        <v>8.3585722073856006E-2</v>
      </c>
      <c r="D332" s="237"/>
      <c r="E332" s="318"/>
      <c r="F332" s="318"/>
      <c r="G332" s="318"/>
      <c r="H332" s="318"/>
      <c r="I332" s="318"/>
      <c r="J332" s="318"/>
      <c r="K332" s="318"/>
      <c r="L332" s="318"/>
      <c r="M332" s="318"/>
      <c r="N332" s="318"/>
      <c r="O332" s="318"/>
      <c r="P332" s="318"/>
      <c r="Q332" s="318"/>
      <c r="R332" s="318"/>
      <c r="S332" s="318"/>
    </row>
    <row r="333" spans="1:19" x14ac:dyDescent="0.25">
      <c r="A333" s="318"/>
      <c r="B333" s="389">
        <f t="shared" si="5"/>
        <v>3.279999999999974</v>
      </c>
      <c r="C333" s="398">
        <f>1/DATI!$E$12*IF(B333&lt;DATI!$E$19,DATI!$E$6*DATI!$E$16*DATI!$E$23*DATI!$E$7*(B333/DATI!$E$19+1/(DATI!$E$23*DATI!$E$7)*(1-B333/DATI!$E$19)),IF(B333&lt;DATI!$E$20,DATI!$E$6*DATI!$E$16*DATI!$E$23*DATI!$E$7,IF(B333&lt;DATI!$E$21,DATI!$E$6*DATI!$E$16*DATI!$E$23*DATI!$E$7*(DATI!$E$20/B333),DATI!$E$6*DATI!$E$16*DATI!$E$23*DATI!$E$7*((DATI!$E$20*DATI!$E$21)/B333^2))))</f>
        <v>8.3076829971327981E-2</v>
      </c>
      <c r="D333" s="237"/>
      <c r="E333" s="318"/>
      <c r="F333" s="318"/>
      <c r="G333" s="318"/>
      <c r="H333" s="318"/>
      <c r="I333" s="318"/>
      <c r="J333" s="318"/>
      <c r="K333" s="318"/>
      <c r="L333" s="318"/>
      <c r="M333" s="318"/>
      <c r="N333" s="318"/>
      <c r="O333" s="318"/>
      <c r="P333" s="318"/>
      <c r="Q333" s="318"/>
      <c r="R333" s="318"/>
      <c r="S333" s="318"/>
    </row>
    <row r="334" spans="1:19" x14ac:dyDescent="0.25">
      <c r="A334" s="318"/>
      <c r="B334" s="389">
        <f t="shared" si="5"/>
        <v>3.2899999999999738</v>
      </c>
      <c r="C334" s="398">
        <f>1/DATI!$E$12*IF(B334&lt;DATI!$E$19,DATI!$E$6*DATI!$E$16*DATI!$E$23*DATI!$E$7*(B334/DATI!$E$19+1/(DATI!$E$23*DATI!$E$7)*(1-B334/DATI!$E$19)),IF(B334&lt;DATI!$E$20,DATI!$E$6*DATI!$E$16*DATI!$E$23*DATI!$E$7,IF(B334&lt;DATI!$E$21,DATI!$E$6*DATI!$E$16*DATI!$E$23*DATI!$E$7*(DATI!$E$20/B334),DATI!$E$6*DATI!$E$16*DATI!$E$23*DATI!$E$7*((DATI!$E$20*DATI!$E$21)/B334^2))))</f>
        <v>8.2572571166520545E-2</v>
      </c>
      <c r="D334" s="237"/>
      <c r="E334" s="318"/>
      <c r="F334" s="318"/>
      <c r="G334" s="318"/>
      <c r="H334" s="318"/>
      <c r="I334" s="318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</row>
    <row r="335" spans="1:19" x14ac:dyDescent="0.25">
      <c r="A335" s="318"/>
      <c r="B335" s="389">
        <f t="shared" si="5"/>
        <v>3.2999999999999736</v>
      </c>
      <c r="C335" s="398">
        <f>1/DATI!$E$12*IF(B335&lt;DATI!$E$19,DATI!$E$6*DATI!$E$16*DATI!$E$23*DATI!$E$7*(B335/DATI!$E$19+1/(DATI!$E$23*DATI!$E$7)*(1-B335/DATI!$E$19)),IF(B335&lt;DATI!$E$20,DATI!$E$6*DATI!$E$16*DATI!$E$23*DATI!$E$7,IF(B335&lt;DATI!$E$21,DATI!$E$6*DATI!$E$16*DATI!$E$23*DATI!$E$7*(DATI!$E$20/B335),DATI!$E$6*DATI!$E$16*DATI!$E$23*DATI!$E$7*((DATI!$E$20*DATI!$E$21)/B335^2))))</f>
        <v>8.2072889583428371E-2</v>
      </c>
      <c r="D335" s="237"/>
      <c r="E335" s="318"/>
      <c r="F335" s="318"/>
      <c r="G335" s="318"/>
      <c r="H335" s="318"/>
      <c r="I335" s="318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</row>
    <row r="336" spans="1:19" x14ac:dyDescent="0.25">
      <c r="A336" s="318"/>
      <c r="B336" s="389">
        <f t="shared" si="5"/>
        <v>3.3099999999999734</v>
      </c>
      <c r="C336" s="398">
        <f>1/DATI!$E$12*IF(B336&lt;DATI!$E$19,DATI!$E$6*DATI!$E$16*DATI!$E$23*DATI!$E$7*(B336/DATI!$E$19+1/(DATI!$E$23*DATI!$E$7)*(1-B336/DATI!$E$19)),IF(B336&lt;DATI!$E$20,DATI!$E$6*DATI!$E$16*DATI!$E$23*DATI!$E$7,IF(B336&lt;DATI!$E$21,DATI!$E$6*DATI!$E$16*DATI!$E$23*DATI!$E$7*(DATI!$E$20/B336),DATI!$E$6*DATI!$E$16*DATI!$E$23*DATI!$E$7*((DATI!$E$20*DATI!$E$21)/B336^2))))</f>
        <v>8.1577729991834241E-2</v>
      </c>
      <c r="D336" s="237"/>
      <c r="E336" s="318"/>
      <c r="F336" s="318"/>
      <c r="G336" s="318"/>
      <c r="H336" s="318"/>
      <c r="I336" s="318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</row>
    <row r="337" spans="1:19" x14ac:dyDescent="0.25">
      <c r="A337" s="318"/>
      <c r="B337" s="389">
        <f t="shared" si="5"/>
        <v>3.3199999999999732</v>
      </c>
      <c r="C337" s="398">
        <f>1/DATI!$E$12*IF(B337&lt;DATI!$E$19,DATI!$E$6*DATI!$E$16*DATI!$E$23*DATI!$E$7*(B337/DATI!$E$19+1/(DATI!$E$23*DATI!$E$7)*(1-B337/DATI!$E$19)),IF(B337&lt;DATI!$E$20,DATI!$E$6*DATI!$E$16*DATI!$E$23*DATI!$E$7,IF(B337&lt;DATI!$E$21,DATI!$E$6*DATI!$E$16*DATI!$E$23*DATI!$E$7*(DATI!$E$20/B337),DATI!$E$6*DATI!$E$16*DATI!$E$23*DATI!$E$7*((DATI!$E$20*DATI!$E$21)/B337^2))))</f>
        <v>8.1087037992046654E-2</v>
      </c>
      <c r="D337" s="237"/>
      <c r="E337" s="318"/>
      <c r="F337" s="318"/>
      <c r="G337" s="318"/>
      <c r="H337" s="318"/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</row>
    <row r="338" spans="1:19" x14ac:dyDescent="0.25">
      <c r="A338" s="318"/>
      <c r="B338" s="389">
        <f t="shared" si="5"/>
        <v>3.329999999999973</v>
      </c>
      <c r="C338" s="398">
        <f>1/DATI!$E$12*IF(B338&lt;DATI!$E$19,DATI!$E$6*DATI!$E$16*DATI!$E$23*DATI!$E$7*(B338/DATI!$E$19+1/(DATI!$E$23*DATI!$E$7)*(1-B338/DATI!$E$19)),IF(B338&lt;DATI!$E$20,DATI!$E$6*DATI!$E$16*DATI!$E$23*DATI!$E$7,IF(B338&lt;DATI!$E$21,DATI!$E$6*DATI!$E$16*DATI!$E$23*DATI!$E$7*(DATI!$E$20/B338),DATI!$E$6*DATI!$E$16*DATI!$E$23*DATI!$E$7*((DATI!$E$20*DATI!$E$21)/B338^2))))</f>
        <v>8.0600759999958096E-2</v>
      </c>
      <c r="D338" s="237"/>
      <c r="E338" s="318"/>
      <c r="F338" s="318"/>
      <c r="G338" s="318"/>
      <c r="H338" s="318"/>
      <c r="I338" s="318"/>
      <c r="J338" s="318"/>
      <c r="K338" s="318"/>
      <c r="L338" s="318"/>
      <c r="M338" s="318"/>
      <c r="N338" s="318"/>
      <c r="O338" s="318"/>
      <c r="P338" s="318"/>
      <c r="Q338" s="318"/>
      <c r="R338" s="318"/>
      <c r="S338" s="318"/>
    </row>
    <row r="339" spans="1:19" x14ac:dyDescent="0.25">
      <c r="A339" s="318"/>
      <c r="B339" s="389">
        <f t="shared" si="5"/>
        <v>3.3399999999999728</v>
      </c>
      <c r="C339" s="398">
        <f>1/DATI!$E$12*IF(B339&lt;DATI!$E$19,DATI!$E$6*DATI!$E$16*DATI!$E$23*DATI!$E$7*(B339/DATI!$E$19+1/(DATI!$E$23*DATI!$E$7)*(1-B339/DATI!$E$19)),IF(B339&lt;DATI!$E$20,DATI!$E$6*DATI!$E$16*DATI!$E$23*DATI!$E$7,IF(B339&lt;DATI!$E$21,DATI!$E$6*DATI!$E$16*DATI!$E$23*DATI!$E$7*(DATI!$E$20/B339),DATI!$E$6*DATI!$E$16*DATI!$E$23*DATI!$E$7*((DATI!$E$20*DATI!$E$21)/B339^2))))</f>
        <v>8.0118843232415568E-2</v>
      </c>
      <c r="D339" s="237"/>
      <c r="E339" s="318"/>
      <c r="F339" s="318"/>
      <c r="G339" s="318"/>
      <c r="H339" s="318"/>
      <c r="I339" s="318"/>
      <c r="J339" s="318"/>
      <c r="K339" s="318"/>
      <c r="L339" s="318"/>
      <c r="M339" s="318"/>
      <c r="N339" s="318"/>
      <c r="O339" s="318"/>
      <c r="P339" s="318"/>
      <c r="Q339" s="318"/>
      <c r="R339" s="318"/>
      <c r="S339" s="318"/>
    </row>
    <row r="340" spans="1:19" x14ac:dyDescent="0.25">
      <c r="A340" s="318"/>
      <c r="B340" s="389">
        <f t="shared" si="5"/>
        <v>3.3499999999999726</v>
      </c>
      <c r="C340" s="398">
        <f>1/DATI!$E$12*IF(B340&lt;DATI!$E$19,DATI!$E$6*DATI!$E$16*DATI!$E$23*DATI!$E$7*(B340/DATI!$E$19+1/(DATI!$E$23*DATI!$E$7)*(1-B340/DATI!$E$19)),IF(B340&lt;DATI!$E$20,DATI!$E$6*DATI!$E$16*DATI!$E$23*DATI!$E$7,IF(B340&lt;DATI!$E$21,DATI!$E$6*DATI!$E$16*DATI!$E$23*DATI!$E$7*(DATI!$E$20/B340),DATI!$E$6*DATI!$E$16*DATI!$E$23*DATI!$E$7*((DATI!$E$20*DATI!$E$21)/B340^2))))</f>
        <v>7.9641235692896897E-2</v>
      </c>
      <c r="D340" s="237"/>
      <c r="E340" s="318"/>
      <c r="F340" s="318"/>
      <c r="G340" s="318"/>
      <c r="H340" s="318"/>
      <c r="I340" s="318"/>
      <c r="J340" s="318"/>
      <c r="K340" s="318"/>
      <c r="L340" s="318"/>
      <c r="M340" s="318"/>
      <c r="N340" s="318"/>
      <c r="O340" s="318"/>
      <c r="P340" s="318"/>
      <c r="Q340" s="318"/>
      <c r="R340" s="318"/>
      <c r="S340" s="318"/>
    </row>
    <row r="341" spans="1:19" x14ac:dyDescent="0.25">
      <c r="A341" s="318"/>
      <c r="B341" s="389">
        <f t="shared" si="5"/>
        <v>3.3599999999999723</v>
      </c>
      <c r="C341" s="398">
        <f>1/DATI!$E$12*IF(B341&lt;DATI!$E$19,DATI!$E$6*DATI!$E$16*DATI!$E$23*DATI!$E$7*(B341/DATI!$E$19+1/(DATI!$E$23*DATI!$E$7)*(1-B341/DATI!$E$19)),IF(B341&lt;DATI!$E$20,DATI!$E$6*DATI!$E$16*DATI!$E$23*DATI!$E$7,IF(B341&lt;DATI!$E$21,DATI!$E$6*DATI!$E$16*DATI!$E$23*DATI!$E$7*(DATI!$E$20/B341),DATI!$E$6*DATI!$E$16*DATI!$E$23*DATI!$E$7*((DATI!$E$20*DATI!$E$21)/B341^2))))</f>
        <v>7.9167886157484366E-2</v>
      </c>
      <c r="D341" s="237"/>
      <c r="E341" s="318"/>
      <c r="F341" s="318"/>
      <c r="G341" s="318"/>
      <c r="H341" s="318"/>
      <c r="I341" s="318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</row>
    <row r="342" spans="1:19" x14ac:dyDescent="0.25">
      <c r="A342" s="318"/>
      <c r="B342" s="389">
        <f t="shared" si="5"/>
        <v>3.3699999999999721</v>
      </c>
      <c r="C342" s="398">
        <f>1/DATI!$E$12*IF(B342&lt;DATI!$E$19,DATI!$E$6*DATI!$E$16*DATI!$E$23*DATI!$E$7*(B342/DATI!$E$19+1/(DATI!$E$23*DATI!$E$7)*(1-B342/DATI!$E$19)),IF(B342&lt;DATI!$E$20,DATI!$E$6*DATI!$E$16*DATI!$E$23*DATI!$E$7,IF(B342&lt;DATI!$E$21,DATI!$E$6*DATI!$E$16*DATI!$E$23*DATI!$E$7*(DATI!$E$20/B342),DATI!$E$6*DATI!$E$16*DATI!$E$23*DATI!$E$7*((DATI!$E$20*DATI!$E$21)/B342^2))))</f>
        <v>7.8698744161129833E-2</v>
      </c>
      <c r="D342" s="237"/>
      <c r="E342" s="318"/>
      <c r="F342" s="318"/>
      <c r="G342" s="318"/>
      <c r="H342" s="318"/>
      <c r="I342" s="318"/>
      <c r="J342" s="318"/>
      <c r="K342" s="318"/>
      <c r="L342" s="318"/>
      <c r="M342" s="318"/>
      <c r="N342" s="318"/>
      <c r="O342" s="318"/>
      <c r="P342" s="318"/>
      <c r="Q342" s="318"/>
      <c r="R342" s="318"/>
      <c r="S342" s="318"/>
    </row>
    <row r="343" spans="1:19" x14ac:dyDescent="0.25">
      <c r="A343" s="318"/>
      <c r="B343" s="389">
        <f t="shared" si="5"/>
        <v>3.3799999999999719</v>
      </c>
      <c r="C343" s="398">
        <f>1/DATI!$E$12*IF(B343&lt;DATI!$E$19,DATI!$E$6*DATI!$E$16*DATI!$E$23*DATI!$E$7*(B343/DATI!$E$19+1/(DATI!$E$23*DATI!$E$7)*(1-B343/DATI!$E$19)),IF(B343&lt;DATI!$E$20,DATI!$E$6*DATI!$E$16*DATI!$E$23*DATI!$E$7,IF(B343&lt;DATI!$E$21,DATI!$E$6*DATI!$E$16*DATI!$E$23*DATI!$E$7*(DATI!$E$20/B343),DATI!$E$6*DATI!$E$16*DATI!$E$23*DATI!$E$7*((DATI!$E$20*DATI!$E$21)/B343^2))))</f>
        <v>7.8233759984203594E-2</v>
      </c>
      <c r="D343" s="237"/>
      <c r="E343" s="318"/>
      <c r="F343" s="318"/>
      <c r="G343" s="318"/>
      <c r="H343" s="318"/>
      <c r="I343" s="318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</row>
    <row r="344" spans="1:19" x14ac:dyDescent="0.25">
      <c r="A344" s="318"/>
      <c r="B344" s="389">
        <f t="shared" si="5"/>
        <v>3.3899999999999717</v>
      </c>
      <c r="C344" s="398">
        <f>1/DATI!$E$12*IF(B344&lt;DATI!$E$19,DATI!$E$6*DATI!$E$16*DATI!$E$23*DATI!$E$7*(B344/DATI!$E$19+1/(DATI!$E$23*DATI!$E$7)*(1-B344/DATI!$E$19)),IF(B344&lt;DATI!$E$20,DATI!$E$6*DATI!$E$16*DATI!$E$23*DATI!$E$7,IF(B344&lt;DATI!$E$21,DATI!$E$6*DATI!$E$16*DATI!$E$23*DATI!$E$7*(DATI!$E$20/B344),DATI!$E$6*DATI!$E$16*DATI!$E$23*DATI!$E$7*((DATI!$E$20*DATI!$E$21)/B344^2))))</f>
        <v>7.7772884639320528E-2</v>
      </c>
      <c r="D344" s="237"/>
      <c r="E344" s="318"/>
      <c r="F344" s="318"/>
      <c r="G344" s="318"/>
      <c r="H344" s="318"/>
      <c r="I344" s="318"/>
      <c r="J344" s="318"/>
      <c r="K344" s="318"/>
      <c r="L344" s="318"/>
      <c r="M344" s="318"/>
      <c r="N344" s="318"/>
      <c r="O344" s="318"/>
      <c r="P344" s="318"/>
      <c r="Q344" s="318"/>
      <c r="R344" s="318"/>
      <c r="S344" s="318"/>
    </row>
    <row r="345" spans="1:19" x14ac:dyDescent="0.25">
      <c r="A345" s="318"/>
      <c r="B345" s="389">
        <f t="shared" si="5"/>
        <v>3.3999999999999715</v>
      </c>
      <c r="C345" s="398">
        <f>1/DATI!$E$12*IF(B345&lt;DATI!$E$19,DATI!$E$6*DATI!$E$16*DATI!$E$23*DATI!$E$7*(B345/DATI!$E$19+1/(DATI!$E$23*DATI!$E$7)*(1-B345/DATI!$E$19)),IF(B345&lt;DATI!$E$20,DATI!$E$6*DATI!$E$16*DATI!$E$23*DATI!$E$7,IF(B345&lt;DATI!$E$21,DATI!$E$6*DATI!$E$16*DATI!$E$23*DATI!$E$7*(DATI!$E$20/B345),DATI!$E$6*DATI!$E$16*DATI!$E$23*DATI!$E$7*((DATI!$E$20*DATI!$E$21)/B345^2))))</f>
        <v>7.7316069858437336E-2</v>
      </c>
      <c r="D345" s="237"/>
      <c r="E345" s="318"/>
      <c r="F345" s="318"/>
      <c r="G345" s="318"/>
      <c r="H345" s="318"/>
      <c r="I345" s="318"/>
      <c r="J345" s="318"/>
      <c r="K345" s="318"/>
      <c r="L345" s="318"/>
      <c r="M345" s="318"/>
      <c r="N345" s="318"/>
      <c r="O345" s="318"/>
      <c r="P345" s="318"/>
      <c r="Q345" s="318"/>
      <c r="R345" s="318"/>
      <c r="S345" s="318"/>
    </row>
    <row r="346" spans="1:19" x14ac:dyDescent="0.25">
      <c r="A346" s="318"/>
      <c r="B346" s="389">
        <f t="shared" si="5"/>
        <v>3.4099999999999713</v>
      </c>
      <c r="C346" s="398">
        <f>1/DATI!$E$12*IF(B346&lt;DATI!$E$19,DATI!$E$6*DATI!$E$16*DATI!$E$23*DATI!$E$7*(B346/DATI!$E$19+1/(DATI!$E$23*DATI!$E$7)*(1-B346/DATI!$E$19)),IF(B346&lt;DATI!$E$20,DATI!$E$6*DATI!$E$16*DATI!$E$23*DATI!$E$7,IF(B346&lt;DATI!$E$21,DATI!$E$6*DATI!$E$16*DATI!$E$23*DATI!$E$7*(DATI!$E$20/B346),DATI!$E$6*DATI!$E$16*DATI!$E$23*DATI!$E$7*((DATI!$E$20*DATI!$E$21)/B346^2))))</f>
        <v>7.6863268080213931E-2</v>
      </c>
      <c r="D346" s="237"/>
      <c r="E346" s="318"/>
      <c r="F346" s="318"/>
      <c r="G346" s="318"/>
      <c r="H346" s="318"/>
      <c r="I346" s="318"/>
      <c r="J346" s="318"/>
      <c r="K346" s="318"/>
      <c r="L346" s="318"/>
      <c r="M346" s="318"/>
      <c r="N346" s="318"/>
      <c r="O346" s="318"/>
      <c r="P346" s="318"/>
      <c r="Q346" s="318"/>
      <c r="R346" s="318"/>
      <c r="S346" s="318"/>
    </row>
    <row r="347" spans="1:19" x14ac:dyDescent="0.25">
      <c r="A347" s="318"/>
      <c r="B347" s="389">
        <f t="shared" si="5"/>
        <v>3.4199999999999711</v>
      </c>
      <c r="C347" s="398">
        <f>1/DATI!$E$12*IF(B347&lt;DATI!$E$19,DATI!$E$6*DATI!$E$16*DATI!$E$23*DATI!$E$7*(B347/DATI!$E$19+1/(DATI!$E$23*DATI!$E$7)*(1-B347/DATI!$E$19)),IF(B347&lt;DATI!$E$20,DATI!$E$6*DATI!$E$16*DATI!$E$23*DATI!$E$7,IF(B347&lt;DATI!$E$21,DATI!$E$6*DATI!$E$16*DATI!$E$23*DATI!$E$7*(DATI!$E$20/B347),DATI!$E$6*DATI!$E$16*DATI!$E$23*DATI!$E$7*((DATI!$E$20*DATI!$E$21)/B347^2))))</f>
        <v>7.6414432437633448E-2</v>
      </c>
      <c r="D347" s="237"/>
      <c r="E347" s="318"/>
      <c r="F347" s="318"/>
      <c r="G347" s="318"/>
      <c r="H347" s="318"/>
      <c r="I347" s="318"/>
      <c r="J347" s="318"/>
      <c r="K347" s="318"/>
      <c r="L347" s="318"/>
      <c r="M347" s="318"/>
      <c r="N347" s="318"/>
      <c r="O347" s="318"/>
      <c r="P347" s="318"/>
      <c r="Q347" s="318"/>
      <c r="R347" s="318"/>
      <c r="S347" s="318"/>
    </row>
    <row r="348" spans="1:19" x14ac:dyDescent="0.25">
      <c r="A348" s="318"/>
      <c r="B348" s="389">
        <f t="shared" si="5"/>
        <v>3.4299999999999708</v>
      </c>
      <c r="C348" s="398">
        <f>1/DATI!$E$12*IF(B348&lt;DATI!$E$19,DATI!$E$6*DATI!$E$16*DATI!$E$23*DATI!$E$7*(B348/DATI!$E$19+1/(DATI!$E$23*DATI!$E$7)*(1-B348/DATI!$E$19)),IF(B348&lt;DATI!$E$20,DATI!$E$6*DATI!$E$16*DATI!$E$23*DATI!$E$7,IF(B348&lt;DATI!$E$21,DATI!$E$6*DATI!$E$16*DATI!$E$23*DATI!$E$7*(DATI!$E$20/B348),DATI!$E$6*DATI!$E$16*DATI!$E$23*DATI!$E$7*((DATI!$E$20*DATI!$E$21)/B348^2))))</f>
        <v>7.5969516745874252E-2</v>
      </c>
      <c r="D348" s="237"/>
      <c r="E348" s="318"/>
      <c r="F348" s="318"/>
      <c r="G348" s="318"/>
      <c r="H348" s="318"/>
      <c r="I348" s="318"/>
      <c r="J348" s="318"/>
      <c r="K348" s="318"/>
      <c r="L348" s="318"/>
      <c r="M348" s="318"/>
      <c r="N348" s="318"/>
      <c r="O348" s="318"/>
      <c r="P348" s="318"/>
      <c r="Q348" s="318"/>
      <c r="R348" s="318"/>
      <c r="S348" s="318"/>
    </row>
    <row r="349" spans="1:19" x14ac:dyDescent="0.25">
      <c r="A349" s="318"/>
      <c r="B349" s="389">
        <f t="shared" si="5"/>
        <v>3.4399999999999706</v>
      </c>
      <c r="C349" s="398">
        <f>1/DATI!$E$12*IF(B349&lt;DATI!$E$19,DATI!$E$6*DATI!$E$16*DATI!$E$23*DATI!$E$7*(B349/DATI!$E$19+1/(DATI!$E$23*DATI!$E$7)*(1-B349/DATI!$E$19)),IF(B349&lt;DATI!$E$20,DATI!$E$6*DATI!$E$16*DATI!$E$23*DATI!$E$7,IF(B349&lt;DATI!$E$21,DATI!$E$6*DATI!$E$16*DATI!$E$23*DATI!$E$7*(DATI!$E$20/B349),DATI!$E$6*DATI!$E$16*DATI!$E$23*DATI!$E$7*((DATI!$E$20*DATI!$E$21)/B349^2))))</f>
        <v>7.5528475490428612E-2</v>
      </c>
      <c r="D349" s="237"/>
      <c r="E349" s="318"/>
      <c r="F349" s="318"/>
      <c r="G349" s="318"/>
      <c r="H349" s="318"/>
      <c r="I349" s="318"/>
      <c r="J349" s="318"/>
      <c r="K349" s="318"/>
      <c r="L349" s="318"/>
      <c r="M349" s="318"/>
      <c r="N349" s="318"/>
      <c r="O349" s="318"/>
      <c r="P349" s="318"/>
      <c r="Q349" s="318"/>
      <c r="R349" s="318"/>
      <c r="S349" s="318"/>
    </row>
    <row r="350" spans="1:19" x14ac:dyDescent="0.25">
      <c r="A350" s="318"/>
      <c r="B350" s="389">
        <f t="shared" si="5"/>
        <v>3.4499999999999704</v>
      </c>
      <c r="C350" s="398">
        <f>1/DATI!$E$12*IF(B350&lt;DATI!$E$19,DATI!$E$6*DATI!$E$16*DATI!$E$23*DATI!$E$7*(B350/DATI!$E$19+1/(DATI!$E$23*DATI!$E$7)*(1-B350/DATI!$E$19)),IF(B350&lt;DATI!$E$20,DATI!$E$6*DATI!$E$16*DATI!$E$23*DATI!$E$7,IF(B350&lt;DATI!$E$21,DATI!$E$6*DATI!$E$16*DATI!$E$23*DATI!$E$7*(DATI!$E$20/B350),DATI!$E$6*DATI!$E$16*DATI!$E$23*DATI!$E$7*((DATI!$E$20*DATI!$E$21)/B350^2))))</f>
        <v>7.5091263815461967E-2</v>
      </c>
      <c r="D350" s="237"/>
      <c r="E350" s="318"/>
      <c r="F350" s="318"/>
      <c r="G350" s="318"/>
      <c r="H350" s="318"/>
      <c r="I350" s="318"/>
      <c r="J350" s="318"/>
      <c r="K350" s="318"/>
      <c r="L350" s="318"/>
      <c r="M350" s="318"/>
      <c r="N350" s="318"/>
      <c r="O350" s="318"/>
      <c r="P350" s="318"/>
      <c r="Q350" s="318"/>
      <c r="R350" s="318"/>
      <c r="S350" s="318"/>
    </row>
    <row r="351" spans="1:19" x14ac:dyDescent="0.25">
      <c r="A351" s="318"/>
      <c r="B351" s="389">
        <f t="shared" si="5"/>
        <v>3.4599999999999702</v>
      </c>
      <c r="C351" s="398">
        <f>1/DATI!$E$12*IF(B351&lt;DATI!$E$19,DATI!$E$6*DATI!$E$16*DATI!$E$23*DATI!$E$7*(B351/DATI!$E$19+1/(DATI!$E$23*DATI!$E$7)*(1-B351/DATI!$E$19)),IF(B351&lt;DATI!$E$20,DATI!$E$6*DATI!$E$16*DATI!$E$23*DATI!$E$7,IF(B351&lt;DATI!$E$21,DATI!$E$6*DATI!$E$16*DATI!$E$23*DATI!$E$7*(DATI!$E$20/B351),DATI!$E$6*DATI!$E$16*DATI!$E$23*DATI!$E$7*((DATI!$E$20*DATI!$E$21)/B351^2))))</f>
        <v>7.4657837512407357E-2</v>
      </c>
      <c r="D351" s="237"/>
      <c r="E351" s="318"/>
      <c r="F351" s="318"/>
      <c r="G351" s="318"/>
      <c r="H351" s="318"/>
      <c r="I351" s="318"/>
      <c r="J351" s="318"/>
      <c r="K351" s="318"/>
      <c r="L351" s="318"/>
      <c r="M351" s="318"/>
      <c r="N351" s="318"/>
      <c r="O351" s="318"/>
      <c r="P351" s="318"/>
      <c r="Q351" s="318"/>
      <c r="R351" s="318"/>
      <c r="S351" s="318"/>
    </row>
    <row r="352" spans="1:19" x14ac:dyDescent="0.25">
      <c r="A352" s="318"/>
      <c r="B352" s="389">
        <f t="shared" si="5"/>
        <v>3.46999999999997</v>
      </c>
      <c r="C352" s="398">
        <f>1/DATI!$E$12*IF(B352&lt;DATI!$E$19,DATI!$E$6*DATI!$E$16*DATI!$E$23*DATI!$E$7*(B352/DATI!$E$19+1/(DATI!$E$23*DATI!$E$7)*(1-B352/DATI!$E$19)),IF(B352&lt;DATI!$E$20,DATI!$E$6*DATI!$E$16*DATI!$E$23*DATI!$E$7,IF(B352&lt;DATI!$E$21,DATI!$E$6*DATI!$E$16*DATI!$E$23*DATI!$E$7*(DATI!$E$20/B352),DATI!$E$6*DATI!$E$16*DATI!$E$23*DATI!$E$7*((DATI!$E$20*DATI!$E$21)/B352^2))))</f>
        <v>7.4228153008789724E-2</v>
      </c>
      <c r="D352" s="237"/>
      <c r="E352" s="318"/>
      <c r="F352" s="318"/>
      <c r="G352" s="318"/>
      <c r="H352" s="318"/>
      <c r="I352" s="318"/>
      <c r="J352" s="318"/>
      <c r="K352" s="318"/>
      <c r="L352" s="318"/>
      <c r="M352" s="318"/>
      <c r="N352" s="318"/>
      <c r="O352" s="318"/>
      <c r="P352" s="318"/>
      <c r="Q352" s="318"/>
      <c r="R352" s="318"/>
      <c r="S352" s="318"/>
    </row>
    <row r="353" spans="1:19" x14ac:dyDescent="0.25">
      <c r="A353" s="318"/>
      <c r="B353" s="389">
        <f t="shared" si="5"/>
        <v>3.4799999999999698</v>
      </c>
      <c r="C353" s="398">
        <f>1/DATI!$E$12*IF(B353&lt;DATI!$E$19,DATI!$E$6*DATI!$E$16*DATI!$E$23*DATI!$E$7*(B353/DATI!$E$19+1/(DATI!$E$23*DATI!$E$7)*(1-B353/DATI!$E$19)),IF(B353&lt;DATI!$E$20,DATI!$E$6*DATI!$E$16*DATI!$E$23*DATI!$E$7,IF(B353&lt;DATI!$E$21,DATI!$E$6*DATI!$E$16*DATI!$E$23*DATI!$E$7*(DATI!$E$20/B353),DATI!$E$6*DATI!$E$16*DATI!$E$23*DATI!$E$7*((DATI!$E$20*DATI!$E$21)/B353^2))))</f>
        <v>7.380216735727442E-2</v>
      </c>
      <c r="D353" s="237"/>
      <c r="E353" s="318"/>
      <c r="F353" s="318"/>
      <c r="G353" s="318"/>
      <c r="H353" s="318"/>
      <c r="I353" s="318"/>
      <c r="J353" s="318"/>
      <c r="K353" s="318"/>
      <c r="L353" s="318"/>
      <c r="M353" s="318"/>
      <c r="N353" s="318"/>
      <c r="O353" s="318"/>
      <c r="P353" s="318"/>
      <c r="Q353" s="318"/>
      <c r="R353" s="318"/>
      <c r="S353" s="318"/>
    </row>
    <row r="354" spans="1:19" x14ac:dyDescent="0.25">
      <c r="A354" s="318"/>
      <c r="B354" s="389">
        <f t="shared" si="5"/>
        <v>3.4899999999999696</v>
      </c>
      <c r="C354" s="398">
        <f>1/DATI!$E$12*IF(B354&lt;DATI!$E$19,DATI!$E$6*DATI!$E$16*DATI!$E$23*DATI!$E$7*(B354/DATI!$E$19+1/(DATI!$E$23*DATI!$E$7)*(1-B354/DATI!$E$19)),IF(B354&lt;DATI!$E$20,DATI!$E$6*DATI!$E$16*DATI!$E$23*DATI!$E$7,IF(B354&lt;DATI!$E$21,DATI!$E$6*DATI!$E$16*DATI!$E$23*DATI!$E$7*(DATI!$E$20/B354),DATI!$E$6*DATI!$E$16*DATI!$E$23*DATI!$E$7*((DATI!$E$20*DATI!$E$21)/B354^2))))</f>
        <v>7.3379838224935448E-2</v>
      </c>
      <c r="D354" s="237"/>
      <c r="E354" s="318"/>
      <c r="F354" s="318"/>
      <c r="G354" s="318"/>
      <c r="H354" s="318"/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</row>
    <row r="355" spans="1:19" x14ac:dyDescent="0.25">
      <c r="A355" s="318"/>
      <c r="B355" s="389">
        <f t="shared" si="5"/>
        <v>3.4999999999999694</v>
      </c>
      <c r="C355" s="398">
        <f>1/DATI!$E$12*IF(B355&lt;DATI!$E$19,DATI!$E$6*DATI!$E$16*DATI!$E$23*DATI!$E$7*(B355/DATI!$E$19+1/(DATI!$E$23*DATI!$E$7)*(1-B355/DATI!$E$19)),IF(B355&lt;DATI!$E$20,DATI!$E$6*DATI!$E$16*DATI!$E$23*DATI!$E$7,IF(B355&lt;DATI!$E$21,DATI!$E$6*DATI!$E$16*DATI!$E$23*DATI!$E$7*(DATI!$E$20/B355),DATI!$E$6*DATI!$E$16*DATI!$E$23*DATI!$E$7*((DATI!$E$20*DATI!$E$21)/B355^2))))</f>
        <v>7.2961123882737663E-2</v>
      </c>
      <c r="D355" s="237"/>
      <c r="E355" s="318"/>
      <c r="F355" s="318"/>
      <c r="G355" s="318"/>
      <c r="H355" s="318"/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</row>
    <row r="356" spans="1:19" x14ac:dyDescent="0.25">
      <c r="A356" s="318"/>
      <c r="B356" s="389">
        <f t="shared" si="5"/>
        <v>3.5099999999999691</v>
      </c>
      <c r="C356" s="398">
        <f>1/DATI!$E$12*IF(B356&lt;DATI!$E$19,DATI!$E$6*DATI!$E$16*DATI!$E$23*DATI!$E$7*(B356/DATI!$E$19+1/(DATI!$E$23*DATI!$E$7)*(1-B356/DATI!$E$19)),IF(B356&lt;DATI!$E$20,DATI!$E$6*DATI!$E$16*DATI!$E$23*DATI!$E$7,IF(B356&lt;DATI!$E$21,DATI!$E$6*DATI!$E$16*DATI!$E$23*DATI!$E$7*(DATI!$E$20/B356),DATI!$E$6*DATI!$E$16*DATI!$E$23*DATI!$E$7*((DATI!$E$20*DATI!$E$21)/B356^2))))</f>
        <v>7.2545983195228647E-2</v>
      </c>
      <c r="D356" s="237"/>
      <c r="E356" s="318"/>
      <c r="F356" s="318"/>
      <c r="G356" s="318"/>
      <c r="H356" s="318"/>
      <c r="I356" s="318"/>
      <c r="J356" s="318"/>
      <c r="K356" s="318"/>
      <c r="L356" s="318"/>
      <c r="M356" s="318"/>
      <c r="N356" s="318"/>
      <c r="O356" s="318"/>
      <c r="P356" s="318"/>
      <c r="Q356" s="318"/>
      <c r="R356" s="318"/>
      <c r="S356" s="318"/>
    </row>
    <row r="357" spans="1:19" x14ac:dyDescent="0.25">
      <c r="A357" s="318"/>
      <c r="B357" s="389">
        <f t="shared" si="5"/>
        <v>3.5199999999999689</v>
      </c>
      <c r="C357" s="398">
        <f>1/DATI!$E$12*IF(B357&lt;DATI!$E$19,DATI!$E$6*DATI!$E$16*DATI!$E$23*DATI!$E$7*(B357/DATI!$E$19+1/(DATI!$E$23*DATI!$E$7)*(1-B357/DATI!$E$19)),IF(B357&lt;DATI!$E$20,DATI!$E$6*DATI!$E$16*DATI!$E$23*DATI!$E$7,IF(B357&lt;DATI!$E$21,DATI!$E$6*DATI!$E$16*DATI!$E$23*DATI!$E$7*(DATI!$E$20/B357),DATI!$E$6*DATI!$E$16*DATI!$E$23*DATI!$E$7*((DATI!$E$20*DATI!$E$21)/B357^2))))</f>
        <v>7.2134375610435217E-2</v>
      </c>
      <c r="D357" s="237"/>
      <c r="E357" s="318"/>
      <c r="F357" s="318"/>
      <c r="G357" s="318"/>
      <c r="H357" s="318"/>
      <c r="I357" s="318"/>
      <c r="J357" s="318"/>
      <c r="K357" s="318"/>
      <c r="L357" s="318"/>
      <c r="M357" s="318"/>
      <c r="N357" s="318"/>
      <c r="O357" s="318"/>
      <c r="P357" s="318"/>
      <c r="Q357" s="318"/>
      <c r="R357" s="318"/>
      <c r="S357" s="318"/>
    </row>
    <row r="358" spans="1:19" x14ac:dyDescent="0.25">
      <c r="A358" s="318"/>
      <c r="B358" s="389">
        <f t="shared" si="5"/>
        <v>3.5299999999999687</v>
      </c>
      <c r="C358" s="398">
        <f>1/DATI!$E$12*IF(B358&lt;DATI!$E$19,DATI!$E$6*DATI!$E$16*DATI!$E$23*DATI!$E$7*(B358/DATI!$E$19+1/(DATI!$E$23*DATI!$E$7)*(1-B358/DATI!$E$19)),IF(B358&lt;DATI!$E$20,DATI!$E$6*DATI!$E$16*DATI!$E$23*DATI!$E$7,IF(B358&lt;DATI!$E$21,DATI!$E$6*DATI!$E$16*DATI!$E$23*DATI!$E$7*(DATI!$E$20/B358),DATI!$E$6*DATI!$E$16*DATI!$E$23*DATI!$E$7*((DATI!$E$20*DATI!$E$21)/B358^2))))</f>
        <v>7.1726261149960002E-2</v>
      </c>
      <c r="D358" s="237"/>
      <c r="E358" s="318"/>
      <c r="F358" s="318"/>
      <c r="G358" s="318"/>
      <c r="H358" s="318"/>
      <c r="I358" s="318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</row>
    <row r="359" spans="1:19" x14ac:dyDescent="0.25">
      <c r="A359" s="318"/>
      <c r="B359" s="389">
        <f t="shared" si="5"/>
        <v>3.5399999999999685</v>
      </c>
      <c r="C359" s="398">
        <f>1/DATI!$E$12*IF(B359&lt;DATI!$E$19,DATI!$E$6*DATI!$E$16*DATI!$E$23*DATI!$E$7*(B359/DATI!$E$19+1/(DATI!$E$23*DATI!$E$7)*(1-B359/DATI!$E$19)),IF(B359&lt;DATI!$E$20,DATI!$E$6*DATI!$E$16*DATI!$E$23*DATI!$E$7,IF(B359&lt;DATI!$E$21,DATI!$E$6*DATI!$E$16*DATI!$E$23*DATI!$E$7*(DATI!$E$20/B359),DATI!$E$6*DATI!$E$16*DATI!$E$23*DATI!$E$7*((DATI!$E$20*DATI!$E$21)/B359^2))))</f>
        <v>7.1321600399273558E-2</v>
      </c>
      <c r="D359" s="237"/>
      <c r="E359" s="318"/>
      <c r="F359" s="318"/>
      <c r="G359" s="318"/>
      <c r="H359" s="318"/>
      <c r="I359" s="318"/>
      <c r="J359" s="318"/>
      <c r="K359" s="318"/>
      <c r="L359" s="318"/>
      <c r="M359" s="318"/>
      <c r="N359" s="318"/>
      <c r="O359" s="318"/>
      <c r="P359" s="318"/>
      <c r="Q359" s="318"/>
      <c r="R359" s="318"/>
      <c r="S359" s="318"/>
    </row>
    <row r="360" spans="1:19" x14ac:dyDescent="0.25">
      <c r="A360" s="318"/>
      <c r="B360" s="389">
        <f t="shared" si="5"/>
        <v>3.5499999999999683</v>
      </c>
      <c r="C360" s="398">
        <f>1/DATI!$E$12*IF(B360&lt;DATI!$E$19,DATI!$E$6*DATI!$E$16*DATI!$E$23*DATI!$E$7*(B360/DATI!$E$19+1/(DATI!$E$23*DATI!$E$7)*(1-B360/DATI!$E$19)),IF(B360&lt;DATI!$E$20,DATI!$E$6*DATI!$E$16*DATI!$E$23*DATI!$E$7,IF(B360&lt;DATI!$E$21,DATI!$E$6*DATI!$E$16*DATI!$E$23*DATI!$E$7*(DATI!$E$20/B360),DATI!$E$6*DATI!$E$16*DATI!$E$23*DATI!$E$7*((DATI!$E$20*DATI!$E$21)/B360^2))))</f>
        <v>7.092035449819771E-2</v>
      </c>
      <c r="D360" s="237"/>
      <c r="E360" s="318"/>
      <c r="F360" s="318"/>
      <c r="G360" s="318"/>
      <c r="H360" s="318"/>
      <c r="I360" s="318"/>
      <c r="J360" s="318"/>
      <c r="K360" s="318"/>
      <c r="L360" s="318"/>
      <c r="M360" s="318"/>
      <c r="N360" s="318"/>
      <c r="O360" s="318"/>
      <c r="P360" s="318"/>
      <c r="Q360" s="318"/>
      <c r="R360" s="318"/>
      <c r="S360" s="318"/>
    </row>
    <row r="361" spans="1:19" x14ac:dyDescent="0.25">
      <c r="A361" s="318"/>
      <c r="B361" s="389">
        <f t="shared" si="5"/>
        <v>3.5599999999999681</v>
      </c>
      <c r="C361" s="398">
        <f>1/DATI!$E$12*IF(B361&lt;DATI!$E$19,DATI!$E$6*DATI!$E$16*DATI!$E$23*DATI!$E$7*(B361/DATI!$E$19+1/(DATI!$E$23*DATI!$E$7)*(1-B361/DATI!$E$19)),IF(B361&lt;DATI!$E$20,DATI!$E$6*DATI!$E$16*DATI!$E$23*DATI!$E$7,IF(B361&lt;DATI!$E$21,DATI!$E$6*DATI!$E$16*DATI!$E$23*DATI!$E$7*(DATI!$E$20/B361),DATI!$E$6*DATI!$E$16*DATI!$E$23*DATI!$E$7*((DATI!$E$20*DATI!$E$21)/B361^2))))</f>
        <v>7.0522485131575621E-2</v>
      </c>
      <c r="D361" s="237"/>
      <c r="E361" s="318"/>
      <c r="F361" s="318"/>
      <c r="G361" s="318"/>
      <c r="H361" s="318"/>
      <c r="I361" s="318"/>
      <c r="J361" s="318"/>
      <c r="K361" s="318"/>
      <c r="L361" s="318"/>
      <c r="M361" s="318"/>
      <c r="N361" s="318"/>
      <c r="O361" s="318"/>
      <c r="P361" s="318"/>
      <c r="Q361" s="318"/>
      <c r="R361" s="318"/>
      <c r="S361" s="318"/>
    </row>
    <row r="362" spans="1:19" x14ac:dyDescent="0.25">
      <c r="A362" s="318"/>
      <c r="B362" s="389">
        <f t="shared" si="5"/>
        <v>3.5699999999999679</v>
      </c>
      <c r="C362" s="398">
        <f>1/DATI!$E$12*IF(B362&lt;DATI!$E$19,DATI!$E$6*DATI!$E$16*DATI!$E$23*DATI!$E$7*(B362/DATI!$E$19+1/(DATI!$E$23*DATI!$E$7)*(1-B362/DATI!$E$19)),IF(B362&lt;DATI!$E$20,DATI!$E$6*DATI!$E$16*DATI!$E$23*DATI!$E$7,IF(B362&lt;DATI!$E$21,DATI!$E$6*DATI!$E$16*DATI!$E$23*DATI!$E$7*(DATI!$E$20/B362),DATI!$E$6*DATI!$E$16*DATI!$E$23*DATI!$E$7*((DATI!$E$20*DATI!$E$21)/B362^2))))</f>
        <v>7.0127954520124658E-2</v>
      </c>
      <c r="D362" s="237"/>
      <c r="E362" s="318"/>
      <c r="F362" s="318"/>
      <c r="G362" s="318"/>
      <c r="H362" s="318"/>
      <c r="I362" s="318"/>
      <c r="J362" s="318"/>
      <c r="K362" s="318"/>
      <c r="L362" s="318"/>
      <c r="M362" s="318"/>
      <c r="N362" s="318"/>
      <c r="O362" s="318"/>
      <c r="P362" s="318"/>
      <c r="Q362" s="318"/>
      <c r="R362" s="318"/>
      <c r="S362" s="318"/>
    </row>
    <row r="363" spans="1:19" x14ac:dyDescent="0.25">
      <c r="A363" s="318"/>
      <c r="B363" s="389">
        <f t="shared" si="5"/>
        <v>3.5799999999999677</v>
      </c>
      <c r="C363" s="398">
        <f>1/DATI!$E$12*IF(B363&lt;DATI!$E$19,DATI!$E$6*DATI!$E$16*DATI!$E$23*DATI!$E$7*(B363/DATI!$E$19+1/(DATI!$E$23*DATI!$E$7)*(1-B363/DATI!$E$19)),IF(B363&lt;DATI!$E$20,DATI!$E$6*DATI!$E$16*DATI!$E$23*DATI!$E$7,IF(B363&lt;DATI!$E$21,DATI!$E$6*DATI!$E$16*DATI!$E$23*DATI!$E$7*(DATI!$E$20/B363),DATI!$E$6*DATI!$E$16*DATI!$E$23*DATI!$E$7*((DATI!$E$20*DATI!$E$21)/B363^2))))</f>
        <v>6.9736725411467873E-2</v>
      </c>
      <c r="D363" s="237"/>
      <c r="E363" s="318"/>
      <c r="F363" s="318"/>
      <c r="G363" s="318"/>
      <c r="H363" s="318"/>
      <c r="I363" s="318"/>
      <c r="J363" s="318"/>
      <c r="K363" s="318"/>
      <c r="L363" s="318"/>
      <c r="M363" s="318"/>
      <c r="N363" s="318"/>
      <c r="O363" s="318"/>
      <c r="P363" s="318"/>
      <c r="Q363" s="318"/>
      <c r="R363" s="318"/>
      <c r="S363" s="318"/>
    </row>
    <row r="364" spans="1:19" x14ac:dyDescent="0.25">
      <c r="A364" s="318"/>
      <c r="B364" s="389">
        <f t="shared" si="5"/>
        <v>3.5899999999999674</v>
      </c>
      <c r="C364" s="398">
        <f>1/DATI!$E$12*IF(B364&lt;DATI!$E$19,DATI!$E$6*DATI!$E$16*DATI!$E$23*DATI!$E$7*(B364/DATI!$E$19+1/(DATI!$E$23*DATI!$E$7)*(1-B364/DATI!$E$19)),IF(B364&lt;DATI!$E$20,DATI!$E$6*DATI!$E$16*DATI!$E$23*DATI!$E$7,IF(B364&lt;DATI!$E$21,DATI!$E$6*DATI!$E$16*DATI!$E$23*DATI!$E$7*(DATI!$E$20/B364),DATI!$E$6*DATI!$E$16*DATI!$E$23*DATI!$E$7*((DATI!$E$20*DATI!$E$21)/B364^2))))</f>
        <v>6.9348761071339984E-2</v>
      </c>
      <c r="D364" s="237"/>
      <c r="E364" s="318"/>
      <c r="F364" s="318"/>
      <c r="G364" s="318"/>
      <c r="H364" s="318"/>
      <c r="I364" s="318"/>
      <c r="J364" s="318"/>
      <c r="K364" s="318"/>
      <c r="L364" s="318"/>
      <c r="M364" s="318"/>
      <c r="N364" s="318"/>
      <c r="O364" s="318"/>
      <c r="P364" s="318"/>
      <c r="Q364" s="318"/>
      <c r="R364" s="318"/>
      <c r="S364" s="318"/>
    </row>
    <row r="365" spans="1:19" x14ac:dyDescent="0.25">
      <c r="A365" s="318"/>
      <c r="B365" s="389">
        <f t="shared" si="5"/>
        <v>3.5999999999999672</v>
      </c>
      <c r="C365" s="398">
        <f>1/DATI!$E$12*IF(B365&lt;DATI!$E$19,DATI!$E$6*DATI!$E$16*DATI!$E$23*DATI!$E$7*(B365/DATI!$E$19+1/(DATI!$E$23*DATI!$E$7)*(1-B365/DATI!$E$19)),IF(B365&lt;DATI!$E$20,DATI!$E$6*DATI!$E$16*DATI!$E$23*DATI!$E$7,IF(B365&lt;DATI!$E$21,DATI!$E$6*DATI!$E$16*DATI!$E$23*DATI!$E$7*(DATI!$E$20/B365),DATI!$E$6*DATI!$E$16*DATI!$E$23*DATI!$E$7*((DATI!$E$20*DATI!$E$21)/B365^2))))</f>
        <v>6.8964025274964272E-2</v>
      </c>
      <c r="D365" s="237"/>
      <c r="E365" s="318"/>
      <c r="F365" s="318"/>
      <c r="G365" s="318"/>
      <c r="H365" s="318"/>
      <c r="I365" s="318"/>
      <c r="J365" s="318"/>
      <c r="K365" s="318"/>
      <c r="L365" s="318"/>
      <c r="M365" s="318"/>
      <c r="N365" s="318"/>
      <c r="O365" s="318"/>
      <c r="P365" s="318"/>
      <c r="Q365" s="318"/>
      <c r="R365" s="318"/>
      <c r="S365" s="318"/>
    </row>
    <row r="366" spans="1:19" x14ac:dyDescent="0.25">
      <c r="A366" s="318"/>
      <c r="B366" s="389">
        <f t="shared" si="5"/>
        <v>3.609999999999967</v>
      </c>
      <c r="C366" s="398">
        <f>1/DATI!$E$12*IF(B366&lt;DATI!$E$19,DATI!$E$6*DATI!$E$16*DATI!$E$23*DATI!$E$7*(B366/DATI!$E$19+1/(DATI!$E$23*DATI!$E$7)*(1-B366/DATI!$E$19)),IF(B366&lt;DATI!$E$20,DATI!$E$6*DATI!$E$16*DATI!$E$23*DATI!$E$7,IF(B366&lt;DATI!$E$21,DATI!$E$6*DATI!$E$16*DATI!$E$23*DATI!$E$7*(DATI!$E$20/B366),DATI!$E$6*DATI!$E$16*DATI!$E$23*DATI!$E$7*((DATI!$E$20*DATI!$E$21)/B366^2))))</f>
        <v>6.8582482298596315E-2</v>
      </c>
      <c r="D366" s="237"/>
      <c r="E366" s="318"/>
      <c r="F366" s="318"/>
      <c r="G366" s="318"/>
      <c r="H366" s="318"/>
      <c r="I366" s="318"/>
      <c r="J366" s="318"/>
      <c r="K366" s="318"/>
      <c r="L366" s="318"/>
      <c r="M366" s="318"/>
      <c r="N366" s="318"/>
      <c r="O366" s="318"/>
      <c r="P366" s="318"/>
      <c r="Q366" s="318"/>
      <c r="R366" s="318"/>
      <c r="S366" s="318"/>
    </row>
    <row r="367" spans="1:19" x14ac:dyDescent="0.25">
      <c r="A367" s="318"/>
      <c r="B367" s="389">
        <f t="shared" si="5"/>
        <v>3.6199999999999668</v>
      </c>
      <c r="C367" s="398">
        <f>1/DATI!$E$12*IF(B367&lt;DATI!$E$19,DATI!$E$6*DATI!$E$16*DATI!$E$23*DATI!$E$7*(B367/DATI!$E$19+1/(DATI!$E$23*DATI!$E$7)*(1-B367/DATI!$E$19)),IF(B367&lt;DATI!$E$20,DATI!$E$6*DATI!$E$16*DATI!$E$23*DATI!$E$7,IF(B367&lt;DATI!$E$21,DATI!$E$6*DATI!$E$16*DATI!$E$23*DATI!$E$7*(DATI!$E$20/B367),DATI!$E$6*DATI!$E$16*DATI!$E$23*DATI!$E$7*((DATI!$E$20*DATI!$E$21)/B367^2))))</f>
        <v>6.8204096911231124E-2</v>
      </c>
      <c r="D367" s="237"/>
      <c r="E367" s="318"/>
      <c r="F367" s="318"/>
      <c r="G367" s="318"/>
      <c r="H367" s="318"/>
      <c r="I367" s="318"/>
      <c r="J367" s="318"/>
      <c r="K367" s="318"/>
      <c r="L367" s="318"/>
      <c r="M367" s="318"/>
      <c r="N367" s="318"/>
      <c r="O367" s="318"/>
      <c r="P367" s="318"/>
      <c r="Q367" s="318"/>
      <c r="R367" s="318"/>
      <c r="S367" s="318"/>
    </row>
    <row r="368" spans="1:19" x14ac:dyDescent="0.25">
      <c r="A368" s="318"/>
      <c r="B368" s="389">
        <f t="shared" si="5"/>
        <v>3.6299999999999666</v>
      </c>
      <c r="C368" s="398">
        <f>1/DATI!$E$12*IF(B368&lt;DATI!$E$19,DATI!$E$6*DATI!$E$16*DATI!$E$23*DATI!$E$7*(B368/DATI!$E$19+1/(DATI!$E$23*DATI!$E$7)*(1-B368/DATI!$E$19)),IF(B368&lt;DATI!$E$20,DATI!$E$6*DATI!$E$16*DATI!$E$23*DATI!$E$7,IF(B368&lt;DATI!$E$21,DATI!$E$6*DATI!$E$16*DATI!$E$23*DATI!$E$7*(DATI!$E$20/B368),DATI!$E$6*DATI!$E$16*DATI!$E$23*DATI!$E$7*((DATI!$E$20*DATI!$E$21)/B368^2))))</f>
        <v>6.7828834366469887E-2</v>
      </c>
      <c r="D368" s="237"/>
      <c r="E368" s="318"/>
      <c r="F368" s="318"/>
      <c r="G368" s="318"/>
      <c r="H368" s="318"/>
      <c r="I368" s="318"/>
      <c r="J368" s="318"/>
      <c r="K368" s="318"/>
      <c r="L368" s="318"/>
      <c r="M368" s="318"/>
      <c r="N368" s="318"/>
      <c r="O368" s="318"/>
      <c r="P368" s="318"/>
      <c r="Q368" s="318"/>
      <c r="R368" s="318"/>
      <c r="S368" s="318"/>
    </row>
    <row r="369" spans="1:19" x14ac:dyDescent="0.25">
      <c r="A369" s="318"/>
      <c r="B369" s="389">
        <f t="shared" si="5"/>
        <v>3.6399999999999664</v>
      </c>
      <c r="C369" s="398">
        <f>1/DATI!$E$12*IF(B369&lt;DATI!$E$19,DATI!$E$6*DATI!$E$16*DATI!$E$23*DATI!$E$7*(B369/DATI!$E$19+1/(DATI!$E$23*DATI!$E$7)*(1-B369/DATI!$E$19)),IF(B369&lt;DATI!$E$20,DATI!$E$6*DATI!$E$16*DATI!$E$23*DATI!$E$7,IF(B369&lt;DATI!$E$21,DATI!$E$6*DATI!$E$16*DATI!$E$23*DATI!$E$7*(DATI!$E$20/B369),DATI!$E$6*DATI!$E$16*DATI!$E$23*DATI!$E$7*((DATI!$E$20*DATI!$E$21)/B369^2))))</f>
        <v>6.7456660394543025E-2</v>
      </c>
      <c r="D369" s="237"/>
      <c r="E369" s="318"/>
      <c r="F369" s="318"/>
      <c r="G369" s="318"/>
      <c r="H369" s="318"/>
      <c r="I369" s="318"/>
      <c r="J369" s="318"/>
      <c r="K369" s="318"/>
      <c r="L369" s="318"/>
      <c r="M369" s="318"/>
      <c r="N369" s="318"/>
      <c r="O369" s="318"/>
      <c r="P369" s="318"/>
      <c r="Q369" s="318"/>
      <c r="R369" s="318"/>
      <c r="S369" s="318"/>
    </row>
    <row r="370" spans="1:19" x14ac:dyDescent="0.25">
      <c r="A370" s="318"/>
      <c r="B370" s="389">
        <f t="shared" si="5"/>
        <v>3.6499999999999662</v>
      </c>
      <c r="C370" s="398">
        <f>1/DATI!$E$12*IF(B370&lt;DATI!$E$19,DATI!$E$6*DATI!$E$16*DATI!$E$23*DATI!$E$7*(B370/DATI!$E$19+1/(DATI!$E$23*DATI!$E$7)*(1-B370/DATI!$E$19)),IF(B370&lt;DATI!$E$20,DATI!$E$6*DATI!$E$16*DATI!$E$23*DATI!$E$7,IF(B370&lt;DATI!$E$21,DATI!$E$6*DATI!$E$16*DATI!$E$23*DATI!$E$7*(DATI!$E$20/B370),DATI!$E$6*DATI!$E$16*DATI!$E$23*DATI!$E$7*((DATI!$E$20*DATI!$E$21)/B370^2))))</f>
        <v>6.7087541194485817E-2</v>
      </c>
      <c r="D370" s="237"/>
      <c r="E370" s="318"/>
      <c r="F370" s="318"/>
      <c r="G370" s="318"/>
      <c r="H370" s="318"/>
      <c r="I370" s="318"/>
      <c r="J370" s="318"/>
      <c r="K370" s="318"/>
      <c r="L370" s="318"/>
      <c r="M370" s="318"/>
      <c r="N370" s="318"/>
      <c r="O370" s="318"/>
      <c r="P370" s="318"/>
      <c r="Q370" s="318"/>
      <c r="R370" s="318"/>
      <c r="S370" s="318"/>
    </row>
    <row r="371" spans="1:19" x14ac:dyDescent="0.25">
      <c r="A371" s="318"/>
      <c r="B371" s="389">
        <f t="shared" si="5"/>
        <v>3.6599999999999659</v>
      </c>
      <c r="C371" s="398">
        <f>1/DATI!$E$12*IF(B371&lt;DATI!$E$19,DATI!$E$6*DATI!$E$16*DATI!$E$23*DATI!$E$7*(B371/DATI!$E$19+1/(DATI!$E$23*DATI!$E$7)*(1-B371/DATI!$E$19)),IF(B371&lt;DATI!$E$20,DATI!$E$6*DATI!$E$16*DATI!$E$23*DATI!$E$7,IF(B371&lt;DATI!$E$21,DATI!$E$6*DATI!$E$16*DATI!$E$23*DATI!$E$7*(DATI!$E$20/B371),DATI!$E$6*DATI!$E$16*DATI!$E$23*DATI!$E$7*((DATI!$E$20*DATI!$E$21)/B371^2))))</f>
        <v>6.6721443426463703E-2</v>
      </c>
      <c r="D371" s="237"/>
      <c r="E371" s="318"/>
      <c r="F371" s="318"/>
      <c r="G371" s="318"/>
      <c r="H371" s="318"/>
      <c r="I371" s="318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</row>
    <row r="372" spans="1:19" x14ac:dyDescent="0.25">
      <c r="A372" s="318"/>
      <c r="B372" s="389">
        <f t="shared" si="5"/>
        <v>3.6699999999999657</v>
      </c>
      <c r="C372" s="398">
        <f>1/DATI!$E$12*IF(B372&lt;DATI!$E$19,DATI!$E$6*DATI!$E$16*DATI!$E$23*DATI!$E$7*(B372/DATI!$E$19+1/(DATI!$E$23*DATI!$E$7)*(1-B372/DATI!$E$19)),IF(B372&lt;DATI!$E$20,DATI!$E$6*DATI!$E$16*DATI!$E$23*DATI!$E$7,IF(B372&lt;DATI!$E$21,DATI!$E$6*DATI!$E$16*DATI!$E$23*DATI!$E$7*(DATI!$E$20/B372),DATI!$E$6*DATI!$E$16*DATI!$E$23*DATI!$E$7*((DATI!$E$20*DATI!$E$21)/B372^2))))</f>
        <v>6.6358334204243655E-2</v>
      </c>
      <c r="D372" s="237"/>
      <c r="E372" s="318"/>
      <c r="F372" s="318"/>
      <c r="G372" s="318"/>
      <c r="H372" s="318"/>
      <c r="I372" s="318"/>
      <c r="J372" s="318"/>
      <c r="K372" s="318"/>
      <c r="L372" s="318"/>
      <c r="M372" s="318"/>
      <c r="N372" s="318"/>
      <c r="O372" s="318"/>
      <c r="P372" s="318"/>
      <c r="Q372" s="318"/>
      <c r="R372" s="318"/>
      <c r="S372" s="318"/>
    </row>
    <row r="373" spans="1:19" x14ac:dyDescent="0.25">
      <c r="A373" s="318"/>
      <c r="B373" s="389">
        <f t="shared" si="5"/>
        <v>3.6799999999999655</v>
      </c>
      <c r="C373" s="398">
        <f>1/DATI!$E$12*IF(B373&lt;DATI!$E$19,DATI!$E$6*DATI!$E$16*DATI!$E$23*DATI!$E$7*(B373/DATI!$E$19+1/(DATI!$E$23*DATI!$E$7)*(1-B373/DATI!$E$19)),IF(B373&lt;DATI!$E$20,DATI!$E$6*DATI!$E$16*DATI!$E$23*DATI!$E$7,IF(B373&lt;DATI!$E$21,DATI!$E$6*DATI!$E$16*DATI!$E$23*DATI!$E$7*(DATI!$E$20/B373),DATI!$E$6*DATI!$E$16*DATI!$E$23*DATI!$E$7*((DATI!$E$20*DATI!$E$21)/B373^2))))</f>
        <v>6.5998181087808472E-2</v>
      </c>
      <c r="D373" s="237"/>
      <c r="E373" s="318"/>
      <c r="F373" s="318"/>
      <c r="G373" s="318"/>
      <c r="H373" s="318"/>
      <c r="I373" s="318"/>
      <c r="J373" s="318"/>
      <c r="K373" s="318"/>
      <c r="L373" s="318"/>
      <c r="M373" s="318"/>
      <c r="N373" s="318"/>
      <c r="O373" s="318"/>
      <c r="P373" s="318"/>
      <c r="Q373" s="318"/>
      <c r="R373" s="318"/>
      <c r="S373" s="318"/>
    </row>
    <row r="374" spans="1:19" x14ac:dyDescent="0.25">
      <c r="A374" s="318"/>
      <c r="B374" s="389">
        <f t="shared" si="5"/>
        <v>3.6899999999999653</v>
      </c>
      <c r="C374" s="398">
        <f>1/DATI!$E$12*IF(B374&lt;DATI!$E$19,DATI!$E$6*DATI!$E$16*DATI!$E$23*DATI!$E$7*(B374/DATI!$E$19+1/(DATI!$E$23*DATI!$E$7)*(1-B374/DATI!$E$19)),IF(B374&lt;DATI!$E$20,DATI!$E$6*DATI!$E$16*DATI!$E$23*DATI!$E$7,IF(B374&lt;DATI!$E$21,DATI!$E$6*DATI!$E$16*DATI!$E$23*DATI!$E$7*(DATI!$E$20/B374),DATI!$E$6*DATI!$E$16*DATI!$E$23*DATI!$E$7*((DATI!$E$20*DATI!$E$21)/B374^2))))</f>
        <v>6.5640952076111189E-2</v>
      </c>
      <c r="D374" s="237"/>
      <c r="E374" s="318"/>
      <c r="F374" s="318"/>
      <c r="G374" s="318"/>
      <c r="H374" s="318"/>
      <c r="I374" s="318"/>
      <c r="J374" s="318"/>
      <c r="K374" s="318"/>
      <c r="L374" s="318"/>
      <c r="M374" s="318"/>
      <c r="N374" s="318"/>
      <c r="O374" s="318"/>
      <c r="P374" s="318"/>
      <c r="Q374" s="318"/>
      <c r="R374" s="318"/>
      <c r="S374" s="318"/>
    </row>
    <row r="375" spans="1:19" x14ac:dyDescent="0.25">
      <c r="A375" s="318"/>
      <c r="B375" s="389">
        <f t="shared" si="5"/>
        <v>3.6999999999999651</v>
      </c>
      <c r="C375" s="398">
        <f>1/DATI!$E$12*IF(B375&lt;DATI!$E$19,DATI!$E$6*DATI!$E$16*DATI!$E$23*DATI!$E$7*(B375/DATI!$E$19+1/(DATI!$E$23*DATI!$E$7)*(1-B375/DATI!$E$19)),IF(B375&lt;DATI!$E$20,DATI!$E$6*DATI!$E$16*DATI!$E$23*DATI!$E$7,IF(B375&lt;DATI!$E$21,DATI!$E$6*DATI!$E$16*DATI!$E$23*DATI!$E$7*(DATI!$E$20/B375),DATI!$E$6*DATI!$E$16*DATI!$E$23*DATI!$E$7*((DATI!$E$20*DATI!$E$21)/B375^2))))</f>
        <v>6.5286615599966222E-2</v>
      </c>
      <c r="D375" s="237"/>
      <c r="E375" s="318"/>
      <c r="F375" s="318"/>
      <c r="G375" s="318"/>
      <c r="H375" s="318"/>
      <c r="I375" s="318"/>
      <c r="J375" s="318"/>
      <c r="K375" s="318"/>
      <c r="L375" s="318"/>
      <c r="M375" s="318"/>
      <c r="N375" s="318"/>
      <c r="O375" s="318"/>
      <c r="P375" s="318"/>
      <c r="Q375" s="318"/>
      <c r="R375" s="318"/>
      <c r="S375" s="318"/>
    </row>
    <row r="376" spans="1:19" x14ac:dyDescent="0.25">
      <c r="A376" s="318"/>
      <c r="B376" s="389">
        <f t="shared" si="5"/>
        <v>3.7099999999999649</v>
      </c>
      <c r="C376" s="398">
        <f>1/DATI!$E$12*IF(B376&lt;DATI!$E$19,DATI!$E$6*DATI!$E$16*DATI!$E$23*DATI!$E$7*(B376/DATI!$E$19+1/(DATI!$E$23*DATI!$E$7)*(1-B376/DATI!$E$19)),IF(B376&lt;DATI!$E$20,DATI!$E$6*DATI!$E$16*DATI!$E$23*DATI!$E$7,IF(B376&lt;DATI!$E$21,DATI!$E$6*DATI!$E$16*DATI!$E$23*DATI!$E$7*(DATI!$E$20/B376),DATI!$E$6*DATI!$E$16*DATI!$E$23*DATI!$E$7*((DATI!$E$20*DATI!$E$21)/B376^2))))</f>
        <v>6.4935140515074555E-2</v>
      </c>
      <c r="D376" s="237"/>
      <c r="E376" s="318"/>
      <c r="F376" s="318"/>
      <c r="G376" s="318"/>
      <c r="H376" s="318"/>
      <c r="I376" s="318"/>
      <c r="J376" s="318"/>
      <c r="K376" s="318"/>
      <c r="L376" s="318"/>
      <c r="M376" s="318"/>
      <c r="N376" s="318"/>
      <c r="O376" s="318"/>
      <c r="P376" s="318"/>
      <c r="Q376" s="318"/>
      <c r="R376" s="318"/>
      <c r="S376" s="318"/>
    </row>
    <row r="377" spans="1:19" x14ac:dyDescent="0.25">
      <c r="A377" s="318"/>
      <c r="B377" s="389">
        <f t="shared" si="5"/>
        <v>3.7199999999999647</v>
      </c>
      <c r="C377" s="398">
        <f>1/DATI!$E$12*IF(B377&lt;DATI!$E$19,DATI!$E$6*DATI!$E$16*DATI!$E$23*DATI!$E$7*(B377/DATI!$E$19+1/(DATI!$E$23*DATI!$E$7)*(1-B377/DATI!$E$19)),IF(B377&lt;DATI!$E$20,DATI!$E$6*DATI!$E$16*DATI!$E$23*DATI!$E$7,IF(B377&lt;DATI!$E$21,DATI!$E$6*DATI!$E$16*DATI!$E$23*DATI!$E$7*(DATI!$E$20/B377),DATI!$E$6*DATI!$E$16*DATI!$E$23*DATI!$E$7*((DATI!$E$20*DATI!$E$21)/B377^2))))</f>
        <v>6.4586496095179913E-2</v>
      </c>
      <c r="D377" s="237"/>
      <c r="E377" s="318"/>
      <c r="F377" s="318"/>
      <c r="G377" s="318"/>
      <c r="H377" s="318"/>
      <c r="I377" s="318"/>
      <c r="J377" s="318"/>
      <c r="K377" s="318"/>
      <c r="L377" s="318"/>
      <c r="M377" s="318"/>
      <c r="N377" s="318"/>
      <c r="O377" s="318"/>
      <c r="P377" s="318"/>
      <c r="Q377" s="318"/>
      <c r="R377" s="318"/>
      <c r="S377" s="318"/>
    </row>
    <row r="378" spans="1:19" x14ac:dyDescent="0.25">
      <c r="A378" s="318"/>
      <c r="B378" s="389">
        <f t="shared" si="5"/>
        <v>3.7299999999999645</v>
      </c>
      <c r="C378" s="398">
        <f>1/DATI!$E$12*IF(B378&lt;DATI!$E$19,DATI!$E$6*DATI!$E$16*DATI!$E$23*DATI!$E$7*(B378/DATI!$E$19+1/(DATI!$E$23*DATI!$E$7)*(1-B378/DATI!$E$19)),IF(B378&lt;DATI!$E$20,DATI!$E$6*DATI!$E$16*DATI!$E$23*DATI!$E$7,IF(B378&lt;DATI!$E$21,DATI!$E$6*DATI!$E$16*DATI!$E$23*DATI!$E$7*(DATI!$E$20/B378),DATI!$E$6*DATI!$E$16*DATI!$E$23*DATI!$E$7*((DATI!$E$20*DATI!$E$21)/B378^2))))</f>
        <v>6.4240652025353284E-2</v>
      </c>
      <c r="D378" s="237"/>
      <c r="E378" s="318"/>
      <c r="F378" s="318"/>
      <c r="G378" s="318"/>
      <c r="H378" s="318"/>
      <c r="I378" s="318"/>
      <c r="J378" s="318"/>
      <c r="K378" s="318"/>
      <c r="L378" s="318"/>
      <c r="M378" s="318"/>
      <c r="N378" s="318"/>
      <c r="O378" s="318"/>
      <c r="P378" s="318"/>
      <c r="Q378" s="318"/>
      <c r="R378" s="318"/>
      <c r="S378" s="318"/>
    </row>
    <row r="379" spans="1:19" x14ac:dyDescent="0.25">
      <c r="A379" s="318"/>
      <c r="B379" s="389">
        <f t="shared" si="5"/>
        <v>3.7399999999999642</v>
      </c>
      <c r="C379" s="398">
        <f>1/DATI!$E$12*IF(B379&lt;DATI!$E$19,DATI!$E$6*DATI!$E$16*DATI!$E$23*DATI!$E$7*(B379/DATI!$E$19+1/(DATI!$E$23*DATI!$E$7)*(1-B379/DATI!$E$19)),IF(B379&lt;DATI!$E$20,DATI!$E$6*DATI!$E$16*DATI!$E$23*DATI!$E$7,IF(B379&lt;DATI!$E$21,DATI!$E$6*DATI!$E$16*DATI!$E$23*DATI!$E$7*(DATI!$E$20/B379),DATI!$E$6*DATI!$E$16*DATI!$E$23*DATI!$E$7*((DATI!$E$20*DATI!$E$21)/B379^2))))</f>
        <v>6.3897578395402915E-2</v>
      </c>
      <c r="D379" s="237"/>
      <c r="E379" s="318"/>
      <c r="F379" s="318"/>
      <c r="G379" s="318"/>
      <c r="H379" s="318"/>
      <c r="I379" s="318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</row>
    <row r="380" spans="1:19" x14ac:dyDescent="0.25">
      <c r="A380" s="318"/>
      <c r="B380" s="389">
        <f t="shared" si="5"/>
        <v>3.749999999999964</v>
      </c>
      <c r="C380" s="398">
        <f>1/DATI!$E$12*IF(B380&lt;DATI!$E$19,DATI!$E$6*DATI!$E$16*DATI!$E$23*DATI!$E$7*(B380/DATI!$E$19+1/(DATI!$E$23*DATI!$E$7)*(1-B380/DATI!$E$19)),IF(B380&lt;DATI!$E$20,DATI!$E$6*DATI!$E$16*DATI!$E$23*DATI!$E$7,IF(B380&lt;DATI!$E$21,DATI!$E$6*DATI!$E$16*DATI!$E$23*DATI!$E$7*(DATI!$E$20/B380),DATI!$E$6*DATI!$E$16*DATI!$E$23*DATI!$E$7*((DATI!$E$20*DATI!$E$21)/B380^2))))</f>
        <v>6.3557245693407136E-2</v>
      </c>
      <c r="D380" s="237"/>
      <c r="E380" s="318"/>
      <c r="F380" s="318"/>
      <c r="G380" s="318"/>
      <c r="H380" s="318"/>
      <c r="I380" s="318"/>
      <c r="J380" s="318"/>
      <c r="K380" s="318"/>
      <c r="L380" s="318"/>
      <c r="M380" s="318"/>
      <c r="N380" s="318"/>
      <c r="O380" s="318"/>
      <c r="P380" s="318"/>
      <c r="Q380" s="318"/>
      <c r="R380" s="318"/>
      <c r="S380" s="318"/>
    </row>
    <row r="381" spans="1:19" x14ac:dyDescent="0.25">
      <c r="A381" s="318"/>
      <c r="B381" s="389">
        <f t="shared" si="5"/>
        <v>3.7599999999999638</v>
      </c>
      <c r="C381" s="398">
        <f>1/DATI!$E$12*IF(B381&lt;DATI!$E$19,DATI!$E$6*DATI!$E$16*DATI!$E$23*DATI!$E$7*(B381/DATI!$E$19+1/(DATI!$E$23*DATI!$E$7)*(1-B381/DATI!$E$19)),IF(B381&lt;DATI!$E$20,DATI!$E$6*DATI!$E$16*DATI!$E$23*DATI!$E$7,IF(B381&lt;DATI!$E$21,DATI!$E$6*DATI!$E$16*DATI!$E$23*DATI!$E$7*(DATI!$E$20/B381),DATI!$E$6*DATI!$E$16*DATI!$E$23*DATI!$E$7*((DATI!$E$20*DATI!$E$21)/B381^2))))</f>
        <v>6.3219624799367491E-2</v>
      </c>
      <c r="D381" s="237"/>
      <c r="E381" s="318"/>
      <c r="F381" s="318"/>
      <c r="G381" s="318"/>
      <c r="H381" s="318"/>
      <c r="I381" s="318"/>
      <c r="J381" s="318"/>
      <c r="K381" s="318"/>
      <c r="L381" s="318"/>
      <c r="M381" s="318"/>
      <c r="N381" s="318"/>
      <c r="O381" s="318"/>
      <c r="P381" s="318"/>
      <c r="Q381" s="318"/>
      <c r="R381" s="318"/>
      <c r="S381" s="318"/>
    </row>
    <row r="382" spans="1:19" x14ac:dyDescent="0.25">
      <c r="A382" s="318"/>
      <c r="B382" s="389">
        <f t="shared" si="5"/>
        <v>3.7699999999999636</v>
      </c>
      <c r="C382" s="398">
        <f>1/DATI!$E$12*IF(B382&lt;DATI!$E$19,DATI!$E$6*DATI!$E$16*DATI!$E$23*DATI!$E$7*(B382/DATI!$E$19+1/(DATI!$E$23*DATI!$E$7)*(1-B382/DATI!$E$19)),IF(B382&lt;DATI!$E$20,DATI!$E$6*DATI!$E$16*DATI!$E$23*DATI!$E$7,IF(B382&lt;DATI!$E$21,DATI!$E$6*DATI!$E$16*DATI!$E$23*DATI!$E$7*(DATI!$E$20/B382),DATI!$E$6*DATI!$E$16*DATI!$E$23*DATI!$E$7*((DATI!$E$20*DATI!$E$21)/B382^2))))</f>
        <v>6.2884686978979518E-2</v>
      </c>
      <c r="D382" s="237"/>
      <c r="E382" s="318"/>
      <c r="F382" s="318"/>
      <c r="G382" s="318"/>
      <c r="H382" s="318"/>
      <c r="I382" s="318"/>
      <c r="J382" s="318"/>
      <c r="K382" s="318"/>
      <c r="L382" s="318"/>
      <c r="M382" s="318"/>
      <c r="N382" s="318"/>
      <c r="O382" s="318"/>
      <c r="P382" s="318"/>
      <c r="Q382" s="318"/>
      <c r="R382" s="318"/>
      <c r="S382" s="318"/>
    </row>
    <row r="383" spans="1:19" x14ac:dyDescent="0.25">
      <c r="A383" s="318"/>
      <c r="B383" s="389">
        <f t="shared" si="5"/>
        <v>3.7799999999999634</v>
      </c>
      <c r="C383" s="398">
        <f>1/DATI!$E$12*IF(B383&lt;DATI!$E$19,DATI!$E$6*DATI!$E$16*DATI!$E$23*DATI!$E$7*(B383/DATI!$E$19+1/(DATI!$E$23*DATI!$E$7)*(1-B383/DATI!$E$19)),IF(B383&lt;DATI!$E$20,DATI!$E$6*DATI!$E$16*DATI!$E$23*DATI!$E$7,IF(B383&lt;DATI!$E$21,DATI!$E$6*DATI!$E$16*DATI!$E$23*DATI!$E$7*(DATI!$E$20/B383),DATI!$E$6*DATI!$E$16*DATI!$E$23*DATI!$E$7*((DATI!$E$20*DATI!$E$21)/B383^2))))</f>
        <v>6.2552403877518689E-2</v>
      </c>
      <c r="D383" s="237"/>
      <c r="E383" s="318"/>
      <c r="F383" s="318"/>
      <c r="G383" s="318"/>
      <c r="H383" s="318"/>
      <c r="I383" s="318"/>
      <c r="J383" s="318"/>
      <c r="K383" s="318"/>
      <c r="L383" s="318"/>
      <c r="M383" s="318"/>
      <c r="N383" s="318"/>
      <c r="O383" s="318"/>
      <c r="P383" s="318"/>
      <c r="Q383" s="318"/>
      <c r="R383" s="318"/>
      <c r="S383" s="318"/>
    </row>
    <row r="384" spans="1:19" x14ac:dyDescent="0.25">
      <c r="A384" s="318"/>
      <c r="B384" s="389">
        <f t="shared" si="5"/>
        <v>3.7899999999999632</v>
      </c>
      <c r="C384" s="398">
        <f>1/DATI!$E$12*IF(B384&lt;DATI!$E$19,DATI!$E$6*DATI!$E$16*DATI!$E$23*DATI!$E$7*(B384/DATI!$E$19+1/(DATI!$E$23*DATI!$E$7)*(1-B384/DATI!$E$19)),IF(B384&lt;DATI!$E$20,DATI!$E$6*DATI!$E$16*DATI!$E$23*DATI!$E$7,IF(B384&lt;DATI!$E$21,DATI!$E$6*DATI!$E$16*DATI!$E$23*DATI!$E$7*(DATI!$E$20/B384),DATI!$E$6*DATI!$E$16*DATI!$E$23*DATI!$E$7*((DATI!$E$20*DATI!$E$21)/B384^2))))</f>
        <v>6.2222747513839223E-2</v>
      </c>
      <c r="D384" s="237"/>
      <c r="E384" s="318"/>
      <c r="F384" s="318"/>
      <c r="G384" s="318"/>
      <c r="H384" s="318"/>
      <c r="I384" s="318"/>
      <c r="J384" s="318"/>
      <c r="K384" s="318"/>
      <c r="L384" s="318"/>
      <c r="M384" s="318"/>
      <c r="N384" s="318"/>
      <c r="O384" s="318"/>
      <c r="P384" s="318"/>
      <c r="Q384" s="318"/>
      <c r="R384" s="318"/>
      <c r="S384" s="318"/>
    </row>
    <row r="385" spans="1:19" x14ac:dyDescent="0.25">
      <c r="A385" s="318"/>
      <c r="B385" s="389">
        <f t="shared" si="5"/>
        <v>3.799999999999963</v>
      </c>
      <c r="C385" s="398">
        <f>1/DATI!$E$12*IF(B385&lt;DATI!$E$19,DATI!$E$6*DATI!$E$16*DATI!$E$23*DATI!$E$7*(B385/DATI!$E$19+1/(DATI!$E$23*DATI!$E$7)*(1-B385/DATI!$E$19)),IF(B385&lt;DATI!$E$20,DATI!$E$6*DATI!$E$16*DATI!$E$23*DATI!$E$7,IF(B385&lt;DATI!$E$21,DATI!$E$6*DATI!$E$16*DATI!$E$23*DATI!$E$7*(DATI!$E$20/B385),DATI!$E$6*DATI!$E$16*DATI!$E$23*DATI!$E$7*((DATI!$E$20*DATI!$E$21)/B385^2))))</f>
        <v>6.1895690274483259E-2</v>
      </c>
      <c r="D385" s="237"/>
      <c r="E385" s="318"/>
      <c r="F385" s="318"/>
      <c r="G385" s="318"/>
      <c r="H385" s="318"/>
      <c r="I385" s="318"/>
      <c r="J385" s="318"/>
      <c r="K385" s="318"/>
      <c r="L385" s="318"/>
      <c r="M385" s="318"/>
      <c r="N385" s="318"/>
      <c r="O385" s="318"/>
      <c r="P385" s="318"/>
      <c r="Q385" s="318"/>
      <c r="R385" s="318"/>
      <c r="S385" s="318"/>
    </row>
    <row r="386" spans="1:19" x14ac:dyDescent="0.25">
      <c r="A386" s="318"/>
      <c r="B386" s="389">
        <f t="shared" si="5"/>
        <v>3.8099999999999627</v>
      </c>
      <c r="C386" s="398">
        <f>1/DATI!$E$12*IF(B386&lt;DATI!$E$19,DATI!$E$6*DATI!$E$16*DATI!$E$23*DATI!$E$7*(B386/DATI!$E$19+1/(DATI!$E$23*DATI!$E$7)*(1-B386/DATI!$E$19)),IF(B386&lt;DATI!$E$20,DATI!$E$6*DATI!$E$16*DATI!$E$23*DATI!$E$7,IF(B386&lt;DATI!$E$21,DATI!$E$6*DATI!$E$16*DATI!$E$23*DATI!$E$7*(DATI!$E$20/B386),DATI!$E$6*DATI!$E$16*DATI!$E$23*DATI!$E$7*((DATI!$E$20*DATI!$E$21)/B386^2))))</f>
        <v>6.1571204907897997E-2</v>
      </c>
      <c r="D386" s="237"/>
      <c r="E386" s="318"/>
      <c r="F386" s="318"/>
      <c r="G386" s="318"/>
      <c r="H386" s="318"/>
      <c r="I386" s="318"/>
      <c r="J386" s="318"/>
      <c r="K386" s="318"/>
      <c r="L386" s="318"/>
      <c r="M386" s="318"/>
      <c r="N386" s="318"/>
      <c r="O386" s="318"/>
      <c r="P386" s="318"/>
      <c r="Q386" s="318"/>
      <c r="R386" s="318"/>
      <c r="S386" s="318"/>
    </row>
    <row r="387" spans="1:19" x14ac:dyDescent="0.25">
      <c r="A387" s="318"/>
      <c r="B387" s="389">
        <f t="shared" si="5"/>
        <v>3.8199999999999625</v>
      </c>
      <c r="C387" s="398">
        <f>1/DATI!$E$12*IF(B387&lt;DATI!$E$19,DATI!$E$6*DATI!$E$16*DATI!$E$23*DATI!$E$7*(B387/DATI!$E$19+1/(DATI!$E$23*DATI!$E$7)*(1-B387/DATI!$E$19)),IF(B387&lt;DATI!$E$20,DATI!$E$6*DATI!$E$16*DATI!$E$23*DATI!$E$7,IF(B387&lt;DATI!$E$21,DATI!$E$6*DATI!$E$16*DATI!$E$23*DATI!$E$7*(DATI!$E$20/B387),DATI!$E$6*DATI!$E$16*DATI!$E$23*DATI!$E$7*((DATI!$E$20*DATI!$E$21)/B387^2))))</f>
        <v>6.1249264518758957E-2</v>
      </c>
      <c r="D387" s="237"/>
      <c r="E387" s="318"/>
      <c r="F387" s="318"/>
      <c r="G387" s="318"/>
      <c r="H387" s="318"/>
      <c r="I387" s="318"/>
      <c r="J387" s="318"/>
      <c r="K387" s="318"/>
      <c r="L387" s="318"/>
      <c r="M387" s="318"/>
      <c r="N387" s="318"/>
      <c r="O387" s="318"/>
      <c r="P387" s="318"/>
      <c r="Q387" s="318"/>
      <c r="R387" s="318"/>
      <c r="S387" s="318"/>
    </row>
    <row r="388" spans="1:19" x14ac:dyDescent="0.25">
      <c r="A388" s="318"/>
      <c r="B388" s="389">
        <f t="shared" si="5"/>
        <v>3.8299999999999623</v>
      </c>
      <c r="C388" s="398">
        <f>1/DATI!$E$12*IF(B388&lt;DATI!$E$19,DATI!$E$6*DATI!$E$16*DATI!$E$23*DATI!$E$7*(B388/DATI!$E$19+1/(DATI!$E$23*DATI!$E$7)*(1-B388/DATI!$E$19)),IF(B388&lt;DATI!$E$20,DATI!$E$6*DATI!$E$16*DATI!$E$23*DATI!$E$7,IF(B388&lt;DATI!$E$21,DATI!$E$6*DATI!$E$16*DATI!$E$23*DATI!$E$7*(DATI!$E$20/B388),DATI!$E$6*DATI!$E$16*DATI!$E$23*DATI!$E$7*((DATI!$E$20*DATI!$E$21)/B388^2))))</f>
        <v>6.0929842562396523E-2</v>
      </c>
      <c r="D388" s="237"/>
      <c r="E388" s="318"/>
      <c r="F388" s="318"/>
      <c r="G388" s="318"/>
      <c r="H388" s="318"/>
      <c r="I388" s="318"/>
      <c r="J388" s="318"/>
      <c r="K388" s="318"/>
      <c r="L388" s="318"/>
      <c r="M388" s="318"/>
      <c r="N388" s="318"/>
      <c r="O388" s="318"/>
      <c r="P388" s="318"/>
      <c r="Q388" s="318"/>
      <c r="R388" s="318"/>
      <c r="S388" s="318"/>
    </row>
    <row r="389" spans="1:19" x14ac:dyDescent="0.25">
      <c r="A389" s="318"/>
      <c r="B389" s="389">
        <f t="shared" si="5"/>
        <v>3.8399999999999621</v>
      </c>
      <c r="C389" s="398">
        <f>1/DATI!$E$12*IF(B389&lt;DATI!$E$19,DATI!$E$6*DATI!$E$16*DATI!$E$23*DATI!$E$7*(B389/DATI!$E$19+1/(DATI!$E$23*DATI!$E$7)*(1-B389/DATI!$E$19)),IF(B389&lt;DATI!$E$20,DATI!$E$6*DATI!$E$16*DATI!$E$23*DATI!$E$7,IF(B389&lt;DATI!$E$21,DATI!$E$6*DATI!$E$16*DATI!$E$23*DATI!$E$7*(DATI!$E$20/B389),DATI!$E$6*DATI!$E$16*DATI!$E$23*DATI!$E$7*((DATI!$E$20*DATI!$E$21)/B389^2))))</f>
        <v>6.0612912839324157E-2</v>
      </c>
      <c r="D389" s="237"/>
      <c r="E389" s="318"/>
      <c r="F389" s="318"/>
      <c r="G389" s="318"/>
      <c r="H389" s="318"/>
      <c r="I389" s="318"/>
      <c r="J389" s="318"/>
      <c r="K389" s="318"/>
      <c r="L389" s="318"/>
      <c r="M389" s="318"/>
      <c r="N389" s="318"/>
      <c r="O389" s="318"/>
      <c r="P389" s="318"/>
      <c r="Q389" s="318"/>
      <c r="R389" s="318"/>
      <c r="S389" s="318"/>
    </row>
    <row r="390" spans="1:19" x14ac:dyDescent="0.25">
      <c r="A390" s="318"/>
      <c r="B390" s="389">
        <f t="shared" ref="B390:B453" si="6">0.01+B389</f>
        <v>3.8499999999999619</v>
      </c>
      <c r="C390" s="398">
        <f>1/DATI!$E$12*IF(B390&lt;DATI!$E$19,DATI!$E$6*DATI!$E$16*DATI!$E$23*DATI!$E$7*(B390/DATI!$E$19+1/(DATI!$E$23*DATI!$E$7)*(1-B390/DATI!$E$19)),IF(B390&lt;DATI!$E$20,DATI!$E$6*DATI!$E$16*DATI!$E$23*DATI!$E$7,IF(B390&lt;DATI!$E$21,DATI!$E$6*DATI!$E$16*DATI!$E$23*DATI!$E$7*(DATI!$E$20/B390),DATI!$E$6*DATI!$E$16*DATI!$E$23*DATI!$E$7*((DATI!$E$20*DATI!$E$21)/B390^2))))</f>
        <v>6.0298449489865971E-2</v>
      </c>
      <c r="D390" s="237"/>
      <c r="E390" s="318"/>
      <c r="F390" s="318"/>
      <c r="G390" s="318"/>
      <c r="H390" s="318"/>
      <c r="I390" s="318"/>
      <c r="J390" s="318"/>
      <c r="K390" s="318"/>
      <c r="L390" s="318"/>
      <c r="M390" s="318"/>
      <c r="N390" s="318"/>
      <c r="O390" s="318"/>
      <c r="P390" s="318"/>
      <c r="Q390" s="318"/>
      <c r="R390" s="318"/>
      <c r="S390" s="318"/>
    </row>
    <row r="391" spans="1:19" x14ac:dyDescent="0.25">
      <c r="A391" s="318"/>
      <c r="B391" s="389">
        <f t="shared" si="6"/>
        <v>3.8599999999999617</v>
      </c>
      <c r="C391" s="398">
        <f>1/DATI!$E$12*IF(B391&lt;DATI!$E$19,DATI!$E$6*DATI!$E$16*DATI!$E$23*DATI!$E$7*(B391/DATI!$E$19+1/(DATI!$E$23*DATI!$E$7)*(1-B391/DATI!$E$19)),IF(B391&lt;DATI!$E$20,DATI!$E$6*DATI!$E$16*DATI!$E$23*DATI!$E$7,IF(B391&lt;DATI!$E$21,DATI!$E$6*DATI!$E$16*DATI!$E$23*DATI!$E$7*(DATI!$E$20/B391),DATI!$E$6*DATI!$E$16*DATI!$E$23*DATI!$E$7*((DATI!$E$20*DATI!$E$21)/B391^2))))</f>
        <v>5.9986426988881472E-2</v>
      </c>
      <c r="D391" s="237"/>
      <c r="E391" s="318"/>
      <c r="F391" s="318"/>
      <c r="G391" s="318"/>
      <c r="H391" s="318"/>
      <c r="I391" s="318"/>
      <c r="J391" s="318"/>
      <c r="K391" s="318"/>
      <c r="L391" s="318"/>
      <c r="M391" s="318"/>
      <c r="N391" s="318"/>
      <c r="O391" s="318"/>
      <c r="P391" s="318"/>
      <c r="Q391" s="318"/>
      <c r="R391" s="318"/>
      <c r="S391" s="318"/>
    </row>
    <row r="392" spans="1:19" x14ac:dyDescent="0.25">
      <c r="A392" s="318"/>
      <c r="B392" s="389">
        <f t="shared" si="6"/>
        <v>3.8699999999999615</v>
      </c>
      <c r="C392" s="398">
        <f>1/DATI!$E$12*IF(B392&lt;DATI!$E$19,DATI!$E$6*DATI!$E$16*DATI!$E$23*DATI!$E$7*(B392/DATI!$E$19+1/(DATI!$E$23*DATI!$E$7)*(1-B392/DATI!$E$19)),IF(B392&lt;DATI!$E$20,DATI!$E$6*DATI!$E$16*DATI!$E$23*DATI!$E$7,IF(B392&lt;DATI!$E$21,DATI!$E$6*DATI!$E$16*DATI!$E$23*DATI!$E$7*(DATI!$E$20/B392),DATI!$E$6*DATI!$E$16*DATI!$E$23*DATI!$E$7*((DATI!$E$20*DATI!$E$21)/B392^2))))</f>
        <v>5.9676820140585729E-2</v>
      </c>
      <c r="D392" s="237"/>
      <c r="E392" s="318"/>
      <c r="F392" s="318"/>
      <c r="G392" s="318"/>
      <c r="H392" s="318"/>
      <c r="I392" s="318"/>
      <c r="J392" s="318"/>
      <c r="K392" s="318"/>
      <c r="L392" s="318"/>
      <c r="M392" s="318"/>
      <c r="N392" s="318"/>
      <c r="O392" s="318"/>
      <c r="P392" s="318"/>
      <c r="Q392" s="318"/>
      <c r="R392" s="318"/>
      <c r="S392" s="318"/>
    </row>
    <row r="393" spans="1:19" x14ac:dyDescent="0.25">
      <c r="A393" s="318"/>
      <c r="B393" s="389">
        <f t="shared" si="6"/>
        <v>3.8799999999999613</v>
      </c>
      <c r="C393" s="398">
        <f>1/DATI!$E$12*IF(B393&lt;DATI!$E$19,DATI!$E$6*DATI!$E$16*DATI!$E$23*DATI!$E$7*(B393/DATI!$E$19+1/(DATI!$E$23*DATI!$E$7)*(1-B393/DATI!$E$19)),IF(B393&lt;DATI!$E$20,DATI!$E$6*DATI!$E$16*DATI!$E$23*DATI!$E$7,IF(B393&lt;DATI!$E$21,DATI!$E$6*DATI!$E$16*DATI!$E$23*DATI!$E$7*(DATI!$E$20/B393),DATI!$E$6*DATI!$E$16*DATI!$E$23*DATI!$E$7*((DATI!$E$20*DATI!$E$21)/B393^2))))</f>
        <v>5.9369604073462819E-2</v>
      </c>
      <c r="D393" s="237"/>
      <c r="E393" s="318"/>
      <c r="F393" s="318"/>
      <c r="G393" s="318"/>
      <c r="H393" s="318"/>
      <c r="I393" s="318"/>
      <c r="J393" s="318"/>
      <c r="K393" s="318"/>
      <c r="L393" s="318"/>
      <c r="M393" s="318"/>
      <c r="N393" s="318"/>
      <c r="O393" s="318"/>
      <c r="P393" s="318"/>
      <c r="Q393" s="318"/>
      <c r="R393" s="318"/>
      <c r="S393" s="318"/>
    </row>
    <row r="394" spans="1:19" x14ac:dyDescent="0.25">
      <c r="A394" s="318"/>
      <c r="B394" s="389">
        <f t="shared" si="6"/>
        <v>3.889999999999961</v>
      </c>
      <c r="C394" s="398">
        <f>1/DATI!$E$12*IF(B394&lt;DATI!$E$19,DATI!$E$6*DATI!$E$16*DATI!$E$23*DATI!$E$7*(B394/DATI!$E$19+1/(DATI!$E$23*DATI!$E$7)*(1-B394/DATI!$E$19)),IF(B394&lt;DATI!$E$20,DATI!$E$6*DATI!$E$16*DATI!$E$23*DATI!$E$7,IF(B394&lt;DATI!$E$21,DATI!$E$6*DATI!$E$16*DATI!$E$23*DATI!$E$7*(DATI!$E$20/B394),DATI!$E$6*DATI!$E$16*DATI!$E$23*DATI!$E$7*((DATI!$E$20*DATI!$E$21)/B394^2))))</f>
        <v>5.906475423527062E-2</v>
      </c>
      <c r="D394" s="237"/>
      <c r="E394" s="318"/>
      <c r="F394" s="318"/>
      <c r="G394" s="318"/>
      <c r="H394" s="318"/>
      <c r="I394" s="318"/>
      <c r="J394" s="318"/>
      <c r="K394" s="318"/>
      <c r="L394" s="318"/>
      <c r="M394" s="318"/>
      <c r="N394" s="318"/>
      <c r="O394" s="318"/>
      <c r="P394" s="318"/>
      <c r="Q394" s="318"/>
      <c r="R394" s="318"/>
      <c r="S394" s="318"/>
    </row>
    <row r="395" spans="1:19" x14ac:dyDescent="0.25">
      <c r="A395" s="318"/>
      <c r="B395" s="389">
        <f t="shared" si="6"/>
        <v>3.8999999999999608</v>
      </c>
      <c r="C395" s="398">
        <f>1/DATI!$E$12*IF(B395&lt;DATI!$E$19,DATI!$E$6*DATI!$E$16*DATI!$E$23*DATI!$E$7*(B395/DATI!$E$19+1/(DATI!$E$23*DATI!$E$7)*(1-B395/DATI!$E$19)),IF(B395&lt;DATI!$E$20,DATI!$E$6*DATI!$E$16*DATI!$E$23*DATI!$E$7,IF(B395&lt;DATI!$E$21,DATI!$E$6*DATI!$E$16*DATI!$E$23*DATI!$E$7*(DATI!$E$20/B395),DATI!$E$6*DATI!$E$16*DATI!$E$23*DATI!$E$7*((DATI!$E$20*DATI!$E$21)/B395^2))))</f>
        <v>5.876224638813534E-2</v>
      </c>
      <c r="D395" s="237"/>
      <c r="E395" s="318"/>
      <c r="F395" s="318"/>
      <c r="G395" s="318"/>
      <c r="H395" s="318"/>
      <c r="I395" s="318"/>
      <c r="J395" s="318"/>
      <c r="K395" s="318"/>
      <c r="L395" s="318"/>
      <c r="M395" s="318"/>
      <c r="N395" s="318"/>
      <c r="O395" s="318"/>
      <c r="P395" s="318"/>
      <c r="Q395" s="318"/>
      <c r="R395" s="318"/>
      <c r="S395" s="318"/>
    </row>
    <row r="396" spans="1:19" x14ac:dyDescent="0.25">
      <c r="A396" s="318"/>
      <c r="B396" s="389">
        <f t="shared" si="6"/>
        <v>3.9099999999999606</v>
      </c>
      <c r="C396" s="398">
        <f>1/DATI!$E$12*IF(B396&lt;DATI!$E$19,DATI!$E$6*DATI!$E$16*DATI!$E$23*DATI!$E$7*(B396/DATI!$E$19+1/(DATI!$E$23*DATI!$E$7)*(1-B396/DATI!$E$19)),IF(B396&lt;DATI!$E$20,DATI!$E$6*DATI!$E$16*DATI!$E$23*DATI!$E$7,IF(B396&lt;DATI!$E$21,DATI!$E$6*DATI!$E$16*DATI!$E$23*DATI!$E$7*(DATI!$E$20/B396),DATI!$E$6*DATI!$E$16*DATI!$E$23*DATI!$E$7*((DATI!$E$20*DATI!$E$21)/B396^2))))</f>
        <v>5.8462056603733534E-2</v>
      </c>
      <c r="D396" s="237"/>
      <c r="E396" s="318"/>
      <c r="F396" s="318"/>
      <c r="G396" s="318"/>
      <c r="H396" s="318"/>
      <c r="I396" s="318"/>
      <c r="J396" s="318"/>
      <c r="K396" s="318"/>
      <c r="L396" s="318"/>
      <c r="M396" s="318"/>
      <c r="N396" s="318"/>
      <c r="O396" s="318"/>
      <c r="P396" s="318"/>
      <c r="Q396" s="318"/>
      <c r="R396" s="318"/>
      <c r="S396" s="318"/>
    </row>
    <row r="397" spans="1:19" x14ac:dyDescent="0.25">
      <c r="A397" s="318"/>
      <c r="B397" s="389">
        <f t="shared" si="6"/>
        <v>3.9199999999999604</v>
      </c>
      <c r="C397" s="398">
        <f>1/DATI!$E$12*IF(B397&lt;DATI!$E$19,DATI!$E$6*DATI!$E$16*DATI!$E$23*DATI!$E$7*(B397/DATI!$E$19+1/(DATI!$E$23*DATI!$E$7)*(1-B397/DATI!$E$19)),IF(B397&lt;DATI!$E$20,DATI!$E$6*DATI!$E$16*DATI!$E$23*DATI!$E$7,IF(B397&lt;DATI!$E$21,DATI!$E$6*DATI!$E$16*DATI!$E$23*DATI!$E$7*(DATI!$E$20/B397),DATI!$E$6*DATI!$E$16*DATI!$E$23*DATI!$E$7*((DATI!$E$20*DATI!$E$21)/B397^2))))</f>
        <v>5.8164161258560158E-2</v>
      </c>
      <c r="D397" s="237"/>
      <c r="E397" s="318"/>
      <c r="F397" s="318"/>
      <c r="G397" s="318"/>
      <c r="H397" s="318"/>
      <c r="I397" s="318"/>
      <c r="J397" s="318"/>
      <c r="K397" s="318"/>
      <c r="L397" s="318"/>
      <c r="M397" s="318"/>
      <c r="N397" s="318"/>
      <c r="O397" s="318"/>
      <c r="P397" s="318"/>
      <c r="Q397" s="318"/>
      <c r="R397" s="318"/>
      <c r="S397" s="318"/>
    </row>
    <row r="398" spans="1:19" x14ac:dyDescent="0.25">
      <c r="A398" s="318"/>
      <c r="B398" s="389">
        <f t="shared" si="6"/>
        <v>3.9299999999999602</v>
      </c>
      <c r="C398" s="398">
        <f>1/DATI!$E$12*IF(B398&lt;DATI!$E$19,DATI!$E$6*DATI!$E$16*DATI!$E$23*DATI!$E$7*(B398/DATI!$E$19+1/(DATI!$E$23*DATI!$E$7)*(1-B398/DATI!$E$19)),IF(B398&lt;DATI!$E$20,DATI!$E$6*DATI!$E$16*DATI!$E$23*DATI!$E$7,IF(B398&lt;DATI!$E$21,DATI!$E$6*DATI!$E$16*DATI!$E$23*DATI!$E$7*(DATI!$E$20/B398),DATI!$E$6*DATI!$E$16*DATI!$E$23*DATI!$E$7*((DATI!$E$20*DATI!$E$21)/B398^2))))</f>
        <v>5.7868537029280784E-2</v>
      </c>
      <c r="D398" s="237"/>
      <c r="E398" s="318"/>
      <c r="F398" s="318"/>
      <c r="G398" s="318"/>
      <c r="H398" s="318"/>
      <c r="I398" s="318"/>
      <c r="J398" s="318"/>
      <c r="K398" s="318"/>
      <c r="L398" s="318"/>
      <c r="M398" s="318"/>
      <c r="N398" s="318"/>
      <c r="O398" s="318"/>
      <c r="P398" s="318"/>
      <c r="Q398" s="318"/>
      <c r="R398" s="318"/>
      <c r="S398" s="318"/>
    </row>
    <row r="399" spans="1:19" x14ac:dyDescent="0.25">
      <c r="A399" s="318"/>
      <c r="B399" s="389">
        <f t="shared" si="6"/>
        <v>3.93999999999996</v>
      </c>
      <c r="C399" s="398">
        <f>1/DATI!$E$12*IF(B399&lt;DATI!$E$19,DATI!$E$6*DATI!$E$16*DATI!$E$23*DATI!$E$7*(B399/DATI!$E$19+1/(DATI!$E$23*DATI!$E$7)*(1-B399/DATI!$E$19)),IF(B399&lt;DATI!$E$20,DATI!$E$6*DATI!$E$16*DATI!$E$23*DATI!$E$7,IF(B399&lt;DATI!$E$21,DATI!$E$6*DATI!$E$16*DATI!$E$23*DATI!$E$7*(DATI!$E$20/B399),DATI!$E$6*DATI!$E$16*DATI!$E$23*DATI!$E$7*((DATI!$E$20*DATI!$E$21)/B399^2))))</f>
        <v>5.7575160888166325E-2</v>
      </c>
      <c r="D399" s="237"/>
      <c r="E399" s="318"/>
      <c r="F399" s="318"/>
      <c r="G399" s="318"/>
      <c r="H399" s="318"/>
      <c r="I399" s="318"/>
      <c r="J399" s="318"/>
      <c r="K399" s="318"/>
      <c r="L399" s="318"/>
      <c r="M399" s="318"/>
      <c r="N399" s="318"/>
      <c r="O399" s="318"/>
      <c r="P399" s="318"/>
      <c r="Q399" s="318"/>
      <c r="R399" s="318"/>
      <c r="S399" s="318"/>
    </row>
    <row r="400" spans="1:19" x14ac:dyDescent="0.25">
      <c r="A400" s="318"/>
      <c r="B400" s="389">
        <f t="shared" si="6"/>
        <v>3.9499999999999598</v>
      </c>
      <c r="C400" s="398">
        <f>1/DATI!$E$12*IF(B400&lt;DATI!$E$19,DATI!$E$6*DATI!$E$16*DATI!$E$23*DATI!$E$7*(B400/DATI!$E$19+1/(DATI!$E$23*DATI!$E$7)*(1-B400/DATI!$E$19)),IF(B400&lt;DATI!$E$20,DATI!$E$6*DATI!$E$16*DATI!$E$23*DATI!$E$7,IF(B400&lt;DATI!$E$21,DATI!$E$6*DATI!$E$16*DATI!$E$23*DATI!$E$7*(DATI!$E$20/B400),DATI!$E$6*DATI!$E$16*DATI!$E$23*DATI!$E$7*((DATI!$E$20*DATI!$E$21)/B400^2))))</f>
        <v>5.7284010098608486E-2</v>
      </c>
      <c r="D400" s="237"/>
      <c r="E400" s="318"/>
      <c r="F400" s="318"/>
      <c r="G400" s="318"/>
      <c r="H400" s="318"/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</row>
    <row r="401" spans="1:19" x14ac:dyDescent="0.25">
      <c r="A401" s="318"/>
      <c r="B401" s="389">
        <f t="shared" si="6"/>
        <v>3.9599999999999596</v>
      </c>
      <c r="C401" s="398">
        <f>1/DATI!$E$12*IF(B401&lt;DATI!$E$19,DATI!$E$6*DATI!$E$16*DATI!$E$23*DATI!$E$7*(B401/DATI!$E$19+1/(DATI!$E$23*DATI!$E$7)*(1-B401/DATI!$E$19)),IF(B401&lt;DATI!$E$20,DATI!$E$6*DATI!$E$16*DATI!$E$23*DATI!$E$7,IF(B401&lt;DATI!$E$21,DATI!$E$6*DATI!$E$16*DATI!$E$23*DATI!$E$7*(DATI!$E$20/B401),DATI!$E$6*DATI!$E$16*DATI!$E$23*DATI!$E$7*((DATI!$E$20*DATI!$E$21)/B401^2))))</f>
        <v>5.6995062210714403E-2</v>
      </c>
      <c r="D401" s="237"/>
      <c r="E401" s="318"/>
      <c r="F401" s="318"/>
      <c r="G401" s="318"/>
      <c r="H401" s="318"/>
      <c r="I401" s="318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</row>
    <row r="402" spans="1:19" x14ac:dyDescent="0.25">
      <c r="A402" s="318"/>
      <c r="B402" s="389">
        <f t="shared" si="6"/>
        <v>3.9699999999999593</v>
      </c>
      <c r="C402" s="398">
        <f>1/DATI!$E$12*IF(B402&lt;DATI!$E$19,DATI!$E$6*DATI!$E$16*DATI!$E$23*DATI!$E$7*(B402/DATI!$E$19+1/(DATI!$E$23*DATI!$E$7)*(1-B402/DATI!$E$19)),IF(B402&lt;DATI!$E$20,DATI!$E$6*DATI!$E$16*DATI!$E$23*DATI!$E$7,IF(B402&lt;DATI!$E$21,DATI!$E$6*DATI!$E$16*DATI!$E$23*DATI!$E$7*(DATI!$E$20/B402),DATI!$E$6*DATI!$E$16*DATI!$E$23*DATI!$E$7*((DATI!$E$20*DATI!$E$21)/B402^2))))</f>
        <v>5.6708295056978907E-2</v>
      </c>
      <c r="D402" s="237"/>
      <c r="E402" s="318"/>
      <c r="F402" s="318"/>
      <c r="G402" s="318"/>
      <c r="H402" s="318"/>
      <c r="I402" s="318"/>
      <c r="J402" s="318"/>
      <c r="K402" s="318"/>
      <c r="L402" s="318"/>
      <c r="M402" s="318"/>
      <c r="N402" s="318"/>
      <c r="O402" s="318"/>
      <c r="P402" s="318"/>
      <c r="Q402" s="318"/>
      <c r="R402" s="318"/>
      <c r="S402" s="318"/>
    </row>
    <row r="403" spans="1:19" x14ac:dyDescent="0.25">
      <c r="A403" s="318"/>
      <c r="B403" s="389">
        <f t="shared" si="6"/>
        <v>3.9799999999999591</v>
      </c>
      <c r="C403" s="398">
        <f>1/DATI!$E$12*IF(B403&lt;DATI!$E$19,DATI!$E$6*DATI!$E$16*DATI!$E$23*DATI!$E$7*(B403/DATI!$E$19+1/(DATI!$E$23*DATI!$E$7)*(1-B403/DATI!$E$19)),IF(B403&lt;DATI!$E$20,DATI!$E$6*DATI!$E$16*DATI!$E$23*DATI!$E$7,IF(B403&lt;DATI!$E$21,DATI!$E$6*DATI!$E$16*DATI!$E$23*DATI!$E$7*(DATI!$E$20/B403),DATI!$E$6*DATI!$E$16*DATI!$E$23*DATI!$E$7*((DATI!$E$20*DATI!$E$21)/B403^2))))</f>
        <v>5.6423686748032817E-2</v>
      </c>
      <c r="D403" s="237"/>
      <c r="E403" s="318"/>
      <c r="F403" s="318"/>
      <c r="G403" s="318"/>
      <c r="H403" s="318"/>
      <c r="I403" s="318"/>
      <c r="J403" s="318"/>
      <c r="K403" s="318"/>
      <c r="L403" s="318"/>
      <c r="M403" s="318"/>
      <c r="N403" s="318"/>
      <c r="O403" s="318"/>
      <c r="P403" s="318"/>
      <c r="Q403" s="318"/>
      <c r="R403" s="318"/>
      <c r="S403" s="318"/>
    </row>
    <row r="404" spans="1:19" x14ac:dyDescent="0.25">
      <c r="A404" s="318"/>
      <c r="B404" s="389">
        <f t="shared" si="6"/>
        <v>3.9899999999999589</v>
      </c>
      <c r="C404" s="398">
        <f>1/DATI!$E$12*IF(B404&lt;DATI!$E$19,DATI!$E$6*DATI!$E$16*DATI!$E$23*DATI!$E$7*(B404/DATI!$E$19+1/(DATI!$E$23*DATI!$E$7)*(1-B404/DATI!$E$19)),IF(B404&lt;DATI!$E$20,DATI!$E$6*DATI!$E$16*DATI!$E$23*DATI!$E$7,IF(B404&lt;DATI!$E$21,DATI!$E$6*DATI!$E$16*DATI!$E$23*DATI!$E$7*(DATI!$E$20/B404),DATI!$E$6*DATI!$E$16*DATI!$E$23*DATI!$E$7*((DATI!$E$20*DATI!$E$21)/B404^2))))</f>
        <v>5.6141215668465583E-2</v>
      </c>
      <c r="D404" s="237"/>
      <c r="E404" s="318"/>
      <c r="F404" s="318"/>
      <c r="G404" s="318"/>
      <c r="H404" s="318"/>
      <c r="I404" s="318"/>
      <c r="J404" s="318"/>
      <c r="K404" s="318"/>
      <c r="L404" s="318"/>
      <c r="M404" s="318"/>
      <c r="N404" s="318"/>
      <c r="O404" s="318"/>
      <c r="P404" s="318"/>
      <c r="Q404" s="318"/>
      <c r="R404" s="318"/>
      <c r="S404" s="318"/>
    </row>
    <row r="405" spans="1:19" x14ac:dyDescent="0.25">
      <c r="A405" s="318"/>
      <c r="B405" s="389">
        <f t="shared" si="6"/>
        <v>3.9999999999999587</v>
      </c>
      <c r="C405" s="398">
        <f>1/DATI!$E$12*IF(B405&lt;DATI!$E$19,DATI!$E$6*DATI!$E$16*DATI!$E$23*DATI!$E$7*(B405/DATI!$E$19+1/(DATI!$E$23*DATI!$E$7)*(1-B405/DATI!$E$19)),IF(B405&lt;DATI!$E$20,DATI!$E$6*DATI!$E$16*DATI!$E$23*DATI!$E$7,IF(B405&lt;DATI!$E$21,DATI!$E$6*DATI!$E$16*DATI!$E$23*DATI!$E$7*(DATI!$E$20/B405),DATI!$E$6*DATI!$E$16*DATI!$E$23*DATI!$E$7*((DATI!$E$20*DATI!$E$21)/B405^2))))</f>
        <v>5.5860860472721194E-2</v>
      </c>
      <c r="D405" s="237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318"/>
      <c r="P405" s="318"/>
      <c r="Q405" s="318"/>
      <c r="R405" s="318"/>
      <c r="S405" s="318"/>
    </row>
    <row r="406" spans="1:19" x14ac:dyDescent="0.25">
      <c r="A406" s="318"/>
      <c r="B406" s="389">
        <f t="shared" si="6"/>
        <v>4.0099999999999589</v>
      </c>
      <c r="C406" s="398">
        <f>1/DATI!$E$12*IF(B406&lt;DATI!$E$19,DATI!$E$6*DATI!$E$16*DATI!$E$23*DATI!$E$7*(B406/DATI!$E$19+1/(DATI!$E$23*DATI!$E$7)*(1-B406/DATI!$E$19)),IF(B406&lt;DATI!$E$20,DATI!$E$6*DATI!$E$16*DATI!$E$23*DATI!$E$7,IF(B406&lt;DATI!$E$21,DATI!$E$6*DATI!$E$16*DATI!$E$23*DATI!$E$7*(DATI!$E$20/B406),DATI!$E$6*DATI!$E$16*DATI!$E$23*DATI!$E$7*((DATI!$E$20*DATI!$E$21)/B406^2))))</f>
        <v>5.5582600081065359E-2</v>
      </c>
      <c r="D406" s="237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</row>
    <row r="407" spans="1:19" x14ac:dyDescent="0.25">
      <c r="A407" s="318"/>
      <c r="B407" s="389">
        <f t="shared" si="6"/>
        <v>4.0199999999999587</v>
      </c>
      <c r="C407" s="398">
        <f>1/DATI!$E$12*IF(B407&lt;DATI!$E$19,DATI!$E$6*DATI!$E$16*DATI!$E$23*DATI!$E$7*(B407/DATI!$E$19+1/(DATI!$E$23*DATI!$E$7)*(1-B407/DATI!$E$19)),IF(B407&lt;DATI!$E$20,DATI!$E$6*DATI!$E$16*DATI!$E$23*DATI!$E$7,IF(B407&lt;DATI!$E$21,DATI!$E$6*DATI!$E$16*DATI!$E$23*DATI!$E$7*(DATI!$E$20/B407),DATI!$E$6*DATI!$E$16*DATI!$E$23*DATI!$E$7*((DATI!$E$20*DATI!$E$21)/B407^2))))</f>
        <v>5.5306413675623063E-2</v>
      </c>
      <c r="D407" s="237"/>
      <c r="E407" s="318"/>
      <c r="F407" s="318"/>
      <c r="G407" s="318"/>
      <c r="H407" s="318"/>
      <c r="I407" s="318"/>
      <c r="J407" s="318"/>
      <c r="K407" s="318"/>
      <c r="L407" s="318"/>
      <c r="M407" s="318"/>
      <c r="N407" s="318"/>
      <c r="O407" s="318"/>
      <c r="P407" s="318"/>
      <c r="Q407" s="318"/>
      <c r="R407" s="318"/>
      <c r="S407" s="318"/>
    </row>
    <row r="408" spans="1:19" x14ac:dyDescent="0.25">
      <c r="A408" s="318"/>
      <c r="B408" s="389">
        <f t="shared" si="6"/>
        <v>4.0299999999999585</v>
      </c>
      <c r="C408" s="398">
        <f>1/DATI!$E$12*IF(B408&lt;DATI!$E$19,DATI!$E$6*DATI!$E$16*DATI!$E$23*DATI!$E$7*(B408/DATI!$E$19+1/(DATI!$E$23*DATI!$E$7)*(1-B408/DATI!$E$19)),IF(B408&lt;DATI!$E$20,DATI!$E$6*DATI!$E$16*DATI!$E$23*DATI!$E$7,IF(B408&lt;DATI!$E$21,DATI!$E$6*DATI!$E$16*DATI!$E$23*DATI!$E$7*(DATI!$E$20/B408),DATI!$E$6*DATI!$E$16*DATI!$E$23*DATI!$E$7*((DATI!$E$20*DATI!$E$21)/B408^2))))</f>
        <v>5.5032280696484748E-2</v>
      </c>
      <c r="D408" s="237"/>
      <c r="E408" s="318"/>
      <c r="F408" s="318"/>
      <c r="G408" s="318"/>
      <c r="H408" s="318"/>
      <c r="I408" s="318"/>
      <c r="J408" s="318"/>
      <c r="K408" s="318"/>
      <c r="L408" s="318"/>
      <c r="M408" s="318"/>
      <c r="N408" s="318"/>
      <c r="O408" s="318"/>
      <c r="P408" s="318"/>
      <c r="Q408" s="318"/>
      <c r="R408" s="318"/>
      <c r="S408" s="318"/>
    </row>
    <row r="409" spans="1:19" x14ac:dyDescent="0.25">
      <c r="A409" s="318"/>
      <c r="B409" s="389">
        <f t="shared" si="6"/>
        <v>4.0399999999999583</v>
      </c>
      <c r="C409" s="398">
        <f>1/DATI!$E$12*IF(B409&lt;DATI!$E$19,DATI!$E$6*DATI!$E$16*DATI!$E$23*DATI!$E$7*(B409/DATI!$E$19+1/(DATI!$E$23*DATI!$E$7)*(1-B409/DATI!$E$19)),IF(B409&lt;DATI!$E$20,DATI!$E$6*DATI!$E$16*DATI!$E$23*DATI!$E$7,IF(B409&lt;DATI!$E$21,DATI!$E$6*DATI!$E$16*DATI!$E$23*DATI!$E$7*(DATI!$E$20/B409),DATI!$E$6*DATI!$E$16*DATI!$E$23*DATI!$E$7*((DATI!$E$20*DATI!$E$21)/B409^2))))</f>
        <v>5.476018083787982E-2</v>
      </c>
      <c r="D409" s="237"/>
      <c r="E409" s="318"/>
      <c r="F409" s="318"/>
      <c r="G409" s="318"/>
      <c r="H409" s="318"/>
      <c r="I409" s="318"/>
      <c r="J409" s="318"/>
      <c r="K409" s="318"/>
      <c r="L409" s="318"/>
      <c r="M409" s="318"/>
      <c r="N409" s="318"/>
      <c r="O409" s="318"/>
      <c r="P409" s="318"/>
      <c r="Q409" s="318"/>
      <c r="R409" s="318"/>
      <c r="S409" s="318"/>
    </row>
    <row r="410" spans="1:19" x14ac:dyDescent="0.25">
      <c r="A410" s="318"/>
      <c r="B410" s="389">
        <f t="shared" si="6"/>
        <v>4.0499999999999581</v>
      </c>
      <c r="C410" s="398">
        <f>1/DATI!$E$12*IF(B410&lt;DATI!$E$19,DATI!$E$6*DATI!$E$16*DATI!$E$23*DATI!$E$7*(B410/DATI!$E$19+1/(DATI!$E$23*DATI!$E$7)*(1-B410/DATI!$E$19)),IF(B410&lt;DATI!$E$20,DATI!$E$6*DATI!$E$16*DATI!$E$23*DATI!$E$7,IF(B410&lt;DATI!$E$21,DATI!$E$6*DATI!$E$16*DATI!$E$23*DATI!$E$7*(DATI!$E$20/B410),DATI!$E$6*DATI!$E$16*DATI!$E$23*DATI!$E$7*((DATI!$E$20*DATI!$E$21)/B410^2))))</f>
        <v>5.4490094044416355E-2</v>
      </c>
      <c r="D410" s="237"/>
      <c r="E410" s="318"/>
      <c r="F410" s="318"/>
      <c r="G410" s="318"/>
      <c r="H410" s="318"/>
      <c r="I410" s="318"/>
      <c r="J410" s="318"/>
      <c r="K410" s="318"/>
      <c r="L410" s="318"/>
      <c r="M410" s="318"/>
      <c r="N410" s="318"/>
      <c r="O410" s="318"/>
      <c r="P410" s="318"/>
      <c r="Q410" s="318"/>
      <c r="R410" s="318"/>
      <c r="S410" s="318"/>
    </row>
    <row r="411" spans="1:19" x14ac:dyDescent="0.25">
      <c r="A411" s="318"/>
      <c r="B411" s="389">
        <f t="shared" si="6"/>
        <v>4.0599999999999579</v>
      </c>
      <c r="C411" s="398">
        <f>1/DATI!$E$12*IF(B411&lt;DATI!$E$19,DATI!$E$6*DATI!$E$16*DATI!$E$23*DATI!$E$7*(B411/DATI!$E$19+1/(DATI!$E$23*DATI!$E$7)*(1-B411/DATI!$E$19)),IF(B411&lt;DATI!$E$20,DATI!$E$6*DATI!$E$16*DATI!$E$23*DATI!$E$7,IF(B411&lt;DATI!$E$21,DATI!$E$6*DATI!$E$16*DATI!$E$23*DATI!$E$7*(DATI!$E$20/B411),DATI!$E$6*DATI!$E$16*DATI!$E$23*DATI!$E$7*((DATI!$E$20*DATI!$E$21)/B411^2))))</f>
        <v>5.422200050738548E-2</v>
      </c>
      <c r="D411" s="237"/>
      <c r="E411" s="318"/>
      <c r="F411" s="318"/>
      <c r="G411" s="318"/>
      <c r="H411" s="318"/>
      <c r="I411" s="318"/>
      <c r="J411" s="318"/>
      <c r="K411" s="318"/>
      <c r="L411" s="318"/>
      <c r="M411" s="318"/>
      <c r="N411" s="318"/>
      <c r="O411" s="318"/>
      <c r="P411" s="318"/>
      <c r="Q411" s="318"/>
      <c r="R411" s="318"/>
      <c r="S411" s="318"/>
    </row>
    <row r="412" spans="1:19" x14ac:dyDescent="0.25">
      <c r="A412" s="318"/>
      <c r="B412" s="389">
        <f t="shared" si="6"/>
        <v>4.0699999999999577</v>
      </c>
      <c r="C412" s="398">
        <f>1/DATI!$E$12*IF(B412&lt;DATI!$E$19,DATI!$E$6*DATI!$E$16*DATI!$E$23*DATI!$E$7*(B412/DATI!$E$19+1/(DATI!$E$23*DATI!$E$7)*(1-B412/DATI!$E$19)),IF(B412&lt;DATI!$E$20,DATI!$E$6*DATI!$E$16*DATI!$E$23*DATI!$E$7,IF(B412&lt;DATI!$E$21,DATI!$E$6*DATI!$E$16*DATI!$E$23*DATI!$E$7*(DATI!$E$20/B412),DATI!$E$6*DATI!$E$16*DATI!$E$23*DATI!$E$7*((DATI!$E$20*DATI!$E$21)/B412^2))))</f>
        <v>5.3955880661129205E-2</v>
      </c>
      <c r="D412" s="237"/>
      <c r="E412" s="318"/>
      <c r="F412" s="318"/>
      <c r="G412" s="318"/>
      <c r="H412" s="318"/>
      <c r="I412" s="318"/>
      <c r="J412" s="318"/>
      <c r="K412" s="318"/>
      <c r="L412" s="318"/>
      <c r="M412" s="318"/>
      <c r="N412" s="318"/>
      <c r="O412" s="318"/>
      <c r="P412" s="318"/>
      <c r="Q412" s="318"/>
      <c r="R412" s="318"/>
      <c r="S412" s="318"/>
    </row>
    <row r="413" spans="1:19" x14ac:dyDescent="0.25">
      <c r="A413" s="318"/>
      <c r="B413" s="389">
        <f t="shared" si="6"/>
        <v>4.0799999999999574</v>
      </c>
      <c r="C413" s="398">
        <f>1/DATI!$E$12*IF(B413&lt;DATI!$E$19,DATI!$E$6*DATI!$E$16*DATI!$E$23*DATI!$E$7*(B413/DATI!$E$19+1/(DATI!$E$23*DATI!$E$7)*(1-B413/DATI!$E$19)),IF(B413&lt;DATI!$E$20,DATI!$E$6*DATI!$E$16*DATI!$E$23*DATI!$E$7,IF(B413&lt;DATI!$E$21,DATI!$E$6*DATI!$E$16*DATI!$E$23*DATI!$E$7*(DATI!$E$20/B413),DATI!$E$6*DATI!$E$16*DATI!$E$23*DATI!$E$7*((DATI!$E$20*DATI!$E$21)/B413^2))))</f>
        <v>5.3691715179470592E-2</v>
      </c>
      <c r="D413" s="237"/>
      <c r="E413" s="318"/>
      <c r="F413" s="318"/>
      <c r="G413" s="318"/>
      <c r="H413" s="318"/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</row>
    <row r="414" spans="1:19" x14ac:dyDescent="0.25">
      <c r="A414" s="318"/>
      <c r="B414" s="389">
        <f t="shared" si="6"/>
        <v>4.0899999999999572</v>
      </c>
      <c r="C414" s="398">
        <f>1/DATI!$E$12*IF(B414&lt;DATI!$E$19,DATI!$E$6*DATI!$E$16*DATI!$E$23*DATI!$E$7*(B414/DATI!$E$19+1/(DATI!$E$23*DATI!$E$7)*(1-B414/DATI!$E$19)),IF(B414&lt;DATI!$E$20,DATI!$E$6*DATI!$E$16*DATI!$E$23*DATI!$E$7,IF(B414&lt;DATI!$E$21,DATI!$E$6*DATI!$E$16*DATI!$E$23*DATI!$E$7*(DATI!$E$20/B414),DATI!$E$6*DATI!$E$16*DATI!$E$23*DATI!$E$7*((DATI!$E$20*DATI!$E$21)/B414^2))))</f>
        <v>5.3429484972204823E-2</v>
      </c>
      <c r="D414" s="237"/>
      <c r="E414" s="318"/>
      <c r="F414" s="318"/>
      <c r="G414" s="318"/>
      <c r="H414" s="318"/>
      <c r="I414" s="318"/>
      <c r="J414" s="318"/>
      <c r="K414" s="318"/>
      <c r="L414" s="318"/>
      <c r="M414" s="318"/>
      <c r="N414" s="318"/>
      <c r="O414" s="318"/>
      <c r="P414" s="318"/>
      <c r="Q414" s="318"/>
      <c r="R414" s="318"/>
      <c r="S414" s="318"/>
    </row>
    <row r="415" spans="1:19" x14ac:dyDescent="0.25">
      <c r="A415" s="318"/>
      <c r="B415" s="389">
        <f t="shared" si="6"/>
        <v>4.099999999999957</v>
      </c>
      <c r="C415" s="398">
        <f>1/DATI!$E$12*IF(B415&lt;DATI!$E$19,DATI!$E$6*DATI!$E$16*DATI!$E$23*DATI!$E$7*(B415/DATI!$E$19+1/(DATI!$E$23*DATI!$E$7)*(1-B415/DATI!$E$19)),IF(B415&lt;DATI!$E$20,DATI!$E$6*DATI!$E$16*DATI!$E$23*DATI!$E$7,IF(B415&lt;DATI!$E$21,DATI!$E$6*DATI!$E$16*DATI!$E$23*DATI!$E$7*(DATI!$E$20/B415),DATI!$E$6*DATI!$E$16*DATI!$E$23*DATI!$E$7*((DATI!$E$20*DATI!$E$21)/B415^2))))</f>
        <v>5.3169171181650182E-2</v>
      </c>
      <c r="D415" s="237"/>
      <c r="E415" s="318"/>
      <c r="F415" s="318"/>
      <c r="G415" s="318"/>
      <c r="H415" s="318"/>
      <c r="I415" s="318"/>
      <c r="J415" s="318"/>
      <c r="K415" s="318"/>
      <c r="L415" s="318"/>
      <c r="M415" s="318"/>
      <c r="N415" s="318"/>
      <c r="O415" s="318"/>
      <c r="P415" s="318"/>
      <c r="Q415" s="318"/>
      <c r="R415" s="318"/>
      <c r="S415" s="318"/>
    </row>
    <row r="416" spans="1:19" x14ac:dyDescent="0.25">
      <c r="A416" s="318"/>
      <c r="B416" s="389">
        <f t="shared" si="6"/>
        <v>4.1099999999999568</v>
      </c>
      <c r="C416" s="398">
        <f>1/DATI!$E$12*IF(B416&lt;DATI!$E$19,DATI!$E$6*DATI!$E$16*DATI!$E$23*DATI!$E$7*(B416/DATI!$E$19+1/(DATI!$E$23*DATI!$E$7)*(1-B416/DATI!$E$19)),IF(B416&lt;DATI!$E$20,DATI!$E$6*DATI!$E$16*DATI!$E$23*DATI!$E$7,IF(B416&lt;DATI!$E$21,DATI!$E$6*DATI!$E$16*DATI!$E$23*DATI!$E$7*(DATI!$E$20/B416),DATI!$E$6*DATI!$E$16*DATI!$E$23*DATI!$E$7*((DATI!$E$20*DATI!$E$21)/B416^2))))</f>
        <v>5.2910755179257737E-2</v>
      </c>
      <c r="D416" s="237"/>
      <c r="E416" s="318"/>
      <c r="F416" s="318"/>
      <c r="G416" s="318"/>
      <c r="H416" s="318"/>
      <c r="I416" s="318"/>
      <c r="J416" s="318"/>
      <c r="K416" s="318"/>
      <c r="L416" s="318"/>
      <c r="M416" s="318"/>
      <c r="N416" s="318"/>
      <c r="O416" s="318"/>
      <c r="P416" s="318"/>
      <c r="Q416" s="318"/>
      <c r="R416" s="318"/>
      <c r="S416" s="318"/>
    </row>
    <row r="417" spans="1:19" x14ac:dyDescent="0.25">
      <c r="A417" s="318"/>
      <c r="B417" s="389">
        <f t="shared" si="6"/>
        <v>4.1199999999999566</v>
      </c>
      <c r="C417" s="398">
        <f>1/DATI!$E$12*IF(B417&lt;DATI!$E$19,DATI!$E$6*DATI!$E$16*DATI!$E$23*DATI!$E$7*(B417/DATI!$E$19+1/(DATI!$E$23*DATI!$E$7)*(1-B417/DATI!$E$19)),IF(B417&lt;DATI!$E$20,DATI!$E$6*DATI!$E$16*DATI!$E$23*DATI!$E$7,IF(B417&lt;DATI!$E$21,DATI!$E$6*DATI!$E$16*DATI!$E$23*DATI!$E$7*(DATI!$E$20/B417),DATI!$E$6*DATI!$E$16*DATI!$E$23*DATI!$E$7*((DATI!$E$20*DATI!$E$21)/B417^2))))</f>
        <v>5.2654218562278463E-2</v>
      </c>
      <c r="D417" s="237"/>
      <c r="E417" s="318"/>
      <c r="F417" s="318"/>
      <c r="G417" s="318"/>
      <c r="H417" s="318"/>
      <c r="I417" s="318"/>
      <c r="J417" s="318"/>
      <c r="K417" s="318"/>
      <c r="L417" s="318"/>
      <c r="M417" s="318"/>
      <c r="N417" s="318"/>
      <c r="O417" s="318"/>
      <c r="P417" s="318"/>
      <c r="Q417" s="318"/>
      <c r="R417" s="318"/>
      <c r="S417" s="318"/>
    </row>
    <row r="418" spans="1:19" x14ac:dyDescent="0.25">
      <c r="A418" s="318"/>
      <c r="B418" s="389">
        <f t="shared" si="6"/>
        <v>4.1299999999999564</v>
      </c>
      <c r="C418" s="398">
        <f>1/DATI!$E$12*IF(B418&lt;DATI!$E$19,DATI!$E$6*DATI!$E$16*DATI!$E$23*DATI!$E$7*(B418/DATI!$E$19+1/(DATI!$E$23*DATI!$E$7)*(1-B418/DATI!$E$19)),IF(B418&lt;DATI!$E$20,DATI!$E$6*DATI!$E$16*DATI!$E$23*DATI!$E$7,IF(B418&lt;DATI!$E$21,DATI!$E$6*DATI!$E$16*DATI!$E$23*DATI!$E$7*(DATI!$E$20/B418),DATI!$E$6*DATI!$E$16*DATI!$E$23*DATI!$E$7*((DATI!$E$20*DATI!$E$21)/B418^2))))</f>
        <v>5.2399543150486873E-2</v>
      </c>
      <c r="D418" s="237"/>
      <c r="E418" s="318"/>
      <c r="F418" s="318"/>
      <c r="G418" s="318"/>
      <c r="H418" s="318"/>
      <c r="I418" s="318"/>
      <c r="J418" s="318"/>
      <c r="K418" s="318"/>
      <c r="L418" s="318"/>
      <c r="M418" s="318"/>
      <c r="N418" s="318"/>
      <c r="O418" s="318"/>
      <c r="P418" s="318"/>
      <c r="Q418" s="318"/>
      <c r="R418" s="318"/>
      <c r="S418" s="318"/>
    </row>
    <row r="419" spans="1:19" x14ac:dyDescent="0.25">
      <c r="A419" s="318"/>
      <c r="B419" s="389">
        <f t="shared" si="6"/>
        <v>4.1399999999999562</v>
      </c>
      <c r="C419" s="398">
        <f>1/DATI!$E$12*IF(B419&lt;DATI!$E$19,DATI!$E$6*DATI!$E$16*DATI!$E$23*DATI!$E$7*(B419/DATI!$E$19+1/(DATI!$E$23*DATI!$E$7)*(1-B419/DATI!$E$19)),IF(B419&lt;DATI!$E$20,DATI!$E$6*DATI!$E$16*DATI!$E$23*DATI!$E$7,IF(B419&lt;DATI!$E$21,DATI!$E$6*DATI!$E$16*DATI!$E$23*DATI!$E$7*(DATI!$E$20/B419),DATI!$E$6*DATI!$E$16*DATI!$E$23*DATI!$E$7*((DATI!$E$20*DATI!$E$21)/B419^2))))</f>
        <v>5.2146710982959914E-2</v>
      </c>
      <c r="D419" s="237"/>
      <c r="E419" s="318"/>
      <c r="F419" s="318"/>
      <c r="G419" s="318"/>
      <c r="H419" s="318"/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</row>
    <row r="420" spans="1:19" x14ac:dyDescent="0.25">
      <c r="A420" s="318"/>
      <c r="B420" s="389">
        <f t="shared" si="6"/>
        <v>4.1499999999999559</v>
      </c>
      <c r="C420" s="398">
        <f>1/DATI!$E$12*IF(B420&lt;DATI!$E$19,DATI!$E$6*DATI!$E$16*DATI!$E$23*DATI!$E$7*(B420/DATI!$E$19+1/(DATI!$E$23*DATI!$E$7)*(1-B420/DATI!$E$19)),IF(B420&lt;DATI!$E$20,DATI!$E$6*DATI!$E$16*DATI!$E$23*DATI!$E$7,IF(B420&lt;DATI!$E$21,DATI!$E$6*DATI!$E$16*DATI!$E$23*DATI!$E$7*(DATI!$E$20/B420),DATI!$E$6*DATI!$E$16*DATI!$E$23*DATI!$E$7*((DATI!$E$20*DATI!$E$21)/B420^2))))</f>
        <v>5.1895704314910127E-2</v>
      </c>
      <c r="D420" s="237"/>
      <c r="E420" s="318"/>
      <c r="F420" s="318"/>
      <c r="G420" s="318"/>
      <c r="H420" s="318"/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</row>
    <row r="421" spans="1:19" x14ac:dyDescent="0.25">
      <c r="A421" s="318"/>
      <c r="B421" s="389">
        <f t="shared" si="6"/>
        <v>4.1599999999999557</v>
      </c>
      <c r="C421" s="398">
        <f>1/DATI!$E$12*IF(B421&lt;DATI!$E$19,DATI!$E$6*DATI!$E$16*DATI!$E$23*DATI!$E$7*(B421/DATI!$E$19+1/(DATI!$E$23*DATI!$E$7)*(1-B421/DATI!$E$19)),IF(B421&lt;DATI!$E$20,DATI!$E$6*DATI!$E$16*DATI!$E$23*DATI!$E$7,IF(B421&lt;DATI!$E$21,DATI!$E$6*DATI!$E$16*DATI!$E$23*DATI!$E$7*(DATI!$E$20/B421),DATI!$E$6*DATI!$E$16*DATI!$E$23*DATI!$E$7*((DATI!$E$20*DATI!$E$21)/B421^2))))</f>
        <v>5.1646505614572139E-2</v>
      </c>
      <c r="D421" s="237"/>
      <c r="E421" s="318"/>
      <c r="F421" s="318"/>
      <c r="G421" s="318"/>
      <c r="H421" s="318"/>
      <c r="I421" s="318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</row>
    <row r="422" spans="1:19" x14ac:dyDescent="0.25">
      <c r="A422" s="318"/>
      <c r="B422" s="389">
        <f t="shared" si="6"/>
        <v>4.1699999999999555</v>
      </c>
      <c r="C422" s="398">
        <f>1/DATI!$E$12*IF(B422&lt;DATI!$E$19,DATI!$E$6*DATI!$E$16*DATI!$E$23*DATI!$E$7*(B422/DATI!$E$19+1/(DATI!$E$23*DATI!$E$7)*(1-B422/DATI!$E$19)),IF(B422&lt;DATI!$E$20,DATI!$E$6*DATI!$E$16*DATI!$E$23*DATI!$E$7,IF(B422&lt;DATI!$E$21,DATI!$E$6*DATI!$E$16*DATI!$E$23*DATI!$E$7*(DATI!$E$20/B422),DATI!$E$6*DATI!$E$16*DATI!$E$23*DATI!$E$7*((DATI!$E$20*DATI!$E$21)/B422^2))))</f>
        <v>5.1399097560141223E-2</v>
      </c>
      <c r="D422" s="237"/>
      <c r="E422" s="318"/>
      <c r="F422" s="318"/>
      <c r="G422" s="318"/>
      <c r="H422" s="318"/>
      <c r="I422" s="318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</row>
    <row r="423" spans="1:19" x14ac:dyDescent="0.25">
      <c r="A423" s="318"/>
      <c r="B423" s="389">
        <f t="shared" si="6"/>
        <v>4.1799999999999553</v>
      </c>
      <c r="C423" s="398">
        <f>1/DATI!$E$12*IF(B423&lt;DATI!$E$19,DATI!$E$6*DATI!$E$16*DATI!$E$23*DATI!$E$7*(B423/DATI!$E$19+1/(DATI!$E$23*DATI!$E$7)*(1-B423/DATI!$E$19)),IF(B423&lt;DATI!$E$20,DATI!$E$6*DATI!$E$16*DATI!$E$23*DATI!$E$7,IF(B423&lt;DATI!$E$21,DATI!$E$6*DATI!$E$16*DATI!$E$23*DATI!$E$7*(DATI!$E$20/B423),DATI!$E$6*DATI!$E$16*DATI!$E$23*DATI!$E$7*((DATI!$E$20*DATI!$E$21)/B423^2))))</f>
        <v>5.1153463036763103E-2</v>
      </c>
      <c r="D423" s="237"/>
      <c r="E423" s="318"/>
      <c r="F423" s="318"/>
      <c r="G423" s="318"/>
      <c r="H423" s="318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</row>
    <row r="424" spans="1:19" x14ac:dyDescent="0.25">
      <c r="A424" s="318"/>
      <c r="B424" s="389">
        <f t="shared" si="6"/>
        <v>4.1899999999999551</v>
      </c>
      <c r="C424" s="398">
        <f>1/DATI!$E$12*IF(B424&lt;DATI!$E$19,DATI!$E$6*DATI!$E$16*DATI!$E$23*DATI!$E$7*(B424/DATI!$E$19+1/(DATI!$E$23*DATI!$E$7)*(1-B424/DATI!$E$19)),IF(B424&lt;DATI!$E$20,DATI!$E$6*DATI!$E$16*DATI!$E$23*DATI!$E$7,IF(B424&lt;DATI!$E$21,DATI!$E$6*DATI!$E$16*DATI!$E$23*DATI!$E$7*(DATI!$E$20/B424),DATI!$E$6*DATI!$E$16*DATI!$E$23*DATI!$E$7*((DATI!$E$20*DATI!$E$21)/B424^2))))</f>
        <v>5.0909585133574076E-2</v>
      </c>
      <c r="D424" s="237"/>
      <c r="E424" s="318"/>
      <c r="F424" s="318"/>
      <c r="G424" s="318"/>
      <c r="H424" s="318"/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</row>
    <row r="425" spans="1:19" x14ac:dyDescent="0.25">
      <c r="A425" s="318"/>
      <c r="B425" s="389">
        <f t="shared" si="6"/>
        <v>4.1999999999999549</v>
      </c>
      <c r="C425" s="398">
        <f>1/DATI!$E$12*IF(B425&lt;DATI!$E$19,DATI!$E$6*DATI!$E$16*DATI!$E$23*DATI!$E$7*(B425/DATI!$E$19+1/(DATI!$E$23*DATI!$E$7)*(1-B425/DATI!$E$19)),IF(B425&lt;DATI!$E$20,DATI!$E$6*DATI!$E$16*DATI!$E$23*DATI!$E$7,IF(B425&lt;DATI!$E$21,DATI!$E$6*DATI!$E$16*DATI!$E$23*DATI!$E$7*(DATI!$E$20/B425),DATI!$E$6*DATI!$E$16*DATI!$E$23*DATI!$E$7*((DATI!$E$20*DATI!$E$21)/B425^2))))</f>
        <v>5.0667447140790245E-2</v>
      </c>
      <c r="D425" s="237"/>
      <c r="E425" s="318"/>
      <c r="F425" s="318"/>
      <c r="G425" s="318"/>
      <c r="H425" s="318"/>
      <c r="I425" s="318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</row>
    <row r="426" spans="1:19" x14ac:dyDescent="0.25">
      <c r="A426" s="318"/>
      <c r="B426" s="389">
        <f t="shared" si="6"/>
        <v>4.2099999999999547</v>
      </c>
      <c r="C426" s="398">
        <f>1/DATI!$E$12*IF(B426&lt;DATI!$E$19,DATI!$E$6*DATI!$E$16*DATI!$E$23*DATI!$E$7*(B426/DATI!$E$19+1/(DATI!$E$23*DATI!$E$7)*(1-B426/DATI!$E$19)),IF(B426&lt;DATI!$E$20,DATI!$E$6*DATI!$E$16*DATI!$E$23*DATI!$E$7,IF(B426&lt;DATI!$E$21,DATI!$E$6*DATI!$E$16*DATI!$E$23*DATI!$E$7*(DATI!$E$20/B426),DATI!$E$6*DATI!$E$16*DATI!$E$23*DATI!$E$7*((DATI!$E$20*DATI!$E$21)/B426^2))))</f>
        <v>5.0427032546845253E-2</v>
      </c>
      <c r="D426" s="237"/>
      <c r="E426" s="318"/>
      <c r="F426" s="318"/>
      <c r="G426" s="318"/>
      <c r="H426" s="318"/>
      <c r="I426" s="318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</row>
    <row r="427" spans="1:19" x14ac:dyDescent="0.25">
      <c r="A427" s="318"/>
      <c r="B427" s="389">
        <f t="shared" si="6"/>
        <v>4.2199999999999545</v>
      </c>
      <c r="C427" s="398">
        <f>1/DATI!$E$12*IF(B427&lt;DATI!$E$19,DATI!$E$6*DATI!$E$16*DATI!$E$23*DATI!$E$7*(B427/DATI!$E$19+1/(DATI!$E$23*DATI!$E$7)*(1-B427/DATI!$E$19)),IF(B427&lt;DATI!$E$20,DATI!$E$6*DATI!$E$16*DATI!$E$23*DATI!$E$7,IF(B427&lt;DATI!$E$21,DATI!$E$6*DATI!$E$16*DATI!$E$23*DATI!$E$7*(DATI!$E$20/B427),DATI!$E$6*DATI!$E$16*DATI!$E$23*DATI!$E$7*((DATI!$E$20*DATI!$E$21)/B427^2))))</f>
        <v>5.0188325035575347E-2</v>
      </c>
      <c r="D427" s="237"/>
      <c r="E427" s="318"/>
      <c r="F427" s="318"/>
      <c r="G427" s="318"/>
      <c r="H427" s="318"/>
      <c r="I427" s="318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</row>
    <row r="428" spans="1:19" x14ac:dyDescent="0.25">
      <c r="A428" s="318"/>
      <c r="B428" s="389">
        <f t="shared" si="6"/>
        <v>4.2299999999999542</v>
      </c>
      <c r="C428" s="398">
        <f>1/DATI!$E$12*IF(B428&lt;DATI!$E$19,DATI!$E$6*DATI!$E$16*DATI!$E$23*DATI!$E$7*(B428/DATI!$E$19+1/(DATI!$E$23*DATI!$E$7)*(1-B428/DATI!$E$19)),IF(B428&lt;DATI!$E$20,DATI!$E$6*DATI!$E$16*DATI!$E$23*DATI!$E$7,IF(B428&lt;DATI!$E$21,DATI!$E$6*DATI!$E$16*DATI!$E$23*DATI!$E$7*(DATI!$E$20/B428),DATI!$E$6*DATI!$E$16*DATI!$E$23*DATI!$E$7*((DATI!$E$20*DATI!$E$21)/B428^2))))</f>
        <v>4.995130848345098E-2</v>
      </c>
      <c r="D428" s="237"/>
      <c r="E428" s="318"/>
      <c r="F428" s="318"/>
      <c r="G428" s="318"/>
      <c r="H428" s="318"/>
      <c r="I428" s="318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</row>
    <row r="429" spans="1:19" x14ac:dyDescent="0.25">
      <c r="A429" s="318"/>
      <c r="B429" s="389">
        <f t="shared" si="6"/>
        <v>4.239999999999954</v>
      </c>
      <c r="C429" s="398">
        <f>1/DATI!$E$12*IF(B429&lt;DATI!$E$19,DATI!$E$6*DATI!$E$16*DATI!$E$23*DATI!$E$7*(B429/DATI!$E$19+1/(DATI!$E$23*DATI!$E$7)*(1-B429/DATI!$E$19)),IF(B429&lt;DATI!$E$20,DATI!$E$6*DATI!$E$16*DATI!$E$23*DATI!$E$7,IF(B429&lt;DATI!$E$21,DATI!$E$6*DATI!$E$16*DATI!$E$23*DATI!$E$7*(DATI!$E$20/B429),DATI!$E$6*DATI!$E$16*DATI!$E$23*DATI!$E$7*((DATI!$E$20*DATI!$E$21)/B429^2))))</f>
        <v>4.9715966956854089E-2</v>
      </c>
      <c r="D429" s="237"/>
      <c r="E429" s="318"/>
      <c r="F429" s="318"/>
      <c r="G429" s="318"/>
      <c r="H429" s="318"/>
      <c r="I429" s="318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</row>
    <row r="430" spans="1:19" x14ac:dyDescent="0.25">
      <c r="A430" s="318"/>
      <c r="B430" s="389">
        <f t="shared" si="6"/>
        <v>4.2499999999999538</v>
      </c>
      <c r="C430" s="398">
        <f>1/DATI!$E$12*IF(B430&lt;DATI!$E$19,DATI!$E$6*DATI!$E$16*DATI!$E$23*DATI!$E$7*(B430/DATI!$E$19+1/(DATI!$E$23*DATI!$E$7)*(1-B430/DATI!$E$19)),IF(B430&lt;DATI!$E$20,DATI!$E$6*DATI!$E$16*DATI!$E$23*DATI!$E$7,IF(B430&lt;DATI!$E$21,DATI!$E$6*DATI!$E$16*DATI!$E$23*DATI!$E$7*(DATI!$E$20/B430),DATI!$E$6*DATI!$E$16*DATI!$E$23*DATI!$E$7*((DATI!$E$20*DATI!$E$21)/B430^2))))</f>
        <v>4.9482284709400137E-2</v>
      </c>
      <c r="D430" s="237"/>
      <c r="E430" s="318"/>
      <c r="F430" s="318"/>
      <c r="G430" s="318"/>
      <c r="H430" s="318"/>
      <c r="I430" s="318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</row>
    <row r="431" spans="1:19" x14ac:dyDescent="0.25">
      <c r="A431" s="318"/>
      <c r="B431" s="389">
        <f t="shared" si="6"/>
        <v>4.2599999999999536</v>
      </c>
      <c r="C431" s="398">
        <f>1/DATI!$E$12*IF(B431&lt;DATI!$E$19,DATI!$E$6*DATI!$E$16*DATI!$E$23*DATI!$E$7*(B431/DATI!$E$19+1/(DATI!$E$23*DATI!$E$7)*(1-B431/DATI!$E$19)),IF(B431&lt;DATI!$E$20,DATI!$E$6*DATI!$E$16*DATI!$E$23*DATI!$E$7,IF(B431&lt;DATI!$E$21,DATI!$E$6*DATI!$E$16*DATI!$E$23*DATI!$E$7*(DATI!$E$20/B431),DATI!$E$6*DATI!$E$16*DATI!$E$23*DATI!$E$7*((DATI!$E$20*DATI!$E$21)/B431^2))))</f>
        <v>4.9250246179304152E-2</v>
      </c>
      <c r="D431" s="237"/>
      <c r="E431" s="318"/>
      <c r="F431" s="318"/>
      <c r="G431" s="318"/>
      <c r="H431" s="318"/>
      <c r="I431" s="318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</row>
    <row r="432" spans="1:19" x14ac:dyDescent="0.25">
      <c r="A432" s="318"/>
      <c r="B432" s="389">
        <f t="shared" si="6"/>
        <v>4.2699999999999534</v>
      </c>
      <c r="C432" s="398">
        <f>1/DATI!$E$12*IF(B432&lt;DATI!$E$19,DATI!$E$6*DATI!$E$16*DATI!$E$23*DATI!$E$7*(B432/DATI!$E$19+1/(DATI!$E$23*DATI!$E$7)*(1-B432/DATI!$E$19)),IF(B432&lt;DATI!$E$20,DATI!$E$6*DATI!$E$16*DATI!$E$23*DATI!$E$7,IF(B432&lt;DATI!$E$21,DATI!$E$6*DATI!$E$16*DATI!$E$23*DATI!$E$7*(DATI!$E$20/B432),DATI!$E$6*DATI!$E$16*DATI!$E$23*DATI!$E$7*((DATI!$E$20*DATI!$E$21)/B432^2))))</f>
        <v>4.9019835986789828E-2</v>
      </c>
      <c r="D432" s="237"/>
      <c r="E432" s="318"/>
      <c r="F432" s="318"/>
      <c r="G432" s="318"/>
      <c r="H432" s="318"/>
      <c r="I432" s="318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</row>
    <row r="433" spans="1:19" x14ac:dyDescent="0.25">
      <c r="A433" s="318"/>
      <c r="B433" s="389">
        <f t="shared" si="6"/>
        <v>4.2799999999999532</v>
      </c>
      <c r="C433" s="398">
        <f>1/DATI!$E$12*IF(B433&lt;DATI!$E$19,DATI!$E$6*DATI!$E$16*DATI!$E$23*DATI!$E$7*(B433/DATI!$E$19+1/(DATI!$E$23*DATI!$E$7)*(1-B433/DATI!$E$19)),IF(B433&lt;DATI!$E$20,DATI!$E$6*DATI!$E$16*DATI!$E$23*DATI!$E$7,IF(B433&lt;DATI!$E$21,DATI!$E$6*DATI!$E$16*DATI!$E$23*DATI!$E$7*(DATI!$E$20/B433),DATI!$E$6*DATI!$E$16*DATI!$E$23*DATI!$E$7*((DATI!$E$20*DATI!$E$21)/B433^2))))</f>
        <v>4.8791038931540985E-2</v>
      </c>
      <c r="D433" s="237"/>
      <c r="E433" s="318"/>
      <c r="F433" s="318"/>
      <c r="G433" s="318"/>
      <c r="H433" s="318"/>
      <c r="I433" s="318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</row>
    <row r="434" spans="1:19" x14ac:dyDescent="0.25">
      <c r="A434" s="318"/>
      <c r="B434" s="389">
        <f t="shared" si="6"/>
        <v>4.289999999999953</v>
      </c>
      <c r="C434" s="398">
        <f>1/DATI!$E$12*IF(B434&lt;DATI!$E$19,DATI!$E$6*DATI!$E$16*DATI!$E$23*DATI!$E$7*(B434/DATI!$E$19+1/(DATI!$E$23*DATI!$E$7)*(1-B434/DATI!$E$19)),IF(B434&lt;DATI!$E$20,DATI!$E$6*DATI!$E$16*DATI!$E$23*DATI!$E$7,IF(B434&lt;DATI!$E$21,DATI!$E$6*DATI!$E$16*DATI!$E$23*DATI!$E$7*(DATI!$E$20/B434),DATI!$E$6*DATI!$E$16*DATI!$E$23*DATI!$E$7*((DATI!$E$20*DATI!$E$21)/B434^2))))</f>
        <v>4.8563839990194597E-2</v>
      </c>
      <c r="D434" s="237"/>
      <c r="E434" s="318"/>
      <c r="F434" s="318"/>
      <c r="G434" s="318"/>
      <c r="H434" s="318"/>
      <c r="I434" s="318"/>
      <c r="J434" s="318"/>
      <c r="K434" s="318"/>
      <c r="L434" s="318"/>
      <c r="M434" s="318"/>
      <c r="N434" s="318"/>
      <c r="O434" s="318"/>
      <c r="P434" s="318"/>
      <c r="Q434" s="318"/>
      <c r="R434" s="318"/>
      <c r="S434" s="318"/>
    </row>
    <row r="435" spans="1:19" x14ac:dyDescent="0.25">
      <c r="A435" s="318"/>
      <c r="B435" s="389">
        <f t="shared" si="6"/>
        <v>4.2999999999999527</v>
      </c>
      <c r="C435" s="398">
        <f>1/DATI!$E$12*IF(B435&lt;DATI!$E$19,DATI!$E$6*DATI!$E$16*DATI!$E$23*DATI!$E$7*(B435/DATI!$E$19+1/(DATI!$E$23*DATI!$E$7)*(1-B435/DATI!$E$19)),IF(B435&lt;DATI!$E$20,DATI!$E$6*DATI!$E$16*DATI!$E$23*DATI!$E$7,IF(B435&lt;DATI!$E$21,DATI!$E$6*DATI!$E$16*DATI!$E$23*DATI!$E$7*(DATI!$E$20/B435),DATI!$E$6*DATI!$E$16*DATI!$E$23*DATI!$E$7*((DATI!$E$20*DATI!$E$21)/B435^2))))</f>
        <v>4.8338224313874543E-2</v>
      </c>
      <c r="D435" s="237"/>
      <c r="E435" s="318"/>
      <c r="F435" s="318"/>
      <c r="G435" s="318"/>
      <c r="H435" s="318"/>
      <c r="I435" s="318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</row>
    <row r="436" spans="1:19" x14ac:dyDescent="0.25">
      <c r="A436" s="318"/>
      <c r="B436" s="389">
        <f t="shared" si="6"/>
        <v>4.3099999999999525</v>
      </c>
      <c r="C436" s="398">
        <f>1/DATI!$E$12*IF(B436&lt;DATI!$E$19,DATI!$E$6*DATI!$E$16*DATI!$E$23*DATI!$E$7*(B436/DATI!$E$19+1/(DATI!$E$23*DATI!$E$7)*(1-B436/DATI!$E$19)),IF(B436&lt;DATI!$E$20,DATI!$E$6*DATI!$E$16*DATI!$E$23*DATI!$E$7,IF(B436&lt;DATI!$E$21,DATI!$E$6*DATI!$E$16*DATI!$E$23*DATI!$E$7*(DATI!$E$20/B436),DATI!$E$6*DATI!$E$16*DATI!$E$23*DATI!$E$7*((DATI!$E$20*DATI!$E$21)/B436^2))))</f>
        <v>4.811417722576538E-2</v>
      </c>
      <c r="D436" s="237"/>
      <c r="E436" s="318"/>
      <c r="F436" s="318"/>
      <c r="G436" s="318"/>
      <c r="H436" s="318"/>
      <c r="I436" s="318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</row>
    <row r="437" spans="1:19" x14ac:dyDescent="0.25">
      <c r="A437" s="318"/>
      <c r="B437" s="389">
        <f t="shared" si="6"/>
        <v>4.3199999999999523</v>
      </c>
      <c r="C437" s="398">
        <f>1/DATI!$E$12*IF(B437&lt;DATI!$E$19,DATI!$E$6*DATI!$E$16*DATI!$E$23*DATI!$E$7*(B437/DATI!$E$19+1/(DATI!$E$23*DATI!$E$7)*(1-B437/DATI!$E$19)),IF(B437&lt;DATI!$E$20,DATI!$E$6*DATI!$E$16*DATI!$E$23*DATI!$E$7,IF(B437&lt;DATI!$E$21,DATI!$E$6*DATI!$E$16*DATI!$E$23*DATI!$E$7*(DATI!$E$20/B437),DATI!$E$6*DATI!$E$16*DATI!$E$23*DATI!$E$7*((DATI!$E$20*DATI!$E$21)/B437^2))))</f>
        <v>4.7891684218725368E-2</v>
      </c>
      <c r="D437" s="237"/>
      <c r="E437" s="318"/>
      <c r="F437" s="318"/>
      <c r="G437" s="318"/>
      <c r="H437" s="318"/>
      <c r="I437" s="318"/>
      <c r="J437" s="318"/>
      <c r="K437" s="318"/>
      <c r="L437" s="318"/>
      <c r="M437" s="318"/>
      <c r="N437" s="318"/>
      <c r="O437" s="318"/>
      <c r="P437" s="318"/>
      <c r="Q437" s="318"/>
      <c r="R437" s="318"/>
      <c r="S437" s="318"/>
    </row>
    <row r="438" spans="1:19" x14ac:dyDescent="0.25">
      <c r="A438" s="318"/>
      <c r="B438" s="389">
        <f t="shared" si="6"/>
        <v>4.3299999999999521</v>
      </c>
      <c r="C438" s="398">
        <f>1/DATI!$E$12*IF(B438&lt;DATI!$E$19,DATI!$E$6*DATI!$E$16*DATI!$E$23*DATI!$E$7*(B438/DATI!$E$19+1/(DATI!$E$23*DATI!$E$7)*(1-B438/DATI!$E$19)),IF(B438&lt;DATI!$E$20,DATI!$E$6*DATI!$E$16*DATI!$E$23*DATI!$E$7,IF(B438&lt;DATI!$E$21,DATI!$E$6*DATI!$E$16*DATI!$E$23*DATI!$E$7*(DATI!$E$20/B438),DATI!$E$6*DATI!$E$16*DATI!$E$23*DATI!$E$7*((DATI!$E$20*DATI!$E$21)/B438^2))))</f>
        <v>4.7670730952938056E-2</v>
      </c>
      <c r="D438" s="237"/>
      <c r="E438" s="318"/>
      <c r="F438" s="318"/>
      <c r="G438" s="318"/>
      <c r="H438" s="318"/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</row>
    <row r="439" spans="1:19" x14ac:dyDescent="0.25">
      <c r="A439" s="318"/>
      <c r="B439" s="389">
        <f t="shared" si="6"/>
        <v>4.3399999999999519</v>
      </c>
      <c r="C439" s="398">
        <f>1/DATI!$E$12*IF(B439&lt;DATI!$E$19,DATI!$E$6*DATI!$E$16*DATI!$E$23*DATI!$E$7*(B439/DATI!$E$19+1/(DATI!$E$23*DATI!$E$7)*(1-B439/DATI!$E$19)),IF(B439&lt;DATI!$E$20,DATI!$E$6*DATI!$E$16*DATI!$E$23*DATI!$E$7,IF(B439&lt;DATI!$E$21,DATI!$E$6*DATI!$E$16*DATI!$E$23*DATI!$E$7*(DATI!$E$20/B439),DATI!$E$6*DATI!$E$16*DATI!$E$23*DATI!$E$7*((DATI!$E$20*DATI!$E$21)/B439^2))))</f>
        <v>4.7451303253601709E-2</v>
      </c>
      <c r="D439" s="237"/>
      <c r="E439" s="318"/>
      <c r="F439" s="318"/>
      <c r="G439" s="318"/>
      <c r="H439" s="318"/>
      <c r="I439" s="318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</row>
    <row r="440" spans="1:19" x14ac:dyDescent="0.25">
      <c r="A440" s="318"/>
      <c r="B440" s="389">
        <f t="shared" si="6"/>
        <v>4.3499999999999517</v>
      </c>
      <c r="C440" s="398">
        <f>1/DATI!$E$12*IF(B440&lt;DATI!$E$19,DATI!$E$6*DATI!$E$16*DATI!$E$23*DATI!$E$7*(B440/DATI!$E$19+1/(DATI!$E$23*DATI!$E$7)*(1-B440/DATI!$E$19)),IF(B440&lt;DATI!$E$20,DATI!$E$6*DATI!$E$16*DATI!$E$23*DATI!$E$7,IF(B440&lt;DATI!$E$21,DATI!$E$6*DATI!$E$16*DATI!$E$23*DATI!$E$7*(DATI!$E$20/B440),DATI!$E$6*DATI!$E$16*DATI!$E$23*DATI!$E$7*((DATI!$E$20*DATI!$E$21)/B440^2))))</f>
        <v>4.7233387108655857E-2</v>
      </c>
      <c r="D440" s="237"/>
      <c r="E440" s="318"/>
      <c r="F440" s="318"/>
      <c r="G440" s="318"/>
      <c r="H440" s="318"/>
      <c r="I440" s="318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</row>
    <row r="441" spans="1:19" x14ac:dyDescent="0.25">
      <c r="A441" s="318"/>
      <c r="B441" s="389">
        <f t="shared" si="6"/>
        <v>4.3599999999999515</v>
      </c>
      <c r="C441" s="398">
        <f>1/DATI!$E$12*IF(B441&lt;DATI!$E$19,DATI!$E$6*DATI!$E$16*DATI!$E$23*DATI!$E$7*(B441/DATI!$E$19+1/(DATI!$E$23*DATI!$E$7)*(1-B441/DATI!$E$19)),IF(B441&lt;DATI!$E$20,DATI!$E$6*DATI!$E$16*DATI!$E$23*DATI!$E$7,IF(B441&lt;DATI!$E$21,DATI!$E$6*DATI!$E$16*DATI!$E$23*DATI!$E$7*(DATI!$E$20/B441),DATI!$E$6*DATI!$E$16*DATI!$E$23*DATI!$E$7*((DATI!$E$20*DATI!$E$21)/B441^2))))</f>
        <v>4.7016968666544305E-2</v>
      </c>
      <c r="D441" s="237"/>
      <c r="E441" s="318"/>
      <c r="F441" s="318"/>
      <c r="G441" s="318"/>
      <c r="H441" s="318"/>
      <c r="I441" s="318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</row>
    <row r="442" spans="1:19" x14ac:dyDescent="0.25">
      <c r="A442" s="318"/>
      <c r="B442" s="389">
        <f t="shared" si="6"/>
        <v>4.3699999999999513</v>
      </c>
      <c r="C442" s="398">
        <f>1/DATI!$E$12*IF(B442&lt;DATI!$E$19,DATI!$E$6*DATI!$E$16*DATI!$E$23*DATI!$E$7*(B442/DATI!$E$19+1/(DATI!$E$23*DATI!$E$7)*(1-B442/DATI!$E$19)),IF(B442&lt;DATI!$E$20,DATI!$E$6*DATI!$E$16*DATI!$E$23*DATI!$E$7,IF(B442&lt;DATI!$E$21,DATI!$E$6*DATI!$E$16*DATI!$E$23*DATI!$E$7*(DATI!$E$20/B442),DATI!$E$6*DATI!$E$16*DATI!$E$23*DATI!$E$7*((DATI!$E$20*DATI!$E$21)/B442^2))))</f>
        <v>4.6802034234013933E-2</v>
      </c>
      <c r="D442" s="237"/>
      <c r="E442" s="318"/>
      <c r="F442" s="318"/>
      <c r="G442" s="318"/>
      <c r="H442" s="318"/>
      <c r="I442" s="318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</row>
    <row r="443" spans="1:19" x14ac:dyDescent="0.25">
      <c r="A443" s="318"/>
      <c r="B443" s="389">
        <f t="shared" si="6"/>
        <v>4.379999999999951</v>
      </c>
      <c r="C443" s="398">
        <f>1/DATI!$E$12*IF(B443&lt;DATI!$E$19,DATI!$E$6*DATI!$E$16*DATI!$E$23*DATI!$E$7*(B443/DATI!$E$19+1/(DATI!$E$23*DATI!$E$7)*(1-B443/DATI!$E$19)),IF(B443&lt;DATI!$E$20,DATI!$E$6*DATI!$E$16*DATI!$E$23*DATI!$E$7,IF(B443&lt;DATI!$E$21,DATI!$E$6*DATI!$E$16*DATI!$E$23*DATI!$E$7*(DATI!$E$20/B443),DATI!$E$6*DATI!$E$16*DATI!$E$23*DATI!$E$7*((DATI!$E$20*DATI!$E$21)/B443^2))))</f>
        <v>4.6588570273948665E-2</v>
      </c>
      <c r="D443" s="237"/>
      <c r="E443" s="318"/>
      <c r="F443" s="318"/>
      <c r="G443" s="318"/>
      <c r="H443" s="318"/>
      <c r="I443" s="318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</row>
    <row r="444" spans="1:19" x14ac:dyDescent="0.25">
      <c r="A444" s="318"/>
      <c r="B444" s="389">
        <f t="shared" si="6"/>
        <v>4.3899999999999508</v>
      </c>
      <c r="C444" s="398">
        <f>1/DATI!$E$12*IF(B444&lt;DATI!$E$19,DATI!$E$6*DATI!$E$16*DATI!$E$23*DATI!$E$7*(B444/DATI!$E$19+1/(DATI!$E$23*DATI!$E$7)*(1-B444/DATI!$E$19)),IF(B444&lt;DATI!$E$20,DATI!$E$6*DATI!$E$16*DATI!$E$23*DATI!$E$7,IF(B444&lt;DATI!$E$21,DATI!$E$6*DATI!$E$16*DATI!$E$23*DATI!$E$7*(DATI!$E$20/B444),DATI!$E$6*DATI!$E$16*DATI!$E$23*DATI!$E$7*((DATI!$E$20*DATI!$E$21)/B444^2))))</f>
        <v>4.6376563403237876E-2</v>
      </c>
      <c r="D444" s="237"/>
      <c r="E444" s="318"/>
      <c r="F444" s="318"/>
      <c r="G444" s="318"/>
      <c r="H444" s="318"/>
      <c r="I444" s="318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</row>
    <row r="445" spans="1:19" x14ac:dyDescent="0.25">
      <c r="A445" s="318"/>
      <c r="B445" s="389">
        <f t="shared" si="6"/>
        <v>4.3999999999999506</v>
      </c>
      <c r="C445" s="398">
        <f>1/DATI!$E$12*IF(B445&lt;DATI!$E$19,DATI!$E$6*DATI!$E$16*DATI!$E$23*DATI!$E$7*(B445/DATI!$E$19+1/(DATI!$E$23*DATI!$E$7)*(1-B445/DATI!$E$19)),IF(B445&lt;DATI!$E$20,DATI!$E$6*DATI!$E$16*DATI!$E$23*DATI!$E$7,IF(B445&lt;DATI!$E$21,DATI!$E$6*DATI!$E$16*DATI!$E$23*DATI!$E$7*(DATI!$E$20/B445),DATI!$E$6*DATI!$E$16*DATI!$E$23*DATI!$E$7*((DATI!$E$20*DATI!$E$21)/B445^2))))</f>
        <v>4.6166000390678759E-2</v>
      </c>
      <c r="D445" s="237"/>
      <c r="E445" s="318"/>
      <c r="F445" s="318"/>
      <c r="G445" s="318"/>
      <c r="H445" s="318"/>
      <c r="I445" s="318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</row>
    <row r="446" spans="1:19" x14ac:dyDescent="0.25">
      <c r="A446" s="318"/>
      <c r="B446" s="389">
        <f t="shared" si="6"/>
        <v>4.4099999999999504</v>
      </c>
      <c r="C446" s="398">
        <f>1/DATI!$E$12*IF(B446&lt;DATI!$E$19,DATI!$E$6*DATI!$E$16*DATI!$E$23*DATI!$E$7*(B446/DATI!$E$19+1/(DATI!$E$23*DATI!$E$7)*(1-B446/DATI!$E$19)),IF(B446&lt;DATI!$E$20,DATI!$E$6*DATI!$E$16*DATI!$E$23*DATI!$E$7,IF(B446&lt;DATI!$E$21,DATI!$E$6*DATI!$E$16*DATI!$E$23*DATI!$E$7*(DATI!$E$20/B446),DATI!$E$6*DATI!$E$16*DATI!$E$23*DATI!$E$7*((DATI!$E$20*DATI!$E$21)/B446^2))))</f>
        <v>4.5956868154911831E-2</v>
      </c>
      <c r="D446" s="237"/>
      <c r="E446" s="318"/>
      <c r="F446" s="318"/>
      <c r="G446" s="318"/>
      <c r="H446" s="318"/>
      <c r="I446" s="318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</row>
    <row r="447" spans="1:19" x14ac:dyDescent="0.25">
      <c r="A447" s="318"/>
      <c r="B447" s="389">
        <f t="shared" si="6"/>
        <v>4.4199999999999502</v>
      </c>
      <c r="C447" s="398">
        <f>1/DATI!$E$12*IF(B447&lt;DATI!$E$19,DATI!$E$6*DATI!$E$16*DATI!$E$23*DATI!$E$7*(B447/DATI!$E$19+1/(DATI!$E$23*DATI!$E$7)*(1-B447/DATI!$E$19)),IF(B447&lt;DATI!$E$20,DATI!$E$6*DATI!$E$16*DATI!$E$23*DATI!$E$7,IF(B447&lt;DATI!$E$21,DATI!$E$6*DATI!$E$16*DATI!$E$23*DATI!$E$7*(DATI!$E$20/B447),DATI!$E$6*DATI!$E$16*DATI!$E$23*DATI!$E$7*((DATI!$E$20*DATI!$E$21)/B447^2))))</f>
        <v>4.5749153762389229E-2</v>
      </c>
      <c r="D447" s="237"/>
      <c r="E447" s="318"/>
      <c r="F447" s="318"/>
      <c r="G447" s="318"/>
      <c r="H447" s="318"/>
      <c r="I447" s="318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</row>
    <row r="448" spans="1:19" x14ac:dyDescent="0.25">
      <c r="A448" s="318"/>
      <c r="B448" s="389">
        <f t="shared" si="6"/>
        <v>4.42999999999995</v>
      </c>
      <c r="C448" s="398">
        <f>1/DATI!$E$12*IF(B448&lt;DATI!$E$19,DATI!$E$6*DATI!$E$16*DATI!$E$23*DATI!$E$7*(B448/DATI!$E$19+1/(DATI!$E$23*DATI!$E$7)*(1-B448/DATI!$E$19)),IF(B448&lt;DATI!$E$20,DATI!$E$6*DATI!$E$16*DATI!$E$23*DATI!$E$7,IF(B448&lt;DATI!$E$21,DATI!$E$6*DATI!$E$16*DATI!$E$23*DATI!$E$7*(DATI!$E$20/B448),DATI!$E$6*DATI!$E$16*DATI!$E$23*DATI!$E$7*((DATI!$E$20*DATI!$E$21)/B448^2))))</f>
        <v>4.5542844425374956E-2</v>
      </c>
      <c r="D448" s="237"/>
      <c r="E448" s="318"/>
      <c r="F448" s="318"/>
      <c r="G448" s="318"/>
      <c r="H448" s="318"/>
      <c r="I448" s="318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</row>
    <row r="449" spans="1:19" x14ac:dyDescent="0.25">
      <c r="A449" s="318"/>
      <c r="B449" s="389">
        <f t="shared" si="6"/>
        <v>4.4399999999999498</v>
      </c>
      <c r="C449" s="398">
        <f>1/DATI!$E$12*IF(B449&lt;DATI!$E$19,DATI!$E$6*DATI!$E$16*DATI!$E$23*DATI!$E$7*(B449/DATI!$E$19+1/(DATI!$E$23*DATI!$E$7)*(1-B449/DATI!$E$19)),IF(B449&lt;DATI!$E$20,DATI!$E$6*DATI!$E$16*DATI!$E$23*DATI!$E$7,IF(B449&lt;DATI!$E$21,DATI!$E$6*DATI!$E$16*DATI!$E$23*DATI!$E$7*(DATI!$E$20/B449),DATI!$E$6*DATI!$E$16*DATI!$E$23*DATI!$E$7*((DATI!$E$20*DATI!$E$21)/B449^2))))</f>
        <v>4.5337927499976706E-2</v>
      </c>
      <c r="D449" s="237"/>
      <c r="E449" s="318"/>
      <c r="F449" s="318"/>
      <c r="G449" s="318"/>
      <c r="H449" s="318"/>
      <c r="I449" s="318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</row>
    <row r="450" spans="1:19" x14ac:dyDescent="0.25">
      <c r="A450" s="318"/>
      <c r="B450" s="389">
        <f t="shared" si="6"/>
        <v>4.4499999999999496</v>
      </c>
      <c r="C450" s="398">
        <f>1/DATI!$E$12*IF(B450&lt;DATI!$E$19,DATI!$E$6*DATI!$E$16*DATI!$E$23*DATI!$E$7*(B450/DATI!$E$19+1/(DATI!$E$23*DATI!$E$7)*(1-B450/DATI!$E$19)),IF(B450&lt;DATI!$E$20,DATI!$E$6*DATI!$E$16*DATI!$E$23*DATI!$E$7,IF(B450&lt;DATI!$E$21,DATI!$E$6*DATI!$E$16*DATI!$E$23*DATI!$E$7*(DATI!$E$20/B450),DATI!$E$6*DATI!$E$16*DATI!$E$23*DATI!$E$7*((DATI!$E$20*DATI!$E$21)/B450^2))))</f>
        <v>4.5134390484208607E-2</v>
      </c>
      <c r="D450" s="237"/>
      <c r="E450" s="318"/>
      <c r="F450" s="318"/>
      <c r="G450" s="318"/>
      <c r="H450" s="318"/>
      <c r="I450" s="318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</row>
    <row r="451" spans="1:19" x14ac:dyDescent="0.25">
      <c r="A451" s="318"/>
      <c r="B451" s="389">
        <f t="shared" si="6"/>
        <v>4.4599999999999493</v>
      </c>
      <c r="C451" s="398">
        <f>1/DATI!$E$12*IF(B451&lt;DATI!$E$19,DATI!$E$6*DATI!$E$16*DATI!$E$23*DATI!$E$7*(B451/DATI!$E$19+1/(DATI!$E$23*DATI!$E$7)*(1-B451/DATI!$E$19)),IF(B451&lt;DATI!$E$20,DATI!$E$6*DATI!$E$16*DATI!$E$23*DATI!$E$7,IF(B451&lt;DATI!$E$21,DATI!$E$6*DATI!$E$16*DATI!$E$23*DATI!$E$7*(DATI!$E$20/B451),DATI!$E$6*DATI!$E$16*DATI!$E$23*DATI!$E$7*((DATI!$E$20*DATI!$E$21)/B451^2))))</f>
        <v>4.4932221016084233E-2</v>
      </c>
      <c r="D451" s="237"/>
      <c r="E451" s="318"/>
      <c r="F451" s="318"/>
      <c r="G451" s="318"/>
      <c r="H451" s="318"/>
      <c r="I451" s="318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</row>
    <row r="452" spans="1:19" x14ac:dyDescent="0.25">
      <c r="A452" s="318"/>
      <c r="B452" s="389">
        <f t="shared" si="6"/>
        <v>4.4699999999999491</v>
      </c>
      <c r="C452" s="398">
        <f>1/DATI!$E$12*IF(B452&lt;DATI!$E$19,DATI!$E$6*DATI!$E$16*DATI!$E$23*DATI!$E$7*(B452/DATI!$E$19+1/(DATI!$E$23*DATI!$E$7)*(1-B452/DATI!$E$19)),IF(B452&lt;DATI!$E$20,DATI!$E$6*DATI!$E$16*DATI!$E$23*DATI!$E$7,IF(B452&lt;DATI!$E$21,DATI!$E$6*DATI!$E$16*DATI!$E$23*DATI!$E$7*(DATI!$E$20/B452),DATI!$E$6*DATI!$E$16*DATI!$E$23*DATI!$E$7*((DATI!$E$20*DATI!$E$21)/B452^2))))</f>
        <v>4.4731406871739571E-2</v>
      </c>
      <c r="D452" s="237"/>
      <c r="E452" s="318"/>
      <c r="F452" s="318"/>
      <c r="G452" s="318"/>
      <c r="H452" s="318"/>
      <c r="I452" s="318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</row>
    <row r="453" spans="1:19" x14ac:dyDescent="0.25">
      <c r="A453" s="318"/>
      <c r="B453" s="389">
        <f t="shared" si="6"/>
        <v>4.4799999999999489</v>
      </c>
      <c r="C453" s="398">
        <f>1/DATI!$E$12*IF(B453&lt;DATI!$E$19,DATI!$E$6*DATI!$E$16*DATI!$E$23*DATI!$E$7*(B453/DATI!$E$19+1/(DATI!$E$23*DATI!$E$7)*(1-B453/DATI!$E$19)),IF(B453&lt;DATI!$E$20,DATI!$E$6*DATI!$E$16*DATI!$E$23*DATI!$E$7,IF(B453&lt;DATI!$E$21,DATI!$E$6*DATI!$E$16*DATI!$E$23*DATI!$E$7*(DATI!$E$20/B453),DATI!$E$6*DATI!$E$16*DATI!$E$23*DATI!$E$7*((DATI!$E$20*DATI!$E$21)/B453^2))))</f>
        <v>4.4531935963585241E-2</v>
      </c>
      <c r="D453" s="237"/>
      <c r="E453" s="318"/>
      <c r="F453" s="318"/>
      <c r="G453" s="318"/>
      <c r="H453" s="318"/>
      <c r="I453" s="318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</row>
    <row r="454" spans="1:19" x14ac:dyDescent="0.25">
      <c r="A454" s="318"/>
      <c r="B454" s="389">
        <f t="shared" ref="B454:B505" si="7">0.01+B453</f>
        <v>4.4899999999999487</v>
      </c>
      <c r="C454" s="398">
        <f>1/DATI!$E$12*IF(B454&lt;DATI!$E$19,DATI!$E$6*DATI!$E$16*DATI!$E$23*DATI!$E$7*(B454/DATI!$E$19+1/(DATI!$E$23*DATI!$E$7)*(1-B454/DATI!$E$19)),IF(B454&lt;DATI!$E$20,DATI!$E$6*DATI!$E$16*DATI!$E$23*DATI!$E$7,IF(B454&lt;DATI!$E$21,DATI!$E$6*DATI!$E$16*DATI!$E$23*DATI!$E$7*(DATI!$E$20/B454),DATI!$E$6*DATI!$E$16*DATI!$E$23*DATI!$E$7*((DATI!$E$20*DATI!$E$21)/B454^2))))</f>
        <v>4.4333796338487462E-2</v>
      </c>
      <c r="D454" s="237"/>
      <c r="E454" s="318"/>
      <c r="F454" s="318"/>
      <c r="G454" s="318"/>
      <c r="H454" s="318"/>
      <c r="I454" s="318"/>
      <c r="J454" s="318"/>
      <c r="K454" s="318"/>
      <c r="L454" s="318"/>
      <c r="M454" s="318"/>
      <c r="N454" s="318"/>
      <c r="O454" s="318"/>
      <c r="P454" s="318"/>
      <c r="Q454" s="318"/>
      <c r="R454" s="318"/>
      <c r="S454" s="318"/>
    </row>
    <row r="455" spans="1:19" x14ac:dyDescent="0.25">
      <c r="A455" s="318"/>
      <c r="B455" s="389">
        <f t="shared" si="7"/>
        <v>4.4999999999999485</v>
      </c>
      <c r="C455" s="398">
        <f>1/DATI!$E$12*IF(B455&lt;DATI!$E$19,DATI!$E$6*DATI!$E$16*DATI!$E$23*DATI!$E$7*(B455/DATI!$E$19+1/(DATI!$E$23*DATI!$E$7)*(1-B455/DATI!$E$19)),IF(B455&lt;DATI!$E$20,DATI!$E$6*DATI!$E$16*DATI!$E$23*DATI!$E$7,IF(B455&lt;DATI!$E$21,DATI!$E$6*DATI!$E$16*DATI!$E$23*DATI!$E$7*(DATI!$E$20/B455),DATI!$E$6*DATI!$E$16*DATI!$E$23*DATI!$E$7*((DATI!$E$20*DATI!$E$21)/B455^2))))</f>
        <v>4.4136976175977338E-2</v>
      </c>
      <c r="D455" s="237"/>
      <c r="E455" s="318"/>
      <c r="F455" s="318"/>
      <c r="G455" s="318"/>
      <c r="H455" s="318"/>
      <c r="I455" s="318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</row>
    <row r="456" spans="1:19" x14ac:dyDescent="0.25">
      <c r="A456" s="318"/>
      <c r="B456" s="389">
        <f t="shared" si="7"/>
        <v>4.5099999999999483</v>
      </c>
      <c r="C456" s="398">
        <f>1/DATI!$E$12*IF(B456&lt;DATI!$E$19,DATI!$E$6*DATI!$E$16*DATI!$E$23*DATI!$E$7*(B456/DATI!$E$19+1/(DATI!$E$23*DATI!$E$7)*(1-B456/DATI!$E$19)),IF(B456&lt;DATI!$E$20,DATI!$E$6*DATI!$E$16*DATI!$E$23*DATI!$E$7,IF(B456&lt;DATI!$E$21,DATI!$E$6*DATI!$E$16*DATI!$E$23*DATI!$E$7*(DATI!$E$20/B456),DATI!$E$6*DATI!$E$16*DATI!$E$23*DATI!$E$7*((DATI!$E$20*DATI!$E$21)/B456^2))))</f>
        <v>4.3941463786487833E-2</v>
      </c>
      <c r="D456" s="237"/>
      <c r="E456" s="318"/>
      <c r="F456" s="318"/>
      <c r="G456" s="318"/>
      <c r="H456" s="318"/>
      <c r="I456" s="318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</row>
    <row r="457" spans="1:19" x14ac:dyDescent="0.25">
      <c r="A457" s="318"/>
      <c r="B457" s="389">
        <f t="shared" si="7"/>
        <v>4.5199999999999481</v>
      </c>
      <c r="C457" s="398">
        <f>1/DATI!$E$12*IF(B457&lt;DATI!$E$19,DATI!$E$6*DATI!$E$16*DATI!$E$23*DATI!$E$7*(B457/DATI!$E$19+1/(DATI!$E$23*DATI!$E$7)*(1-B457/DATI!$E$19)),IF(B457&lt;DATI!$E$20,DATI!$E$6*DATI!$E$16*DATI!$E$23*DATI!$E$7,IF(B457&lt;DATI!$E$21,DATI!$E$6*DATI!$E$16*DATI!$E$23*DATI!$E$7*(DATI!$E$20/B457),DATI!$E$6*DATI!$E$16*DATI!$E$23*DATI!$E$7*((DATI!$E$20*DATI!$E$21)/B457^2))))</f>
        <v>4.3747247609618081E-2</v>
      </c>
      <c r="D457" s="237"/>
      <c r="E457" s="318"/>
      <c r="F457" s="318"/>
      <c r="G457" s="318"/>
      <c r="H457" s="318"/>
      <c r="I457" s="318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</row>
    <row r="458" spans="1:19" x14ac:dyDescent="0.25">
      <c r="A458" s="318"/>
      <c r="B458" s="389">
        <f t="shared" si="7"/>
        <v>4.5299999999999478</v>
      </c>
      <c r="C458" s="398">
        <f>1/DATI!$E$12*IF(B458&lt;DATI!$E$19,DATI!$E$6*DATI!$E$16*DATI!$E$23*DATI!$E$7*(B458/DATI!$E$19+1/(DATI!$E$23*DATI!$E$7)*(1-B458/DATI!$E$19)),IF(B458&lt;DATI!$E$20,DATI!$E$6*DATI!$E$16*DATI!$E$23*DATI!$E$7,IF(B458&lt;DATI!$E$21,DATI!$E$6*DATI!$E$16*DATI!$E$23*DATI!$E$7*(DATI!$E$20/B458),DATI!$E$6*DATI!$E$16*DATI!$E$23*DATI!$E$7*((DATI!$E$20*DATI!$E$21)/B458^2))))</f>
        <v>4.355431621242447E-2</v>
      </c>
      <c r="D458" s="237"/>
      <c r="E458" s="318"/>
      <c r="F458" s="318"/>
      <c r="G458" s="318"/>
      <c r="H458" s="318"/>
      <c r="I458" s="318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</row>
    <row r="459" spans="1:19" x14ac:dyDescent="0.25">
      <c r="A459" s="318"/>
      <c r="B459" s="389">
        <f t="shared" si="7"/>
        <v>4.5399999999999476</v>
      </c>
      <c r="C459" s="398">
        <f>1/DATI!$E$12*IF(B459&lt;DATI!$E$19,DATI!$E$6*DATI!$E$16*DATI!$E$23*DATI!$E$7*(B459/DATI!$E$19+1/(DATI!$E$23*DATI!$E$7)*(1-B459/DATI!$E$19)),IF(B459&lt;DATI!$E$20,DATI!$E$6*DATI!$E$16*DATI!$E$23*DATI!$E$7,IF(B459&lt;DATI!$E$21,DATI!$E$6*DATI!$E$16*DATI!$E$23*DATI!$E$7*(DATI!$E$20/B459),DATI!$E$6*DATI!$E$16*DATI!$E$23*DATI!$E$7*((DATI!$E$20*DATI!$E$21)/B459^2))))</f>
        <v>4.3362658287738033E-2</v>
      </c>
      <c r="D459" s="237"/>
      <c r="E459" s="318"/>
      <c r="F459" s="318"/>
      <c r="G459" s="318"/>
      <c r="H459" s="318"/>
      <c r="I459" s="318"/>
      <c r="J459" s="318"/>
      <c r="K459" s="318"/>
      <c r="L459" s="318"/>
      <c r="M459" s="318"/>
      <c r="N459" s="318"/>
      <c r="O459" s="318"/>
      <c r="P459" s="318"/>
      <c r="Q459" s="318"/>
      <c r="R459" s="318"/>
      <c r="S459" s="318"/>
    </row>
    <row r="460" spans="1:19" x14ac:dyDescent="0.25">
      <c r="A460" s="318"/>
      <c r="B460" s="389">
        <f t="shared" si="7"/>
        <v>4.5499999999999474</v>
      </c>
      <c r="C460" s="398">
        <f>1/DATI!$E$12*IF(B460&lt;DATI!$E$19,DATI!$E$6*DATI!$E$16*DATI!$E$23*DATI!$E$7*(B460/DATI!$E$19+1/(DATI!$E$23*DATI!$E$7)*(1-B460/DATI!$E$19)),IF(B460&lt;DATI!$E$20,DATI!$E$6*DATI!$E$16*DATI!$E$23*DATI!$E$7,IF(B460&lt;DATI!$E$21,DATI!$E$6*DATI!$E$16*DATI!$E$23*DATI!$E$7*(DATI!$E$20/B460),DATI!$E$6*DATI!$E$16*DATI!$E$23*DATI!$E$7*((DATI!$E$20*DATI!$E$21)/B460^2))))</f>
        <v>4.3172262652507731E-2</v>
      </c>
      <c r="D460" s="237"/>
      <c r="E460" s="318"/>
      <c r="F460" s="318"/>
      <c r="G460" s="318"/>
      <c r="H460" s="318"/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</row>
    <row r="461" spans="1:19" x14ac:dyDescent="0.25">
      <c r="A461" s="318"/>
      <c r="B461" s="389">
        <f t="shared" si="7"/>
        <v>4.5599999999999472</v>
      </c>
      <c r="C461" s="398">
        <f>1/DATI!$E$12*IF(B461&lt;DATI!$E$19,DATI!$E$6*DATI!$E$16*DATI!$E$23*DATI!$E$7*(B461/DATI!$E$19+1/(DATI!$E$23*DATI!$E$7)*(1-B461/DATI!$E$19)),IF(B461&lt;DATI!$E$20,DATI!$E$6*DATI!$E$16*DATI!$E$23*DATI!$E$7,IF(B461&lt;DATI!$E$21,DATI!$E$6*DATI!$E$16*DATI!$E$23*DATI!$E$7*(DATI!$E$20/B461),DATI!$E$6*DATI!$E$16*DATI!$E$23*DATI!$E$7*((DATI!$E$20*DATI!$E$21)/B461^2))))</f>
        <v>4.2983118246169086E-2</v>
      </c>
      <c r="D461" s="237"/>
      <c r="E461" s="318"/>
      <c r="F461" s="318"/>
      <c r="G461" s="318"/>
      <c r="H461" s="318"/>
      <c r="I461" s="318"/>
      <c r="J461" s="318"/>
      <c r="K461" s="318"/>
      <c r="L461" s="318"/>
      <c r="M461" s="318"/>
      <c r="N461" s="318"/>
      <c r="O461" s="318"/>
      <c r="P461" s="318"/>
      <c r="Q461" s="318"/>
      <c r="R461" s="318"/>
      <c r="S461" s="318"/>
    </row>
    <row r="462" spans="1:19" x14ac:dyDescent="0.25">
      <c r="A462" s="318"/>
      <c r="B462" s="389">
        <f t="shared" si="7"/>
        <v>4.569999999999947</v>
      </c>
      <c r="C462" s="398">
        <f>1/DATI!$E$12*IF(B462&lt;DATI!$E$19,DATI!$E$6*DATI!$E$16*DATI!$E$23*DATI!$E$7*(B462/DATI!$E$19+1/(DATI!$E$23*DATI!$E$7)*(1-B462/DATI!$E$19)),IF(B462&lt;DATI!$E$20,DATI!$E$6*DATI!$E$16*DATI!$E$23*DATI!$E$7,IF(B462&lt;DATI!$E$21,DATI!$E$6*DATI!$E$16*DATI!$E$23*DATI!$E$7*(DATI!$E$20/B462),DATI!$E$6*DATI!$E$16*DATI!$E$23*DATI!$E$7*((DATI!$E$20*DATI!$E$21)/B462^2))))</f>
        <v>4.2795214129037799E-2</v>
      </c>
      <c r="D462" s="237"/>
      <c r="E462" s="318"/>
      <c r="F462" s="318"/>
      <c r="G462" s="318"/>
      <c r="H462" s="318"/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</row>
    <row r="463" spans="1:19" x14ac:dyDescent="0.25">
      <c r="A463" s="318"/>
      <c r="B463" s="389">
        <f t="shared" si="7"/>
        <v>4.5799999999999468</v>
      </c>
      <c r="C463" s="398">
        <f>1/DATI!$E$12*IF(B463&lt;DATI!$E$19,DATI!$E$6*DATI!$E$16*DATI!$E$23*DATI!$E$7*(B463/DATI!$E$19+1/(DATI!$E$23*DATI!$E$7)*(1-B463/DATI!$E$19)),IF(B463&lt;DATI!$E$20,DATI!$E$6*DATI!$E$16*DATI!$E$23*DATI!$E$7,IF(B463&lt;DATI!$E$21,DATI!$E$6*DATI!$E$16*DATI!$E$23*DATI!$E$7*(DATI!$E$20/B463),DATI!$E$6*DATI!$E$16*DATI!$E$23*DATI!$E$7*((DATI!$E$20*DATI!$E$21)/B463^2))))</f>
        <v>4.2608539480727937E-2</v>
      </c>
      <c r="D463" s="237"/>
      <c r="E463" s="318"/>
      <c r="F463" s="318"/>
      <c r="G463" s="318"/>
      <c r="H463" s="318"/>
      <c r="I463" s="318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</row>
    <row r="464" spans="1:19" x14ac:dyDescent="0.25">
      <c r="A464" s="318"/>
      <c r="B464" s="389">
        <f t="shared" si="7"/>
        <v>4.5899999999999466</v>
      </c>
      <c r="C464" s="398">
        <f>1/DATI!$E$12*IF(B464&lt;DATI!$E$19,DATI!$E$6*DATI!$E$16*DATI!$E$23*DATI!$E$7*(B464/DATI!$E$19+1/(DATI!$E$23*DATI!$E$7)*(1-B464/DATI!$E$19)),IF(B464&lt;DATI!$E$20,DATI!$E$6*DATI!$E$16*DATI!$E$23*DATI!$E$7,IF(B464&lt;DATI!$E$21,DATI!$E$6*DATI!$E$16*DATI!$E$23*DATI!$E$7*(DATI!$E$20/B464),DATI!$E$6*DATI!$E$16*DATI!$E$23*DATI!$E$7*((DATI!$E$20*DATI!$E$21)/B464^2))))</f>
        <v>4.2423083598594154E-2</v>
      </c>
      <c r="D464" s="237"/>
      <c r="E464" s="318"/>
      <c r="F464" s="318"/>
      <c r="G464" s="318"/>
      <c r="H464" s="318"/>
      <c r="I464" s="318"/>
      <c r="J464" s="318"/>
      <c r="K464" s="318"/>
      <c r="L464" s="318"/>
      <c r="M464" s="318"/>
      <c r="N464" s="318"/>
      <c r="O464" s="318"/>
      <c r="P464" s="318"/>
      <c r="Q464" s="318"/>
      <c r="R464" s="318"/>
      <c r="S464" s="318"/>
    </row>
    <row r="465" spans="1:19" x14ac:dyDescent="0.25">
      <c r="A465" s="318"/>
      <c r="B465" s="389">
        <f t="shared" si="7"/>
        <v>4.5999999999999464</v>
      </c>
      <c r="C465" s="398">
        <f>1/DATI!$E$12*IF(B465&lt;DATI!$E$19,DATI!$E$6*DATI!$E$16*DATI!$E$23*DATI!$E$7*(B465/DATI!$E$19+1/(DATI!$E$23*DATI!$E$7)*(1-B465/DATI!$E$19)),IF(B465&lt;DATI!$E$20,DATI!$E$6*DATI!$E$16*DATI!$E$23*DATI!$E$7,IF(B465&lt;DATI!$E$21,DATI!$E$6*DATI!$E$16*DATI!$E$23*DATI!$E$7*(DATI!$E$20/B465),DATI!$E$6*DATI!$E$16*DATI!$E$23*DATI!$E$7*((DATI!$E$20*DATI!$E$21)/B465^2))))</f>
        <v>4.2238835896197618E-2</v>
      </c>
      <c r="D465" s="237"/>
      <c r="E465" s="318"/>
      <c r="F465" s="318"/>
      <c r="G465" s="318"/>
      <c r="H465" s="318"/>
      <c r="I465" s="318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</row>
    <row r="466" spans="1:19" x14ac:dyDescent="0.25">
      <c r="A466" s="318"/>
      <c r="B466" s="389">
        <f t="shared" si="7"/>
        <v>4.6099999999999461</v>
      </c>
      <c r="C466" s="398">
        <f>1/DATI!$E$12*IF(B466&lt;DATI!$E$19,DATI!$E$6*DATI!$E$16*DATI!$E$23*DATI!$E$7*(B466/DATI!$E$19+1/(DATI!$E$23*DATI!$E$7)*(1-B466/DATI!$E$19)),IF(B466&lt;DATI!$E$20,DATI!$E$6*DATI!$E$16*DATI!$E$23*DATI!$E$7,IF(B466&lt;DATI!$E$21,DATI!$E$6*DATI!$E$16*DATI!$E$23*DATI!$E$7*(DATI!$E$20/B466),DATI!$E$6*DATI!$E$16*DATI!$E$23*DATI!$E$7*((DATI!$E$20*DATI!$E$21)/B466^2))))</f>
        <v>4.2055785901795192E-2</v>
      </c>
      <c r="D466" s="237"/>
      <c r="E466" s="318"/>
      <c r="F466" s="318"/>
      <c r="G466" s="318"/>
      <c r="H466" s="318"/>
      <c r="I466" s="318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</row>
    <row r="467" spans="1:19" x14ac:dyDescent="0.25">
      <c r="A467" s="318"/>
      <c r="B467" s="389">
        <f t="shared" si="7"/>
        <v>4.6199999999999459</v>
      </c>
      <c r="C467" s="398">
        <f>1/DATI!$E$12*IF(B467&lt;DATI!$E$19,DATI!$E$6*DATI!$E$16*DATI!$E$23*DATI!$E$7*(B467/DATI!$E$19+1/(DATI!$E$23*DATI!$E$7)*(1-B467/DATI!$E$19)),IF(B467&lt;DATI!$E$20,DATI!$E$6*DATI!$E$16*DATI!$E$23*DATI!$E$7,IF(B467&lt;DATI!$E$21,DATI!$E$6*DATI!$E$16*DATI!$E$23*DATI!$E$7*(DATI!$E$20/B467),DATI!$E$6*DATI!$E$16*DATI!$E$23*DATI!$E$7*((DATI!$E$20*DATI!$E$21)/B467^2))))</f>
        <v>4.1873923256851527E-2</v>
      </c>
      <c r="D467" s="237"/>
      <c r="E467" s="318"/>
      <c r="F467" s="318"/>
      <c r="G467" s="318"/>
      <c r="H467" s="318"/>
      <c r="I467" s="318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</row>
    <row r="468" spans="1:19" x14ac:dyDescent="0.25">
      <c r="A468" s="318"/>
      <c r="B468" s="389">
        <f t="shared" si="7"/>
        <v>4.6299999999999457</v>
      </c>
      <c r="C468" s="398">
        <f>1/DATI!$E$12*IF(B468&lt;DATI!$E$19,DATI!$E$6*DATI!$E$16*DATI!$E$23*DATI!$E$7*(B468/DATI!$E$19+1/(DATI!$E$23*DATI!$E$7)*(1-B468/DATI!$E$19)),IF(B468&lt;DATI!$E$20,DATI!$E$6*DATI!$E$16*DATI!$E$23*DATI!$E$7,IF(B468&lt;DATI!$E$21,DATI!$E$6*DATI!$E$16*DATI!$E$23*DATI!$E$7*(DATI!$E$20/B468),DATI!$E$6*DATI!$E$16*DATI!$E$23*DATI!$E$7*((DATI!$E$20*DATI!$E$21)/B468^2))))</f>
        <v>4.169323771457354E-2</v>
      </c>
      <c r="D468" s="237"/>
      <c r="E468" s="318"/>
      <c r="F468" s="318"/>
      <c r="G468" s="318"/>
      <c r="H468" s="318"/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</row>
    <row r="469" spans="1:19" x14ac:dyDescent="0.25">
      <c r="A469" s="318"/>
      <c r="B469" s="389">
        <f t="shared" si="7"/>
        <v>4.6399999999999455</v>
      </c>
      <c r="C469" s="398">
        <f>1/DATI!$E$12*IF(B469&lt;DATI!$E$19,DATI!$E$6*DATI!$E$16*DATI!$E$23*DATI!$E$7*(B469/DATI!$E$19+1/(DATI!$E$23*DATI!$E$7)*(1-B469/DATI!$E$19)),IF(B469&lt;DATI!$E$20,DATI!$E$6*DATI!$E$16*DATI!$E$23*DATI!$E$7,IF(B469&lt;DATI!$E$21,DATI!$E$6*DATI!$E$16*DATI!$E$23*DATI!$E$7*(DATI!$E$20/B469),DATI!$E$6*DATI!$E$16*DATI!$E$23*DATI!$E$7*((DATI!$E$20*DATI!$E$21)/B469^2))))</f>
        <v>4.1513719138467117E-2</v>
      </c>
      <c r="D469" s="237"/>
      <c r="E469" s="318"/>
      <c r="F469" s="318"/>
      <c r="G469" s="318"/>
      <c r="H469" s="318"/>
      <c r="I469" s="318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</row>
    <row r="470" spans="1:19" x14ac:dyDescent="0.25">
      <c r="A470" s="318"/>
      <c r="B470" s="389">
        <f t="shared" si="7"/>
        <v>4.6499999999999453</v>
      </c>
      <c r="C470" s="398">
        <f>1/DATI!$E$12*IF(B470&lt;DATI!$E$19,DATI!$E$6*DATI!$E$16*DATI!$E$23*DATI!$E$7*(B470/DATI!$E$19+1/(DATI!$E$23*DATI!$E$7)*(1-B470/DATI!$E$19)),IF(B470&lt;DATI!$E$20,DATI!$E$6*DATI!$E$16*DATI!$E$23*DATI!$E$7,IF(B470&lt;DATI!$E$21,DATI!$E$6*DATI!$E$16*DATI!$E$23*DATI!$E$7*(DATI!$E$20/B470),DATI!$E$6*DATI!$E$16*DATI!$E$23*DATI!$E$7*((DATI!$E$20*DATI!$E$21)/B470^2))))</f>
        <v>4.1335357500915333E-2</v>
      </c>
      <c r="D470" s="237"/>
      <c r="E470" s="318"/>
      <c r="F470" s="318"/>
      <c r="G470" s="318"/>
      <c r="H470" s="318"/>
      <c r="I470" s="318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</row>
    <row r="471" spans="1:19" x14ac:dyDescent="0.25">
      <c r="A471" s="318"/>
      <c r="B471" s="389">
        <f t="shared" si="7"/>
        <v>4.6599999999999451</v>
      </c>
      <c r="C471" s="398">
        <f>1/DATI!$E$12*IF(B471&lt;DATI!$E$19,DATI!$E$6*DATI!$E$16*DATI!$E$23*DATI!$E$7*(B471/DATI!$E$19+1/(DATI!$E$23*DATI!$E$7)*(1-B471/DATI!$E$19)),IF(B471&lt;DATI!$E$20,DATI!$E$6*DATI!$E$16*DATI!$E$23*DATI!$E$7,IF(B471&lt;DATI!$E$21,DATI!$E$6*DATI!$E$16*DATI!$E$23*DATI!$E$7*(DATI!$E$20/B471),DATI!$E$6*DATI!$E$16*DATI!$E$23*DATI!$E$7*((DATI!$E$20*DATI!$E$21)/B471^2))))</f>
        <v>4.1158142881778159E-2</v>
      </c>
      <c r="D471" s="237"/>
      <c r="E471" s="318"/>
      <c r="F471" s="318"/>
      <c r="G471" s="318"/>
      <c r="H471" s="318"/>
      <c r="I471" s="318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</row>
    <row r="472" spans="1:19" x14ac:dyDescent="0.25">
      <c r="A472" s="318"/>
      <c r="B472" s="389">
        <f t="shared" si="7"/>
        <v>4.6699999999999449</v>
      </c>
      <c r="C472" s="398">
        <f>1/DATI!$E$12*IF(B472&lt;DATI!$E$19,DATI!$E$6*DATI!$E$16*DATI!$E$23*DATI!$E$7*(B472/DATI!$E$19+1/(DATI!$E$23*DATI!$E$7)*(1-B472/DATI!$E$19)),IF(B472&lt;DATI!$E$20,DATI!$E$6*DATI!$E$16*DATI!$E$23*DATI!$E$7,IF(B472&lt;DATI!$E$21,DATI!$E$6*DATI!$E$16*DATI!$E$23*DATI!$E$7*(DATI!$E$20/B472),DATI!$E$6*DATI!$E$16*DATI!$E$23*DATI!$E$7*((DATI!$E$20*DATI!$E$21)/B472^2))))</f>
        <v>4.0982065467013086E-2</v>
      </c>
      <c r="D472" s="237"/>
      <c r="E472" s="318"/>
      <c r="F472" s="318"/>
      <c r="G472" s="318"/>
      <c r="H472" s="318"/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</row>
    <row r="473" spans="1:19" x14ac:dyDescent="0.25">
      <c r="A473" s="318"/>
      <c r="B473" s="389">
        <f t="shared" si="7"/>
        <v>4.6799999999999446</v>
      </c>
      <c r="C473" s="398">
        <f>1/DATI!$E$12*IF(B473&lt;DATI!$E$19,DATI!$E$6*DATI!$E$16*DATI!$E$23*DATI!$E$7*(B473/DATI!$E$19+1/(DATI!$E$23*DATI!$E$7)*(1-B473/DATI!$E$19)),IF(B473&lt;DATI!$E$20,DATI!$E$6*DATI!$E$16*DATI!$E$23*DATI!$E$7,IF(B473&lt;DATI!$E$21,DATI!$E$6*DATI!$E$16*DATI!$E$23*DATI!$E$7*(DATI!$E$20/B473),DATI!$E$6*DATI!$E$16*DATI!$E$23*DATI!$E$7*((DATI!$E$20*DATI!$E$21)/B473^2))))</f>
        <v>4.0807115547316364E-2</v>
      </c>
      <c r="D473" s="237"/>
      <c r="E473" s="318"/>
      <c r="F473" s="318"/>
      <c r="G473" s="318"/>
      <c r="H473" s="318"/>
      <c r="I473" s="318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</row>
    <row r="474" spans="1:19" x14ac:dyDescent="0.25">
      <c r="A474" s="318"/>
      <c r="B474" s="389">
        <f t="shared" si="7"/>
        <v>4.6899999999999444</v>
      </c>
      <c r="C474" s="398">
        <f>1/DATI!$E$12*IF(B474&lt;DATI!$E$19,DATI!$E$6*DATI!$E$16*DATI!$E$23*DATI!$E$7*(B474/DATI!$E$19+1/(DATI!$E$23*DATI!$E$7)*(1-B474/DATI!$E$19)),IF(B474&lt;DATI!$E$20,DATI!$E$6*DATI!$E$16*DATI!$E$23*DATI!$E$7,IF(B474&lt;DATI!$E$21,DATI!$E$6*DATI!$E$16*DATI!$E$23*DATI!$E$7*(DATI!$E$20/B474),DATI!$E$6*DATI!$E$16*DATI!$E$23*DATI!$E$7*((DATI!$E$20*DATI!$E$21)/B474^2))))</f>
        <v>4.0633283516784427E-2</v>
      </c>
      <c r="D474" s="237"/>
      <c r="E474" s="318"/>
      <c r="F474" s="318"/>
      <c r="G474" s="318"/>
      <c r="H474" s="318"/>
      <c r="I474" s="318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</row>
    <row r="475" spans="1:19" x14ac:dyDescent="0.25">
      <c r="A475" s="318"/>
      <c r="B475" s="389">
        <f t="shared" si="7"/>
        <v>4.6999999999999442</v>
      </c>
      <c r="C475" s="398">
        <f>1/DATI!$E$12*IF(B475&lt;DATI!$E$19,DATI!$E$6*DATI!$E$16*DATI!$E$23*DATI!$E$7*(B475/DATI!$E$19+1/(DATI!$E$23*DATI!$E$7)*(1-B475/DATI!$E$19)),IF(B475&lt;DATI!$E$20,DATI!$E$6*DATI!$E$16*DATI!$E$23*DATI!$E$7,IF(B475&lt;DATI!$E$21,DATI!$E$6*DATI!$E$16*DATI!$E$23*DATI!$E$7*(DATI!$E$20/B475),DATI!$E$6*DATI!$E$16*DATI!$E$23*DATI!$E$7*((DATI!$E$20*DATI!$E$21)/B475^2))))</f>
        <v>4.0460559871595386E-2</v>
      </c>
      <c r="D475" s="237"/>
      <c r="E475" s="318"/>
      <c r="F475" s="318"/>
      <c r="G475" s="318"/>
      <c r="H475" s="318"/>
      <c r="I475" s="318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</row>
    <row r="476" spans="1:19" x14ac:dyDescent="0.25">
      <c r="A476" s="318"/>
      <c r="B476" s="389">
        <f t="shared" si="7"/>
        <v>4.709999999999944</v>
      </c>
      <c r="C476" s="398">
        <f>1/DATI!$E$12*IF(B476&lt;DATI!$E$19,DATI!$E$6*DATI!$E$16*DATI!$E$23*DATI!$E$7*(B476/DATI!$E$19+1/(DATI!$E$23*DATI!$E$7)*(1-B476/DATI!$E$19)),IF(B476&lt;DATI!$E$20,DATI!$E$6*DATI!$E$16*DATI!$E$23*DATI!$E$7,IF(B476&lt;DATI!$E$21,DATI!$E$6*DATI!$E$16*DATI!$E$23*DATI!$E$7*(DATI!$E$20/B476),DATI!$E$6*DATI!$E$16*DATI!$E$23*DATI!$E$7*((DATI!$E$20*DATI!$E$21)/B476^2))))</f>
        <v>4.0288935208709936E-2</v>
      </c>
      <c r="D476" s="237"/>
      <c r="E476" s="318"/>
      <c r="F476" s="318"/>
      <c r="G476" s="318"/>
      <c r="H476" s="318"/>
      <c r="I476" s="318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</row>
    <row r="477" spans="1:19" x14ac:dyDescent="0.25">
      <c r="A477" s="318"/>
      <c r="B477" s="389">
        <f t="shared" si="7"/>
        <v>4.7199999999999438</v>
      </c>
      <c r="C477" s="398">
        <f>1/DATI!$E$12*IF(B477&lt;DATI!$E$19,DATI!$E$6*DATI!$E$16*DATI!$E$23*DATI!$E$7*(B477/DATI!$E$19+1/(DATI!$E$23*DATI!$E$7)*(1-B477/DATI!$E$19)),IF(B477&lt;DATI!$E$20,DATI!$E$6*DATI!$E$16*DATI!$E$23*DATI!$E$7,IF(B477&lt;DATI!$E$21,DATI!$E$6*DATI!$E$16*DATI!$E$23*DATI!$E$7*(DATI!$E$20/B477),DATI!$E$6*DATI!$E$16*DATI!$E$23*DATI!$E$7*((DATI!$E$20*DATI!$E$21)/B477^2))))</f>
        <v>4.0118400224591622E-2</v>
      </c>
      <c r="D477" s="237"/>
      <c r="E477" s="318"/>
      <c r="F477" s="318"/>
      <c r="G477" s="318"/>
      <c r="H477" s="318"/>
      <c r="I477" s="318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</row>
    <row r="478" spans="1:19" x14ac:dyDescent="0.25">
      <c r="A478" s="318"/>
      <c r="B478" s="389">
        <f t="shared" si="7"/>
        <v>4.7299999999999436</v>
      </c>
      <c r="C478" s="398">
        <f>1/DATI!$E$12*IF(B478&lt;DATI!$E$19,DATI!$E$6*DATI!$E$16*DATI!$E$23*DATI!$E$7*(B478/DATI!$E$19+1/(DATI!$E$23*DATI!$E$7)*(1-B478/DATI!$E$19)),IF(B478&lt;DATI!$E$20,DATI!$E$6*DATI!$E$16*DATI!$E$23*DATI!$E$7,IF(B478&lt;DATI!$E$21,DATI!$E$6*DATI!$E$16*DATI!$E$23*DATI!$E$7*(DATI!$E$20/B478),DATI!$E$6*DATI!$E$16*DATI!$E$23*DATI!$E$7*((DATI!$E$20*DATI!$E$21)/B478^2))))</f>
        <v>3.9948945713945978E-2</v>
      </c>
      <c r="D478" s="237"/>
      <c r="E478" s="318"/>
      <c r="F478" s="318"/>
      <c r="G478" s="318"/>
      <c r="H478" s="318"/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</row>
    <row r="479" spans="1:19" x14ac:dyDescent="0.25">
      <c r="A479" s="318"/>
      <c r="B479" s="389">
        <f t="shared" si="7"/>
        <v>4.7399999999999434</v>
      </c>
      <c r="C479" s="398">
        <f>1/DATI!$E$12*IF(B479&lt;DATI!$E$19,DATI!$E$6*DATI!$E$16*DATI!$E$23*DATI!$E$7*(B479/DATI!$E$19+1/(DATI!$E$23*DATI!$E$7)*(1-B479/DATI!$E$19)),IF(B479&lt;DATI!$E$20,DATI!$E$6*DATI!$E$16*DATI!$E$23*DATI!$E$7,IF(B479&lt;DATI!$E$21,DATI!$E$6*DATI!$E$16*DATI!$E$23*DATI!$E$7*(DATI!$E$20/B479),DATI!$E$6*DATI!$E$16*DATI!$E$23*DATI!$E$7*((DATI!$E$20*DATI!$E$21)/B479^2))))</f>
        <v>3.9780562568478249E-2</v>
      </c>
      <c r="D479" s="237"/>
      <c r="E479" s="318"/>
      <c r="F479" s="318"/>
      <c r="G479" s="318"/>
      <c r="H479" s="318"/>
      <c r="I479" s="318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</row>
    <row r="480" spans="1:19" x14ac:dyDescent="0.25">
      <c r="A480" s="318"/>
      <c r="B480" s="389">
        <f t="shared" si="7"/>
        <v>4.7499999999999432</v>
      </c>
      <c r="C480" s="398">
        <f>1/DATI!$E$12*IF(B480&lt;DATI!$E$19,DATI!$E$6*DATI!$E$16*DATI!$E$23*DATI!$E$7*(B480/DATI!$E$19+1/(DATI!$E$23*DATI!$E$7)*(1-B480/DATI!$E$19)),IF(B480&lt;DATI!$E$20,DATI!$E$6*DATI!$E$16*DATI!$E$23*DATI!$E$7,IF(B480&lt;DATI!$E$21,DATI!$E$6*DATI!$E$16*DATI!$E$23*DATI!$E$7*(DATI!$E$20/B480),DATI!$E$6*DATI!$E$16*DATI!$E$23*DATI!$E$7*((DATI!$E$20*DATI!$E$21)/B480^2))))</f>
        <v>3.961324177566946E-2</v>
      </c>
      <c r="D480" s="237"/>
      <c r="E480" s="318"/>
      <c r="F480" s="318"/>
      <c r="G480" s="318"/>
      <c r="H480" s="318"/>
      <c r="I480" s="318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</row>
    <row r="481" spans="1:19" x14ac:dyDescent="0.25">
      <c r="A481" s="318"/>
      <c r="B481" s="389">
        <f t="shared" si="7"/>
        <v>4.7599999999999429</v>
      </c>
      <c r="C481" s="398">
        <f>1/DATI!$E$12*IF(B481&lt;DATI!$E$19,DATI!$E$6*DATI!$E$16*DATI!$E$23*DATI!$E$7*(B481/DATI!$E$19+1/(DATI!$E$23*DATI!$E$7)*(1-B481/DATI!$E$19)),IF(B481&lt;DATI!$E$20,DATI!$E$6*DATI!$E$16*DATI!$E$23*DATI!$E$7,IF(B481&lt;DATI!$E$21,DATI!$E$6*DATI!$E$16*DATI!$E$23*DATI!$E$7*(DATI!$E$20/B481),DATI!$E$6*DATI!$E$16*DATI!$E$23*DATI!$E$7*((DATI!$E$20*DATI!$E$21)/B481^2))))</f>
        <v>3.9446974417570363E-2</v>
      </c>
      <c r="D481" s="237"/>
      <c r="E481" s="318"/>
      <c r="F481" s="318"/>
      <c r="G481" s="318"/>
      <c r="H481" s="318"/>
      <c r="I481" s="318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</row>
    <row r="482" spans="1:19" x14ac:dyDescent="0.25">
      <c r="A482" s="318"/>
      <c r="B482" s="389">
        <f t="shared" si="7"/>
        <v>4.7699999999999427</v>
      </c>
      <c r="C482" s="398">
        <f>1/DATI!$E$12*IF(B482&lt;DATI!$E$19,DATI!$E$6*DATI!$E$16*DATI!$E$23*DATI!$E$7*(B482/DATI!$E$19+1/(DATI!$E$23*DATI!$E$7)*(1-B482/DATI!$E$19)),IF(B482&lt;DATI!$E$20,DATI!$E$6*DATI!$E$16*DATI!$E$23*DATI!$E$7,IF(B482&lt;DATI!$E$21,DATI!$E$6*DATI!$E$16*DATI!$E$23*DATI!$E$7*(DATI!$E$20/B482),DATI!$E$6*DATI!$E$16*DATI!$E$23*DATI!$E$7*((DATI!$E$20*DATI!$E$21)/B482^2))))</f>
        <v>3.9281751669613202E-2</v>
      </c>
      <c r="D482" s="237"/>
      <c r="E482" s="318"/>
      <c r="F482" s="318"/>
      <c r="G482" s="318"/>
      <c r="H482" s="318"/>
      <c r="I482" s="318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</row>
    <row r="483" spans="1:19" x14ac:dyDescent="0.25">
      <c r="A483" s="318"/>
      <c r="B483" s="389">
        <f t="shared" si="7"/>
        <v>4.7799999999999425</v>
      </c>
      <c r="C483" s="398">
        <f>1/DATI!$E$12*IF(B483&lt;DATI!$E$19,DATI!$E$6*DATI!$E$16*DATI!$E$23*DATI!$E$7*(B483/DATI!$E$19+1/(DATI!$E$23*DATI!$E$7)*(1-B483/DATI!$E$19)),IF(B483&lt;DATI!$E$20,DATI!$E$6*DATI!$E$16*DATI!$E$23*DATI!$E$7,IF(B483&lt;DATI!$E$21,DATI!$E$6*DATI!$E$16*DATI!$E$23*DATI!$E$7*(DATI!$E$20/B483),DATI!$E$6*DATI!$E$16*DATI!$E$23*DATI!$E$7*((DATI!$E$20*DATI!$E$21)/B483^2))))</f>
        <v>3.9117564799440757E-2</v>
      </c>
      <c r="D483" s="237"/>
      <c r="E483" s="318"/>
      <c r="F483" s="318"/>
      <c r="G483" s="318"/>
      <c r="H483" s="318"/>
      <c r="I483" s="318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</row>
    <row r="484" spans="1:19" x14ac:dyDescent="0.25">
      <c r="A484" s="318"/>
      <c r="B484" s="389">
        <f t="shared" si="7"/>
        <v>4.7899999999999423</v>
      </c>
      <c r="C484" s="398">
        <f>1/DATI!$E$12*IF(B484&lt;DATI!$E$19,DATI!$E$6*DATI!$E$16*DATI!$E$23*DATI!$E$7*(B484/DATI!$E$19+1/(DATI!$E$23*DATI!$E$7)*(1-B484/DATI!$E$19)),IF(B484&lt;DATI!$E$20,DATI!$E$6*DATI!$E$16*DATI!$E$23*DATI!$E$7,IF(B484&lt;DATI!$E$21,DATI!$E$6*DATI!$E$16*DATI!$E$23*DATI!$E$7*(DATI!$E$20/B484),DATI!$E$6*DATI!$E$16*DATI!$E$23*DATI!$E$7*((DATI!$E$20*DATI!$E$21)/B484^2))))</f>
        <v>3.8954405165752506E-2</v>
      </c>
      <c r="D484" s="237"/>
      <c r="E484" s="318"/>
      <c r="F484" s="318"/>
      <c r="G484" s="318"/>
      <c r="H484" s="318"/>
      <c r="I484" s="318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</row>
    <row r="485" spans="1:19" x14ac:dyDescent="0.25">
      <c r="A485" s="318"/>
      <c r="B485" s="389">
        <f t="shared" si="7"/>
        <v>4.7999999999999421</v>
      </c>
      <c r="C485" s="398">
        <f>1/DATI!$E$12*IF(B485&lt;DATI!$E$19,DATI!$E$6*DATI!$E$16*DATI!$E$23*DATI!$E$7*(B485/DATI!$E$19+1/(DATI!$E$23*DATI!$E$7)*(1-B485/DATI!$E$19)),IF(B485&lt;DATI!$E$20,DATI!$E$6*DATI!$E$16*DATI!$E$23*DATI!$E$7,IF(B485&lt;DATI!$E$21,DATI!$E$6*DATI!$E$16*DATI!$E$23*DATI!$E$7*(DATI!$E$20/B485),DATI!$E$6*DATI!$E$16*DATI!$E$23*DATI!$E$7*((DATI!$E$20*DATI!$E$21)/B485^2))))</f>
        <v>3.8792264217167631E-2</v>
      </c>
      <c r="D485" s="237"/>
      <c r="E485" s="318"/>
      <c r="F485" s="318"/>
      <c r="G485" s="318"/>
      <c r="H485" s="318"/>
      <c r="I485" s="318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</row>
    <row r="486" spans="1:19" x14ac:dyDescent="0.25">
      <c r="A486" s="318"/>
      <c r="B486" s="389">
        <f t="shared" si="7"/>
        <v>4.8099999999999419</v>
      </c>
      <c r="C486" s="398">
        <f>1/DATI!$E$12*IF(B486&lt;DATI!$E$19,DATI!$E$6*DATI!$E$16*DATI!$E$23*DATI!$E$7*(B486/DATI!$E$19+1/(DATI!$E$23*DATI!$E$7)*(1-B486/DATI!$E$19)),IF(B486&lt;DATI!$E$20,DATI!$E$6*DATI!$E$16*DATI!$E$23*DATI!$E$7,IF(B486&lt;DATI!$E$21,DATI!$E$6*DATI!$E$16*DATI!$E$23*DATI!$E$7*(DATI!$E$20/B486),DATI!$E$6*DATI!$E$16*DATI!$E$23*DATI!$E$7*((DATI!$E$20*DATI!$E$21)/B486^2))))</f>
        <v>3.8631133491104475E-2</v>
      </c>
      <c r="D486" s="237"/>
      <c r="E486" s="318"/>
      <c r="F486" s="318"/>
      <c r="G486" s="318"/>
      <c r="H486" s="318"/>
      <c r="I486" s="318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</row>
    <row r="487" spans="1:19" x14ac:dyDescent="0.25">
      <c r="A487" s="318"/>
      <c r="B487" s="389">
        <f t="shared" si="7"/>
        <v>4.8199999999999417</v>
      </c>
      <c r="C487" s="398">
        <f>1/DATI!$E$12*IF(B487&lt;DATI!$E$19,DATI!$E$6*DATI!$E$16*DATI!$E$23*DATI!$E$7*(B487/DATI!$E$19+1/(DATI!$E$23*DATI!$E$7)*(1-B487/DATI!$E$19)),IF(B487&lt;DATI!$E$20,DATI!$E$6*DATI!$E$16*DATI!$E$23*DATI!$E$7,IF(B487&lt;DATI!$E$21,DATI!$E$6*DATI!$E$16*DATI!$E$23*DATI!$E$7*(DATI!$E$20/B487),DATI!$E$6*DATI!$E$16*DATI!$E$23*DATI!$E$7*((DATI!$E$20*DATI!$E$21)/B487^2))))</f>
        <v>3.8471004612676364E-2</v>
      </c>
      <c r="D487" s="237"/>
      <c r="E487" s="318"/>
      <c r="F487" s="318"/>
      <c r="G487" s="318"/>
      <c r="H487" s="318"/>
      <c r="I487" s="318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</row>
    <row r="488" spans="1:19" x14ac:dyDescent="0.25">
      <c r="A488" s="318"/>
      <c r="B488" s="389">
        <f t="shared" si="7"/>
        <v>4.8299999999999415</v>
      </c>
      <c r="C488" s="398">
        <f>1/DATI!$E$12*IF(B488&lt;DATI!$E$19,DATI!$E$6*DATI!$E$16*DATI!$E$23*DATI!$E$7*(B488/DATI!$E$19+1/(DATI!$E$23*DATI!$E$7)*(1-B488/DATI!$E$19)),IF(B488&lt;DATI!$E$20,DATI!$E$6*DATI!$E$16*DATI!$E$23*DATI!$E$7,IF(B488&lt;DATI!$E$21,DATI!$E$6*DATI!$E$16*DATI!$E$23*DATI!$E$7*(DATI!$E$20/B488),DATI!$E$6*DATI!$E$16*DATI!$E$23*DATI!$E$7*((DATI!$E$20*DATI!$E$21)/B488^2))))</f>
        <v>3.8311869293603314E-2</v>
      </c>
      <c r="D488" s="237"/>
      <c r="E488" s="318"/>
      <c r="F488" s="318"/>
      <c r="G488" s="318"/>
      <c r="H488" s="318"/>
      <c r="I488" s="318"/>
      <c r="J488" s="318"/>
      <c r="K488" s="318"/>
      <c r="L488" s="318"/>
      <c r="M488" s="318"/>
      <c r="N488" s="318"/>
      <c r="O488" s="318"/>
      <c r="P488" s="318"/>
      <c r="Q488" s="318"/>
      <c r="R488" s="318"/>
      <c r="S488" s="318"/>
    </row>
    <row r="489" spans="1:19" x14ac:dyDescent="0.25">
      <c r="A489" s="318"/>
      <c r="B489" s="389">
        <f t="shared" si="7"/>
        <v>4.8399999999999412</v>
      </c>
      <c r="C489" s="398">
        <f>1/DATI!$E$12*IF(B489&lt;DATI!$E$19,DATI!$E$6*DATI!$E$16*DATI!$E$23*DATI!$E$7*(B489/DATI!$E$19+1/(DATI!$E$23*DATI!$E$7)*(1-B489/DATI!$E$19)),IF(B489&lt;DATI!$E$20,DATI!$E$6*DATI!$E$16*DATI!$E$23*DATI!$E$7,IF(B489&lt;DATI!$E$21,DATI!$E$6*DATI!$E$16*DATI!$E$23*DATI!$E$7*(DATI!$E$20/B489),DATI!$E$6*DATI!$E$16*DATI!$E$23*DATI!$E$7*((DATI!$E$20*DATI!$E$21)/B489^2))))</f>
        <v>3.8153719331139542E-2</v>
      </c>
      <c r="D489" s="237"/>
      <c r="E489" s="318"/>
      <c r="F489" s="318"/>
      <c r="G489" s="318"/>
      <c r="H489" s="318"/>
      <c r="I489" s="318"/>
      <c r="J489" s="318"/>
      <c r="K489" s="318"/>
      <c r="L489" s="318"/>
      <c r="M489" s="318"/>
      <c r="N489" s="318"/>
      <c r="O489" s="318"/>
      <c r="P489" s="318"/>
      <c r="Q489" s="318"/>
      <c r="R489" s="318"/>
      <c r="S489" s="318"/>
    </row>
    <row r="490" spans="1:19" x14ac:dyDescent="0.25">
      <c r="A490" s="318"/>
      <c r="B490" s="389">
        <f t="shared" si="7"/>
        <v>4.849999999999941</v>
      </c>
      <c r="C490" s="398">
        <f>1/DATI!$E$12*IF(B490&lt;DATI!$E$19,DATI!$E$6*DATI!$E$16*DATI!$E$23*DATI!$E$7*(B490/DATI!$E$19+1/(DATI!$E$23*DATI!$E$7)*(1-B490/DATI!$E$19)),IF(B490&lt;DATI!$E$20,DATI!$E$6*DATI!$E$16*DATI!$E$23*DATI!$E$7,IF(B490&lt;DATI!$E$21,DATI!$E$6*DATI!$E$16*DATI!$E$23*DATI!$E$7*(DATI!$E$20/B490),DATI!$E$6*DATI!$E$16*DATI!$E$23*DATI!$E$7*((DATI!$E$20*DATI!$E$21)/B490^2))))</f>
        <v>3.799654660701636E-2</v>
      </c>
      <c r="D490" s="237"/>
      <c r="E490" s="318"/>
      <c r="F490" s="318"/>
      <c r="G490" s="318"/>
      <c r="H490" s="318"/>
      <c r="I490" s="318"/>
      <c r="J490" s="318"/>
      <c r="K490" s="318"/>
      <c r="L490" s="318"/>
      <c r="M490" s="318"/>
      <c r="N490" s="318"/>
      <c r="O490" s="318"/>
      <c r="P490" s="318"/>
      <c r="Q490" s="318"/>
      <c r="R490" s="318"/>
      <c r="S490" s="318"/>
    </row>
    <row r="491" spans="1:19" x14ac:dyDescent="0.25">
      <c r="A491" s="318"/>
      <c r="B491" s="389">
        <f t="shared" si="7"/>
        <v>4.8599999999999408</v>
      </c>
      <c r="C491" s="398">
        <f>1/DATI!$E$12*IF(B491&lt;DATI!$E$19,DATI!$E$6*DATI!$E$16*DATI!$E$23*DATI!$E$7*(B491/DATI!$E$19+1/(DATI!$E$23*DATI!$E$7)*(1-B491/DATI!$E$19)),IF(B491&lt;DATI!$E$20,DATI!$E$6*DATI!$E$16*DATI!$E$23*DATI!$E$7,IF(B491&lt;DATI!$E$21,DATI!$E$6*DATI!$E$16*DATI!$E$23*DATI!$E$7*(DATI!$E$20/B491),DATI!$E$6*DATI!$E$16*DATI!$E$23*DATI!$E$7*((DATI!$E$20*DATI!$E$21)/B491^2))))</f>
        <v>3.7840343086400378E-2</v>
      </c>
      <c r="D491" s="237"/>
      <c r="E491" s="318"/>
      <c r="F491" s="318"/>
      <c r="G491" s="318"/>
      <c r="H491" s="318"/>
      <c r="I491" s="318"/>
      <c r="J491" s="318"/>
      <c r="K491" s="318"/>
      <c r="L491" s="318"/>
      <c r="M491" s="318"/>
      <c r="N491" s="318"/>
      <c r="O491" s="318"/>
      <c r="P491" s="318"/>
      <c r="Q491" s="318"/>
      <c r="R491" s="318"/>
      <c r="S491" s="318"/>
    </row>
    <row r="492" spans="1:19" x14ac:dyDescent="0.25">
      <c r="A492" s="318"/>
      <c r="B492" s="389">
        <f t="shared" si="7"/>
        <v>4.8699999999999406</v>
      </c>
      <c r="C492" s="398">
        <f>1/DATI!$E$12*IF(B492&lt;DATI!$E$19,DATI!$E$6*DATI!$E$16*DATI!$E$23*DATI!$E$7*(B492/DATI!$E$19+1/(DATI!$E$23*DATI!$E$7)*(1-B492/DATI!$E$19)),IF(B492&lt;DATI!$E$20,DATI!$E$6*DATI!$E$16*DATI!$E$23*DATI!$E$7,IF(B492&lt;DATI!$E$21,DATI!$E$6*DATI!$E$16*DATI!$E$23*DATI!$E$7*(DATI!$E$20/B492),DATI!$E$6*DATI!$E$16*DATI!$E$23*DATI!$E$7*((DATI!$E$20*DATI!$E$21)/B492^2))))</f>
        <v>3.7685100816866567E-2</v>
      </c>
      <c r="D492" s="237"/>
      <c r="E492" s="318"/>
      <c r="F492" s="318"/>
      <c r="G492" s="318"/>
      <c r="H492" s="318"/>
      <c r="I492" s="318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</row>
    <row r="493" spans="1:19" x14ac:dyDescent="0.25">
      <c r="A493" s="318"/>
      <c r="B493" s="389">
        <f t="shared" si="7"/>
        <v>4.8799999999999404</v>
      </c>
      <c r="C493" s="398">
        <f>1/DATI!$E$12*IF(B493&lt;DATI!$E$19,DATI!$E$6*DATI!$E$16*DATI!$E$23*DATI!$E$7*(B493/DATI!$E$19+1/(DATI!$E$23*DATI!$E$7)*(1-B493/DATI!$E$19)),IF(B493&lt;DATI!$E$20,DATI!$E$6*DATI!$E$16*DATI!$E$23*DATI!$E$7,IF(B493&lt;DATI!$E$21,DATI!$E$6*DATI!$E$16*DATI!$E$23*DATI!$E$7*(DATI!$E$20/B493),DATI!$E$6*DATI!$E$16*DATI!$E$23*DATI!$E$7*((DATI!$E$20*DATI!$E$21)/B493^2))))</f>
        <v>3.7530811927386061E-2</v>
      </c>
      <c r="D493" s="237"/>
      <c r="E493" s="318"/>
      <c r="F493" s="318"/>
      <c r="G493" s="318"/>
      <c r="H493" s="318"/>
      <c r="I493" s="318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</row>
    <row r="494" spans="1:19" x14ac:dyDescent="0.25">
      <c r="A494" s="318"/>
      <c r="B494" s="389">
        <f t="shared" si="7"/>
        <v>4.8899999999999402</v>
      </c>
      <c r="C494" s="398">
        <f>1/DATI!$E$12*IF(B494&lt;DATI!$E$19,DATI!$E$6*DATI!$E$16*DATI!$E$23*DATI!$E$7*(B494/DATI!$E$19+1/(DATI!$E$23*DATI!$E$7)*(1-B494/DATI!$E$19)),IF(B494&lt;DATI!$E$20,DATI!$E$6*DATI!$E$16*DATI!$E$23*DATI!$E$7,IF(B494&lt;DATI!$E$21,DATI!$E$6*DATI!$E$16*DATI!$E$23*DATI!$E$7*(DATI!$E$20/B494),DATI!$E$6*DATI!$E$16*DATI!$E$23*DATI!$E$7*((DATI!$E$20*DATI!$E$21)/B494^2))))</f>
        <v>3.7377468627328526E-2</v>
      </c>
      <c r="D494" s="237"/>
      <c r="E494" s="318"/>
      <c r="F494" s="318"/>
      <c r="G494" s="318"/>
      <c r="H494" s="318"/>
      <c r="I494" s="318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</row>
    <row r="495" spans="1:19" x14ac:dyDescent="0.25">
      <c r="A495" s="318"/>
      <c r="B495" s="389">
        <f t="shared" si="7"/>
        <v>4.89999999999994</v>
      </c>
      <c r="C495" s="398">
        <f>1/DATI!$E$12*IF(B495&lt;DATI!$E$19,DATI!$E$6*DATI!$E$16*DATI!$E$23*DATI!$E$7*(B495/DATI!$E$19+1/(DATI!$E$23*DATI!$E$7)*(1-B495/DATI!$E$19)),IF(B495&lt;DATI!$E$20,DATI!$E$6*DATI!$E$16*DATI!$E$23*DATI!$E$7,IF(B495&lt;DATI!$E$21,DATI!$E$6*DATI!$E$16*DATI!$E$23*DATI!$E$7*(DATI!$E$20/B495),DATI!$E$6*DATI!$E$16*DATI!$E$23*DATI!$E$7*((DATI!$E$20*DATI!$E$21)/B495^2))))</f>
        <v>3.7225063205478658E-2</v>
      </c>
      <c r="D495" s="237"/>
      <c r="E495" s="318"/>
      <c r="F495" s="318"/>
      <c r="G495" s="318"/>
      <c r="H495" s="318"/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</row>
    <row r="496" spans="1:19" x14ac:dyDescent="0.25">
      <c r="A496" s="318"/>
      <c r="B496" s="389">
        <f t="shared" si="7"/>
        <v>4.9099999999999397</v>
      </c>
      <c r="C496" s="398">
        <f>1/DATI!$E$12*IF(B496&lt;DATI!$E$19,DATI!$E$6*DATI!$E$16*DATI!$E$23*DATI!$E$7*(B496/DATI!$E$19+1/(DATI!$E$23*DATI!$E$7)*(1-B496/DATI!$E$19)),IF(B496&lt;DATI!$E$20,DATI!$E$6*DATI!$E$16*DATI!$E$23*DATI!$E$7,IF(B496&lt;DATI!$E$21,DATI!$E$6*DATI!$E$16*DATI!$E$23*DATI!$E$7*(DATI!$E$20/B496),DATI!$E$6*DATI!$E$16*DATI!$E$23*DATI!$E$7*((DATI!$E$20*DATI!$E$21)/B496^2))))</f>
        <v>3.7073588029066691E-2</v>
      </c>
      <c r="D496" s="237"/>
      <c r="E496" s="318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</row>
    <row r="497" spans="1:19" x14ac:dyDescent="0.25">
      <c r="A497" s="318"/>
      <c r="B497" s="389">
        <f t="shared" si="7"/>
        <v>4.9199999999999395</v>
      </c>
      <c r="C497" s="398">
        <f>1/DATI!$E$12*IF(B497&lt;DATI!$E$19,DATI!$E$6*DATI!$E$16*DATI!$E$23*DATI!$E$7*(B497/DATI!$E$19+1/(DATI!$E$23*DATI!$E$7)*(1-B497/DATI!$E$19)),IF(B497&lt;DATI!$E$20,DATI!$E$6*DATI!$E$16*DATI!$E$23*DATI!$E$7,IF(B497&lt;DATI!$E$21,DATI!$E$6*DATI!$E$16*DATI!$E$23*DATI!$E$7*(DATI!$E$20/B497),DATI!$E$6*DATI!$E$16*DATI!$E$23*DATI!$E$7*((DATI!$E$20*DATI!$E$21)/B497^2))))</f>
        <v>3.6923035542812753E-2</v>
      </c>
      <c r="D497" s="237"/>
      <c r="E497" s="318"/>
      <c r="F497" s="318"/>
      <c r="G497" s="318"/>
      <c r="H497" s="318"/>
      <c r="I497" s="318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</row>
    <row r="498" spans="1:19" x14ac:dyDescent="0.25">
      <c r="A498" s="318"/>
      <c r="B498" s="389">
        <f t="shared" si="7"/>
        <v>4.9299999999999393</v>
      </c>
      <c r="C498" s="398">
        <f>1/DATI!$E$12*IF(B498&lt;DATI!$E$19,DATI!$E$6*DATI!$E$16*DATI!$E$23*DATI!$E$7*(B498/DATI!$E$19+1/(DATI!$E$23*DATI!$E$7)*(1-B498/DATI!$E$19)),IF(B498&lt;DATI!$E$20,DATI!$E$6*DATI!$E$16*DATI!$E$23*DATI!$E$7,IF(B498&lt;DATI!$E$21,DATI!$E$6*DATI!$E$16*DATI!$E$23*DATI!$E$7*(DATI!$E$20/B498),DATI!$E$6*DATI!$E$16*DATI!$E$23*DATI!$E$7*((DATI!$E$20*DATI!$E$21)/B498^2))))</f>
        <v>3.6773398267984751E-2</v>
      </c>
      <c r="D498" s="237"/>
      <c r="E498" s="318"/>
      <c r="F498" s="318"/>
      <c r="G498" s="318"/>
      <c r="H498" s="318"/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</row>
    <row r="499" spans="1:19" x14ac:dyDescent="0.25">
      <c r="A499" s="318"/>
      <c r="B499" s="389">
        <f t="shared" si="7"/>
        <v>4.9399999999999391</v>
      </c>
      <c r="C499" s="398">
        <f>1/DATI!$E$12*IF(B499&lt;DATI!$E$19,DATI!$E$6*DATI!$E$16*DATI!$E$23*DATI!$E$7*(B499/DATI!$E$19+1/(DATI!$E$23*DATI!$E$7)*(1-B499/DATI!$E$19)),IF(B499&lt;DATI!$E$20,DATI!$E$6*DATI!$E$16*DATI!$E$23*DATI!$E$7,IF(B499&lt;DATI!$E$21,DATI!$E$6*DATI!$E$16*DATI!$E$23*DATI!$E$7*(DATI!$E$20/B499),DATI!$E$6*DATI!$E$16*DATI!$E$23*DATI!$E$7*((DATI!$E$20*DATI!$E$21)/B499^2))))</f>
        <v>3.6624668801469563E-2</v>
      </c>
      <c r="D499" s="237"/>
      <c r="E499" s="318"/>
      <c r="F499" s="318"/>
      <c r="G499" s="318"/>
      <c r="H499" s="318"/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</row>
    <row r="500" spans="1:19" x14ac:dyDescent="0.25">
      <c r="A500" s="318"/>
      <c r="B500" s="389">
        <f t="shared" si="7"/>
        <v>4.9499999999999389</v>
      </c>
      <c r="C500" s="398">
        <f>1/DATI!$E$12*IF(B500&lt;DATI!$E$19,DATI!$E$6*DATI!$E$16*DATI!$E$23*DATI!$E$7*(B500/DATI!$E$19+1/(DATI!$E$23*DATI!$E$7)*(1-B500/DATI!$E$19)),IF(B500&lt;DATI!$E$20,DATI!$E$6*DATI!$E$16*DATI!$E$23*DATI!$E$7,IF(B500&lt;DATI!$E$21,DATI!$E$6*DATI!$E$16*DATI!$E$23*DATI!$E$7*(DATI!$E$20/B500),DATI!$E$6*DATI!$E$16*DATI!$E$23*DATI!$E$7*((DATI!$E$20*DATI!$E$21)/B500^2))))</f>
        <v>3.647683981485738E-2</v>
      </c>
      <c r="D500" s="237"/>
      <c r="E500" s="318"/>
      <c r="F500" s="318"/>
      <c r="G500" s="318"/>
      <c r="H500" s="318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</row>
    <row r="501" spans="1:19" x14ac:dyDescent="0.25">
      <c r="A501" s="318"/>
      <c r="B501" s="389">
        <f t="shared" si="7"/>
        <v>4.9599999999999387</v>
      </c>
      <c r="C501" s="398">
        <f>1/DATI!$E$12*IF(B501&lt;DATI!$E$19,DATI!$E$6*DATI!$E$16*DATI!$E$23*DATI!$E$7*(B501/DATI!$E$19+1/(DATI!$E$23*DATI!$E$7)*(1-B501/DATI!$E$19)),IF(B501&lt;DATI!$E$20,DATI!$E$6*DATI!$E$16*DATI!$E$23*DATI!$E$7,IF(B501&lt;DATI!$E$21,DATI!$E$6*DATI!$E$16*DATI!$E$23*DATI!$E$7*(DATI!$E$20/B501),DATI!$E$6*DATI!$E$16*DATI!$E$23*DATI!$E$7*((DATI!$E$20*DATI!$E$21)/B501^2))))</f>
        <v>3.6329904053538913E-2</v>
      </c>
      <c r="D501" s="237"/>
      <c r="E501" s="318"/>
      <c r="F501" s="318"/>
      <c r="G501" s="318"/>
      <c r="H501" s="318"/>
      <c r="I501" s="318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</row>
    <row r="502" spans="1:19" x14ac:dyDescent="0.25">
      <c r="A502" s="318"/>
      <c r="B502" s="389">
        <f t="shared" si="7"/>
        <v>4.9699999999999385</v>
      </c>
      <c r="C502" s="398">
        <f>1/DATI!$E$12*IF(B502&lt;DATI!$E$19,DATI!$E$6*DATI!$E$16*DATI!$E$23*DATI!$E$7*(B502/DATI!$E$19+1/(DATI!$E$23*DATI!$E$7)*(1-B502/DATI!$E$19)),IF(B502&lt;DATI!$E$20,DATI!$E$6*DATI!$E$16*DATI!$E$23*DATI!$E$7,IF(B502&lt;DATI!$E$21,DATI!$E$6*DATI!$E$16*DATI!$E$23*DATI!$E$7*(DATI!$E$20/B502),DATI!$E$6*DATI!$E$16*DATI!$E$23*DATI!$E$7*((DATI!$E$20*DATI!$E$21)/B502^2))))</f>
        <v>3.6183854335815405E-2</v>
      </c>
      <c r="D502" s="237"/>
      <c r="E502" s="318"/>
      <c r="F502" s="318"/>
      <c r="G502" s="318"/>
      <c r="H502" s="318"/>
      <c r="I502" s="318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</row>
    <row r="503" spans="1:19" x14ac:dyDescent="0.25">
      <c r="A503" s="318"/>
      <c r="B503" s="389">
        <f t="shared" si="7"/>
        <v>4.9799999999999383</v>
      </c>
      <c r="C503" s="398">
        <f>1/DATI!$E$12*IF(B503&lt;DATI!$E$19,DATI!$E$6*DATI!$E$16*DATI!$E$23*DATI!$E$7*(B503/DATI!$E$19+1/(DATI!$E$23*DATI!$E$7)*(1-B503/DATI!$E$19)),IF(B503&lt;DATI!$E$20,DATI!$E$6*DATI!$E$16*DATI!$E$23*DATI!$E$7,IF(B503&lt;DATI!$E$21,DATI!$E$6*DATI!$E$16*DATI!$E$23*DATI!$E$7*(DATI!$E$20/B503),DATI!$E$6*DATI!$E$16*DATI!$E$23*DATI!$E$7*((DATI!$E$20*DATI!$E$21)/B503^2))))</f>
        <v>3.6038683552021056E-2</v>
      </c>
      <c r="D503" s="237"/>
      <c r="E503" s="318"/>
      <c r="F503" s="318"/>
      <c r="G503" s="318"/>
      <c r="H503" s="318"/>
      <c r="I503" s="318"/>
      <c r="J503" s="318"/>
      <c r="K503" s="318"/>
      <c r="L503" s="318"/>
      <c r="M503" s="318"/>
      <c r="N503" s="318"/>
      <c r="O503" s="318"/>
      <c r="P503" s="318"/>
      <c r="Q503" s="318"/>
      <c r="R503" s="318"/>
      <c r="S503" s="318"/>
    </row>
    <row r="504" spans="1:19" x14ac:dyDescent="0.25">
      <c r="A504" s="318"/>
      <c r="B504" s="389">
        <f t="shared" si="7"/>
        <v>4.989999999999938</v>
      </c>
      <c r="C504" s="398">
        <f>1/DATI!$E$12*IF(B504&lt;DATI!$E$19,DATI!$E$6*DATI!$E$16*DATI!$E$23*DATI!$E$7*(B504/DATI!$E$19+1/(DATI!$E$23*DATI!$E$7)*(1-B504/DATI!$E$19)),IF(B504&lt;DATI!$E$20,DATI!$E$6*DATI!$E$16*DATI!$E$23*DATI!$E$7,IF(B504&lt;DATI!$E$21,DATI!$E$6*DATI!$E$16*DATI!$E$23*DATI!$E$7*(DATI!$E$20/B504),DATI!$E$6*DATI!$E$16*DATI!$E$23*DATI!$E$7*((DATI!$E$20*DATI!$E$21)/B504^2))))</f>
        <v>3.5894384663657693E-2</v>
      </c>
      <c r="D504" s="237"/>
      <c r="E504" s="318"/>
      <c r="F504" s="318"/>
      <c r="G504" s="318"/>
      <c r="H504" s="318"/>
      <c r="I504" s="318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</row>
    <row r="505" spans="1:19" x14ac:dyDescent="0.25">
      <c r="A505" s="318"/>
      <c r="B505" s="389">
        <f t="shared" si="7"/>
        <v>4.9999999999999378</v>
      </c>
      <c r="C505" s="398">
        <f>1/DATI!$E$12*IF(B505&lt;DATI!$E$19,DATI!$E$6*DATI!$E$16*DATI!$E$23*DATI!$E$7*(B505/DATI!$E$19+1/(DATI!$E$23*DATI!$E$7)*(1-B505/DATI!$E$19)),IF(B505&lt;DATI!$E$20,DATI!$E$6*DATI!$E$16*DATI!$E$23*DATI!$E$7,IF(B505&lt;DATI!$E$21,DATI!$E$6*DATI!$E$16*DATI!$E$23*DATI!$E$7*(DATI!$E$20/B505),DATI!$E$6*DATI!$E$16*DATI!$E$23*DATI!$E$7*((DATI!$E$20*DATI!$E$21)/B505^2))))</f>
        <v>3.5750950702541716E-2</v>
      </c>
      <c r="D505" s="237"/>
      <c r="E505" s="318"/>
      <c r="F505" s="318"/>
      <c r="G505" s="318"/>
      <c r="H505" s="318"/>
      <c r="I505" s="318"/>
      <c r="J505" s="318"/>
      <c r="K505" s="318"/>
      <c r="L505" s="318"/>
      <c r="M505" s="318"/>
      <c r="N505" s="318"/>
      <c r="O505" s="318"/>
      <c r="P505" s="318"/>
      <c r="Q505" s="318"/>
      <c r="R505" s="318"/>
      <c r="S505" s="318"/>
    </row>
    <row r="506" spans="1:19" x14ac:dyDescent="0.25">
      <c r="A506" s="318"/>
      <c r="B506" s="3"/>
      <c r="C506" s="3"/>
      <c r="D506" s="3"/>
      <c r="E506" s="318"/>
      <c r="F506" s="318"/>
      <c r="G506" s="318"/>
      <c r="H506" s="318"/>
      <c r="I506" s="318"/>
      <c r="J506" s="318"/>
      <c r="K506" s="318"/>
      <c r="L506" s="318"/>
      <c r="M506" s="318"/>
      <c r="N506" s="318"/>
      <c r="O506" s="318"/>
      <c r="P506" s="318"/>
      <c r="Q506" s="318"/>
      <c r="R506" s="318"/>
      <c r="S506" s="318"/>
    </row>
    <row r="507" spans="1:19" x14ac:dyDescent="0.25">
      <c r="A507" s="318"/>
      <c r="B507" s="3"/>
      <c r="C507" s="3"/>
      <c r="D507" s="3"/>
      <c r="E507" s="318"/>
      <c r="F507" s="318"/>
      <c r="G507" s="318"/>
      <c r="H507" s="318"/>
      <c r="I507" s="318"/>
      <c r="J507" s="318"/>
      <c r="K507" s="318"/>
      <c r="L507" s="318"/>
      <c r="M507" s="318"/>
      <c r="N507" s="318"/>
      <c r="O507" s="318"/>
      <c r="P507" s="318"/>
      <c r="Q507" s="318"/>
      <c r="R507" s="318"/>
      <c r="S507" s="318"/>
    </row>
    <row r="508" spans="1:19" x14ac:dyDescent="0.25">
      <c r="A508" s="318"/>
      <c r="B508" s="3"/>
      <c r="C508" s="3"/>
      <c r="D508" s="3"/>
      <c r="E508" s="318"/>
      <c r="F508" s="318"/>
      <c r="G508" s="318"/>
      <c r="H508" s="318"/>
      <c r="I508" s="318"/>
      <c r="J508" s="318"/>
      <c r="K508" s="318"/>
      <c r="L508" s="318"/>
      <c r="M508" s="318"/>
      <c r="N508" s="318"/>
      <c r="O508" s="318"/>
      <c r="P508" s="318"/>
      <c r="Q508" s="318"/>
      <c r="R508" s="318"/>
      <c r="S508" s="318"/>
    </row>
    <row r="509" spans="1:19" x14ac:dyDescent="0.25">
      <c r="A509" s="318"/>
      <c r="B509" s="3"/>
      <c r="C509" s="3"/>
      <c r="D509" s="3"/>
      <c r="E509" s="318"/>
      <c r="F509" s="318"/>
      <c r="G509" s="318"/>
      <c r="H509" s="318"/>
      <c r="I509" s="318"/>
      <c r="J509" s="318"/>
      <c r="K509" s="318"/>
      <c r="L509" s="318"/>
      <c r="M509" s="318"/>
      <c r="N509" s="318"/>
      <c r="O509" s="318"/>
      <c r="P509" s="318"/>
      <c r="Q509" s="318"/>
      <c r="R509" s="318"/>
      <c r="S509" s="318"/>
    </row>
    <row r="510" spans="1:19" x14ac:dyDescent="0.25">
      <c r="B510" s="3"/>
      <c r="C510" s="3"/>
      <c r="D510" s="3"/>
      <c r="E510" s="2"/>
      <c r="F510" s="2"/>
      <c r="G510" s="2"/>
      <c r="H510" s="2"/>
      <c r="I510" s="2"/>
      <c r="J510" s="2"/>
      <c r="K510" s="2"/>
    </row>
    <row r="511" spans="1:19" x14ac:dyDescent="0.25">
      <c r="B511" s="3"/>
      <c r="C511" s="3"/>
      <c r="D511" s="3"/>
      <c r="E511" s="2"/>
      <c r="F511" s="2"/>
      <c r="G511" s="2"/>
      <c r="H511" s="2"/>
      <c r="I511" s="2"/>
      <c r="J511" s="2"/>
      <c r="K511" s="2"/>
    </row>
    <row r="512" spans="1:19" x14ac:dyDescent="0.25">
      <c r="B512" s="3"/>
      <c r="C512" s="3"/>
      <c r="D512" s="3"/>
      <c r="E512" s="2"/>
      <c r="F512" s="2"/>
      <c r="G512" s="2"/>
      <c r="H512" s="2"/>
      <c r="I512" s="2"/>
      <c r="J512" s="2"/>
      <c r="K512" s="2"/>
    </row>
    <row r="513" spans="2:11" x14ac:dyDescent="0.25">
      <c r="B513" s="3"/>
      <c r="C513" s="3"/>
      <c r="D513" s="3"/>
      <c r="E513" s="2"/>
      <c r="F513" s="2"/>
      <c r="G513" s="2"/>
      <c r="H513" s="2"/>
      <c r="I513" s="2"/>
      <c r="J513" s="2"/>
      <c r="K513" s="2"/>
    </row>
    <row r="514" spans="2:11" x14ac:dyDescent="0.25">
      <c r="B514" s="3"/>
      <c r="C514" s="3"/>
      <c r="D514" s="3"/>
      <c r="E514" s="2"/>
      <c r="F514" s="2"/>
      <c r="G514" s="2"/>
      <c r="H514" s="2"/>
      <c r="I514" s="2"/>
      <c r="J514" s="2"/>
      <c r="K514" s="2"/>
    </row>
    <row r="515" spans="2:11" x14ac:dyDescent="0.25">
      <c r="B515" s="3"/>
      <c r="C515" s="3"/>
      <c r="D515" s="3"/>
      <c r="E515" s="2"/>
      <c r="F515" s="2"/>
      <c r="G515" s="2"/>
      <c r="H515" s="2"/>
      <c r="I515" s="2"/>
      <c r="J515" s="2"/>
      <c r="K515" s="2"/>
    </row>
    <row r="516" spans="2:11" x14ac:dyDescent="0.25">
      <c r="B516" s="3"/>
      <c r="C516" s="3"/>
      <c r="D516" s="3"/>
      <c r="E516" s="2"/>
      <c r="F516" s="2"/>
      <c r="G516" s="2"/>
      <c r="H516" s="2"/>
      <c r="I516" s="2"/>
      <c r="J516" s="2"/>
      <c r="K516" s="2"/>
    </row>
    <row r="517" spans="2:11" x14ac:dyDescent="0.25">
      <c r="B517" s="3"/>
      <c r="C517" s="3"/>
      <c r="D517" s="3"/>
      <c r="E517" s="2"/>
      <c r="F517" s="2"/>
      <c r="G517" s="2"/>
      <c r="H517" s="2"/>
      <c r="I517" s="2"/>
      <c r="J517" s="2"/>
      <c r="K517" s="2"/>
    </row>
    <row r="518" spans="2:11" x14ac:dyDescent="0.25">
      <c r="B518" s="3"/>
      <c r="C518" s="3"/>
      <c r="D518" s="3"/>
      <c r="E518" s="2"/>
      <c r="F518" s="2"/>
      <c r="G518" s="2"/>
      <c r="H518" s="2"/>
      <c r="I518" s="2"/>
      <c r="J518" s="2"/>
      <c r="K518" s="2"/>
    </row>
    <row r="519" spans="2:11" x14ac:dyDescent="0.25">
      <c r="B519" s="3"/>
      <c r="C519" s="3"/>
      <c r="D519" s="3"/>
      <c r="E519" s="2"/>
      <c r="F519" s="2"/>
      <c r="G519" s="2"/>
      <c r="H519" s="2"/>
      <c r="I519" s="2"/>
      <c r="J519" s="2"/>
      <c r="K519" s="2"/>
    </row>
    <row r="520" spans="2:11" x14ac:dyDescent="0.25">
      <c r="B520" s="3"/>
      <c r="C520" s="3"/>
      <c r="D520" s="3"/>
      <c r="E520" s="2"/>
      <c r="F520" s="2"/>
      <c r="G520" s="2"/>
      <c r="H520" s="2"/>
      <c r="I520" s="2"/>
      <c r="J520" s="2"/>
      <c r="K520" s="2"/>
    </row>
    <row r="521" spans="2:11" x14ac:dyDescent="0.25">
      <c r="B521" s="3"/>
      <c r="C521" s="3"/>
      <c r="D521" s="3"/>
      <c r="E521" s="2"/>
      <c r="F521" s="2"/>
      <c r="G521" s="2"/>
      <c r="H521" s="2"/>
      <c r="I521" s="2"/>
      <c r="J521" s="2"/>
      <c r="K521" s="2"/>
    </row>
    <row r="522" spans="2:11" x14ac:dyDescent="0.25">
      <c r="B522" s="3"/>
      <c r="C522" s="3"/>
      <c r="D522" s="3"/>
      <c r="E522" s="2"/>
      <c r="F522" s="2"/>
      <c r="G522" s="2"/>
      <c r="H522" s="2"/>
      <c r="I522" s="2"/>
      <c r="J522" s="2"/>
      <c r="K522" s="2"/>
    </row>
    <row r="523" spans="2:11" x14ac:dyDescent="0.25">
      <c r="B523" s="3"/>
      <c r="C523" s="3"/>
      <c r="D523" s="3"/>
      <c r="E523" s="2"/>
      <c r="F523" s="2"/>
      <c r="G523" s="2"/>
      <c r="H523" s="2"/>
      <c r="I523" s="2"/>
      <c r="J523" s="2"/>
      <c r="K523" s="2"/>
    </row>
    <row r="524" spans="2:11" x14ac:dyDescent="0.25">
      <c r="B524" s="3"/>
      <c r="C524" s="3"/>
      <c r="D524" s="3"/>
      <c r="E524" s="2"/>
      <c r="F524" s="2"/>
      <c r="G524" s="2"/>
      <c r="H524" s="2"/>
      <c r="I524" s="2"/>
      <c r="J524" s="2"/>
      <c r="K524" s="2"/>
    </row>
    <row r="525" spans="2:11" x14ac:dyDescent="0.25">
      <c r="B525" s="3"/>
      <c r="C525" s="3"/>
      <c r="D525" s="3"/>
      <c r="E525" s="2"/>
      <c r="F525" s="2"/>
      <c r="G525" s="2"/>
      <c r="H525" s="2"/>
      <c r="I525" s="2"/>
      <c r="J525" s="2"/>
      <c r="K525" s="2"/>
    </row>
    <row r="526" spans="2:11" x14ac:dyDescent="0.25">
      <c r="B526" s="3"/>
      <c r="C526" s="3"/>
      <c r="D526" s="3"/>
      <c r="E526" s="2"/>
      <c r="F526" s="2"/>
      <c r="G526" s="2"/>
      <c r="H526" s="2"/>
      <c r="I526" s="2"/>
      <c r="J526" s="2"/>
      <c r="K526" s="2"/>
    </row>
    <row r="527" spans="2:11" x14ac:dyDescent="0.25">
      <c r="B527" s="3"/>
      <c r="C527" s="3"/>
      <c r="D527" s="3"/>
      <c r="E527" s="2"/>
      <c r="F527" s="2"/>
      <c r="G527" s="2"/>
      <c r="H527" s="2"/>
      <c r="I527" s="2"/>
      <c r="J527" s="2"/>
      <c r="K527" s="2"/>
    </row>
    <row r="528" spans="2:11" x14ac:dyDescent="0.25">
      <c r="B528" s="3"/>
      <c r="C528" s="3"/>
      <c r="D528" s="3"/>
      <c r="E528" s="2"/>
      <c r="F528" s="2"/>
      <c r="G528" s="2"/>
      <c r="H528" s="2"/>
      <c r="I528" s="2"/>
      <c r="J528" s="2"/>
      <c r="K528" s="2"/>
    </row>
    <row r="529" spans="2:11" x14ac:dyDescent="0.25">
      <c r="B529" s="3"/>
      <c r="C529" s="3"/>
      <c r="D529" s="3"/>
      <c r="E529" s="2"/>
      <c r="F529" s="2"/>
      <c r="G529" s="2"/>
      <c r="H529" s="2"/>
      <c r="I529" s="2"/>
      <c r="J529" s="2"/>
      <c r="K529" s="2"/>
    </row>
    <row r="530" spans="2:11" x14ac:dyDescent="0.25">
      <c r="B530" s="3"/>
      <c r="C530" s="3"/>
      <c r="D530" s="3"/>
      <c r="E530" s="2"/>
      <c r="F530" s="2"/>
      <c r="G530" s="2"/>
      <c r="H530" s="2"/>
      <c r="I530" s="2"/>
      <c r="J530" s="2"/>
      <c r="K530" s="2"/>
    </row>
    <row r="531" spans="2:11" x14ac:dyDescent="0.25">
      <c r="B531" s="3"/>
      <c r="C531" s="3"/>
      <c r="D531" s="3"/>
      <c r="E531" s="2"/>
      <c r="F531" s="2"/>
      <c r="G531" s="2"/>
      <c r="H531" s="2"/>
      <c r="I531" s="2"/>
      <c r="J531" s="2"/>
      <c r="K531" s="2"/>
    </row>
    <row r="532" spans="2:11" x14ac:dyDescent="0.25">
      <c r="B532" s="3"/>
      <c r="C532" s="3"/>
      <c r="D532" s="3"/>
      <c r="E532" s="2"/>
      <c r="F532" s="2"/>
      <c r="G532" s="2"/>
      <c r="H532" s="2"/>
      <c r="I532" s="2"/>
      <c r="J532" s="2"/>
      <c r="K532" s="2"/>
    </row>
    <row r="533" spans="2:11" x14ac:dyDescent="0.25">
      <c r="B533" s="3"/>
      <c r="C533" s="3"/>
      <c r="D533" s="3"/>
      <c r="E533" s="2"/>
      <c r="F533" s="2"/>
      <c r="G533" s="2"/>
      <c r="H533" s="2"/>
      <c r="I533" s="2"/>
      <c r="J533" s="2"/>
      <c r="K533" s="2"/>
    </row>
    <row r="534" spans="2:11" x14ac:dyDescent="0.25">
      <c r="B534" s="3"/>
      <c r="C534" s="3"/>
      <c r="D534" s="3"/>
      <c r="E534" s="2"/>
      <c r="F534" s="2"/>
      <c r="G534" s="2"/>
      <c r="H534" s="2"/>
      <c r="I534" s="2"/>
      <c r="J534" s="2"/>
      <c r="K534" s="2"/>
    </row>
    <row r="535" spans="2:11" x14ac:dyDescent="0.25">
      <c r="B535" s="3"/>
      <c r="C535" s="3"/>
      <c r="D535" s="3"/>
      <c r="E535" s="2"/>
      <c r="F535" s="2"/>
      <c r="G535" s="2"/>
      <c r="H535" s="2"/>
      <c r="I535" s="2"/>
      <c r="J535" s="2"/>
      <c r="K535" s="2"/>
    </row>
    <row r="536" spans="2:11" x14ac:dyDescent="0.25">
      <c r="B536" s="3"/>
      <c r="C536" s="3"/>
      <c r="D536" s="3"/>
      <c r="E536" s="2"/>
      <c r="F536" s="2"/>
      <c r="G536" s="2"/>
      <c r="H536" s="2"/>
      <c r="I536" s="2"/>
      <c r="J536" s="2"/>
      <c r="K536" s="2"/>
    </row>
    <row r="537" spans="2:11" x14ac:dyDescent="0.25">
      <c r="B537" s="3"/>
      <c r="C537" s="3"/>
      <c r="D537" s="3"/>
      <c r="E537" s="2"/>
      <c r="F537" s="2"/>
      <c r="G537" s="2"/>
      <c r="H537" s="2"/>
      <c r="I537" s="2"/>
      <c r="J537" s="2"/>
      <c r="K537" s="2"/>
    </row>
    <row r="538" spans="2:11" x14ac:dyDescent="0.25">
      <c r="B538" s="3"/>
      <c r="C538" s="3"/>
      <c r="D538" s="3"/>
      <c r="E538" s="2"/>
      <c r="F538" s="2"/>
      <c r="G538" s="2"/>
      <c r="H538" s="2"/>
      <c r="I538" s="2"/>
      <c r="J538" s="2"/>
      <c r="K538" s="2"/>
    </row>
    <row r="539" spans="2:11" x14ac:dyDescent="0.25">
      <c r="B539" s="3"/>
      <c r="C539" s="3"/>
      <c r="D539" s="3"/>
      <c r="E539" s="2"/>
      <c r="F539" s="2"/>
      <c r="G539" s="2"/>
      <c r="H539" s="2"/>
      <c r="I539" s="2"/>
      <c r="J539" s="2"/>
      <c r="K539" s="2"/>
    </row>
    <row r="540" spans="2:11" x14ac:dyDescent="0.25">
      <c r="B540" s="3"/>
      <c r="C540" s="3"/>
      <c r="D540" s="3"/>
      <c r="E540" s="2"/>
      <c r="F540" s="2"/>
      <c r="G540" s="2"/>
      <c r="H540" s="2"/>
      <c r="I540" s="2"/>
      <c r="J540" s="2"/>
      <c r="K540" s="2"/>
    </row>
    <row r="541" spans="2:11" x14ac:dyDescent="0.25">
      <c r="B541" s="3"/>
      <c r="C541" s="3"/>
      <c r="D541" s="3"/>
      <c r="E541" s="2"/>
      <c r="F541" s="2"/>
      <c r="G541" s="2"/>
      <c r="H541" s="2"/>
      <c r="I541" s="2"/>
      <c r="J541" s="2"/>
      <c r="K541" s="2"/>
    </row>
    <row r="542" spans="2:11" x14ac:dyDescent="0.25">
      <c r="B542" s="3"/>
      <c r="C542" s="3"/>
      <c r="D542" s="3"/>
      <c r="E542" s="2"/>
      <c r="F542" s="2"/>
      <c r="G542" s="2"/>
      <c r="H542" s="2"/>
      <c r="I542" s="2"/>
      <c r="J542" s="2"/>
      <c r="K542" s="2"/>
    </row>
    <row r="543" spans="2:11" x14ac:dyDescent="0.25">
      <c r="B543" s="3"/>
      <c r="C543" s="3"/>
      <c r="D543" s="3"/>
      <c r="E543" s="2"/>
      <c r="F543" s="2"/>
      <c r="G543" s="2"/>
      <c r="H543" s="2"/>
      <c r="I543" s="2"/>
      <c r="J543" s="2"/>
      <c r="K543" s="2"/>
    </row>
    <row r="544" spans="2:11" x14ac:dyDescent="0.25">
      <c r="B544" s="3"/>
      <c r="C544" s="3"/>
      <c r="D544" s="3"/>
      <c r="E544" s="2"/>
      <c r="F544" s="2"/>
      <c r="G544" s="2"/>
      <c r="H544" s="2"/>
      <c r="I544" s="2"/>
      <c r="J544" s="2"/>
      <c r="K544" s="2"/>
    </row>
    <row r="545" spans="2:11" x14ac:dyDescent="0.25">
      <c r="B545" s="3"/>
      <c r="C545" s="3"/>
      <c r="D545" s="3"/>
      <c r="E545" s="2"/>
      <c r="F545" s="2"/>
      <c r="G545" s="2"/>
      <c r="H545" s="2"/>
      <c r="I545" s="2"/>
      <c r="J545" s="2"/>
      <c r="K545" s="2"/>
    </row>
    <row r="546" spans="2:11" x14ac:dyDescent="0.25">
      <c r="B546" s="3"/>
      <c r="C546" s="3"/>
      <c r="D546" s="3"/>
      <c r="E546" s="2"/>
      <c r="F546" s="2"/>
      <c r="G546" s="2"/>
      <c r="H546" s="2"/>
      <c r="I546" s="2"/>
      <c r="J546" s="2"/>
      <c r="K546" s="2"/>
    </row>
    <row r="547" spans="2:11" x14ac:dyDescent="0.25">
      <c r="B547" s="3"/>
      <c r="C547" s="3"/>
      <c r="D547" s="3"/>
      <c r="E547" s="2"/>
      <c r="F547" s="2"/>
      <c r="G547" s="2"/>
      <c r="H547" s="2"/>
      <c r="I547" s="2"/>
      <c r="J547" s="2"/>
      <c r="K547" s="2"/>
    </row>
    <row r="548" spans="2:11" x14ac:dyDescent="0.25">
      <c r="B548" s="3"/>
      <c r="C548" s="3"/>
      <c r="D548" s="3"/>
      <c r="E548" s="2"/>
      <c r="F548" s="2"/>
      <c r="G548" s="2"/>
      <c r="H548" s="2"/>
      <c r="I548" s="2"/>
      <c r="J548" s="2"/>
      <c r="K548" s="2"/>
    </row>
    <row r="549" spans="2:11" x14ac:dyDescent="0.25">
      <c r="B549" s="3"/>
      <c r="C549" s="3"/>
      <c r="D549" s="3"/>
      <c r="E549" s="2"/>
      <c r="F549" s="2"/>
      <c r="G549" s="2"/>
      <c r="H549" s="2"/>
      <c r="I549" s="2"/>
      <c r="J549" s="2"/>
      <c r="K549" s="2"/>
    </row>
    <row r="550" spans="2:11" x14ac:dyDescent="0.25">
      <c r="B550" s="3"/>
      <c r="C550" s="3"/>
      <c r="D550" s="3"/>
      <c r="E550" s="2"/>
      <c r="F550" s="2"/>
      <c r="G550" s="2"/>
      <c r="H550" s="2"/>
      <c r="I550" s="2"/>
      <c r="J550" s="2"/>
      <c r="K550" s="2"/>
    </row>
    <row r="551" spans="2:11" x14ac:dyDescent="0.25">
      <c r="B551" s="3"/>
      <c r="C551" s="3"/>
      <c r="D551" s="3"/>
      <c r="E551" s="2"/>
      <c r="F551" s="2"/>
      <c r="G551" s="2"/>
      <c r="H551" s="2"/>
      <c r="I551" s="2"/>
      <c r="J551" s="2"/>
      <c r="K551" s="2"/>
    </row>
    <row r="552" spans="2:11" x14ac:dyDescent="0.25">
      <c r="B552" s="3"/>
      <c r="C552" s="3"/>
      <c r="D552" s="3"/>
      <c r="E552" s="2"/>
      <c r="F552" s="2"/>
      <c r="G552" s="2"/>
      <c r="H552" s="2"/>
      <c r="I552" s="2"/>
      <c r="J552" s="2"/>
      <c r="K552" s="2"/>
    </row>
    <row r="553" spans="2:11" x14ac:dyDescent="0.25">
      <c r="B553" s="3"/>
      <c r="C553" s="3"/>
      <c r="D553" s="3"/>
      <c r="E553" s="2"/>
      <c r="F553" s="2"/>
      <c r="G553" s="2"/>
      <c r="H553" s="2"/>
      <c r="I553" s="2"/>
      <c r="J553" s="2"/>
      <c r="K553" s="2"/>
    </row>
    <row r="554" spans="2:11" x14ac:dyDescent="0.25">
      <c r="B554" s="3"/>
      <c r="C554" s="3"/>
      <c r="D554" s="3"/>
      <c r="E554" s="2"/>
      <c r="F554" s="2"/>
      <c r="G554" s="2"/>
      <c r="H554" s="2"/>
      <c r="I554" s="2"/>
      <c r="J554" s="2"/>
      <c r="K554" s="2"/>
    </row>
    <row r="555" spans="2:11" x14ac:dyDescent="0.25">
      <c r="B555" s="3"/>
      <c r="C555" s="3"/>
      <c r="D555" s="3"/>
      <c r="E555" s="2"/>
      <c r="F555" s="2"/>
      <c r="G555" s="2"/>
      <c r="H555" s="2"/>
      <c r="I555" s="2"/>
      <c r="J555" s="2"/>
      <c r="K555" s="2"/>
    </row>
    <row r="556" spans="2:11" x14ac:dyDescent="0.25">
      <c r="B556" s="3"/>
      <c r="C556" s="3"/>
      <c r="D556" s="3"/>
      <c r="E556" s="2"/>
      <c r="F556" s="2"/>
      <c r="G556" s="2"/>
      <c r="H556" s="2"/>
      <c r="I556" s="2"/>
      <c r="J556" s="2"/>
      <c r="K556" s="2"/>
    </row>
    <row r="557" spans="2:11" x14ac:dyDescent="0.25">
      <c r="B557" s="3"/>
      <c r="C557" s="3"/>
      <c r="D557" s="3"/>
      <c r="E557" s="2"/>
      <c r="F557" s="2"/>
      <c r="G557" s="2"/>
      <c r="H557" s="2"/>
      <c r="I557" s="2"/>
      <c r="J557" s="2"/>
      <c r="K557" s="2"/>
    </row>
    <row r="558" spans="2:11" x14ac:dyDescent="0.25">
      <c r="B558" s="3"/>
      <c r="C558" s="3"/>
      <c r="D558" s="3"/>
      <c r="E558" s="2"/>
      <c r="F558" s="2"/>
      <c r="G558" s="2"/>
      <c r="H558" s="2"/>
      <c r="I558" s="2"/>
      <c r="J558" s="2"/>
      <c r="K558" s="2"/>
    </row>
    <row r="559" spans="2:11" x14ac:dyDescent="0.25">
      <c r="B559" s="3"/>
      <c r="C559" s="3"/>
      <c r="D559" s="3"/>
      <c r="E559" s="2"/>
      <c r="F559" s="2"/>
      <c r="G559" s="2"/>
      <c r="H559" s="2"/>
      <c r="I559" s="2"/>
      <c r="J559" s="2"/>
      <c r="K559" s="2"/>
    </row>
    <row r="560" spans="2:11" x14ac:dyDescent="0.25">
      <c r="B560" s="3"/>
      <c r="C560" s="3"/>
      <c r="D560" s="3"/>
      <c r="E560" s="2"/>
      <c r="F560" s="2"/>
      <c r="G560" s="2"/>
      <c r="H560" s="2"/>
      <c r="I560" s="2"/>
      <c r="J560" s="2"/>
      <c r="K560" s="2"/>
    </row>
    <row r="561" spans="2:11" x14ac:dyDescent="0.25">
      <c r="B561" s="3"/>
      <c r="C561" s="3"/>
      <c r="D561" s="3"/>
      <c r="E561" s="2"/>
      <c r="F561" s="2"/>
      <c r="G561" s="2"/>
      <c r="H561" s="2"/>
      <c r="I561" s="2"/>
      <c r="J561" s="2"/>
      <c r="K561" s="2"/>
    </row>
    <row r="562" spans="2:11" x14ac:dyDescent="0.25">
      <c r="B562" s="3"/>
      <c r="C562" s="3"/>
      <c r="D562" s="3"/>
      <c r="E562" s="2"/>
      <c r="F562" s="2"/>
      <c r="G562" s="2"/>
      <c r="H562" s="2"/>
      <c r="I562" s="2"/>
      <c r="J562" s="2"/>
      <c r="K562" s="2"/>
    </row>
    <row r="563" spans="2:11" x14ac:dyDescent="0.25">
      <c r="B563" s="3"/>
      <c r="C563" s="3"/>
      <c r="D563" s="3"/>
      <c r="E563" s="2"/>
      <c r="F563" s="2"/>
      <c r="G563" s="2"/>
      <c r="H563" s="2"/>
      <c r="I563" s="2"/>
      <c r="J563" s="2"/>
      <c r="K563" s="2"/>
    </row>
    <row r="564" spans="2:11" x14ac:dyDescent="0.25">
      <c r="B564" s="3"/>
      <c r="C564" s="3"/>
      <c r="D564" s="3"/>
      <c r="E564" s="2"/>
      <c r="F564" s="2"/>
      <c r="G564" s="2"/>
      <c r="H564" s="2"/>
      <c r="I564" s="2"/>
      <c r="J564" s="2"/>
      <c r="K564" s="2"/>
    </row>
    <row r="565" spans="2:11" x14ac:dyDescent="0.25">
      <c r="B565" s="3"/>
      <c r="C565" s="3"/>
      <c r="D565" s="3"/>
      <c r="E565" s="2"/>
      <c r="F565" s="2"/>
      <c r="G565" s="2"/>
      <c r="H565" s="2"/>
      <c r="I565" s="2"/>
      <c r="J565" s="2"/>
      <c r="K565" s="2"/>
    </row>
    <row r="566" spans="2:11" x14ac:dyDescent="0.25">
      <c r="B566" s="3"/>
      <c r="C566" s="3"/>
      <c r="D566" s="3"/>
      <c r="E566" s="2"/>
      <c r="F566" s="2"/>
      <c r="G566" s="2"/>
      <c r="H566" s="2"/>
      <c r="I566" s="2"/>
      <c r="J566" s="2"/>
      <c r="K566" s="2"/>
    </row>
    <row r="567" spans="2:11" x14ac:dyDescent="0.25">
      <c r="B567" s="3"/>
      <c r="C567" s="3"/>
      <c r="D567" s="3"/>
      <c r="E567" s="2"/>
      <c r="F567" s="2"/>
      <c r="G567" s="2"/>
      <c r="H567" s="2"/>
      <c r="I567" s="2"/>
      <c r="J567" s="2"/>
      <c r="K567" s="2"/>
    </row>
    <row r="568" spans="2:11" x14ac:dyDescent="0.25">
      <c r="B568" s="3"/>
      <c r="C568" s="3"/>
      <c r="D568" s="3"/>
      <c r="E568" s="2"/>
      <c r="F568" s="2"/>
      <c r="G568" s="2"/>
      <c r="H568" s="2"/>
      <c r="I568" s="2"/>
      <c r="J568" s="2"/>
      <c r="K568" s="2"/>
    </row>
    <row r="569" spans="2:11" x14ac:dyDescent="0.25">
      <c r="B569" s="3"/>
      <c r="C569" s="3"/>
      <c r="D569" s="3"/>
      <c r="E569" s="2"/>
      <c r="F569" s="2"/>
      <c r="G569" s="2"/>
      <c r="H569" s="2"/>
      <c r="I569" s="2"/>
      <c r="J569" s="2"/>
      <c r="K569" s="2"/>
    </row>
    <row r="570" spans="2:11" x14ac:dyDescent="0.25">
      <c r="B570" s="3"/>
      <c r="C570" s="3"/>
      <c r="D570" s="3"/>
      <c r="E570" s="2"/>
      <c r="F570" s="2"/>
      <c r="G570" s="2"/>
      <c r="H570" s="2"/>
      <c r="I570" s="2"/>
      <c r="J570" s="2"/>
      <c r="K570" s="2"/>
    </row>
    <row r="571" spans="2:11" x14ac:dyDescent="0.25">
      <c r="B571" s="3"/>
      <c r="C571" s="3"/>
      <c r="D571" s="3"/>
      <c r="E571" s="2"/>
      <c r="F571" s="2"/>
      <c r="G571" s="2"/>
      <c r="H571" s="2"/>
      <c r="I571" s="2"/>
      <c r="J571" s="2"/>
      <c r="K571" s="2"/>
    </row>
    <row r="572" spans="2:11" x14ac:dyDescent="0.25">
      <c r="B572" s="3"/>
      <c r="C572" s="3"/>
      <c r="D572" s="3"/>
      <c r="E572" s="2"/>
      <c r="F572" s="2"/>
      <c r="G572" s="2"/>
      <c r="H572" s="2"/>
      <c r="I572" s="2"/>
      <c r="J572" s="2"/>
      <c r="K572" s="2"/>
    </row>
    <row r="573" spans="2:11" x14ac:dyDescent="0.25">
      <c r="B573" s="3"/>
      <c r="C573" s="3"/>
      <c r="D573" s="3"/>
      <c r="E573" s="2"/>
      <c r="F573" s="2"/>
      <c r="G573" s="2"/>
      <c r="H573" s="2"/>
      <c r="I573" s="2"/>
      <c r="J573" s="2"/>
      <c r="K573" s="2"/>
    </row>
    <row r="574" spans="2:11" x14ac:dyDescent="0.25">
      <c r="B574" s="3"/>
      <c r="C574" s="3"/>
      <c r="D574" s="3"/>
      <c r="E574" s="2"/>
      <c r="F574" s="2"/>
      <c r="G574" s="2"/>
      <c r="H574" s="2"/>
      <c r="I574" s="2"/>
      <c r="J574" s="2"/>
      <c r="K574" s="2"/>
    </row>
    <row r="575" spans="2:11" x14ac:dyDescent="0.25">
      <c r="B575" s="3"/>
      <c r="C575" s="3"/>
      <c r="D575" s="3"/>
      <c r="E575" s="2"/>
      <c r="F575" s="2"/>
      <c r="G575" s="2"/>
      <c r="H575" s="2"/>
      <c r="I575" s="2"/>
      <c r="J575" s="2"/>
      <c r="K575" s="2"/>
    </row>
    <row r="576" spans="2:11" x14ac:dyDescent="0.25">
      <c r="B576" s="3"/>
      <c r="C576" s="3"/>
      <c r="D576" s="3"/>
      <c r="E576" s="2"/>
      <c r="F576" s="2"/>
      <c r="G576" s="2"/>
      <c r="H576" s="2"/>
      <c r="I576" s="2"/>
      <c r="J576" s="2"/>
      <c r="K576" s="2"/>
    </row>
    <row r="577" spans="2:11" x14ac:dyDescent="0.25">
      <c r="B577" s="3"/>
      <c r="C577" s="3"/>
      <c r="D577" s="3"/>
      <c r="E577" s="2"/>
      <c r="F577" s="2"/>
      <c r="G577" s="2"/>
      <c r="H577" s="2"/>
      <c r="I577" s="2"/>
      <c r="J577" s="2"/>
      <c r="K577" s="2"/>
    </row>
    <row r="578" spans="2:11" x14ac:dyDescent="0.25">
      <c r="B578" s="3"/>
      <c r="C578" s="3"/>
      <c r="D578" s="3"/>
      <c r="E578" s="2"/>
      <c r="F578" s="2"/>
      <c r="G578" s="2"/>
      <c r="H578" s="2"/>
      <c r="I578" s="2"/>
      <c r="J578" s="2"/>
      <c r="K578" s="2"/>
    </row>
    <row r="579" spans="2:11" x14ac:dyDescent="0.25">
      <c r="B579" s="3"/>
      <c r="C579" s="3"/>
      <c r="D579" s="3"/>
      <c r="E579" s="2"/>
      <c r="F579" s="2"/>
      <c r="G579" s="2"/>
      <c r="H579" s="2"/>
      <c r="I579" s="2"/>
      <c r="J579" s="2"/>
      <c r="K579" s="2"/>
    </row>
    <row r="580" spans="2:11" x14ac:dyDescent="0.25">
      <c r="B580" s="3"/>
      <c r="C580" s="3"/>
      <c r="D580" s="3"/>
      <c r="E580" s="2"/>
      <c r="F580" s="2"/>
      <c r="G580" s="2"/>
      <c r="H580" s="2"/>
      <c r="I580" s="2"/>
      <c r="J580" s="2"/>
      <c r="K580" s="2"/>
    </row>
    <row r="581" spans="2:11" x14ac:dyDescent="0.25">
      <c r="B581" s="3"/>
      <c r="C581" s="3"/>
      <c r="D581" s="3"/>
      <c r="E581" s="2"/>
      <c r="F581" s="2"/>
      <c r="G581" s="2"/>
      <c r="H581" s="2"/>
      <c r="I581" s="2"/>
      <c r="J581" s="2"/>
      <c r="K581" s="2"/>
    </row>
    <row r="582" spans="2:11" x14ac:dyDescent="0.25">
      <c r="B582" s="3"/>
      <c r="C582" s="3"/>
      <c r="D582" s="3"/>
      <c r="E582" s="2"/>
      <c r="F582" s="2"/>
      <c r="G582" s="2"/>
      <c r="H582" s="2"/>
      <c r="I582" s="2"/>
      <c r="J582" s="2"/>
      <c r="K582" s="2"/>
    </row>
    <row r="583" spans="2:11" x14ac:dyDescent="0.25">
      <c r="B583" s="3"/>
      <c r="C583" s="3"/>
      <c r="D583" s="3"/>
      <c r="E583" s="2"/>
      <c r="F583" s="2"/>
      <c r="G583" s="2"/>
      <c r="H583" s="2"/>
      <c r="I583" s="2"/>
      <c r="J583" s="2"/>
      <c r="K583" s="2"/>
    </row>
    <row r="584" spans="2:11" x14ac:dyDescent="0.25">
      <c r="B584" s="3"/>
      <c r="C584" s="3"/>
      <c r="D584" s="3"/>
      <c r="E584" s="2"/>
      <c r="F584" s="2"/>
      <c r="G584" s="2"/>
      <c r="H584" s="2"/>
      <c r="I584" s="2"/>
      <c r="J584" s="2"/>
      <c r="K584" s="2"/>
    </row>
    <row r="585" spans="2:11" x14ac:dyDescent="0.25">
      <c r="B585" s="3"/>
      <c r="C585" s="3"/>
      <c r="D585" s="3"/>
      <c r="E585" s="2"/>
      <c r="F585" s="2"/>
      <c r="G585" s="2"/>
      <c r="H585" s="2"/>
      <c r="I585" s="2"/>
      <c r="J585" s="2"/>
      <c r="K585" s="2"/>
    </row>
    <row r="586" spans="2:11" x14ac:dyDescent="0.25">
      <c r="B586" s="3"/>
      <c r="C586" s="3"/>
      <c r="D586" s="3"/>
      <c r="E586" s="2"/>
      <c r="F586" s="2"/>
      <c r="G586" s="2"/>
      <c r="H586" s="2"/>
      <c r="I586" s="2"/>
      <c r="J586" s="2"/>
      <c r="K586" s="2"/>
    </row>
    <row r="587" spans="2:11" x14ac:dyDescent="0.25">
      <c r="B587" s="3"/>
      <c r="C587" s="3"/>
      <c r="D587" s="3"/>
      <c r="E587" s="2"/>
      <c r="F587" s="2"/>
      <c r="G587" s="2"/>
      <c r="H587" s="2"/>
      <c r="I587" s="2"/>
      <c r="J587" s="2"/>
      <c r="K587" s="2"/>
    </row>
    <row r="588" spans="2:11" x14ac:dyDescent="0.25">
      <c r="B588" s="3"/>
      <c r="C588" s="3"/>
      <c r="D588" s="3"/>
      <c r="E588" s="2"/>
      <c r="F588" s="2"/>
      <c r="G588" s="2"/>
      <c r="H588" s="2"/>
      <c r="I588" s="2"/>
      <c r="J588" s="2"/>
      <c r="K588" s="2"/>
    </row>
    <row r="589" spans="2:11" x14ac:dyDescent="0.25">
      <c r="B589" s="3"/>
      <c r="C589" s="3"/>
      <c r="D589" s="3"/>
      <c r="E589" s="2"/>
      <c r="F589" s="2"/>
      <c r="G589" s="2"/>
      <c r="H589" s="2"/>
      <c r="I589" s="2"/>
      <c r="J589" s="2"/>
      <c r="K589" s="2"/>
    </row>
    <row r="590" spans="2:11" x14ac:dyDescent="0.25">
      <c r="B590" s="3"/>
      <c r="C590" s="3"/>
      <c r="D590" s="3"/>
      <c r="E590" s="2"/>
      <c r="F590" s="2"/>
      <c r="G590" s="2"/>
      <c r="H590" s="2"/>
      <c r="I590" s="2"/>
      <c r="J590" s="2"/>
      <c r="K590" s="2"/>
    </row>
    <row r="591" spans="2:11" x14ac:dyDescent="0.25">
      <c r="B591" s="3"/>
      <c r="C591" s="3"/>
      <c r="D591" s="3"/>
      <c r="E591" s="2"/>
      <c r="F591" s="2"/>
      <c r="G591" s="2"/>
      <c r="H591" s="2"/>
      <c r="I591" s="2"/>
      <c r="J591" s="2"/>
      <c r="K591" s="2"/>
    </row>
    <row r="592" spans="2:11" x14ac:dyDescent="0.25">
      <c r="B592" s="3"/>
      <c r="C592" s="3"/>
      <c r="D592" s="3"/>
      <c r="E592" s="2"/>
      <c r="F592" s="2"/>
      <c r="G592" s="2"/>
      <c r="H592" s="2"/>
      <c r="I592" s="2"/>
      <c r="J592" s="2"/>
      <c r="K592" s="2"/>
    </row>
    <row r="593" spans="2:11" x14ac:dyDescent="0.25">
      <c r="B593" s="3"/>
      <c r="C593" s="3"/>
      <c r="D593" s="3"/>
      <c r="E593" s="2"/>
      <c r="F593" s="2"/>
      <c r="G593" s="2"/>
      <c r="H593" s="2"/>
      <c r="I593" s="2"/>
      <c r="J593" s="2"/>
      <c r="K593" s="2"/>
    </row>
    <row r="594" spans="2:11" x14ac:dyDescent="0.25">
      <c r="B594" s="3"/>
      <c r="C594" s="3"/>
      <c r="D594" s="3"/>
      <c r="E594" s="2"/>
      <c r="F594" s="2"/>
      <c r="G594" s="2"/>
      <c r="H594" s="2"/>
      <c r="I594" s="2"/>
      <c r="J594" s="2"/>
      <c r="K594" s="2"/>
    </row>
    <row r="595" spans="2:11" x14ac:dyDescent="0.25">
      <c r="B595" s="3"/>
      <c r="C595" s="3"/>
      <c r="D595" s="3"/>
      <c r="E595" s="2"/>
      <c r="F595" s="2"/>
      <c r="G595" s="2"/>
      <c r="H595" s="2"/>
      <c r="I595" s="2"/>
      <c r="J595" s="2"/>
      <c r="K595" s="2"/>
    </row>
    <row r="596" spans="2:11" x14ac:dyDescent="0.25">
      <c r="B596" s="3"/>
      <c r="C596" s="3"/>
      <c r="D596" s="3"/>
      <c r="E596" s="2"/>
      <c r="F596" s="2"/>
      <c r="G596" s="2"/>
      <c r="H596" s="2"/>
      <c r="I596" s="2"/>
      <c r="J596" s="2"/>
      <c r="K596" s="2"/>
    </row>
    <row r="597" spans="2:11" x14ac:dyDescent="0.25">
      <c r="B597" s="3"/>
      <c r="C597" s="3"/>
      <c r="D597" s="3"/>
      <c r="E597" s="2"/>
      <c r="F597" s="2"/>
      <c r="G597" s="2"/>
      <c r="H597" s="2"/>
      <c r="I597" s="2"/>
      <c r="J597" s="2"/>
      <c r="K597" s="2"/>
    </row>
    <row r="598" spans="2:11" x14ac:dyDescent="0.25">
      <c r="B598" s="3"/>
      <c r="C598" s="3"/>
      <c r="D598" s="3"/>
      <c r="E598" s="2"/>
      <c r="F598" s="2"/>
      <c r="G598" s="2"/>
      <c r="H598" s="2"/>
      <c r="I598" s="2"/>
      <c r="J598" s="2"/>
      <c r="K598" s="2"/>
    </row>
    <row r="599" spans="2:11" x14ac:dyDescent="0.25">
      <c r="B599" s="3"/>
      <c r="C599" s="3"/>
      <c r="D599" s="3"/>
      <c r="E599" s="2"/>
      <c r="F599" s="2"/>
      <c r="G599" s="2"/>
      <c r="H599" s="2"/>
      <c r="I599" s="2"/>
      <c r="J599" s="2"/>
      <c r="K599" s="2"/>
    </row>
    <row r="600" spans="2:11" x14ac:dyDescent="0.25">
      <c r="B600" s="3"/>
      <c r="C600" s="3"/>
      <c r="D600" s="3"/>
      <c r="E600" s="2"/>
      <c r="F600" s="2"/>
      <c r="G600" s="2"/>
      <c r="H600" s="2"/>
      <c r="I600" s="2"/>
      <c r="J600" s="2"/>
      <c r="K600" s="2"/>
    </row>
    <row r="601" spans="2:11" x14ac:dyDescent="0.25">
      <c r="B601" s="3"/>
      <c r="C601" s="3"/>
      <c r="D601" s="3"/>
      <c r="E601" s="2"/>
      <c r="F601" s="2"/>
      <c r="G601" s="2"/>
      <c r="H601" s="2"/>
      <c r="I601" s="2"/>
      <c r="J601" s="2"/>
      <c r="K601" s="2"/>
    </row>
    <row r="602" spans="2:11" x14ac:dyDescent="0.25">
      <c r="B602" s="3"/>
      <c r="C602" s="3"/>
      <c r="D602" s="3"/>
      <c r="E602" s="2"/>
      <c r="F602" s="2"/>
      <c r="G602" s="2"/>
      <c r="H602" s="2"/>
      <c r="I602" s="2"/>
      <c r="J602" s="2"/>
      <c r="K602" s="2"/>
    </row>
    <row r="603" spans="2:11" x14ac:dyDescent="0.25">
      <c r="B603" s="3"/>
      <c r="C603" s="3"/>
      <c r="D603" s="3"/>
      <c r="E603" s="2"/>
      <c r="F603" s="2"/>
      <c r="G603" s="2"/>
      <c r="H603" s="2"/>
      <c r="I603" s="2"/>
      <c r="J603" s="2"/>
      <c r="K603" s="2"/>
    </row>
    <row r="604" spans="2:11" x14ac:dyDescent="0.25">
      <c r="B604" s="3"/>
      <c r="C604" s="3"/>
      <c r="D604" s="3"/>
      <c r="E604" s="2"/>
      <c r="F604" s="2"/>
      <c r="G604" s="2"/>
      <c r="H604" s="2"/>
      <c r="I604" s="2"/>
      <c r="J604" s="2"/>
      <c r="K604" s="2"/>
    </row>
    <row r="605" spans="2:11" x14ac:dyDescent="0.25">
      <c r="B605" s="3"/>
      <c r="C605" s="3"/>
      <c r="D605" s="3"/>
      <c r="E605" s="2"/>
      <c r="F605" s="2"/>
      <c r="G605" s="2"/>
      <c r="H605" s="2"/>
      <c r="I605" s="2"/>
      <c r="J605" s="2"/>
      <c r="K605" s="2"/>
    </row>
    <row r="606" spans="2:11" x14ac:dyDescent="0.25">
      <c r="B606" s="3"/>
      <c r="C606" s="3"/>
      <c r="D606" s="3"/>
      <c r="E606" s="2"/>
      <c r="F606" s="2"/>
      <c r="G606" s="2"/>
      <c r="H606" s="2"/>
      <c r="I606" s="2"/>
      <c r="J606" s="2"/>
      <c r="K606" s="2"/>
    </row>
    <row r="607" spans="2:11" x14ac:dyDescent="0.25">
      <c r="B607" s="3"/>
      <c r="C607" s="3"/>
      <c r="D607" s="3"/>
      <c r="E607" s="2"/>
      <c r="F607" s="2"/>
      <c r="G607" s="2"/>
      <c r="H607" s="2"/>
      <c r="I607" s="2"/>
      <c r="J607" s="2"/>
      <c r="K607" s="2"/>
    </row>
    <row r="608" spans="2:11" x14ac:dyDescent="0.25">
      <c r="B608" s="3"/>
      <c r="C608" s="3"/>
      <c r="D608" s="3"/>
      <c r="E608" s="2"/>
      <c r="F608" s="2"/>
      <c r="G608" s="2"/>
      <c r="H608" s="2"/>
      <c r="I608" s="2"/>
      <c r="J608" s="2"/>
      <c r="K608" s="2"/>
    </row>
    <row r="609" spans="2:11" x14ac:dyDescent="0.25">
      <c r="B609" s="3"/>
      <c r="C609" s="3"/>
      <c r="D609" s="3"/>
      <c r="E609" s="2"/>
      <c r="F609" s="2"/>
      <c r="G609" s="2"/>
      <c r="H609" s="2"/>
      <c r="I609" s="2"/>
      <c r="J609" s="2"/>
      <c r="K609" s="2"/>
    </row>
    <row r="610" spans="2:11" x14ac:dyDescent="0.25">
      <c r="B610" s="3"/>
      <c r="C610" s="3"/>
      <c r="D610" s="3"/>
      <c r="E610" s="2"/>
      <c r="F610" s="2"/>
      <c r="G610" s="2"/>
      <c r="H610" s="2"/>
      <c r="I610" s="2"/>
      <c r="J610" s="2"/>
      <c r="K610" s="2"/>
    </row>
    <row r="611" spans="2:11" x14ac:dyDescent="0.25">
      <c r="B611" s="3"/>
      <c r="C611" s="3"/>
      <c r="D611" s="3"/>
      <c r="E611" s="2"/>
      <c r="F611" s="2"/>
      <c r="G611" s="2"/>
      <c r="H611" s="2"/>
      <c r="I611" s="2"/>
      <c r="J611" s="2"/>
      <c r="K611" s="2"/>
    </row>
    <row r="612" spans="2:11" x14ac:dyDescent="0.25">
      <c r="B612" s="3"/>
      <c r="C612" s="3"/>
      <c r="D612" s="3"/>
      <c r="E612" s="2"/>
      <c r="F612" s="2"/>
      <c r="G612" s="2"/>
      <c r="H612" s="2"/>
      <c r="I612" s="2"/>
      <c r="J612" s="2"/>
      <c r="K612" s="2"/>
    </row>
    <row r="613" spans="2:11" x14ac:dyDescent="0.25">
      <c r="B613" s="3"/>
      <c r="C613" s="3"/>
      <c r="D613" s="3"/>
      <c r="E613" s="2"/>
      <c r="F613" s="2"/>
      <c r="G613" s="2"/>
      <c r="H613" s="2"/>
      <c r="I613" s="2"/>
      <c r="J613" s="2"/>
      <c r="K613" s="2"/>
    </row>
    <row r="614" spans="2:11" x14ac:dyDescent="0.25">
      <c r="B614" s="3"/>
      <c r="C614" s="3"/>
      <c r="D614" s="3"/>
      <c r="E614" s="2"/>
      <c r="F614" s="2"/>
      <c r="G614" s="2"/>
      <c r="H614" s="2"/>
      <c r="I614" s="2"/>
      <c r="J614" s="2"/>
      <c r="K614" s="2"/>
    </row>
    <row r="615" spans="2:11" x14ac:dyDescent="0.25">
      <c r="B615" s="3"/>
      <c r="C615" s="3"/>
      <c r="D615" s="3"/>
      <c r="E615" s="2"/>
      <c r="F615" s="2"/>
      <c r="G615" s="2"/>
      <c r="H615" s="2"/>
      <c r="I615" s="2"/>
      <c r="J615" s="2"/>
      <c r="K615" s="2"/>
    </row>
    <row r="616" spans="2:11" x14ac:dyDescent="0.25">
      <c r="B616" s="3"/>
      <c r="C616" s="3"/>
      <c r="D616" s="3"/>
      <c r="E616" s="2"/>
      <c r="F616" s="2"/>
      <c r="G616" s="2"/>
      <c r="H616" s="2"/>
      <c r="I616" s="2"/>
      <c r="J616" s="2"/>
      <c r="K616" s="2"/>
    </row>
    <row r="617" spans="2:11" x14ac:dyDescent="0.25">
      <c r="B617" s="3"/>
      <c r="C617" s="3"/>
      <c r="D617" s="3"/>
      <c r="E617" s="2"/>
      <c r="F617" s="2"/>
      <c r="G617" s="2"/>
      <c r="H617" s="2"/>
      <c r="I617" s="2"/>
      <c r="J617" s="2"/>
      <c r="K617" s="2"/>
    </row>
    <row r="618" spans="2:11" x14ac:dyDescent="0.25">
      <c r="B618" s="3"/>
      <c r="C618" s="3"/>
      <c r="D618" s="3"/>
      <c r="E618" s="2"/>
      <c r="F618" s="2"/>
      <c r="G618" s="2"/>
      <c r="H618" s="2"/>
      <c r="I618" s="2"/>
      <c r="J618" s="2"/>
      <c r="K618" s="2"/>
    </row>
    <row r="619" spans="2:11" x14ac:dyDescent="0.25">
      <c r="B619" s="3"/>
      <c r="C619" s="3"/>
      <c r="D619" s="3"/>
      <c r="E619" s="2"/>
      <c r="F619" s="2"/>
      <c r="G619" s="2"/>
      <c r="H619" s="2"/>
      <c r="I619" s="2"/>
      <c r="J619" s="2"/>
      <c r="K619" s="2"/>
    </row>
    <row r="620" spans="2:11" x14ac:dyDescent="0.25">
      <c r="B620" s="3"/>
      <c r="C620" s="3"/>
      <c r="D620" s="3"/>
      <c r="E620" s="2"/>
      <c r="F620" s="2"/>
      <c r="G620" s="2"/>
      <c r="H620" s="2"/>
      <c r="I620" s="2"/>
      <c r="J620" s="2"/>
      <c r="K620" s="2"/>
    </row>
    <row r="621" spans="2:11" x14ac:dyDescent="0.25">
      <c r="B621" s="3"/>
      <c r="C621" s="3"/>
      <c r="D621" s="3"/>
      <c r="E621" s="2"/>
      <c r="F621" s="2"/>
      <c r="G621" s="2"/>
      <c r="H621" s="2"/>
      <c r="I621" s="2"/>
      <c r="J621" s="2"/>
      <c r="K621" s="2"/>
    </row>
    <row r="622" spans="2:11" x14ac:dyDescent="0.25">
      <c r="B622" s="3"/>
      <c r="C622" s="3"/>
      <c r="D622" s="3"/>
      <c r="E622" s="2"/>
      <c r="F622" s="2"/>
      <c r="G622" s="2"/>
      <c r="H622" s="2"/>
      <c r="I622" s="2"/>
      <c r="J622" s="2"/>
      <c r="K622" s="2"/>
    </row>
    <row r="623" spans="2:11" x14ac:dyDescent="0.25">
      <c r="B623" s="3"/>
      <c r="C623" s="3"/>
      <c r="D623" s="3"/>
      <c r="E623" s="2"/>
      <c r="F623" s="2"/>
      <c r="G623" s="2"/>
      <c r="H623" s="2"/>
      <c r="I623" s="2"/>
      <c r="J623" s="2"/>
      <c r="K623" s="2"/>
    </row>
    <row r="624" spans="2:11" x14ac:dyDescent="0.25">
      <c r="B624" s="3"/>
      <c r="C624" s="3"/>
      <c r="D624" s="3"/>
      <c r="E624" s="2"/>
      <c r="F624" s="2"/>
      <c r="G624" s="2"/>
      <c r="H624" s="2"/>
      <c r="I624" s="2"/>
      <c r="J624" s="2"/>
      <c r="K624" s="2"/>
    </row>
    <row r="625" spans="2:11" x14ac:dyDescent="0.25">
      <c r="B625" s="3"/>
      <c r="C625" s="3"/>
      <c r="D625" s="3"/>
      <c r="E625" s="2"/>
      <c r="F625" s="2"/>
      <c r="G625" s="2"/>
      <c r="H625" s="2"/>
      <c r="I625" s="2"/>
      <c r="J625" s="2"/>
      <c r="K625" s="2"/>
    </row>
    <row r="626" spans="2:11" x14ac:dyDescent="0.25">
      <c r="B626" s="3"/>
      <c r="C626" s="3"/>
      <c r="D626" s="3"/>
      <c r="E626" s="2"/>
      <c r="F626" s="2"/>
      <c r="G626" s="2"/>
      <c r="H626" s="2"/>
      <c r="I626" s="2"/>
      <c r="J626" s="2"/>
      <c r="K626" s="2"/>
    </row>
    <row r="627" spans="2:11" x14ac:dyDescent="0.25">
      <c r="B627" s="3"/>
      <c r="C627" s="3"/>
      <c r="D627" s="3"/>
      <c r="E627" s="2"/>
      <c r="F627" s="2"/>
      <c r="G627" s="2"/>
      <c r="H627" s="2"/>
      <c r="I627" s="2"/>
      <c r="J627" s="2"/>
      <c r="K627" s="2"/>
    </row>
    <row r="628" spans="2:11" x14ac:dyDescent="0.25">
      <c r="B628" s="3"/>
      <c r="C628" s="3"/>
      <c r="D628" s="3"/>
      <c r="E628" s="2"/>
      <c r="F628" s="2"/>
      <c r="G628" s="2"/>
      <c r="H628" s="2"/>
      <c r="I628" s="2"/>
      <c r="J628" s="2"/>
      <c r="K628" s="2"/>
    </row>
    <row r="629" spans="2:11" x14ac:dyDescent="0.25">
      <c r="B629" s="3"/>
      <c r="C629" s="3"/>
      <c r="D629" s="3"/>
      <c r="E629" s="2"/>
      <c r="F629" s="2"/>
      <c r="G629" s="2"/>
      <c r="H629" s="2"/>
      <c r="I629" s="2"/>
      <c r="J629" s="2"/>
      <c r="K629" s="2"/>
    </row>
    <row r="630" spans="2:11" x14ac:dyDescent="0.25">
      <c r="B630" s="3"/>
      <c r="C630" s="3"/>
      <c r="D630" s="3"/>
      <c r="E630" s="2"/>
      <c r="F630" s="2"/>
      <c r="G630" s="2"/>
      <c r="H630" s="2"/>
      <c r="I630" s="2"/>
      <c r="J630" s="2"/>
      <c r="K630" s="2"/>
    </row>
    <row r="631" spans="2:11" x14ac:dyDescent="0.25">
      <c r="B631" s="3"/>
      <c r="C631" s="3"/>
      <c r="D631" s="3"/>
      <c r="E631" s="2"/>
      <c r="F631" s="2"/>
      <c r="G631" s="2"/>
      <c r="H631" s="2"/>
      <c r="I631" s="2"/>
      <c r="J631" s="2"/>
      <c r="K631" s="2"/>
    </row>
    <row r="632" spans="2:11" x14ac:dyDescent="0.25">
      <c r="B632" s="3"/>
      <c r="C632" s="3"/>
      <c r="D632" s="3"/>
      <c r="E632" s="2"/>
      <c r="F632" s="2"/>
      <c r="G632" s="2"/>
      <c r="H632" s="2"/>
      <c r="I632" s="2"/>
      <c r="J632" s="2"/>
      <c r="K632" s="2"/>
    </row>
    <row r="633" spans="2:11" x14ac:dyDescent="0.25">
      <c r="B633" s="3"/>
      <c r="C633" s="3"/>
      <c r="D633" s="3"/>
      <c r="E633" s="2"/>
      <c r="F633" s="2"/>
      <c r="G633" s="2"/>
      <c r="H633" s="2"/>
      <c r="I633" s="2"/>
      <c r="J633" s="2"/>
      <c r="K633" s="2"/>
    </row>
    <row r="634" spans="2:11" x14ac:dyDescent="0.25">
      <c r="B634" s="3"/>
      <c r="C634" s="3"/>
      <c r="D634" s="3"/>
      <c r="E634" s="2"/>
      <c r="F634" s="2"/>
      <c r="G634" s="2"/>
      <c r="H634" s="2"/>
      <c r="I634" s="2"/>
      <c r="J634" s="2"/>
      <c r="K634" s="2"/>
    </row>
    <row r="635" spans="2:11" x14ac:dyDescent="0.25">
      <c r="B635" s="3"/>
      <c r="C635" s="3"/>
      <c r="D635" s="3"/>
      <c r="E635" s="2"/>
      <c r="F635" s="2"/>
      <c r="G635" s="2"/>
      <c r="H635" s="2"/>
      <c r="I635" s="2"/>
      <c r="J635" s="2"/>
      <c r="K635" s="2"/>
    </row>
    <row r="636" spans="2:11" x14ac:dyDescent="0.25">
      <c r="B636" s="3"/>
      <c r="C636" s="3"/>
      <c r="D636" s="3"/>
      <c r="E636" s="2"/>
      <c r="F636" s="2"/>
      <c r="G636" s="2"/>
      <c r="H636" s="2"/>
      <c r="I636" s="2"/>
      <c r="J636" s="2"/>
      <c r="K636" s="2"/>
    </row>
    <row r="637" spans="2:11" x14ac:dyDescent="0.25">
      <c r="B637" s="3"/>
      <c r="C637" s="3"/>
      <c r="D637" s="3"/>
      <c r="E637" s="2"/>
      <c r="F637" s="2"/>
      <c r="G637" s="2"/>
      <c r="H637" s="2"/>
      <c r="I637" s="2"/>
      <c r="J637" s="2"/>
      <c r="K637" s="2"/>
    </row>
    <row r="638" spans="2:11" x14ac:dyDescent="0.25">
      <c r="B638" s="3"/>
      <c r="C638" s="3"/>
      <c r="D638" s="3"/>
      <c r="E638" s="2"/>
      <c r="F638" s="2"/>
      <c r="G638" s="2"/>
      <c r="H638" s="2"/>
      <c r="I638" s="2"/>
      <c r="J638" s="2"/>
      <c r="K638" s="2"/>
    </row>
    <row r="639" spans="2:11" x14ac:dyDescent="0.25">
      <c r="B639" s="3"/>
      <c r="C639" s="3"/>
      <c r="D639" s="3"/>
      <c r="E639" s="2"/>
      <c r="F639" s="2"/>
      <c r="G639" s="2"/>
      <c r="H639" s="2"/>
      <c r="I639" s="2"/>
      <c r="J639" s="2"/>
      <c r="K639" s="2"/>
    </row>
    <row r="640" spans="2:11" x14ac:dyDescent="0.25">
      <c r="B640" s="3"/>
      <c r="C640" s="3"/>
      <c r="D640" s="3"/>
      <c r="E640" s="2"/>
      <c r="F640" s="2"/>
      <c r="G640" s="2"/>
      <c r="H640" s="2"/>
      <c r="I640" s="2"/>
      <c r="J640" s="2"/>
      <c r="K640" s="2"/>
    </row>
    <row r="641" spans="2:11" x14ac:dyDescent="0.25">
      <c r="B641" s="3"/>
      <c r="C641" s="3"/>
      <c r="D641" s="3"/>
      <c r="E641" s="2"/>
      <c r="F641" s="2"/>
      <c r="G641" s="2"/>
      <c r="H641" s="2"/>
      <c r="I641" s="2"/>
      <c r="J641" s="2"/>
      <c r="K641" s="2"/>
    </row>
    <row r="642" spans="2:11" x14ac:dyDescent="0.25">
      <c r="B642" s="3"/>
      <c r="C642" s="3"/>
      <c r="D642" s="3"/>
      <c r="E642" s="2"/>
      <c r="F642" s="2"/>
      <c r="G642" s="2"/>
      <c r="H642" s="2"/>
      <c r="I642" s="2"/>
      <c r="J642" s="2"/>
      <c r="K642" s="2"/>
    </row>
    <row r="643" spans="2:11" x14ac:dyDescent="0.25">
      <c r="B643" s="3"/>
      <c r="C643" s="3"/>
      <c r="D643" s="3"/>
      <c r="E643" s="2"/>
      <c r="F643" s="2"/>
      <c r="G643" s="2"/>
      <c r="H643" s="2"/>
      <c r="I643" s="2"/>
      <c r="J643" s="2"/>
      <c r="K643" s="2"/>
    </row>
    <row r="644" spans="2:11" x14ac:dyDescent="0.25">
      <c r="B644" s="3"/>
      <c r="C644" s="3"/>
      <c r="D644" s="3"/>
      <c r="E644" s="2"/>
      <c r="F644" s="2"/>
      <c r="G644" s="2"/>
      <c r="H644" s="2"/>
      <c r="I644" s="2"/>
      <c r="J644" s="2"/>
      <c r="K644" s="2"/>
    </row>
    <row r="645" spans="2:11" x14ac:dyDescent="0.25">
      <c r="B645" s="3"/>
      <c r="C645" s="3"/>
      <c r="D645" s="3"/>
      <c r="E645" s="2"/>
      <c r="F645" s="2"/>
      <c r="G645" s="2"/>
      <c r="H645" s="2"/>
      <c r="I645" s="2"/>
      <c r="J645" s="2"/>
      <c r="K645" s="2"/>
    </row>
    <row r="646" spans="2:11" x14ac:dyDescent="0.25">
      <c r="B646" s="3"/>
      <c r="C646" s="3"/>
      <c r="D646" s="3"/>
      <c r="E646" s="2"/>
      <c r="F646" s="2"/>
      <c r="G646" s="2"/>
      <c r="H646" s="2"/>
      <c r="I646" s="2"/>
      <c r="J646" s="2"/>
      <c r="K646" s="2"/>
    </row>
    <row r="647" spans="2:11" x14ac:dyDescent="0.25">
      <c r="B647" s="3"/>
      <c r="C647" s="3"/>
      <c r="D647" s="3"/>
      <c r="E647" s="2"/>
      <c r="F647" s="2"/>
      <c r="G647" s="2"/>
      <c r="H647" s="2"/>
      <c r="I647" s="2"/>
      <c r="J647" s="2"/>
      <c r="K647" s="2"/>
    </row>
    <row r="648" spans="2:11" x14ac:dyDescent="0.25">
      <c r="B648" s="3"/>
      <c r="C648" s="3"/>
      <c r="D648" s="3"/>
      <c r="E648" s="2"/>
      <c r="F648" s="2"/>
      <c r="G648" s="2"/>
      <c r="H648" s="2"/>
      <c r="I648" s="2"/>
      <c r="J648" s="2"/>
      <c r="K648" s="2"/>
    </row>
    <row r="649" spans="2:11" x14ac:dyDescent="0.25">
      <c r="B649" s="3"/>
      <c r="C649" s="3"/>
      <c r="D649" s="3"/>
      <c r="E649" s="2"/>
      <c r="F649" s="2"/>
      <c r="G649" s="2"/>
      <c r="H649" s="2"/>
      <c r="I649" s="2"/>
      <c r="J649" s="2"/>
      <c r="K649" s="2"/>
    </row>
    <row r="650" spans="2:11" x14ac:dyDescent="0.25">
      <c r="B650" s="3"/>
      <c r="C650" s="3"/>
      <c r="D650" s="3"/>
      <c r="E650" s="2"/>
      <c r="F650" s="2"/>
      <c r="G650" s="2"/>
      <c r="H650" s="2"/>
      <c r="I650" s="2"/>
      <c r="J650" s="2"/>
      <c r="K650" s="2"/>
    </row>
    <row r="651" spans="2:11" x14ac:dyDescent="0.25">
      <c r="B651" s="3"/>
      <c r="C651" s="3"/>
      <c r="D651" s="3"/>
      <c r="E651" s="2"/>
      <c r="F651" s="2"/>
      <c r="G651" s="2"/>
      <c r="H651" s="2"/>
      <c r="I651" s="2"/>
      <c r="J651" s="2"/>
      <c r="K651" s="2"/>
    </row>
    <row r="652" spans="2:11" x14ac:dyDescent="0.25">
      <c r="B652" s="3"/>
      <c r="C652" s="3"/>
      <c r="D652" s="3"/>
      <c r="E652" s="2"/>
      <c r="F652" s="2"/>
      <c r="G652" s="2"/>
      <c r="H652" s="2"/>
      <c r="I652" s="2"/>
      <c r="J652" s="2"/>
      <c r="K652" s="2"/>
    </row>
    <row r="653" spans="2:11" x14ac:dyDescent="0.25">
      <c r="B653" s="30"/>
      <c r="C653" s="30"/>
      <c r="D653" s="30"/>
    </row>
    <row r="654" spans="2:11" x14ac:dyDescent="0.25">
      <c r="B654" s="30"/>
      <c r="C654" s="30"/>
      <c r="D654" s="30"/>
    </row>
    <row r="655" spans="2:11" x14ac:dyDescent="0.25">
      <c r="B655" s="30"/>
      <c r="C655" s="30"/>
      <c r="D655" s="30"/>
    </row>
    <row r="656" spans="2:11" x14ac:dyDescent="0.25">
      <c r="B656" s="30"/>
      <c r="C656" s="30"/>
      <c r="D656" s="30"/>
    </row>
    <row r="657" spans="2:4" x14ac:dyDescent="0.25">
      <c r="B657" s="30"/>
      <c r="C657" s="30"/>
      <c r="D657" s="30"/>
    </row>
    <row r="658" spans="2:4" x14ac:dyDescent="0.25">
      <c r="B658" s="30"/>
      <c r="C658" s="30"/>
      <c r="D658" s="30"/>
    </row>
    <row r="659" spans="2:4" x14ac:dyDescent="0.25">
      <c r="B659" s="30"/>
      <c r="C659" s="30"/>
      <c r="D659" s="30"/>
    </row>
    <row r="660" spans="2:4" x14ac:dyDescent="0.25">
      <c r="B660" s="30"/>
      <c r="C660" s="30"/>
      <c r="D660" s="30"/>
    </row>
    <row r="661" spans="2:4" x14ac:dyDescent="0.25">
      <c r="B661" s="30"/>
      <c r="C661" s="30"/>
      <c r="D661" s="30"/>
    </row>
    <row r="662" spans="2:4" x14ac:dyDescent="0.25">
      <c r="B662" s="30"/>
      <c r="C662" s="30"/>
      <c r="D662" s="30"/>
    </row>
    <row r="663" spans="2:4" x14ac:dyDescent="0.25">
      <c r="B663" s="30"/>
      <c r="C663" s="30"/>
      <c r="D663" s="30"/>
    </row>
    <row r="664" spans="2:4" x14ac:dyDescent="0.25">
      <c r="B664" s="30"/>
      <c r="C664" s="30"/>
      <c r="D664" s="30"/>
    </row>
    <row r="665" spans="2:4" x14ac:dyDescent="0.25">
      <c r="B665" s="30"/>
      <c r="C665" s="30"/>
      <c r="D665" s="30"/>
    </row>
    <row r="666" spans="2:4" x14ac:dyDescent="0.25">
      <c r="B666" s="30"/>
      <c r="C666" s="30"/>
      <c r="D666" s="30"/>
    </row>
    <row r="667" spans="2:4" x14ac:dyDescent="0.25">
      <c r="B667" s="30"/>
      <c r="C667" s="30"/>
      <c r="D667" s="30"/>
    </row>
    <row r="668" spans="2:4" x14ac:dyDescent="0.25">
      <c r="B668" s="30"/>
      <c r="C668" s="30"/>
      <c r="D668" s="30"/>
    </row>
    <row r="669" spans="2:4" x14ac:dyDescent="0.25">
      <c r="B669" s="30"/>
      <c r="C669" s="30"/>
      <c r="D669" s="30"/>
    </row>
    <row r="670" spans="2:4" x14ac:dyDescent="0.25">
      <c r="B670" s="30"/>
      <c r="C670" s="30"/>
      <c r="D670" s="30"/>
    </row>
    <row r="671" spans="2:4" x14ac:dyDescent="0.25">
      <c r="B671" s="30"/>
      <c r="C671" s="30"/>
      <c r="D671" s="30"/>
    </row>
    <row r="672" spans="2:4" x14ac:dyDescent="0.25">
      <c r="B672" s="30"/>
      <c r="C672" s="30"/>
      <c r="D672" s="30"/>
    </row>
    <row r="673" spans="2:4" x14ac:dyDescent="0.25">
      <c r="B673" s="30"/>
      <c r="C673" s="30"/>
      <c r="D673" s="30"/>
    </row>
    <row r="674" spans="2:4" x14ac:dyDescent="0.25">
      <c r="B674" s="30"/>
      <c r="C674" s="30"/>
      <c r="D674" s="30"/>
    </row>
    <row r="675" spans="2:4" x14ac:dyDescent="0.25">
      <c r="B675" s="30"/>
      <c r="C675" s="30"/>
      <c r="D675" s="30"/>
    </row>
    <row r="676" spans="2:4" x14ac:dyDescent="0.25">
      <c r="B676" s="30"/>
      <c r="C676" s="30"/>
      <c r="D676" s="30"/>
    </row>
    <row r="677" spans="2:4" x14ac:dyDescent="0.25">
      <c r="B677" s="30"/>
      <c r="C677" s="30"/>
      <c r="D677" s="30"/>
    </row>
    <row r="678" spans="2:4" x14ac:dyDescent="0.25">
      <c r="B678" s="30"/>
      <c r="C678" s="30"/>
      <c r="D678" s="30"/>
    </row>
    <row r="679" spans="2:4" x14ac:dyDescent="0.25">
      <c r="B679" s="30"/>
      <c r="C679" s="30"/>
      <c r="D679" s="30"/>
    </row>
    <row r="680" spans="2:4" x14ac:dyDescent="0.25">
      <c r="B680" s="30"/>
      <c r="C680" s="30"/>
      <c r="D680" s="30"/>
    </row>
    <row r="681" spans="2:4" x14ac:dyDescent="0.25">
      <c r="B681" s="30"/>
      <c r="C681" s="30"/>
      <c r="D681" s="30"/>
    </row>
    <row r="682" spans="2:4" x14ac:dyDescent="0.25">
      <c r="B682" s="30"/>
      <c r="C682" s="30"/>
      <c r="D682" s="30"/>
    </row>
    <row r="683" spans="2:4" x14ac:dyDescent="0.25">
      <c r="B683" s="30"/>
      <c r="C683" s="30"/>
      <c r="D683" s="30"/>
    </row>
    <row r="684" spans="2:4" x14ac:dyDescent="0.25">
      <c r="B684" s="30"/>
      <c r="C684" s="30"/>
      <c r="D684" s="30"/>
    </row>
    <row r="685" spans="2:4" x14ac:dyDescent="0.25">
      <c r="B685" s="30"/>
      <c r="C685" s="30"/>
      <c r="D685" s="30"/>
    </row>
    <row r="686" spans="2:4" x14ac:dyDescent="0.25">
      <c r="B686" s="30"/>
      <c r="C686" s="30"/>
      <c r="D686" s="30"/>
    </row>
    <row r="687" spans="2:4" x14ac:dyDescent="0.25">
      <c r="B687" s="30"/>
      <c r="C687" s="30"/>
      <c r="D687" s="30"/>
    </row>
    <row r="688" spans="2:4" x14ac:dyDescent="0.25">
      <c r="B688" s="30"/>
      <c r="C688" s="30"/>
      <c r="D688" s="30"/>
    </row>
    <row r="689" spans="2:4" x14ac:dyDescent="0.25">
      <c r="B689" s="30"/>
      <c r="C689" s="30"/>
      <c r="D689" s="30"/>
    </row>
    <row r="690" spans="2:4" x14ac:dyDescent="0.25">
      <c r="B690" s="30"/>
      <c r="C690" s="30"/>
      <c r="D690" s="30"/>
    </row>
    <row r="691" spans="2:4" x14ac:dyDescent="0.25">
      <c r="B691" s="30"/>
      <c r="C691" s="30"/>
      <c r="D691" s="30"/>
    </row>
    <row r="692" spans="2:4" x14ac:dyDescent="0.25">
      <c r="B692" s="30"/>
      <c r="C692" s="30"/>
      <c r="D692" s="30"/>
    </row>
    <row r="693" spans="2:4" x14ac:dyDescent="0.25">
      <c r="B693" s="30"/>
      <c r="C693" s="30"/>
      <c r="D693" s="30"/>
    </row>
    <row r="694" spans="2:4" x14ac:dyDescent="0.25">
      <c r="B694" s="30"/>
      <c r="C694" s="30"/>
      <c r="D694" s="30"/>
    </row>
    <row r="695" spans="2:4" x14ac:dyDescent="0.25">
      <c r="B695" s="30"/>
      <c r="C695" s="30"/>
      <c r="D695" s="30"/>
    </row>
    <row r="696" spans="2:4" x14ac:dyDescent="0.25">
      <c r="B696" s="30"/>
      <c r="C696" s="30"/>
      <c r="D696" s="30"/>
    </row>
    <row r="697" spans="2:4" x14ac:dyDescent="0.25">
      <c r="B697" s="30"/>
      <c r="C697" s="30"/>
      <c r="D697" s="30"/>
    </row>
    <row r="698" spans="2:4" x14ac:dyDescent="0.25">
      <c r="B698" s="30"/>
      <c r="C698" s="30"/>
      <c r="D698" s="30"/>
    </row>
    <row r="699" spans="2:4" x14ac:dyDescent="0.25">
      <c r="B699" s="30"/>
      <c r="C699" s="30"/>
      <c r="D699" s="30"/>
    </row>
    <row r="700" spans="2:4" x14ac:dyDescent="0.25">
      <c r="B700" s="30"/>
      <c r="C700" s="30"/>
      <c r="D700" s="30"/>
    </row>
    <row r="701" spans="2:4" x14ac:dyDescent="0.25">
      <c r="B701" s="30"/>
      <c r="C701" s="30"/>
      <c r="D701" s="30"/>
    </row>
    <row r="702" spans="2:4" x14ac:dyDescent="0.25">
      <c r="B702" s="30"/>
      <c r="C702" s="30"/>
      <c r="D702" s="30"/>
    </row>
    <row r="703" spans="2:4" x14ac:dyDescent="0.25">
      <c r="B703" s="30"/>
      <c r="C703" s="30"/>
      <c r="D703" s="30"/>
    </row>
    <row r="704" spans="2:4" x14ac:dyDescent="0.25">
      <c r="B704" s="30"/>
      <c r="C704" s="30"/>
      <c r="D704" s="30"/>
    </row>
    <row r="705" spans="2:4" x14ac:dyDescent="0.25">
      <c r="B705" s="30"/>
      <c r="C705" s="30"/>
      <c r="D705" s="30"/>
    </row>
    <row r="706" spans="2:4" x14ac:dyDescent="0.25">
      <c r="B706" s="30"/>
      <c r="C706" s="30"/>
      <c r="D706" s="30"/>
    </row>
    <row r="707" spans="2:4" x14ac:dyDescent="0.25">
      <c r="B707" s="30"/>
      <c r="C707" s="30"/>
      <c r="D707" s="30"/>
    </row>
    <row r="708" spans="2:4" x14ac:dyDescent="0.25">
      <c r="B708" s="30"/>
      <c r="C708" s="30"/>
      <c r="D708" s="30"/>
    </row>
    <row r="709" spans="2:4" x14ac:dyDescent="0.25">
      <c r="B709" s="30"/>
      <c r="C709" s="30"/>
      <c r="D709" s="30"/>
    </row>
    <row r="710" spans="2:4" x14ac:dyDescent="0.25">
      <c r="B710" s="30"/>
      <c r="C710" s="30"/>
      <c r="D710" s="30"/>
    </row>
    <row r="711" spans="2:4" x14ac:dyDescent="0.25">
      <c r="B711" s="30"/>
      <c r="C711" s="30"/>
      <c r="D711" s="30"/>
    </row>
    <row r="712" spans="2:4" x14ac:dyDescent="0.25">
      <c r="B712" s="30"/>
      <c r="C712" s="30"/>
      <c r="D712" s="30"/>
    </row>
    <row r="713" spans="2:4" x14ac:dyDescent="0.25">
      <c r="B713" s="30"/>
      <c r="C713" s="30"/>
      <c r="D713" s="30"/>
    </row>
    <row r="714" spans="2:4" x14ac:dyDescent="0.25">
      <c r="B714" s="30"/>
      <c r="C714" s="30"/>
      <c r="D714" s="30"/>
    </row>
    <row r="715" spans="2:4" x14ac:dyDescent="0.25">
      <c r="B715" s="30"/>
      <c r="C715" s="30"/>
      <c r="D715" s="30"/>
    </row>
    <row r="716" spans="2:4" x14ac:dyDescent="0.25">
      <c r="B716" s="30"/>
      <c r="C716" s="30"/>
      <c r="D716" s="30"/>
    </row>
    <row r="717" spans="2:4" x14ac:dyDescent="0.25">
      <c r="B717" s="30"/>
      <c r="C717" s="30"/>
      <c r="D717" s="30"/>
    </row>
    <row r="718" spans="2:4" x14ac:dyDescent="0.25">
      <c r="B718" s="30"/>
      <c r="C718" s="30"/>
      <c r="D718" s="30"/>
    </row>
    <row r="719" spans="2:4" x14ac:dyDescent="0.25">
      <c r="B719" s="30"/>
      <c r="C719" s="30"/>
      <c r="D719" s="30"/>
    </row>
    <row r="720" spans="2:4" x14ac:dyDescent="0.25">
      <c r="B720" s="30"/>
      <c r="C720" s="30"/>
      <c r="D720" s="30"/>
    </row>
    <row r="721" spans="2:4" x14ac:dyDescent="0.25">
      <c r="B721" s="30"/>
      <c r="C721" s="30"/>
      <c r="D721" s="30"/>
    </row>
    <row r="722" spans="2:4" x14ac:dyDescent="0.25">
      <c r="B722" s="30"/>
      <c r="C722" s="30"/>
      <c r="D722" s="30"/>
    </row>
    <row r="723" spans="2:4" x14ac:dyDescent="0.25">
      <c r="B723" s="30"/>
      <c r="C723" s="30"/>
      <c r="D723" s="30"/>
    </row>
    <row r="724" spans="2:4" x14ac:dyDescent="0.25">
      <c r="B724" s="30"/>
      <c r="C724" s="30"/>
      <c r="D724" s="30"/>
    </row>
    <row r="725" spans="2:4" x14ac:dyDescent="0.25">
      <c r="B725" s="30"/>
      <c r="C725" s="30"/>
      <c r="D725" s="30"/>
    </row>
    <row r="726" spans="2:4" x14ac:dyDescent="0.25">
      <c r="B726" s="30"/>
      <c r="C726" s="30"/>
      <c r="D726" s="30"/>
    </row>
    <row r="727" spans="2:4" x14ac:dyDescent="0.25">
      <c r="B727" s="30"/>
      <c r="C727" s="30"/>
      <c r="D727" s="30"/>
    </row>
    <row r="728" spans="2:4" x14ac:dyDescent="0.25">
      <c r="B728" s="30"/>
      <c r="C728" s="30"/>
      <c r="D728" s="30"/>
    </row>
    <row r="729" spans="2:4" x14ac:dyDescent="0.25">
      <c r="B729" s="30"/>
      <c r="C729" s="30"/>
      <c r="D729" s="30"/>
    </row>
    <row r="730" spans="2:4" x14ac:dyDescent="0.25">
      <c r="B730" s="30"/>
      <c r="C730" s="30"/>
      <c r="D730" s="30"/>
    </row>
    <row r="731" spans="2:4" x14ac:dyDescent="0.25">
      <c r="B731" s="30"/>
      <c r="C731" s="30"/>
      <c r="D731" s="30"/>
    </row>
    <row r="732" spans="2:4" x14ac:dyDescent="0.25">
      <c r="B732" s="30"/>
      <c r="C732" s="30"/>
      <c r="D732" s="30"/>
    </row>
    <row r="733" spans="2:4" x14ac:dyDescent="0.25">
      <c r="B733" s="30"/>
      <c r="C733" s="30"/>
      <c r="D733" s="30"/>
    </row>
    <row r="734" spans="2:4" x14ac:dyDescent="0.25">
      <c r="B734" s="30"/>
      <c r="C734" s="30"/>
      <c r="D734" s="30"/>
    </row>
    <row r="735" spans="2:4" x14ac:dyDescent="0.25">
      <c r="B735" s="30"/>
      <c r="C735" s="30"/>
      <c r="D735" s="30"/>
    </row>
    <row r="736" spans="2:4" x14ac:dyDescent="0.25">
      <c r="B736" s="30"/>
      <c r="C736" s="30"/>
      <c r="D736" s="30"/>
    </row>
    <row r="737" spans="2:4" x14ac:dyDescent="0.25">
      <c r="B737" s="30"/>
      <c r="C737" s="30"/>
      <c r="D737" s="30"/>
    </row>
    <row r="738" spans="2:4" x14ac:dyDescent="0.25">
      <c r="B738" s="30"/>
      <c r="C738" s="30"/>
      <c r="D738" s="30"/>
    </row>
    <row r="739" spans="2:4" x14ac:dyDescent="0.25">
      <c r="B739" s="30"/>
      <c r="C739" s="30"/>
      <c r="D739" s="30"/>
    </row>
    <row r="740" spans="2:4" x14ac:dyDescent="0.25">
      <c r="B740" s="30"/>
      <c r="C740" s="30"/>
      <c r="D740" s="30"/>
    </row>
    <row r="741" spans="2:4" x14ac:dyDescent="0.25">
      <c r="B741" s="30"/>
      <c r="C741" s="30"/>
      <c r="D741" s="30"/>
    </row>
    <row r="742" spans="2:4" x14ac:dyDescent="0.25">
      <c r="B742" s="30"/>
      <c r="C742" s="30"/>
      <c r="D742" s="30"/>
    </row>
    <row r="743" spans="2:4" x14ac:dyDescent="0.25">
      <c r="B743" s="30"/>
      <c r="C743" s="30"/>
      <c r="D743" s="30"/>
    </row>
    <row r="744" spans="2:4" x14ac:dyDescent="0.25">
      <c r="B744" s="30"/>
      <c r="C744" s="30"/>
      <c r="D744" s="30"/>
    </row>
    <row r="745" spans="2:4" x14ac:dyDescent="0.25">
      <c r="B745" s="30"/>
      <c r="C745" s="30"/>
      <c r="D745" s="30"/>
    </row>
    <row r="746" spans="2:4" x14ac:dyDescent="0.25">
      <c r="B746" s="30"/>
      <c r="C746" s="30"/>
      <c r="D746" s="30"/>
    </row>
    <row r="747" spans="2:4" x14ac:dyDescent="0.25">
      <c r="B747" s="30"/>
      <c r="C747" s="30"/>
      <c r="D747" s="30"/>
    </row>
    <row r="748" spans="2:4" x14ac:dyDescent="0.25">
      <c r="B748" s="30"/>
      <c r="C748" s="30"/>
      <c r="D748" s="30"/>
    </row>
    <row r="749" spans="2:4" x14ac:dyDescent="0.25">
      <c r="B749" s="30"/>
      <c r="C749" s="30"/>
      <c r="D749" s="30"/>
    </row>
    <row r="750" spans="2:4" x14ac:dyDescent="0.25">
      <c r="B750" s="30"/>
      <c r="C750" s="30"/>
      <c r="D750" s="30"/>
    </row>
    <row r="751" spans="2:4" x14ac:dyDescent="0.25">
      <c r="B751" s="30"/>
      <c r="C751" s="30"/>
      <c r="D751" s="30"/>
    </row>
    <row r="752" spans="2:4" x14ac:dyDescent="0.25">
      <c r="B752" s="30"/>
      <c r="C752" s="30"/>
      <c r="D752" s="30"/>
    </row>
    <row r="753" spans="2:4" x14ac:dyDescent="0.25">
      <c r="B753" s="30"/>
      <c r="C753" s="30"/>
      <c r="D753" s="30"/>
    </row>
    <row r="754" spans="2:4" x14ac:dyDescent="0.25">
      <c r="B754" s="30"/>
      <c r="C754" s="30"/>
      <c r="D754" s="30"/>
    </row>
    <row r="755" spans="2:4" x14ac:dyDescent="0.25">
      <c r="B755" s="30"/>
      <c r="C755" s="30"/>
      <c r="D755" s="30"/>
    </row>
    <row r="756" spans="2:4" x14ac:dyDescent="0.25">
      <c r="B756" s="30"/>
      <c r="C756" s="30"/>
      <c r="D756" s="30"/>
    </row>
    <row r="757" spans="2:4" x14ac:dyDescent="0.25">
      <c r="B757" s="30"/>
      <c r="C757" s="30"/>
      <c r="D757" s="30"/>
    </row>
    <row r="758" spans="2:4" x14ac:dyDescent="0.25">
      <c r="B758" s="30"/>
      <c r="C758" s="30"/>
      <c r="D758" s="30"/>
    </row>
    <row r="759" spans="2:4" x14ac:dyDescent="0.25">
      <c r="B759" s="30"/>
      <c r="C759" s="30"/>
      <c r="D759" s="30"/>
    </row>
    <row r="760" spans="2:4" x14ac:dyDescent="0.25">
      <c r="B760" s="30"/>
      <c r="C760" s="30"/>
      <c r="D760" s="30"/>
    </row>
    <row r="761" spans="2:4" x14ac:dyDescent="0.25">
      <c r="B761" s="30"/>
      <c r="C761" s="30"/>
      <c r="D761" s="30"/>
    </row>
    <row r="762" spans="2:4" x14ac:dyDescent="0.25">
      <c r="B762" s="30"/>
      <c r="C762" s="30"/>
      <c r="D762" s="30"/>
    </row>
    <row r="763" spans="2:4" x14ac:dyDescent="0.25">
      <c r="B763" s="30"/>
      <c r="C763" s="30"/>
      <c r="D763" s="30"/>
    </row>
    <row r="764" spans="2:4" x14ac:dyDescent="0.25">
      <c r="B764" s="30"/>
      <c r="C764" s="30"/>
      <c r="D764" s="30"/>
    </row>
    <row r="765" spans="2:4" x14ac:dyDescent="0.25">
      <c r="B765" s="30"/>
      <c r="C765" s="30"/>
      <c r="D765" s="30"/>
    </row>
    <row r="766" spans="2:4" x14ac:dyDescent="0.25">
      <c r="B766" s="30"/>
      <c r="C766" s="30"/>
      <c r="D766" s="30"/>
    </row>
    <row r="767" spans="2:4" x14ac:dyDescent="0.25">
      <c r="B767" s="30"/>
      <c r="C767" s="30"/>
      <c r="D767" s="30"/>
    </row>
    <row r="768" spans="2:4" x14ac:dyDescent="0.25">
      <c r="B768" s="30"/>
      <c r="C768" s="30"/>
      <c r="D768" s="30"/>
    </row>
    <row r="769" spans="2:4" x14ac:dyDescent="0.25">
      <c r="B769" s="30"/>
      <c r="C769" s="30"/>
      <c r="D769" s="30"/>
    </row>
    <row r="770" spans="2:4" x14ac:dyDescent="0.25">
      <c r="B770" s="30"/>
      <c r="C770" s="30"/>
      <c r="D770" s="30"/>
    </row>
    <row r="771" spans="2:4" x14ac:dyDescent="0.25">
      <c r="B771" s="30"/>
      <c r="C771" s="30"/>
      <c r="D771" s="30"/>
    </row>
    <row r="772" spans="2:4" x14ac:dyDescent="0.25">
      <c r="B772" s="30"/>
      <c r="C772" s="30"/>
      <c r="D772" s="30"/>
    </row>
    <row r="773" spans="2:4" x14ac:dyDescent="0.25">
      <c r="B773" s="30"/>
      <c r="C773" s="30"/>
      <c r="D773" s="30"/>
    </row>
    <row r="774" spans="2:4" x14ac:dyDescent="0.25">
      <c r="B774" s="30"/>
      <c r="C774" s="30"/>
      <c r="D774" s="30"/>
    </row>
    <row r="775" spans="2:4" x14ac:dyDescent="0.25">
      <c r="B775" s="30"/>
      <c r="C775" s="30"/>
      <c r="D775" s="30"/>
    </row>
    <row r="776" spans="2:4" x14ac:dyDescent="0.25">
      <c r="B776" s="30"/>
      <c r="C776" s="30"/>
      <c r="D776" s="30"/>
    </row>
    <row r="777" spans="2:4" x14ac:dyDescent="0.25">
      <c r="B777" s="30"/>
      <c r="C777" s="30"/>
      <c r="D777" s="30"/>
    </row>
    <row r="778" spans="2:4" x14ac:dyDescent="0.25">
      <c r="B778" s="30"/>
      <c r="C778" s="30"/>
      <c r="D778" s="30"/>
    </row>
    <row r="779" spans="2:4" x14ac:dyDescent="0.25">
      <c r="B779" s="30"/>
      <c r="C779" s="30"/>
      <c r="D779" s="30"/>
    </row>
    <row r="780" spans="2:4" x14ac:dyDescent="0.25">
      <c r="B780" s="30"/>
      <c r="C780" s="30"/>
      <c r="D780" s="30"/>
    </row>
    <row r="781" spans="2:4" x14ac:dyDescent="0.25">
      <c r="B781" s="30"/>
      <c r="C781" s="30"/>
      <c r="D781" s="30"/>
    </row>
    <row r="782" spans="2:4" x14ac:dyDescent="0.25">
      <c r="B782" s="30"/>
      <c r="C782" s="30"/>
      <c r="D782" s="30"/>
    </row>
    <row r="783" spans="2:4" x14ac:dyDescent="0.25">
      <c r="B783" s="30"/>
      <c r="C783" s="30"/>
      <c r="D783" s="30"/>
    </row>
    <row r="784" spans="2:4" x14ac:dyDescent="0.25">
      <c r="B784" s="30"/>
      <c r="C784" s="30"/>
      <c r="D784" s="30"/>
    </row>
    <row r="785" spans="2:4" x14ac:dyDescent="0.25">
      <c r="B785" s="30"/>
      <c r="C785" s="30"/>
      <c r="D785" s="30"/>
    </row>
    <row r="786" spans="2:4" x14ac:dyDescent="0.25">
      <c r="B786" s="30"/>
      <c r="C786" s="30"/>
      <c r="D786" s="30"/>
    </row>
    <row r="787" spans="2:4" x14ac:dyDescent="0.25">
      <c r="B787" s="30"/>
      <c r="C787" s="30"/>
      <c r="D787" s="30"/>
    </row>
    <row r="788" spans="2:4" x14ac:dyDescent="0.25">
      <c r="B788" s="30"/>
      <c r="C788" s="30"/>
      <c r="D788" s="30"/>
    </row>
    <row r="789" spans="2:4" x14ac:dyDescent="0.25">
      <c r="B789" s="30"/>
      <c r="C789" s="30"/>
      <c r="D789" s="30"/>
    </row>
    <row r="790" spans="2:4" x14ac:dyDescent="0.25">
      <c r="B790" s="30"/>
      <c r="C790" s="30"/>
      <c r="D790" s="30"/>
    </row>
    <row r="791" spans="2:4" x14ac:dyDescent="0.25">
      <c r="B791" s="30"/>
      <c r="C791" s="30"/>
      <c r="D791" s="30"/>
    </row>
    <row r="792" spans="2:4" x14ac:dyDescent="0.25">
      <c r="B792" s="30"/>
      <c r="C792" s="30"/>
      <c r="D792" s="30"/>
    </row>
    <row r="793" spans="2:4" x14ac:dyDescent="0.25">
      <c r="B793" s="30"/>
      <c r="C793" s="30"/>
      <c r="D793" s="30"/>
    </row>
    <row r="794" spans="2:4" x14ac:dyDescent="0.25">
      <c r="B794" s="30"/>
      <c r="C794" s="30"/>
      <c r="D794" s="30"/>
    </row>
    <row r="795" spans="2:4" x14ac:dyDescent="0.25">
      <c r="B795" s="30"/>
      <c r="C795" s="30"/>
      <c r="D795" s="30"/>
    </row>
    <row r="796" spans="2:4" x14ac:dyDescent="0.25">
      <c r="B796" s="30"/>
      <c r="C796" s="30"/>
      <c r="D796" s="30"/>
    </row>
    <row r="797" spans="2:4" x14ac:dyDescent="0.25">
      <c r="B797" s="30"/>
      <c r="C797" s="30"/>
      <c r="D797" s="30"/>
    </row>
    <row r="798" spans="2:4" x14ac:dyDescent="0.25">
      <c r="B798" s="30"/>
      <c r="C798" s="30"/>
      <c r="D798" s="30"/>
    </row>
    <row r="799" spans="2:4" x14ac:dyDescent="0.25">
      <c r="B799" s="30"/>
      <c r="C799" s="30"/>
      <c r="D799" s="30"/>
    </row>
    <row r="800" spans="2:4" x14ac:dyDescent="0.25">
      <c r="B800" s="30"/>
      <c r="C800" s="30"/>
      <c r="D800" s="30"/>
    </row>
    <row r="801" spans="2:4" x14ac:dyDescent="0.25">
      <c r="B801" s="30"/>
      <c r="C801" s="30"/>
      <c r="D801" s="30"/>
    </row>
    <row r="802" spans="2:4" x14ac:dyDescent="0.25">
      <c r="B802" s="30"/>
      <c r="C802" s="30"/>
      <c r="D802" s="30"/>
    </row>
    <row r="803" spans="2:4" x14ac:dyDescent="0.25">
      <c r="B803" s="30"/>
      <c r="C803" s="30"/>
      <c r="D803" s="30"/>
    </row>
    <row r="804" spans="2:4" x14ac:dyDescent="0.25">
      <c r="B804" s="30"/>
      <c r="C804" s="30"/>
      <c r="D804" s="30"/>
    </row>
    <row r="805" spans="2:4" x14ac:dyDescent="0.25">
      <c r="B805" s="30"/>
      <c r="C805" s="30"/>
      <c r="D805" s="30"/>
    </row>
    <row r="806" spans="2:4" x14ac:dyDescent="0.25">
      <c r="B806" s="30"/>
      <c r="C806" s="30"/>
      <c r="D806" s="30"/>
    </row>
    <row r="807" spans="2:4" x14ac:dyDescent="0.25">
      <c r="B807" s="30"/>
      <c r="C807" s="30"/>
      <c r="D807" s="30"/>
    </row>
    <row r="808" spans="2:4" x14ac:dyDescent="0.25">
      <c r="B808" s="30"/>
      <c r="C808" s="30"/>
      <c r="D808" s="30"/>
    </row>
    <row r="809" spans="2:4" x14ac:dyDescent="0.25">
      <c r="B809" s="30"/>
      <c r="C809" s="30"/>
      <c r="D809" s="30"/>
    </row>
    <row r="810" spans="2:4" x14ac:dyDescent="0.25">
      <c r="B810" s="30"/>
      <c r="C810" s="30"/>
      <c r="D810" s="30"/>
    </row>
    <row r="811" spans="2:4" x14ac:dyDescent="0.25">
      <c r="B811" s="30"/>
      <c r="C811" s="30"/>
      <c r="D811" s="30"/>
    </row>
    <row r="812" spans="2:4" x14ac:dyDescent="0.25">
      <c r="B812" s="30"/>
      <c r="C812" s="30"/>
      <c r="D812" s="30"/>
    </row>
    <row r="813" spans="2:4" x14ac:dyDescent="0.25">
      <c r="B813" s="30"/>
      <c r="C813" s="30"/>
      <c r="D813" s="30"/>
    </row>
    <row r="814" spans="2:4" x14ac:dyDescent="0.25">
      <c r="B814" s="30"/>
      <c r="C814" s="30"/>
      <c r="D814" s="30"/>
    </row>
    <row r="815" spans="2:4" x14ac:dyDescent="0.25">
      <c r="B815" s="30"/>
      <c r="C815" s="30"/>
      <c r="D815" s="30"/>
    </row>
    <row r="816" spans="2:4" x14ac:dyDescent="0.25">
      <c r="B816" s="30"/>
      <c r="C816" s="30"/>
      <c r="D816" s="30"/>
    </row>
    <row r="817" spans="2:4" x14ac:dyDescent="0.25">
      <c r="B817" s="30"/>
      <c r="C817" s="30"/>
      <c r="D817" s="30"/>
    </row>
    <row r="818" spans="2:4" x14ac:dyDescent="0.25">
      <c r="B818" s="30"/>
      <c r="C818" s="30"/>
      <c r="D818" s="30"/>
    </row>
    <row r="819" spans="2:4" x14ac:dyDescent="0.25">
      <c r="B819" s="30"/>
      <c r="C819" s="30"/>
      <c r="D819" s="30"/>
    </row>
    <row r="820" spans="2:4" x14ac:dyDescent="0.25">
      <c r="B820" s="30"/>
      <c r="C820" s="30"/>
      <c r="D820" s="30"/>
    </row>
    <row r="821" spans="2:4" x14ac:dyDescent="0.25">
      <c r="B821" s="30"/>
      <c r="C821" s="30"/>
      <c r="D821" s="30"/>
    </row>
    <row r="822" spans="2:4" x14ac:dyDescent="0.25">
      <c r="B822" s="30"/>
      <c r="C822" s="30"/>
      <c r="D822" s="30"/>
    </row>
    <row r="823" spans="2:4" x14ac:dyDescent="0.25">
      <c r="B823" s="30"/>
      <c r="C823" s="30"/>
      <c r="D823" s="30"/>
    </row>
    <row r="824" spans="2:4" x14ac:dyDescent="0.25">
      <c r="B824" s="30"/>
      <c r="C824" s="30"/>
      <c r="D824" s="30"/>
    </row>
    <row r="825" spans="2:4" x14ac:dyDescent="0.25">
      <c r="B825" s="30"/>
      <c r="C825" s="30"/>
      <c r="D825" s="30"/>
    </row>
    <row r="826" spans="2:4" x14ac:dyDescent="0.25">
      <c r="B826" s="30"/>
      <c r="C826" s="30"/>
      <c r="D826" s="30"/>
    </row>
    <row r="827" spans="2:4" x14ac:dyDescent="0.25">
      <c r="B827" s="30"/>
      <c r="C827" s="30"/>
      <c r="D827" s="30"/>
    </row>
    <row r="828" spans="2:4" x14ac:dyDescent="0.25">
      <c r="B828" s="30"/>
      <c r="C828" s="30"/>
      <c r="D828" s="30"/>
    </row>
    <row r="829" spans="2:4" x14ac:dyDescent="0.25">
      <c r="B829" s="30"/>
      <c r="C829" s="30"/>
      <c r="D829" s="30"/>
    </row>
    <row r="830" spans="2:4" x14ac:dyDescent="0.25">
      <c r="B830" s="30"/>
      <c r="C830" s="30"/>
      <c r="D830" s="30"/>
    </row>
    <row r="831" spans="2:4" x14ac:dyDescent="0.25">
      <c r="B831" s="30"/>
      <c r="C831" s="30"/>
      <c r="D831" s="30"/>
    </row>
    <row r="832" spans="2:4" x14ac:dyDescent="0.25">
      <c r="B832" s="30"/>
      <c r="C832" s="30"/>
      <c r="D832" s="30"/>
    </row>
    <row r="833" spans="2:4" x14ac:dyDescent="0.25">
      <c r="B833" s="30"/>
      <c r="C833" s="30"/>
      <c r="D833" s="30"/>
    </row>
    <row r="834" spans="2:4" x14ac:dyDescent="0.25">
      <c r="B834" s="30"/>
      <c r="C834" s="30"/>
      <c r="D834" s="30"/>
    </row>
    <row r="835" spans="2:4" x14ac:dyDescent="0.25">
      <c r="B835" s="30"/>
      <c r="C835" s="30"/>
      <c r="D835" s="30"/>
    </row>
    <row r="836" spans="2:4" x14ac:dyDescent="0.25">
      <c r="B836" s="30"/>
      <c r="C836" s="30"/>
      <c r="D836" s="30"/>
    </row>
    <row r="837" spans="2:4" x14ac:dyDescent="0.25">
      <c r="B837" s="30"/>
      <c r="C837" s="30"/>
      <c r="D837" s="30"/>
    </row>
    <row r="838" spans="2:4" x14ac:dyDescent="0.25">
      <c r="B838" s="30"/>
      <c r="C838" s="30"/>
      <c r="D838" s="30"/>
    </row>
    <row r="839" spans="2:4" x14ac:dyDescent="0.25">
      <c r="B839" s="30"/>
      <c r="C839" s="30"/>
      <c r="D839" s="30"/>
    </row>
    <row r="840" spans="2:4" x14ac:dyDescent="0.25">
      <c r="B840" s="30"/>
      <c r="C840" s="30"/>
      <c r="D840" s="30"/>
    </row>
    <row r="841" spans="2:4" x14ac:dyDescent="0.25">
      <c r="B841" s="30"/>
      <c r="C841" s="30"/>
      <c r="D841" s="30"/>
    </row>
    <row r="842" spans="2:4" x14ac:dyDescent="0.25">
      <c r="B842" s="30"/>
      <c r="C842" s="30"/>
      <c r="D842" s="30"/>
    </row>
    <row r="843" spans="2:4" x14ac:dyDescent="0.25">
      <c r="B843" s="30"/>
      <c r="C843" s="30"/>
      <c r="D843" s="30"/>
    </row>
    <row r="844" spans="2:4" x14ac:dyDescent="0.25">
      <c r="B844" s="30"/>
      <c r="C844" s="30"/>
      <c r="D844" s="30"/>
    </row>
    <row r="845" spans="2:4" x14ac:dyDescent="0.25">
      <c r="B845" s="30"/>
      <c r="C845" s="30"/>
      <c r="D845" s="30"/>
    </row>
    <row r="846" spans="2:4" x14ac:dyDescent="0.25">
      <c r="B846" s="30"/>
      <c r="C846" s="30"/>
      <c r="D846" s="30"/>
    </row>
    <row r="847" spans="2:4" x14ac:dyDescent="0.25">
      <c r="B847" s="30"/>
      <c r="C847" s="30"/>
      <c r="D847" s="30"/>
    </row>
    <row r="848" spans="2:4" x14ac:dyDescent="0.25">
      <c r="B848" s="30"/>
      <c r="C848" s="30"/>
      <c r="D848" s="30"/>
    </row>
    <row r="849" spans="2:4" x14ac:dyDescent="0.25">
      <c r="B849" s="30"/>
      <c r="C849" s="30"/>
      <c r="D849" s="30"/>
    </row>
    <row r="850" spans="2:4" x14ac:dyDescent="0.25">
      <c r="B850" s="30"/>
      <c r="C850" s="30"/>
      <c r="D850" s="30"/>
    </row>
    <row r="851" spans="2:4" x14ac:dyDescent="0.25">
      <c r="B851" s="30"/>
      <c r="C851" s="30"/>
      <c r="D851" s="30"/>
    </row>
    <row r="852" spans="2:4" x14ac:dyDescent="0.25">
      <c r="B852" s="30"/>
      <c r="C852" s="30"/>
      <c r="D852" s="30"/>
    </row>
    <row r="853" spans="2:4" x14ac:dyDescent="0.25">
      <c r="B853" s="30"/>
      <c r="C853" s="30"/>
      <c r="D853" s="30"/>
    </row>
    <row r="854" spans="2:4" x14ac:dyDescent="0.25">
      <c r="B854" s="30"/>
      <c r="C854" s="30"/>
      <c r="D854" s="30"/>
    </row>
    <row r="855" spans="2:4" x14ac:dyDescent="0.25">
      <c r="B855" s="30"/>
      <c r="C855" s="30"/>
      <c r="D855" s="30"/>
    </row>
    <row r="856" spans="2:4" x14ac:dyDescent="0.25">
      <c r="B856" s="30"/>
      <c r="C856" s="30"/>
      <c r="D856" s="30"/>
    </row>
    <row r="857" spans="2:4" x14ac:dyDescent="0.25">
      <c r="B857" s="30"/>
      <c r="C857" s="30"/>
      <c r="D857" s="30"/>
    </row>
    <row r="858" spans="2:4" x14ac:dyDescent="0.25">
      <c r="B858" s="30"/>
      <c r="C858" s="30"/>
      <c r="D858" s="30"/>
    </row>
    <row r="859" spans="2:4" x14ac:dyDescent="0.25">
      <c r="B859" s="30"/>
      <c r="C859" s="30"/>
      <c r="D859" s="30"/>
    </row>
    <row r="860" spans="2:4" x14ac:dyDescent="0.25">
      <c r="B860" s="30"/>
      <c r="C860" s="30"/>
      <c r="D860" s="30"/>
    </row>
    <row r="861" spans="2:4" x14ac:dyDescent="0.25">
      <c r="B861" s="30"/>
      <c r="C861" s="30"/>
      <c r="D861" s="30"/>
    </row>
    <row r="862" spans="2:4" x14ac:dyDescent="0.25">
      <c r="B862" s="30"/>
      <c r="C862" s="30"/>
      <c r="D862" s="30"/>
    </row>
    <row r="863" spans="2:4" x14ac:dyDescent="0.25">
      <c r="B863" s="30"/>
      <c r="C863" s="30"/>
      <c r="D863" s="30"/>
    </row>
    <row r="864" spans="2:4" x14ac:dyDescent="0.25">
      <c r="B864" s="30"/>
      <c r="C864" s="30"/>
      <c r="D864" s="30"/>
    </row>
    <row r="865" spans="2:4" x14ac:dyDescent="0.25">
      <c r="B865" s="30"/>
      <c r="C865" s="30"/>
      <c r="D865" s="30"/>
    </row>
    <row r="866" spans="2:4" x14ac:dyDescent="0.25">
      <c r="B866" s="30"/>
      <c r="C866" s="30"/>
      <c r="D866" s="30"/>
    </row>
    <row r="867" spans="2:4" x14ac:dyDescent="0.25">
      <c r="B867" s="30"/>
      <c r="C867" s="30"/>
      <c r="D867" s="30"/>
    </row>
    <row r="868" spans="2:4" x14ac:dyDescent="0.25">
      <c r="B868" s="30"/>
      <c r="C868" s="30"/>
      <c r="D868" s="30"/>
    </row>
    <row r="869" spans="2:4" x14ac:dyDescent="0.25">
      <c r="B869" s="30"/>
      <c r="C869" s="30"/>
      <c r="D869" s="30"/>
    </row>
    <row r="870" spans="2:4" x14ac:dyDescent="0.25">
      <c r="B870" s="30"/>
      <c r="C870" s="30"/>
      <c r="D870" s="30"/>
    </row>
    <row r="871" spans="2:4" x14ac:dyDescent="0.25">
      <c r="B871" s="30"/>
      <c r="C871" s="30"/>
      <c r="D871" s="30"/>
    </row>
    <row r="872" spans="2:4" x14ac:dyDescent="0.25">
      <c r="B872" s="30"/>
      <c r="C872" s="30"/>
      <c r="D872" s="30"/>
    </row>
    <row r="873" spans="2:4" x14ac:dyDescent="0.25">
      <c r="B873" s="30"/>
      <c r="C873" s="30"/>
      <c r="D873" s="30"/>
    </row>
    <row r="874" spans="2:4" x14ac:dyDescent="0.25">
      <c r="B874" s="30"/>
      <c r="C874" s="30"/>
      <c r="D874" s="30"/>
    </row>
    <row r="875" spans="2:4" x14ac:dyDescent="0.25">
      <c r="B875" s="30"/>
      <c r="C875" s="30"/>
      <c r="D875" s="30"/>
    </row>
    <row r="876" spans="2:4" x14ac:dyDescent="0.25">
      <c r="B876" s="30"/>
      <c r="C876" s="30"/>
      <c r="D876" s="30"/>
    </row>
    <row r="877" spans="2:4" x14ac:dyDescent="0.25">
      <c r="B877" s="30"/>
      <c r="C877" s="30"/>
      <c r="D877" s="30"/>
    </row>
    <row r="878" spans="2:4" x14ac:dyDescent="0.25">
      <c r="B878" s="30"/>
      <c r="C878" s="30"/>
      <c r="D878" s="30"/>
    </row>
    <row r="879" spans="2:4" x14ac:dyDescent="0.25">
      <c r="B879" s="30"/>
      <c r="C879" s="30"/>
      <c r="D879" s="30"/>
    </row>
    <row r="880" spans="2:4" x14ac:dyDescent="0.25">
      <c r="B880" s="30"/>
      <c r="C880" s="30"/>
      <c r="D880" s="30"/>
    </row>
    <row r="881" spans="2:4" x14ac:dyDescent="0.25">
      <c r="B881" s="30"/>
      <c r="C881" s="30"/>
      <c r="D881" s="30"/>
    </row>
    <row r="882" spans="2:4" x14ac:dyDescent="0.25">
      <c r="B882" s="30"/>
      <c r="C882" s="30"/>
      <c r="D882" s="30"/>
    </row>
    <row r="883" spans="2:4" x14ac:dyDescent="0.25">
      <c r="B883" s="30"/>
      <c r="C883" s="30"/>
      <c r="D883" s="30"/>
    </row>
    <row r="884" spans="2:4" x14ac:dyDescent="0.25">
      <c r="B884" s="30"/>
      <c r="C884" s="30"/>
      <c r="D884" s="30"/>
    </row>
    <row r="885" spans="2:4" x14ac:dyDescent="0.25">
      <c r="B885" s="30"/>
      <c r="C885" s="30"/>
      <c r="D885" s="30"/>
    </row>
    <row r="886" spans="2:4" x14ac:dyDescent="0.25">
      <c r="B886" s="30"/>
      <c r="C886" s="30"/>
      <c r="D886" s="30"/>
    </row>
    <row r="887" spans="2:4" x14ac:dyDescent="0.25">
      <c r="B887" s="30"/>
      <c r="C887" s="30"/>
      <c r="D887" s="30"/>
    </row>
    <row r="888" spans="2:4" x14ac:dyDescent="0.25">
      <c r="B888" s="30"/>
      <c r="C888" s="30"/>
      <c r="D888" s="30"/>
    </row>
    <row r="889" spans="2:4" x14ac:dyDescent="0.25">
      <c r="B889" s="30"/>
      <c r="C889" s="30"/>
      <c r="D889" s="30"/>
    </row>
    <row r="890" spans="2:4" x14ac:dyDescent="0.25">
      <c r="B890" s="30"/>
      <c r="C890" s="30"/>
      <c r="D890" s="30"/>
    </row>
    <row r="891" spans="2:4" x14ac:dyDescent="0.25">
      <c r="B891" s="30"/>
      <c r="C891" s="30"/>
      <c r="D891" s="30"/>
    </row>
    <row r="892" spans="2:4" x14ac:dyDescent="0.25">
      <c r="B892" s="30"/>
      <c r="C892" s="30"/>
      <c r="D892" s="30"/>
    </row>
    <row r="893" spans="2:4" x14ac:dyDescent="0.25">
      <c r="B893" s="30"/>
      <c r="C893" s="30"/>
      <c r="D893" s="30"/>
    </row>
    <row r="894" spans="2:4" x14ac:dyDescent="0.25">
      <c r="B894" s="30"/>
      <c r="C894" s="30"/>
      <c r="D894" s="30"/>
    </row>
    <row r="895" spans="2:4" x14ac:dyDescent="0.25">
      <c r="B895" s="30"/>
      <c r="C895" s="30"/>
      <c r="D895" s="30"/>
    </row>
    <row r="896" spans="2:4" x14ac:dyDescent="0.25">
      <c r="B896" s="30"/>
      <c r="C896" s="30"/>
      <c r="D896" s="30"/>
    </row>
    <row r="897" spans="2:4" x14ac:dyDescent="0.25">
      <c r="B897" s="30"/>
      <c r="C897" s="30"/>
      <c r="D897" s="30"/>
    </row>
    <row r="898" spans="2:4" x14ac:dyDescent="0.25">
      <c r="B898" s="30"/>
      <c r="C898" s="30"/>
      <c r="D898" s="30"/>
    </row>
    <row r="899" spans="2:4" x14ac:dyDescent="0.25">
      <c r="B899" s="30"/>
      <c r="C899" s="30"/>
      <c r="D899" s="30"/>
    </row>
    <row r="900" spans="2:4" x14ac:dyDescent="0.25">
      <c r="B900" s="30"/>
      <c r="C900" s="30"/>
      <c r="D900" s="30"/>
    </row>
    <row r="901" spans="2:4" x14ac:dyDescent="0.25">
      <c r="B901" s="30"/>
      <c r="C901" s="30"/>
      <c r="D901" s="30"/>
    </row>
    <row r="902" spans="2:4" x14ac:dyDescent="0.25">
      <c r="B902" s="30"/>
      <c r="C902" s="30"/>
      <c r="D902" s="30"/>
    </row>
    <row r="903" spans="2:4" x14ac:dyDescent="0.25">
      <c r="B903" s="30"/>
      <c r="C903" s="30"/>
      <c r="D903" s="30"/>
    </row>
    <row r="904" spans="2:4" x14ac:dyDescent="0.25">
      <c r="B904" s="30"/>
      <c r="C904" s="30"/>
      <c r="D904" s="30"/>
    </row>
    <row r="905" spans="2:4" x14ac:dyDescent="0.25">
      <c r="B905" s="30"/>
      <c r="C905" s="30"/>
      <c r="D905" s="30"/>
    </row>
    <row r="906" spans="2:4" x14ac:dyDescent="0.25">
      <c r="B906" s="30"/>
      <c r="C906" s="30"/>
      <c r="D906" s="30"/>
    </row>
    <row r="907" spans="2:4" x14ac:dyDescent="0.25">
      <c r="B907" s="30"/>
      <c r="C907" s="30"/>
      <c r="D907" s="30"/>
    </row>
    <row r="908" spans="2:4" x14ac:dyDescent="0.25">
      <c r="B908" s="30"/>
      <c r="C908" s="30"/>
      <c r="D908" s="30"/>
    </row>
    <row r="909" spans="2:4" x14ac:dyDescent="0.25">
      <c r="B909" s="30"/>
      <c r="C909" s="30"/>
      <c r="D909" s="30"/>
    </row>
    <row r="910" spans="2:4" x14ac:dyDescent="0.25">
      <c r="B910" s="30"/>
      <c r="C910" s="30"/>
      <c r="D910" s="30"/>
    </row>
    <row r="911" spans="2:4" x14ac:dyDescent="0.25">
      <c r="B911" s="30"/>
      <c r="C911" s="30"/>
      <c r="D911" s="30"/>
    </row>
    <row r="912" spans="2:4" x14ac:dyDescent="0.25">
      <c r="B912" s="30"/>
      <c r="C912" s="30"/>
      <c r="D912" s="30"/>
    </row>
    <row r="913" spans="2:4" x14ac:dyDescent="0.25">
      <c r="B913" s="30"/>
      <c r="C913" s="30"/>
      <c r="D913" s="30"/>
    </row>
    <row r="914" spans="2:4" x14ac:dyDescent="0.25">
      <c r="B914" s="30"/>
      <c r="C914" s="30"/>
      <c r="D914" s="30"/>
    </row>
    <row r="915" spans="2:4" x14ac:dyDescent="0.25">
      <c r="B915" s="30"/>
      <c r="C915" s="30"/>
      <c r="D915" s="30"/>
    </row>
    <row r="916" spans="2:4" x14ac:dyDescent="0.25">
      <c r="B916" s="30"/>
      <c r="C916" s="30"/>
      <c r="D916" s="30"/>
    </row>
    <row r="917" spans="2:4" x14ac:dyDescent="0.25">
      <c r="B917" s="30"/>
      <c r="C917" s="30"/>
      <c r="D917" s="30"/>
    </row>
    <row r="918" spans="2:4" x14ac:dyDescent="0.25">
      <c r="B918" s="30"/>
      <c r="C918" s="30"/>
      <c r="D918" s="30"/>
    </row>
    <row r="919" spans="2:4" x14ac:dyDescent="0.25">
      <c r="B919" s="30"/>
      <c r="C919" s="30"/>
      <c r="D919" s="30"/>
    </row>
    <row r="920" spans="2:4" x14ac:dyDescent="0.25">
      <c r="B920" s="30"/>
      <c r="C920" s="30"/>
      <c r="D920" s="30"/>
    </row>
    <row r="921" spans="2:4" x14ac:dyDescent="0.25">
      <c r="B921" s="30"/>
      <c r="C921" s="30"/>
      <c r="D921" s="30"/>
    </row>
    <row r="922" spans="2:4" x14ac:dyDescent="0.25">
      <c r="B922" s="30"/>
      <c r="C922" s="30"/>
      <c r="D922" s="30"/>
    </row>
    <row r="923" spans="2:4" x14ac:dyDescent="0.25">
      <c r="B923" s="30"/>
      <c r="C923" s="30"/>
      <c r="D923" s="30"/>
    </row>
    <row r="924" spans="2:4" x14ac:dyDescent="0.25">
      <c r="B924" s="30"/>
      <c r="C924" s="30"/>
      <c r="D924" s="30"/>
    </row>
    <row r="925" spans="2:4" x14ac:dyDescent="0.25">
      <c r="B925" s="30"/>
      <c r="C925" s="30"/>
      <c r="D925" s="30"/>
    </row>
    <row r="926" spans="2:4" x14ac:dyDescent="0.25">
      <c r="B926" s="30"/>
      <c r="C926" s="30"/>
      <c r="D926" s="30"/>
    </row>
    <row r="927" spans="2:4" x14ac:dyDescent="0.25">
      <c r="B927" s="30"/>
      <c r="C927" s="30"/>
      <c r="D927" s="30"/>
    </row>
    <row r="928" spans="2:4" x14ac:dyDescent="0.25">
      <c r="B928" s="30"/>
      <c r="C928" s="30"/>
      <c r="D928" s="30"/>
    </row>
    <row r="929" spans="2:4" x14ac:dyDescent="0.25">
      <c r="B929" s="30"/>
      <c r="C929" s="30"/>
      <c r="D929" s="30"/>
    </row>
    <row r="930" spans="2:4" x14ac:dyDescent="0.25">
      <c r="B930" s="30"/>
      <c r="C930" s="30"/>
      <c r="D930" s="30"/>
    </row>
    <row r="931" spans="2:4" x14ac:dyDescent="0.25">
      <c r="B931" s="30"/>
      <c r="C931" s="30"/>
      <c r="D931" s="30"/>
    </row>
    <row r="932" spans="2:4" x14ac:dyDescent="0.25">
      <c r="B932" s="30"/>
      <c r="C932" s="30"/>
      <c r="D932" s="30"/>
    </row>
    <row r="933" spans="2:4" x14ac:dyDescent="0.25">
      <c r="B933" s="30"/>
      <c r="C933" s="30"/>
      <c r="D933" s="30"/>
    </row>
    <row r="934" spans="2:4" x14ac:dyDescent="0.25">
      <c r="B934" s="30"/>
      <c r="C934" s="30"/>
      <c r="D934" s="30"/>
    </row>
    <row r="935" spans="2:4" x14ac:dyDescent="0.25">
      <c r="B935" s="30"/>
      <c r="C935" s="30"/>
      <c r="D935" s="30"/>
    </row>
    <row r="936" spans="2:4" x14ac:dyDescent="0.25">
      <c r="B936" s="30"/>
      <c r="C936" s="30"/>
      <c r="D936" s="30"/>
    </row>
    <row r="937" spans="2:4" x14ac:dyDescent="0.25">
      <c r="B937" s="30"/>
      <c r="C937" s="30"/>
      <c r="D937" s="30"/>
    </row>
    <row r="938" spans="2:4" x14ac:dyDescent="0.25">
      <c r="B938" s="30"/>
      <c r="C938" s="30"/>
      <c r="D938" s="30"/>
    </row>
    <row r="939" spans="2:4" x14ac:dyDescent="0.25">
      <c r="B939" s="30"/>
      <c r="C939" s="30"/>
      <c r="D939" s="30"/>
    </row>
    <row r="940" spans="2:4" x14ac:dyDescent="0.25">
      <c r="B940" s="30"/>
      <c r="C940" s="30"/>
      <c r="D940" s="30"/>
    </row>
    <row r="941" spans="2:4" x14ac:dyDescent="0.25">
      <c r="B941" s="30"/>
      <c r="C941" s="30"/>
      <c r="D941" s="30"/>
    </row>
    <row r="942" spans="2:4" x14ac:dyDescent="0.25">
      <c r="B942" s="30"/>
      <c r="C942" s="30"/>
      <c r="D942" s="30"/>
    </row>
    <row r="943" spans="2:4" x14ac:dyDescent="0.25">
      <c r="B943" s="30"/>
      <c r="C943" s="30"/>
      <c r="D943" s="30"/>
    </row>
    <row r="944" spans="2:4" x14ac:dyDescent="0.25">
      <c r="B944" s="30"/>
      <c r="C944" s="30"/>
      <c r="D944" s="30"/>
    </row>
    <row r="945" spans="2:4" x14ac:dyDescent="0.25">
      <c r="B945" s="30"/>
      <c r="C945" s="30"/>
      <c r="D945" s="30"/>
    </row>
    <row r="946" spans="2:4" x14ac:dyDescent="0.25">
      <c r="B946" s="30"/>
      <c r="C946" s="30"/>
      <c r="D946" s="30"/>
    </row>
    <row r="947" spans="2:4" x14ac:dyDescent="0.25">
      <c r="B947" s="30"/>
      <c r="C947" s="30"/>
      <c r="D947" s="30"/>
    </row>
    <row r="948" spans="2:4" x14ac:dyDescent="0.25">
      <c r="B948" s="30"/>
      <c r="C948" s="30"/>
      <c r="D948" s="30"/>
    </row>
    <row r="949" spans="2:4" x14ac:dyDescent="0.25">
      <c r="B949" s="30"/>
      <c r="C949" s="30"/>
      <c r="D949" s="30"/>
    </row>
    <row r="950" spans="2:4" x14ac:dyDescent="0.25">
      <c r="B950" s="30"/>
      <c r="C950" s="30"/>
      <c r="D950" s="30"/>
    </row>
    <row r="951" spans="2:4" x14ac:dyDescent="0.25">
      <c r="B951" s="30"/>
      <c r="C951" s="30"/>
      <c r="D951" s="30"/>
    </row>
    <row r="952" spans="2:4" x14ac:dyDescent="0.25">
      <c r="B952" s="30"/>
      <c r="C952" s="30"/>
      <c r="D952" s="30"/>
    </row>
    <row r="953" spans="2:4" x14ac:dyDescent="0.25">
      <c r="B953" s="30"/>
      <c r="C953" s="30"/>
      <c r="D953" s="30"/>
    </row>
    <row r="954" spans="2:4" x14ac:dyDescent="0.25">
      <c r="B954" s="30"/>
      <c r="C954" s="30"/>
      <c r="D954" s="30"/>
    </row>
    <row r="955" spans="2:4" x14ac:dyDescent="0.25">
      <c r="B955" s="30"/>
      <c r="C955" s="30"/>
      <c r="D955" s="30"/>
    </row>
    <row r="956" spans="2:4" x14ac:dyDescent="0.25">
      <c r="B956" s="30"/>
      <c r="C956" s="30"/>
      <c r="D956" s="30"/>
    </row>
    <row r="957" spans="2:4" x14ac:dyDescent="0.25">
      <c r="B957" s="30"/>
      <c r="C957" s="30"/>
      <c r="D957" s="30"/>
    </row>
    <row r="958" spans="2:4" x14ac:dyDescent="0.25">
      <c r="B958" s="30"/>
      <c r="C958" s="30"/>
      <c r="D958" s="30"/>
    </row>
    <row r="959" spans="2:4" x14ac:dyDescent="0.25">
      <c r="B959" s="30"/>
      <c r="C959" s="30"/>
      <c r="D959" s="30"/>
    </row>
    <row r="960" spans="2:4" x14ac:dyDescent="0.25">
      <c r="B960" s="30"/>
      <c r="C960" s="30"/>
      <c r="D960" s="30"/>
    </row>
    <row r="961" spans="2:4" x14ac:dyDescent="0.25">
      <c r="B961" s="30"/>
      <c r="C961" s="30"/>
      <c r="D961" s="30"/>
    </row>
    <row r="962" spans="2:4" x14ac:dyDescent="0.25">
      <c r="B962" s="30"/>
      <c r="C962" s="30"/>
      <c r="D962" s="30"/>
    </row>
    <row r="963" spans="2:4" x14ac:dyDescent="0.25">
      <c r="B963" s="30"/>
      <c r="C963" s="30"/>
      <c r="D963" s="30"/>
    </row>
    <row r="964" spans="2:4" x14ac:dyDescent="0.25">
      <c r="B964" s="30"/>
      <c r="C964" s="30"/>
      <c r="D964" s="30"/>
    </row>
    <row r="965" spans="2:4" x14ac:dyDescent="0.25">
      <c r="B965" s="30"/>
      <c r="C965" s="30"/>
      <c r="D965" s="30"/>
    </row>
    <row r="966" spans="2:4" x14ac:dyDescent="0.25">
      <c r="B966" s="30"/>
      <c r="C966" s="30"/>
      <c r="D966" s="30"/>
    </row>
    <row r="967" spans="2:4" x14ac:dyDescent="0.25">
      <c r="B967" s="30"/>
      <c r="C967" s="30"/>
      <c r="D967" s="30"/>
    </row>
    <row r="968" spans="2:4" x14ac:dyDescent="0.25">
      <c r="B968" s="30"/>
      <c r="C968" s="30"/>
      <c r="D968" s="30"/>
    </row>
    <row r="969" spans="2:4" x14ac:dyDescent="0.25">
      <c r="B969" s="30"/>
      <c r="C969" s="30"/>
      <c r="D969" s="30"/>
    </row>
    <row r="970" spans="2:4" x14ac:dyDescent="0.25">
      <c r="B970" s="30"/>
      <c r="C970" s="30"/>
      <c r="D970" s="30"/>
    </row>
    <row r="971" spans="2:4" x14ac:dyDescent="0.25">
      <c r="B971" s="30"/>
      <c r="C971" s="30"/>
      <c r="D971" s="30"/>
    </row>
    <row r="972" spans="2:4" x14ac:dyDescent="0.25">
      <c r="B972" s="30"/>
      <c r="C972" s="30"/>
      <c r="D972" s="30"/>
    </row>
    <row r="973" spans="2:4" x14ac:dyDescent="0.25">
      <c r="B973" s="30"/>
      <c r="C973" s="30"/>
      <c r="D973" s="30"/>
    </row>
    <row r="974" spans="2:4" x14ac:dyDescent="0.25">
      <c r="B974" s="30"/>
      <c r="C974" s="30"/>
      <c r="D974" s="30"/>
    </row>
    <row r="975" spans="2:4" x14ac:dyDescent="0.25">
      <c r="B975" s="30"/>
      <c r="C975" s="30"/>
      <c r="D975" s="30"/>
    </row>
    <row r="976" spans="2:4" x14ac:dyDescent="0.25">
      <c r="B976" s="30"/>
      <c r="C976" s="30"/>
      <c r="D976" s="30"/>
    </row>
    <row r="977" spans="2:4" x14ac:dyDescent="0.25">
      <c r="B977" s="30"/>
      <c r="C977" s="30"/>
      <c r="D977" s="30"/>
    </row>
    <row r="978" spans="2:4" x14ac:dyDescent="0.25">
      <c r="B978" s="30"/>
      <c r="C978" s="30"/>
      <c r="D978" s="30"/>
    </row>
    <row r="979" spans="2:4" x14ac:dyDescent="0.25">
      <c r="B979" s="30"/>
      <c r="C979" s="30"/>
      <c r="D979" s="30"/>
    </row>
    <row r="980" spans="2:4" x14ac:dyDescent="0.25">
      <c r="B980" s="30"/>
      <c r="C980" s="30"/>
      <c r="D980" s="30"/>
    </row>
    <row r="981" spans="2:4" x14ac:dyDescent="0.25">
      <c r="B981" s="30"/>
      <c r="C981" s="30"/>
      <c r="D981" s="30"/>
    </row>
    <row r="982" spans="2:4" x14ac:dyDescent="0.25">
      <c r="B982" s="30"/>
      <c r="C982" s="30"/>
      <c r="D982" s="30"/>
    </row>
    <row r="983" spans="2:4" x14ac:dyDescent="0.25">
      <c r="B983" s="30"/>
      <c r="C983" s="30"/>
      <c r="D983" s="30"/>
    </row>
    <row r="984" spans="2:4" x14ac:dyDescent="0.25">
      <c r="B984" s="30"/>
      <c r="C984" s="30"/>
      <c r="D984" s="30"/>
    </row>
    <row r="985" spans="2:4" x14ac:dyDescent="0.25">
      <c r="B985" s="30"/>
      <c r="C985" s="30"/>
      <c r="D985" s="30"/>
    </row>
    <row r="986" spans="2:4" x14ac:dyDescent="0.25">
      <c r="B986" s="30"/>
      <c r="C986" s="30"/>
      <c r="D986" s="30"/>
    </row>
    <row r="987" spans="2:4" x14ac:dyDescent="0.25">
      <c r="B987" s="30"/>
      <c r="C987" s="30"/>
      <c r="D987" s="30"/>
    </row>
    <row r="988" spans="2:4" x14ac:dyDescent="0.25">
      <c r="B988" s="30"/>
      <c r="C988" s="30"/>
      <c r="D988" s="30"/>
    </row>
    <row r="989" spans="2:4" x14ac:dyDescent="0.25">
      <c r="B989" s="30"/>
      <c r="C989" s="30"/>
      <c r="D989" s="30"/>
    </row>
    <row r="990" spans="2:4" x14ac:dyDescent="0.25">
      <c r="B990" s="30"/>
      <c r="C990" s="30"/>
      <c r="D990" s="30"/>
    </row>
    <row r="991" spans="2:4" x14ac:dyDescent="0.25">
      <c r="B991" s="30"/>
      <c r="C991" s="30"/>
      <c r="D991" s="30"/>
    </row>
    <row r="992" spans="2:4" x14ac:dyDescent="0.25">
      <c r="B992" s="30"/>
      <c r="C992" s="30"/>
      <c r="D992" s="30"/>
    </row>
    <row r="993" spans="2:4" x14ac:dyDescent="0.25">
      <c r="B993" s="30"/>
      <c r="C993" s="30"/>
      <c r="D993" s="30"/>
    </row>
    <row r="994" spans="2:4" x14ac:dyDescent="0.25">
      <c r="B994" s="30"/>
      <c r="C994" s="30"/>
      <c r="D994" s="30"/>
    </row>
    <row r="995" spans="2:4" x14ac:dyDescent="0.25">
      <c r="B995" s="30"/>
      <c r="C995" s="30"/>
      <c r="D995" s="30"/>
    </row>
    <row r="996" spans="2:4" x14ac:dyDescent="0.25">
      <c r="B996" s="30"/>
      <c r="C996" s="30"/>
      <c r="D996" s="30"/>
    </row>
    <row r="997" spans="2:4" x14ac:dyDescent="0.25">
      <c r="B997" s="30"/>
      <c r="C997" s="30"/>
      <c r="D997" s="30"/>
    </row>
    <row r="998" spans="2:4" x14ac:dyDescent="0.25">
      <c r="B998" s="30"/>
      <c r="C998" s="30"/>
      <c r="D998" s="30"/>
    </row>
    <row r="999" spans="2:4" x14ac:dyDescent="0.25">
      <c r="B999" s="30"/>
      <c r="C999" s="30"/>
      <c r="D999" s="30"/>
    </row>
    <row r="1000" spans="2:4" x14ac:dyDescent="0.25">
      <c r="B1000" s="30"/>
      <c r="C1000" s="30"/>
      <c r="D1000" s="30"/>
    </row>
    <row r="1001" spans="2:4" x14ac:dyDescent="0.25">
      <c r="B1001" s="30"/>
      <c r="C1001" s="30"/>
      <c r="D1001" s="30"/>
    </row>
    <row r="1002" spans="2:4" x14ac:dyDescent="0.25">
      <c r="B1002" s="30"/>
      <c r="C1002" s="30"/>
      <c r="D1002" s="30"/>
    </row>
    <row r="1003" spans="2:4" x14ac:dyDescent="0.25">
      <c r="B1003" s="30"/>
      <c r="C1003" s="30"/>
      <c r="D1003" s="30"/>
    </row>
    <row r="1004" spans="2:4" x14ac:dyDescent="0.25">
      <c r="B1004" s="30"/>
      <c r="C1004" s="30"/>
      <c r="D1004" s="30"/>
    </row>
    <row r="1005" spans="2:4" x14ac:dyDescent="0.25">
      <c r="B1005" s="25"/>
    </row>
    <row r="1006" spans="2:4" x14ac:dyDescent="0.25">
      <c r="B1006" s="25"/>
    </row>
    <row r="1007" spans="2:4" x14ac:dyDescent="0.25">
      <c r="B1007" s="25"/>
    </row>
    <row r="1008" spans="2:4" x14ac:dyDescent="0.25">
      <c r="B1008" s="25"/>
    </row>
    <row r="1009" spans="2:2" x14ac:dyDescent="0.25">
      <c r="B1009" s="25"/>
    </row>
    <row r="1010" spans="2:2" x14ac:dyDescent="0.25">
      <c r="B1010" s="25"/>
    </row>
    <row r="1011" spans="2:2" x14ac:dyDescent="0.25">
      <c r="B1011" s="25"/>
    </row>
    <row r="1012" spans="2:2" x14ac:dyDescent="0.25">
      <c r="B1012" s="25"/>
    </row>
    <row r="1013" spans="2:2" x14ac:dyDescent="0.25">
      <c r="B1013" s="25"/>
    </row>
    <row r="1014" spans="2:2" x14ac:dyDescent="0.25">
      <c r="B1014" s="25"/>
    </row>
    <row r="1015" spans="2:2" x14ac:dyDescent="0.25">
      <c r="B1015" s="25"/>
    </row>
    <row r="1016" spans="2:2" x14ac:dyDescent="0.25">
      <c r="B1016" s="25"/>
    </row>
    <row r="1017" spans="2:2" x14ac:dyDescent="0.25">
      <c r="B1017" s="25"/>
    </row>
    <row r="1018" spans="2:2" x14ac:dyDescent="0.25">
      <c r="B1018" s="25"/>
    </row>
    <row r="1019" spans="2:2" x14ac:dyDescent="0.25">
      <c r="B1019" s="25"/>
    </row>
    <row r="1020" spans="2:2" x14ac:dyDescent="0.25">
      <c r="B1020" s="25"/>
    </row>
    <row r="1021" spans="2:2" x14ac:dyDescent="0.25">
      <c r="B1021" s="25"/>
    </row>
    <row r="1022" spans="2:2" x14ac:dyDescent="0.25">
      <c r="B1022" s="25"/>
    </row>
    <row r="1023" spans="2:2" x14ac:dyDescent="0.25">
      <c r="B1023" s="25"/>
    </row>
    <row r="1024" spans="2:2" x14ac:dyDescent="0.25">
      <c r="B1024" s="25"/>
    </row>
    <row r="1025" spans="2:2" x14ac:dyDescent="0.25">
      <c r="B1025" s="25"/>
    </row>
    <row r="1026" spans="2:2" x14ac:dyDescent="0.25">
      <c r="B1026" s="25"/>
    </row>
    <row r="1027" spans="2:2" x14ac:dyDescent="0.25">
      <c r="B1027" s="25"/>
    </row>
    <row r="1028" spans="2:2" x14ac:dyDescent="0.25">
      <c r="B1028" s="25"/>
    </row>
    <row r="1029" spans="2:2" x14ac:dyDescent="0.25">
      <c r="B1029" s="25"/>
    </row>
    <row r="1030" spans="2:2" x14ac:dyDescent="0.25">
      <c r="B1030" s="25"/>
    </row>
    <row r="1031" spans="2:2" x14ac:dyDescent="0.25">
      <c r="B1031" s="25"/>
    </row>
    <row r="1032" spans="2:2" x14ac:dyDescent="0.25">
      <c r="B1032" s="25"/>
    </row>
    <row r="1033" spans="2:2" x14ac:dyDescent="0.25">
      <c r="B1033" s="25"/>
    </row>
    <row r="1034" spans="2:2" x14ac:dyDescent="0.25">
      <c r="B1034" s="25"/>
    </row>
    <row r="1035" spans="2:2" x14ac:dyDescent="0.25">
      <c r="B1035" s="25"/>
    </row>
    <row r="1036" spans="2:2" x14ac:dyDescent="0.25">
      <c r="B1036" s="25"/>
    </row>
    <row r="1037" spans="2:2" x14ac:dyDescent="0.25">
      <c r="B1037" s="25"/>
    </row>
    <row r="1038" spans="2:2" x14ac:dyDescent="0.25">
      <c r="B1038" s="25"/>
    </row>
    <row r="1039" spans="2:2" x14ac:dyDescent="0.25">
      <c r="B1039" s="25"/>
    </row>
    <row r="1040" spans="2:2" x14ac:dyDescent="0.25">
      <c r="B1040" s="25"/>
    </row>
    <row r="1041" spans="2:2" x14ac:dyDescent="0.25">
      <c r="B1041" s="25"/>
    </row>
    <row r="1042" spans="2:2" x14ac:dyDescent="0.25">
      <c r="B1042" s="25"/>
    </row>
    <row r="1043" spans="2:2" x14ac:dyDescent="0.25">
      <c r="B1043" s="25"/>
    </row>
    <row r="1044" spans="2:2" x14ac:dyDescent="0.25">
      <c r="B1044" s="25"/>
    </row>
    <row r="1045" spans="2:2" x14ac:dyDescent="0.25">
      <c r="B1045" s="25"/>
    </row>
    <row r="1046" spans="2:2" x14ac:dyDescent="0.25">
      <c r="B1046" s="25"/>
    </row>
    <row r="1047" spans="2:2" x14ac:dyDescent="0.25">
      <c r="B1047" s="25"/>
    </row>
    <row r="1048" spans="2:2" x14ac:dyDescent="0.25">
      <c r="B1048" s="25"/>
    </row>
    <row r="1049" spans="2:2" x14ac:dyDescent="0.25">
      <c r="B1049" s="25"/>
    </row>
    <row r="1050" spans="2:2" x14ac:dyDescent="0.25">
      <c r="B1050" s="25"/>
    </row>
    <row r="1051" spans="2:2" x14ac:dyDescent="0.25">
      <c r="B1051" s="25"/>
    </row>
    <row r="1052" spans="2:2" x14ac:dyDescent="0.25">
      <c r="B1052" s="25"/>
    </row>
    <row r="1053" spans="2:2" x14ac:dyDescent="0.25">
      <c r="B1053" s="25"/>
    </row>
    <row r="1054" spans="2:2" x14ac:dyDescent="0.25">
      <c r="B1054" s="25"/>
    </row>
    <row r="1055" spans="2:2" x14ac:dyDescent="0.25">
      <c r="B1055" s="25"/>
    </row>
    <row r="1056" spans="2:2" x14ac:dyDescent="0.25">
      <c r="B1056" s="25"/>
    </row>
    <row r="1057" spans="2:2" x14ac:dyDescent="0.25">
      <c r="B1057" s="25"/>
    </row>
    <row r="1058" spans="2:2" x14ac:dyDescent="0.25">
      <c r="B1058" s="25"/>
    </row>
    <row r="1059" spans="2:2" x14ac:dyDescent="0.25">
      <c r="B1059" s="25"/>
    </row>
    <row r="1060" spans="2:2" x14ac:dyDescent="0.25">
      <c r="B1060" s="25"/>
    </row>
    <row r="1061" spans="2:2" x14ac:dyDescent="0.25">
      <c r="B1061" s="25"/>
    </row>
    <row r="1062" spans="2:2" x14ac:dyDescent="0.25">
      <c r="B1062" s="25"/>
    </row>
    <row r="1063" spans="2:2" x14ac:dyDescent="0.25">
      <c r="B1063" s="25"/>
    </row>
    <row r="1064" spans="2:2" x14ac:dyDescent="0.25">
      <c r="B1064" s="25"/>
    </row>
    <row r="1065" spans="2:2" x14ac:dyDescent="0.25">
      <c r="B1065" s="25"/>
    </row>
    <row r="1066" spans="2:2" x14ac:dyDescent="0.25">
      <c r="B1066" s="25"/>
    </row>
    <row r="1067" spans="2:2" x14ac:dyDescent="0.25">
      <c r="B1067" s="25"/>
    </row>
    <row r="1068" spans="2:2" x14ac:dyDescent="0.25">
      <c r="B1068" s="25"/>
    </row>
    <row r="1069" spans="2:2" x14ac:dyDescent="0.25">
      <c r="B1069" s="25"/>
    </row>
    <row r="1070" spans="2:2" x14ac:dyDescent="0.25">
      <c r="B1070" s="25"/>
    </row>
    <row r="1071" spans="2:2" x14ac:dyDescent="0.25">
      <c r="B1071" s="25"/>
    </row>
    <row r="1072" spans="2:2" x14ac:dyDescent="0.25">
      <c r="B1072" s="25"/>
    </row>
    <row r="1073" spans="2:2" x14ac:dyDescent="0.25">
      <c r="B1073" s="25"/>
    </row>
    <row r="1074" spans="2:2" x14ac:dyDescent="0.25">
      <c r="B1074" s="25"/>
    </row>
    <row r="1075" spans="2:2" x14ac:dyDescent="0.25">
      <c r="B1075" s="25"/>
    </row>
    <row r="1076" spans="2:2" x14ac:dyDescent="0.25">
      <c r="B1076" s="25"/>
    </row>
    <row r="1077" spans="2:2" x14ac:dyDescent="0.25">
      <c r="B1077" s="25"/>
    </row>
    <row r="1078" spans="2:2" x14ac:dyDescent="0.25">
      <c r="B1078" s="25"/>
    </row>
    <row r="1079" spans="2:2" x14ac:dyDescent="0.25">
      <c r="B1079" s="25"/>
    </row>
    <row r="1080" spans="2:2" x14ac:dyDescent="0.25">
      <c r="B1080" s="25"/>
    </row>
    <row r="1081" spans="2:2" x14ac:dyDescent="0.25">
      <c r="B1081" s="25"/>
    </row>
    <row r="1082" spans="2:2" x14ac:dyDescent="0.25">
      <c r="B1082" s="25"/>
    </row>
    <row r="1083" spans="2:2" x14ac:dyDescent="0.25">
      <c r="B1083" s="25"/>
    </row>
    <row r="1084" spans="2:2" x14ac:dyDescent="0.25">
      <c r="B1084" s="25"/>
    </row>
    <row r="1085" spans="2:2" x14ac:dyDescent="0.25">
      <c r="B1085" s="25"/>
    </row>
    <row r="1086" spans="2:2" x14ac:dyDescent="0.25">
      <c r="B1086" s="25"/>
    </row>
    <row r="1087" spans="2:2" x14ac:dyDescent="0.25">
      <c r="B1087" s="25"/>
    </row>
    <row r="1088" spans="2:2" x14ac:dyDescent="0.25">
      <c r="B1088" s="25"/>
    </row>
    <row r="1089" spans="2:2" x14ac:dyDescent="0.25">
      <c r="B1089" s="25"/>
    </row>
    <row r="1090" spans="2:2" x14ac:dyDescent="0.25">
      <c r="B1090" s="25"/>
    </row>
    <row r="1091" spans="2:2" x14ac:dyDescent="0.25">
      <c r="B1091" s="25"/>
    </row>
    <row r="1092" spans="2:2" x14ac:dyDescent="0.25">
      <c r="B1092" s="25"/>
    </row>
    <row r="1093" spans="2:2" x14ac:dyDescent="0.25">
      <c r="B1093" s="25"/>
    </row>
    <row r="1094" spans="2:2" x14ac:dyDescent="0.25">
      <c r="B1094" s="25"/>
    </row>
    <row r="1095" spans="2:2" x14ac:dyDescent="0.25">
      <c r="B1095" s="25"/>
    </row>
    <row r="1096" spans="2:2" x14ac:dyDescent="0.25">
      <c r="B1096" s="25"/>
    </row>
    <row r="1097" spans="2:2" x14ac:dyDescent="0.25">
      <c r="B1097" s="25"/>
    </row>
    <row r="1098" spans="2:2" x14ac:dyDescent="0.25">
      <c r="B1098" s="25"/>
    </row>
    <row r="1099" spans="2:2" x14ac:dyDescent="0.25">
      <c r="B1099" s="25"/>
    </row>
    <row r="1100" spans="2:2" x14ac:dyDescent="0.25">
      <c r="B1100" s="25"/>
    </row>
    <row r="1101" spans="2:2" x14ac:dyDescent="0.25">
      <c r="B1101" s="25"/>
    </row>
    <row r="1102" spans="2:2" x14ac:dyDescent="0.25">
      <c r="B1102" s="25"/>
    </row>
    <row r="1103" spans="2:2" x14ac:dyDescent="0.25">
      <c r="B1103" s="25"/>
    </row>
    <row r="1104" spans="2:2" x14ac:dyDescent="0.25">
      <c r="B1104" s="25"/>
    </row>
    <row r="1105" spans="2:2" x14ac:dyDescent="0.25">
      <c r="B1105" s="25"/>
    </row>
    <row r="1106" spans="2:2" x14ac:dyDescent="0.25">
      <c r="B1106" s="25"/>
    </row>
    <row r="1107" spans="2:2" x14ac:dyDescent="0.25">
      <c r="B1107" s="25"/>
    </row>
    <row r="1108" spans="2:2" x14ac:dyDescent="0.25">
      <c r="B1108" s="25"/>
    </row>
    <row r="1109" spans="2:2" x14ac:dyDescent="0.25">
      <c r="B1109" s="25"/>
    </row>
    <row r="1110" spans="2:2" x14ac:dyDescent="0.25">
      <c r="B1110" s="25"/>
    </row>
    <row r="1111" spans="2:2" x14ac:dyDescent="0.25">
      <c r="B1111" s="25"/>
    </row>
    <row r="1112" spans="2:2" x14ac:dyDescent="0.25">
      <c r="B1112" s="25"/>
    </row>
    <row r="1113" spans="2:2" x14ac:dyDescent="0.25">
      <c r="B1113" s="25"/>
    </row>
    <row r="1114" spans="2:2" x14ac:dyDescent="0.25">
      <c r="B1114" s="25"/>
    </row>
    <row r="1115" spans="2:2" x14ac:dyDescent="0.25">
      <c r="B1115" s="25"/>
    </row>
    <row r="1116" spans="2:2" x14ac:dyDescent="0.25">
      <c r="B1116" s="25"/>
    </row>
    <row r="1117" spans="2:2" x14ac:dyDescent="0.25">
      <c r="B1117" s="25"/>
    </row>
    <row r="1118" spans="2:2" x14ac:dyDescent="0.25">
      <c r="B1118" s="25"/>
    </row>
    <row r="1119" spans="2:2" x14ac:dyDescent="0.25">
      <c r="B1119" s="25"/>
    </row>
    <row r="1120" spans="2:2" x14ac:dyDescent="0.25">
      <c r="B1120" s="25"/>
    </row>
    <row r="1121" spans="2:2" x14ac:dyDescent="0.25">
      <c r="B1121" s="25"/>
    </row>
    <row r="1122" spans="2:2" x14ac:dyDescent="0.25">
      <c r="B1122" s="25"/>
    </row>
    <row r="1123" spans="2:2" x14ac:dyDescent="0.25">
      <c r="B1123" s="25"/>
    </row>
    <row r="1124" spans="2:2" x14ac:dyDescent="0.25">
      <c r="B1124" s="25"/>
    </row>
    <row r="1125" spans="2:2" x14ac:dyDescent="0.25">
      <c r="B1125" s="25"/>
    </row>
    <row r="1126" spans="2:2" x14ac:dyDescent="0.25">
      <c r="B1126" s="25"/>
    </row>
    <row r="1127" spans="2:2" x14ac:dyDescent="0.25">
      <c r="B1127" s="25"/>
    </row>
    <row r="1128" spans="2:2" x14ac:dyDescent="0.25">
      <c r="B1128" s="25"/>
    </row>
    <row r="1129" spans="2:2" x14ac:dyDescent="0.25">
      <c r="B1129" s="25"/>
    </row>
    <row r="1130" spans="2:2" x14ac:dyDescent="0.25">
      <c r="B1130" s="25"/>
    </row>
    <row r="1131" spans="2:2" x14ac:dyDescent="0.25">
      <c r="B1131" s="25"/>
    </row>
    <row r="1132" spans="2:2" x14ac:dyDescent="0.25">
      <c r="B1132" s="25"/>
    </row>
    <row r="1133" spans="2:2" x14ac:dyDescent="0.25">
      <c r="B1133" s="25"/>
    </row>
    <row r="1134" spans="2:2" x14ac:dyDescent="0.25">
      <c r="B1134" s="25"/>
    </row>
    <row r="1135" spans="2:2" x14ac:dyDescent="0.25">
      <c r="B1135" s="25"/>
    </row>
    <row r="1136" spans="2:2" x14ac:dyDescent="0.25">
      <c r="B1136" s="25"/>
    </row>
    <row r="1137" spans="2:2" x14ac:dyDescent="0.25">
      <c r="B1137" s="25"/>
    </row>
    <row r="1138" spans="2:2" x14ac:dyDescent="0.25">
      <c r="B1138" s="25"/>
    </row>
    <row r="1139" spans="2:2" x14ac:dyDescent="0.25">
      <c r="B1139" s="25"/>
    </row>
    <row r="1140" spans="2:2" x14ac:dyDescent="0.25">
      <c r="B1140" s="25"/>
    </row>
    <row r="1141" spans="2:2" x14ac:dyDescent="0.25">
      <c r="B1141" s="25"/>
    </row>
    <row r="1142" spans="2:2" x14ac:dyDescent="0.25">
      <c r="B1142" s="25"/>
    </row>
    <row r="1143" spans="2:2" x14ac:dyDescent="0.25">
      <c r="B1143" s="25"/>
    </row>
    <row r="1144" spans="2:2" x14ac:dyDescent="0.25">
      <c r="B1144" s="25"/>
    </row>
    <row r="1145" spans="2:2" x14ac:dyDescent="0.25">
      <c r="B1145" s="25"/>
    </row>
    <row r="1146" spans="2:2" x14ac:dyDescent="0.25">
      <c r="B1146" s="25"/>
    </row>
    <row r="1147" spans="2:2" x14ac:dyDescent="0.25">
      <c r="B1147" s="25"/>
    </row>
    <row r="1148" spans="2:2" x14ac:dyDescent="0.25">
      <c r="B1148" s="25"/>
    </row>
    <row r="1149" spans="2:2" x14ac:dyDescent="0.25">
      <c r="B1149" s="25"/>
    </row>
    <row r="1150" spans="2:2" x14ac:dyDescent="0.25">
      <c r="B1150" s="25"/>
    </row>
    <row r="1151" spans="2:2" x14ac:dyDescent="0.25">
      <c r="B1151" s="25"/>
    </row>
    <row r="1152" spans="2:2" x14ac:dyDescent="0.25">
      <c r="B1152" s="25"/>
    </row>
    <row r="1153" spans="2:2" x14ac:dyDescent="0.25">
      <c r="B1153" s="25"/>
    </row>
    <row r="1154" spans="2:2" x14ac:dyDescent="0.25">
      <c r="B1154" s="25"/>
    </row>
    <row r="1155" spans="2:2" x14ac:dyDescent="0.25">
      <c r="B1155" s="25"/>
    </row>
    <row r="1156" spans="2:2" x14ac:dyDescent="0.25">
      <c r="B1156" s="25"/>
    </row>
    <row r="1157" spans="2:2" x14ac:dyDescent="0.25">
      <c r="B1157" s="25"/>
    </row>
    <row r="1158" spans="2:2" x14ac:dyDescent="0.25">
      <c r="B1158" s="25"/>
    </row>
    <row r="1159" spans="2:2" x14ac:dyDescent="0.25">
      <c r="B1159" s="25"/>
    </row>
    <row r="1160" spans="2:2" x14ac:dyDescent="0.25">
      <c r="B1160" s="25"/>
    </row>
    <row r="1161" spans="2:2" x14ac:dyDescent="0.25">
      <c r="B1161" s="25"/>
    </row>
    <row r="1162" spans="2:2" x14ac:dyDescent="0.25">
      <c r="B1162" s="25"/>
    </row>
    <row r="1163" spans="2:2" x14ac:dyDescent="0.25">
      <c r="B1163" s="25"/>
    </row>
    <row r="1164" spans="2:2" x14ac:dyDescent="0.25">
      <c r="B1164" s="25"/>
    </row>
    <row r="1165" spans="2:2" x14ac:dyDescent="0.25">
      <c r="B1165" s="25"/>
    </row>
    <row r="1166" spans="2:2" x14ac:dyDescent="0.25">
      <c r="B1166" s="25"/>
    </row>
    <row r="1167" spans="2:2" x14ac:dyDescent="0.25">
      <c r="B1167" s="25"/>
    </row>
    <row r="1168" spans="2:2" x14ac:dyDescent="0.25">
      <c r="B1168" s="25"/>
    </row>
    <row r="1169" spans="2:2" x14ac:dyDescent="0.25">
      <c r="B1169" s="25"/>
    </row>
    <row r="1170" spans="2:2" x14ac:dyDescent="0.25">
      <c r="B1170" s="25"/>
    </row>
    <row r="1171" spans="2:2" x14ac:dyDescent="0.25">
      <c r="B1171" s="25"/>
    </row>
    <row r="1172" spans="2:2" x14ac:dyDescent="0.25">
      <c r="B1172" s="25"/>
    </row>
    <row r="1173" spans="2:2" x14ac:dyDescent="0.25">
      <c r="B1173" s="25"/>
    </row>
    <row r="1174" spans="2:2" x14ac:dyDescent="0.25">
      <c r="B1174" s="25"/>
    </row>
    <row r="1175" spans="2:2" x14ac:dyDescent="0.25">
      <c r="B1175" s="25"/>
    </row>
    <row r="1176" spans="2:2" x14ac:dyDescent="0.25">
      <c r="B1176" s="25"/>
    </row>
    <row r="1177" spans="2:2" x14ac:dyDescent="0.25">
      <c r="B1177" s="25"/>
    </row>
    <row r="1178" spans="2:2" x14ac:dyDescent="0.25">
      <c r="B1178" s="25"/>
    </row>
    <row r="1179" spans="2:2" x14ac:dyDescent="0.25">
      <c r="B1179" s="25"/>
    </row>
    <row r="1180" spans="2:2" x14ac:dyDescent="0.25">
      <c r="B1180" s="25"/>
    </row>
    <row r="1181" spans="2:2" x14ac:dyDescent="0.25">
      <c r="B1181" s="25"/>
    </row>
    <row r="1182" spans="2:2" x14ac:dyDescent="0.25">
      <c r="B1182" s="25"/>
    </row>
    <row r="1183" spans="2:2" x14ac:dyDescent="0.25">
      <c r="B1183" s="25"/>
    </row>
    <row r="1184" spans="2:2" x14ac:dyDescent="0.25">
      <c r="B1184" s="25"/>
    </row>
    <row r="1185" spans="2:2" x14ac:dyDescent="0.25">
      <c r="B1185" s="25"/>
    </row>
    <row r="1186" spans="2:2" x14ac:dyDescent="0.25">
      <c r="B1186" s="25"/>
    </row>
    <row r="1187" spans="2:2" x14ac:dyDescent="0.25">
      <c r="B1187" s="25"/>
    </row>
    <row r="1188" spans="2:2" x14ac:dyDescent="0.25">
      <c r="B1188" s="25"/>
    </row>
    <row r="1189" spans="2:2" x14ac:dyDescent="0.25">
      <c r="B1189" s="25"/>
    </row>
    <row r="1190" spans="2:2" x14ac:dyDescent="0.25">
      <c r="B1190" s="25"/>
    </row>
    <row r="1191" spans="2:2" x14ac:dyDescent="0.25">
      <c r="B1191" s="25"/>
    </row>
    <row r="1192" spans="2:2" x14ac:dyDescent="0.25">
      <c r="B1192" s="25"/>
    </row>
    <row r="1193" spans="2:2" x14ac:dyDescent="0.25">
      <c r="B1193" s="25"/>
    </row>
    <row r="1194" spans="2:2" x14ac:dyDescent="0.25">
      <c r="B1194" s="25"/>
    </row>
    <row r="1195" spans="2:2" x14ac:dyDescent="0.25">
      <c r="B1195" s="25"/>
    </row>
    <row r="1196" spans="2:2" x14ac:dyDescent="0.25">
      <c r="B1196" s="25"/>
    </row>
    <row r="1197" spans="2:2" x14ac:dyDescent="0.25">
      <c r="B1197" s="25"/>
    </row>
    <row r="1198" spans="2:2" x14ac:dyDescent="0.25">
      <c r="B1198" s="25"/>
    </row>
    <row r="1199" spans="2:2" x14ac:dyDescent="0.25">
      <c r="B1199" s="25"/>
    </row>
    <row r="1200" spans="2:2" x14ac:dyDescent="0.25">
      <c r="B1200" s="25"/>
    </row>
    <row r="1201" spans="2:2" x14ac:dyDescent="0.25">
      <c r="B1201" s="25"/>
    </row>
    <row r="1202" spans="2:2" x14ac:dyDescent="0.25">
      <c r="B1202" s="25"/>
    </row>
    <row r="1203" spans="2:2" x14ac:dyDescent="0.25">
      <c r="B1203" s="25"/>
    </row>
    <row r="1204" spans="2:2" x14ac:dyDescent="0.25">
      <c r="B1204" s="25"/>
    </row>
    <row r="1205" spans="2:2" x14ac:dyDescent="0.25">
      <c r="B1205" s="25"/>
    </row>
    <row r="1206" spans="2:2" x14ac:dyDescent="0.25">
      <c r="B1206" s="25"/>
    </row>
    <row r="1207" spans="2:2" x14ac:dyDescent="0.25">
      <c r="B1207" s="25"/>
    </row>
    <row r="1208" spans="2:2" x14ac:dyDescent="0.25">
      <c r="B1208" s="25"/>
    </row>
    <row r="1209" spans="2:2" x14ac:dyDescent="0.25">
      <c r="B1209" s="25"/>
    </row>
    <row r="1210" spans="2:2" x14ac:dyDescent="0.25">
      <c r="B1210" s="25"/>
    </row>
    <row r="1211" spans="2:2" x14ac:dyDescent="0.25">
      <c r="B1211" s="25"/>
    </row>
    <row r="1212" spans="2:2" x14ac:dyDescent="0.25">
      <c r="B1212" s="25"/>
    </row>
    <row r="1213" spans="2:2" x14ac:dyDescent="0.25">
      <c r="B1213" s="25"/>
    </row>
    <row r="1214" spans="2:2" x14ac:dyDescent="0.25">
      <c r="B1214" s="25"/>
    </row>
    <row r="1215" spans="2:2" x14ac:dyDescent="0.25">
      <c r="B1215" s="25"/>
    </row>
    <row r="1216" spans="2:2" x14ac:dyDescent="0.25">
      <c r="B1216" s="25"/>
    </row>
    <row r="1217" spans="2:2" x14ac:dyDescent="0.25">
      <c r="B1217" s="25"/>
    </row>
    <row r="1218" spans="2:2" x14ac:dyDescent="0.25">
      <c r="B1218" s="25"/>
    </row>
    <row r="1219" spans="2:2" x14ac:dyDescent="0.25">
      <c r="B1219" s="25"/>
    </row>
    <row r="1220" spans="2:2" x14ac:dyDescent="0.25">
      <c r="B1220" s="25"/>
    </row>
    <row r="1221" spans="2:2" x14ac:dyDescent="0.25">
      <c r="B1221" s="25"/>
    </row>
    <row r="1222" spans="2:2" x14ac:dyDescent="0.25">
      <c r="B1222" s="25"/>
    </row>
    <row r="1223" spans="2:2" x14ac:dyDescent="0.25">
      <c r="B1223" s="25"/>
    </row>
    <row r="1224" spans="2:2" x14ac:dyDescent="0.25">
      <c r="B1224" s="25"/>
    </row>
    <row r="1225" spans="2:2" x14ac:dyDescent="0.25">
      <c r="B1225" s="25"/>
    </row>
    <row r="1226" spans="2:2" x14ac:dyDescent="0.25">
      <c r="B1226" s="25"/>
    </row>
    <row r="1227" spans="2:2" x14ac:dyDescent="0.25">
      <c r="B1227" s="25"/>
    </row>
    <row r="1228" spans="2:2" x14ac:dyDescent="0.25">
      <c r="B1228" s="25"/>
    </row>
    <row r="1229" spans="2:2" x14ac:dyDescent="0.25">
      <c r="B1229" s="25"/>
    </row>
    <row r="1230" spans="2:2" x14ac:dyDescent="0.25">
      <c r="B1230" s="25"/>
    </row>
    <row r="1231" spans="2:2" x14ac:dyDescent="0.25">
      <c r="B1231" s="25"/>
    </row>
    <row r="1232" spans="2:2" x14ac:dyDescent="0.25">
      <c r="B1232" s="25"/>
    </row>
    <row r="1233" spans="2:2" x14ac:dyDescent="0.25">
      <c r="B1233" s="25"/>
    </row>
    <row r="1234" spans="2:2" x14ac:dyDescent="0.25">
      <c r="B1234" s="25"/>
    </row>
    <row r="1235" spans="2:2" x14ac:dyDescent="0.25">
      <c r="B1235" s="25"/>
    </row>
    <row r="1236" spans="2:2" x14ac:dyDescent="0.25">
      <c r="B1236" s="25"/>
    </row>
    <row r="1237" spans="2:2" x14ac:dyDescent="0.25">
      <c r="B1237" s="25"/>
    </row>
    <row r="1238" spans="2:2" x14ac:dyDescent="0.25">
      <c r="B1238" s="25"/>
    </row>
    <row r="1239" spans="2:2" x14ac:dyDescent="0.25">
      <c r="B1239" s="25"/>
    </row>
    <row r="1240" spans="2:2" x14ac:dyDescent="0.25">
      <c r="B1240" s="25"/>
    </row>
    <row r="1241" spans="2:2" x14ac:dyDescent="0.25">
      <c r="B1241" s="25"/>
    </row>
    <row r="1242" spans="2:2" x14ac:dyDescent="0.25">
      <c r="B1242" s="25"/>
    </row>
    <row r="1243" spans="2:2" x14ac:dyDescent="0.25">
      <c r="B1243" s="25"/>
    </row>
    <row r="1244" spans="2:2" x14ac:dyDescent="0.25">
      <c r="B1244" s="25"/>
    </row>
    <row r="1245" spans="2:2" x14ac:dyDescent="0.25">
      <c r="B1245" s="25"/>
    </row>
    <row r="1246" spans="2:2" x14ac:dyDescent="0.25">
      <c r="B1246" s="25"/>
    </row>
    <row r="1247" spans="2:2" x14ac:dyDescent="0.25">
      <c r="B1247" s="25"/>
    </row>
    <row r="1248" spans="2:2" x14ac:dyDescent="0.25">
      <c r="B1248" s="25"/>
    </row>
    <row r="1249" spans="2:2" x14ac:dyDescent="0.25">
      <c r="B1249" s="25"/>
    </row>
    <row r="1250" spans="2:2" x14ac:dyDescent="0.25">
      <c r="B1250" s="25"/>
    </row>
    <row r="1251" spans="2:2" x14ac:dyDescent="0.25">
      <c r="B1251" s="25"/>
    </row>
    <row r="1252" spans="2:2" x14ac:dyDescent="0.25">
      <c r="B1252" s="25"/>
    </row>
    <row r="1253" spans="2:2" x14ac:dyDescent="0.25">
      <c r="B1253" s="25"/>
    </row>
    <row r="1254" spans="2:2" x14ac:dyDescent="0.25">
      <c r="B1254" s="25"/>
    </row>
    <row r="1255" spans="2:2" x14ac:dyDescent="0.25">
      <c r="B1255" s="25"/>
    </row>
    <row r="1256" spans="2:2" x14ac:dyDescent="0.25">
      <c r="B1256" s="25"/>
    </row>
    <row r="1257" spans="2:2" x14ac:dyDescent="0.25">
      <c r="B1257" s="25"/>
    </row>
    <row r="1258" spans="2:2" x14ac:dyDescent="0.25">
      <c r="B1258" s="25"/>
    </row>
    <row r="1259" spans="2:2" x14ac:dyDescent="0.25">
      <c r="B1259" s="25"/>
    </row>
    <row r="1260" spans="2:2" x14ac:dyDescent="0.25">
      <c r="B1260" s="25"/>
    </row>
    <row r="1261" spans="2:2" x14ac:dyDescent="0.25">
      <c r="B1261" s="25"/>
    </row>
    <row r="1262" spans="2:2" x14ac:dyDescent="0.25">
      <c r="B1262" s="25"/>
    </row>
    <row r="1263" spans="2:2" x14ac:dyDescent="0.25">
      <c r="B1263" s="25"/>
    </row>
    <row r="1264" spans="2:2" x14ac:dyDescent="0.25">
      <c r="B1264" s="25"/>
    </row>
    <row r="1265" spans="2:2" x14ac:dyDescent="0.25">
      <c r="B1265" s="25"/>
    </row>
    <row r="1266" spans="2:2" x14ac:dyDescent="0.25">
      <c r="B1266" s="25"/>
    </row>
    <row r="1267" spans="2:2" x14ac:dyDescent="0.25">
      <c r="B1267" s="25"/>
    </row>
    <row r="1268" spans="2:2" x14ac:dyDescent="0.25">
      <c r="B1268" s="25"/>
    </row>
    <row r="1269" spans="2:2" x14ac:dyDescent="0.25">
      <c r="B1269" s="25"/>
    </row>
    <row r="1270" spans="2:2" x14ac:dyDescent="0.25">
      <c r="B1270" s="25"/>
    </row>
    <row r="1271" spans="2:2" x14ac:dyDescent="0.25">
      <c r="B1271" s="25"/>
    </row>
    <row r="1272" spans="2:2" x14ac:dyDescent="0.25">
      <c r="B1272" s="25"/>
    </row>
    <row r="1273" spans="2:2" x14ac:dyDescent="0.25">
      <c r="B1273" s="25"/>
    </row>
    <row r="1274" spans="2:2" x14ac:dyDescent="0.25">
      <c r="B1274" s="25"/>
    </row>
    <row r="1275" spans="2:2" x14ac:dyDescent="0.25">
      <c r="B1275" s="25"/>
    </row>
    <row r="1276" spans="2:2" x14ac:dyDescent="0.25">
      <c r="B1276" s="25"/>
    </row>
    <row r="1277" spans="2:2" x14ac:dyDescent="0.25">
      <c r="B1277" s="25"/>
    </row>
    <row r="1278" spans="2:2" x14ac:dyDescent="0.25">
      <c r="B1278" s="25"/>
    </row>
    <row r="1279" spans="2:2" x14ac:dyDescent="0.25">
      <c r="B1279" s="25"/>
    </row>
    <row r="1280" spans="2:2" x14ac:dyDescent="0.25">
      <c r="B1280" s="25"/>
    </row>
    <row r="1281" spans="2:2" x14ac:dyDescent="0.25">
      <c r="B1281" s="25"/>
    </row>
    <row r="1282" spans="2:2" x14ac:dyDescent="0.25">
      <c r="B1282" s="25"/>
    </row>
    <row r="1283" spans="2:2" x14ac:dyDescent="0.25">
      <c r="B1283" s="25"/>
    </row>
    <row r="1284" spans="2:2" x14ac:dyDescent="0.25">
      <c r="B1284" s="25"/>
    </row>
    <row r="1285" spans="2:2" x14ac:dyDescent="0.25">
      <c r="B1285" s="25"/>
    </row>
    <row r="1286" spans="2:2" x14ac:dyDescent="0.25">
      <c r="B1286" s="25"/>
    </row>
    <row r="1287" spans="2:2" x14ac:dyDescent="0.25">
      <c r="B1287" s="25"/>
    </row>
    <row r="1288" spans="2:2" x14ac:dyDescent="0.25">
      <c r="B1288" s="25"/>
    </row>
    <row r="1289" spans="2:2" x14ac:dyDescent="0.25">
      <c r="B1289" s="25"/>
    </row>
    <row r="1290" spans="2:2" x14ac:dyDescent="0.25">
      <c r="B1290" s="25"/>
    </row>
    <row r="1291" spans="2:2" x14ac:dyDescent="0.25">
      <c r="B1291" s="25"/>
    </row>
    <row r="1292" spans="2:2" x14ac:dyDescent="0.25">
      <c r="B1292" s="25"/>
    </row>
    <row r="1293" spans="2:2" x14ac:dyDescent="0.25">
      <c r="B1293" s="25"/>
    </row>
    <row r="1294" spans="2:2" x14ac:dyDescent="0.25">
      <c r="B1294" s="25"/>
    </row>
    <row r="1295" spans="2:2" x14ac:dyDescent="0.25">
      <c r="B1295" s="25"/>
    </row>
    <row r="1296" spans="2:2" x14ac:dyDescent="0.25">
      <c r="B1296" s="25"/>
    </row>
    <row r="1297" spans="2:2" x14ac:dyDescent="0.25">
      <c r="B1297" s="25"/>
    </row>
    <row r="1298" spans="2:2" x14ac:dyDescent="0.25">
      <c r="B1298" s="25"/>
    </row>
    <row r="1299" spans="2:2" x14ac:dyDescent="0.25">
      <c r="B1299" s="25"/>
    </row>
    <row r="1300" spans="2:2" x14ac:dyDescent="0.25">
      <c r="B1300" s="25"/>
    </row>
    <row r="1301" spans="2:2" x14ac:dyDescent="0.25">
      <c r="B1301" s="25"/>
    </row>
    <row r="1302" spans="2:2" x14ac:dyDescent="0.25">
      <c r="B1302" s="25"/>
    </row>
    <row r="1303" spans="2:2" x14ac:dyDescent="0.25">
      <c r="B1303" s="25"/>
    </row>
    <row r="1304" spans="2:2" x14ac:dyDescent="0.25">
      <c r="B1304" s="25"/>
    </row>
    <row r="1305" spans="2:2" x14ac:dyDescent="0.25">
      <c r="B1305" s="25"/>
    </row>
    <row r="1306" spans="2:2" x14ac:dyDescent="0.25">
      <c r="B1306" s="25"/>
    </row>
    <row r="1307" spans="2:2" x14ac:dyDescent="0.25">
      <c r="B1307" s="25"/>
    </row>
    <row r="1308" spans="2:2" x14ac:dyDescent="0.25">
      <c r="B1308" s="25"/>
    </row>
    <row r="1309" spans="2:2" x14ac:dyDescent="0.25">
      <c r="B1309" s="25"/>
    </row>
    <row r="1310" spans="2:2" x14ac:dyDescent="0.25">
      <c r="B1310" s="25"/>
    </row>
    <row r="1311" spans="2:2" x14ac:dyDescent="0.25">
      <c r="B1311" s="25"/>
    </row>
    <row r="1312" spans="2:2" x14ac:dyDescent="0.25">
      <c r="B1312" s="25"/>
    </row>
    <row r="1313" spans="2:2" x14ac:dyDescent="0.25">
      <c r="B1313" s="25"/>
    </row>
    <row r="1314" spans="2:2" x14ac:dyDescent="0.25">
      <c r="B1314" s="25"/>
    </row>
    <row r="1315" spans="2:2" x14ac:dyDescent="0.25">
      <c r="B1315" s="25"/>
    </row>
    <row r="1316" spans="2:2" x14ac:dyDescent="0.25">
      <c r="B1316" s="25"/>
    </row>
    <row r="1317" spans="2:2" x14ac:dyDescent="0.25">
      <c r="B1317" s="25"/>
    </row>
    <row r="1318" spans="2:2" x14ac:dyDescent="0.25">
      <c r="B1318" s="25"/>
    </row>
    <row r="1319" spans="2:2" x14ac:dyDescent="0.25">
      <c r="B1319" s="25"/>
    </row>
    <row r="1320" spans="2:2" x14ac:dyDescent="0.25">
      <c r="B1320" s="25"/>
    </row>
    <row r="1321" spans="2:2" x14ac:dyDescent="0.25">
      <c r="B1321" s="25"/>
    </row>
    <row r="1322" spans="2:2" x14ac:dyDescent="0.25">
      <c r="B1322" s="25"/>
    </row>
    <row r="1323" spans="2:2" x14ac:dyDescent="0.25">
      <c r="B1323" s="25"/>
    </row>
    <row r="1324" spans="2:2" x14ac:dyDescent="0.25">
      <c r="B1324" s="25"/>
    </row>
    <row r="1325" spans="2:2" x14ac:dyDescent="0.25">
      <c r="B1325" s="25"/>
    </row>
    <row r="1326" spans="2:2" x14ac:dyDescent="0.25">
      <c r="B1326" s="25"/>
    </row>
    <row r="1327" spans="2:2" x14ac:dyDescent="0.25">
      <c r="B1327" s="25"/>
    </row>
    <row r="1328" spans="2:2" x14ac:dyDescent="0.25">
      <c r="B1328" s="25"/>
    </row>
    <row r="1329" spans="2:2" x14ac:dyDescent="0.25">
      <c r="B1329" s="25"/>
    </row>
    <row r="1330" spans="2:2" x14ac:dyDescent="0.25">
      <c r="B1330" s="25"/>
    </row>
    <row r="1331" spans="2:2" x14ac:dyDescent="0.25">
      <c r="B1331" s="25"/>
    </row>
    <row r="1332" spans="2:2" x14ac:dyDescent="0.25">
      <c r="B1332" s="25"/>
    </row>
    <row r="1333" spans="2:2" x14ac:dyDescent="0.25">
      <c r="B1333" s="25"/>
    </row>
    <row r="1334" spans="2:2" x14ac:dyDescent="0.25">
      <c r="B1334" s="25"/>
    </row>
    <row r="1335" spans="2:2" x14ac:dyDescent="0.25">
      <c r="B1335" s="25"/>
    </row>
    <row r="1336" spans="2:2" x14ac:dyDescent="0.25">
      <c r="B1336" s="25"/>
    </row>
    <row r="1337" spans="2:2" x14ac:dyDescent="0.25">
      <c r="B1337" s="25"/>
    </row>
    <row r="1338" spans="2:2" x14ac:dyDescent="0.25">
      <c r="B1338" s="25"/>
    </row>
    <row r="1339" spans="2:2" x14ac:dyDescent="0.25">
      <c r="B1339" s="25"/>
    </row>
    <row r="1340" spans="2:2" x14ac:dyDescent="0.25">
      <c r="B1340" s="25"/>
    </row>
    <row r="1341" spans="2:2" x14ac:dyDescent="0.25">
      <c r="B1341" s="25"/>
    </row>
    <row r="1342" spans="2:2" x14ac:dyDescent="0.25">
      <c r="B1342" s="25"/>
    </row>
    <row r="1343" spans="2:2" x14ac:dyDescent="0.25">
      <c r="B1343" s="25"/>
    </row>
    <row r="1344" spans="2:2" x14ac:dyDescent="0.25">
      <c r="B1344" s="25"/>
    </row>
    <row r="1345" spans="2:2" x14ac:dyDescent="0.25">
      <c r="B1345" s="25"/>
    </row>
    <row r="1346" spans="2:2" x14ac:dyDescent="0.25">
      <c r="B1346" s="25"/>
    </row>
    <row r="1347" spans="2:2" x14ac:dyDescent="0.25">
      <c r="B1347" s="25"/>
    </row>
    <row r="1348" spans="2:2" x14ac:dyDescent="0.25">
      <c r="B1348" s="25"/>
    </row>
    <row r="1349" spans="2:2" x14ac:dyDescent="0.25">
      <c r="B1349" s="25"/>
    </row>
    <row r="1350" spans="2:2" x14ac:dyDescent="0.25">
      <c r="B1350" s="25"/>
    </row>
    <row r="1351" spans="2:2" x14ac:dyDescent="0.25">
      <c r="B1351" s="25"/>
    </row>
    <row r="1352" spans="2:2" x14ac:dyDescent="0.25">
      <c r="B1352" s="25"/>
    </row>
    <row r="1353" spans="2:2" x14ac:dyDescent="0.25">
      <c r="B1353" s="25"/>
    </row>
    <row r="1354" spans="2:2" x14ac:dyDescent="0.25">
      <c r="B1354" s="25"/>
    </row>
    <row r="1355" spans="2:2" x14ac:dyDescent="0.25">
      <c r="B1355" s="25"/>
    </row>
    <row r="1356" spans="2:2" x14ac:dyDescent="0.25">
      <c r="B1356" s="25"/>
    </row>
    <row r="1357" spans="2:2" x14ac:dyDescent="0.25">
      <c r="B1357" s="25"/>
    </row>
    <row r="1358" spans="2:2" x14ac:dyDescent="0.25">
      <c r="B1358" s="25"/>
    </row>
    <row r="1359" spans="2:2" x14ac:dyDescent="0.25">
      <c r="B1359" s="25"/>
    </row>
    <row r="1360" spans="2:2" x14ac:dyDescent="0.25">
      <c r="B1360" s="25"/>
    </row>
    <row r="1361" spans="2:2" x14ac:dyDescent="0.25">
      <c r="B1361" s="25"/>
    </row>
    <row r="1362" spans="2:2" x14ac:dyDescent="0.25">
      <c r="B1362" s="25"/>
    </row>
    <row r="1363" spans="2:2" x14ac:dyDescent="0.25">
      <c r="B1363" s="25"/>
    </row>
    <row r="1364" spans="2:2" x14ac:dyDescent="0.25">
      <c r="B1364" s="25"/>
    </row>
    <row r="1365" spans="2:2" x14ac:dyDescent="0.25">
      <c r="B1365" s="25"/>
    </row>
    <row r="1366" spans="2:2" x14ac:dyDescent="0.25">
      <c r="B1366" s="25"/>
    </row>
    <row r="1367" spans="2:2" x14ac:dyDescent="0.25">
      <c r="B1367" s="25"/>
    </row>
    <row r="1368" spans="2:2" x14ac:dyDescent="0.25">
      <c r="B1368" s="25"/>
    </row>
    <row r="1369" spans="2:2" x14ac:dyDescent="0.25">
      <c r="B1369" s="25"/>
    </row>
    <row r="1370" spans="2:2" x14ac:dyDescent="0.25">
      <c r="B1370" s="25"/>
    </row>
    <row r="1371" spans="2:2" x14ac:dyDescent="0.25">
      <c r="B1371" s="25"/>
    </row>
    <row r="1372" spans="2:2" x14ac:dyDescent="0.25">
      <c r="B1372" s="25"/>
    </row>
    <row r="1373" spans="2:2" x14ac:dyDescent="0.25">
      <c r="B1373" s="25"/>
    </row>
    <row r="1374" spans="2:2" x14ac:dyDescent="0.25">
      <c r="B1374" s="25"/>
    </row>
    <row r="1375" spans="2:2" x14ac:dyDescent="0.25">
      <c r="B1375" s="25"/>
    </row>
    <row r="1376" spans="2:2" x14ac:dyDescent="0.25">
      <c r="B1376" s="25"/>
    </row>
    <row r="1377" spans="2:2" x14ac:dyDescent="0.25">
      <c r="B1377" s="25"/>
    </row>
    <row r="1378" spans="2:2" x14ac:dyDescent="0.25">
      <c r="B1378" s="25"/>
    </row>
    <row r="1379" spans="2:2" x14ac:dyDescent="0.25">
      <c r="B1379" s="25"/>
    </row>
    <row r="1380" spans="2:2" x14ac:dyDescent="0.25">
      <c r="B1380" s="25"/>
    </row>
    <row r="1381" spans="2:2" x14ac:dyDescent="0.25">
      <c r="B1381" s="25"/>
    </row>
    <row r="1382" spans="2:2" x14ac:dyDescent="0.25">
      <c r="B1382" s="25"/>
    </row>
    <row r="1383" spans="2:2" x14ac:dyDescent="0.25">
      <c r="B1383" s="25"/>
    </row>
    <row r="1384" spans="2:2" x14ac:dyDescent="0.25">
      <c r="B1384" s="25"/>
    </row>
    <row r="1385" spans="2:2" x14ac:dyDescent="0.25">
      <c r="B1385" s="25"/>
    </row>
    <row r="1386" spans="2:2" x14ac:dyDescent="0.25">
      <c r="B1386" s="25"/>
    </row>
    <row r="1387" spans="2:2" x14ac:dyDescent="0.25">
      <c r="B1387" s="25"/>
    </row>
    <row r="1388" spans="2:2" x14ac:dyDescent="0.25">
      <c r="B1388" s="25"/>
    </row>
    <row r="1389" spans="2:2" x14ac:dyDescent="0.25">
      <c r="B1389" s="25"/>
    </row>
    <row r="1390" spans="2:2" x14ac:dyDescent="0.25">
      <c r="B1390" s="25"/>
    </row>
    <row r="1391" spans="2:2" x14ac:dyDescent="0.25">
      <c r="B1391" s="25"/>
    </row>
    <row r="1392" spans="2:2" x14ac:dyDescent="0.25">
      <c r="B1392" s="25"/>
    </row>
    <row r="1393" spans="2:2" x14ac:dyDescent="0.25">
      <c r="B1393" s="25"/>
    </row>
    <row r="1394" spans="2:2" x14ac:dyDescent="0.25">
      <c r="B1394" s="25"/>
    </row>
    <row r="1395" spans="2:2" x14ac:dyDescent="0.25">
      <c r="B1395" s="25"/>
    </row>
    <row r="1396" spans="2:2" x14ac:dyDescent="0.25">
      <c r="B1396" s="25"/>
    </row>
    <row r="1397" spans="2:2" x14ac:dyDescent="0.25">
      <c r="B1397" s="25"/>
    </row>
    <row r="1398" spans="2:2" x14ac:dyDescent="0.25">
      <c r="B1398" s="25"/>
    </row>
    <row r="1399" spans="2:2" x14ac:dyDescent="0.25">
      <c r="B1399" s="25"/>
    </row>
    <row r="1400" spans="2:2" x14ac:dyDescent="0.25">
      <c r="B1400" s="25"/>
    </row>
    <row r="1401" spans="2:2" x14ac:dyDescent="0.25">
      <c r="B1401" s="25"/>
    </row>
    <row r="1402" spans="2:2" x14ac:dyDescent="0.25">
      <c r="B1402" s="25"/>
    </row>
    <row r="1403" spans="2:2" x14ac:dyDescent="0.25">
      <c r="B1403" s="25"/>
    </row>
    <row r="1404" spans="2:2" x14ac:dyDescent="0.25">
      <c r="B1404" s="25"/>
    </row>
    <row r="1405" spans="2:2" x14ac:dyDescent="0.25">
      <c r="B1405" s="25"/>
    </row>
    <row r="1406" spans="2:2" x14ac:dyDescent="0.25">
      <c r="B1406" s="25"/>
    </row>
    <row r="1407" spans="2:2" x14ac:dyDescent="0.25">
      <c r="B1407" s="25"/>
    </row>
    <row r="1408" spans="2:2" x14ac:dyDescent="0.25">
      <c r="B1408" s="25"/>
    </row>
    <row r="1409" spans="2:2" x14ac:dyDescent="0.25">
      <c r="B1409" s="25"/>
    </row>
    <row r="1410" spans="2:2" x14ac:dyDescent="0.25">
      <c r="B1410" s="25"/>
    </row>
    <row r="1411" spans="2:2" x14ac:dyDescent="0.25">
      <c r="B1411" s="25"/>
    </row>
    <row r="1412" spans="2:2" x14ac:dyDescent="0.25">
      <c r="B1412" s="25"/>
    </row>
    <row r="1413" spans="2:2" x14ac:dyDescent="0.25">
      <c r="B1413" s="25"/>
    </row>
    <row r="1414" spans="2:2" x14ac:dyDescent="0.25">
      <c r="B1414" s="25"/>
    </row>
    <row r="1415" spans="2:2" x14ac:dyDescent="0.25">
      <c r="B1415" s="25"/>
    </row>
    <row r="1416" spans="2:2" x14ac:dyDescent="0.25">
      <c r="B1416" s="25"/>
    </row>
    <row r="1417" spans="2:2" x14ac:dyDescent="0.25">
      <c r="B1417" s="25"/>
    </row>
    <row r="1418" spans="2:2" x14ac:dyDescent="0.25">
      <c r="B1418" s="25"/>
    </row>
    <row r="1419" spans="2:2" x14ac:dyDescent="0.25">
      <c r="B1419" s="25"/>
    </row>
    <row r="1420" spans="2:2" x14ac:dyDescent="0.25">
      <c r="B1420" s="25"/>
    </row>
    <row r="1421" spans="2:2" x14ac:dyDescent="0.25">
      <c r="B1421" s="25"/>
    </row>
    <row r="1422" spans="2:2" x14ac:dyDescent="0.25">
      <c r="B1422" s="25"/>
    </row>
    <row r="1423" spans="2:2" x14ac:dyDescent="0.25">
      <c r="B1423" s="25"/>
    </row>
    <row r="1424" spans="2:2" x14ac:dyDescent="0.25">
      <c r="B1424" s="25"/>
    </row>
    <row r="1425" spans="2:2" x14ac:dyDescent="0.25">
      <c r="B1425" s="25"/>
    </row>
    <row r="1426" spans="2:2" x14ac:dyDescent="0.25">
      <c r="B1426" s="25"/>
    </row>
    <row r="1427" spans="2:2" x14ac:dyDescent="0.25">
      <c r="B1427" s="25"/>
    </row>
    <row r="1428" spans="2:2" x14ac:dyDescent="0.25">
      <c r="B1428" s="25"/>
    </row>
    <row r="1429" spans="2:2" x14ac:dyDescent="0.25">
      <c r="B1429" s="25"/>
    </row>
    <row r="1430" spans="2:2" x14ac:dyDescent="0.25">
      <c r="B1430" s="25"/>
    </row>
    <row r="1431" spans="2:2" x14ac:dyDescent="0.25">
      <c r="B1431" s="25"/>
    </row>
    <row r="1432" spans="2:2" x14ac:dyDescent="0.25">
      <c r="B1432" s="25"/>
    </row>
    <row r="1433" spans="2:2" x14ac:dyDescent="0.25">
      <c r="B1433" s="25"/>
    </row>
    <row r="1434" spans="2:2" x14ac:dyDescent="0.25">
      <c r="B1434" s="25"/>
    </row>
    <row r="1435" spans="2:2" x14ac:dyDescent="0.25">
      <c r="B1435" s="25"/>
    </row>
    <row r="1436" spans="2:2" x14ac:dyDescent="0.25">
      <c r="B1436" s="25"/>
    </row>
    <row r="1437" spans="2:2" x14ac:dyDescent="0.25">
      <c r="B1437" s="25"/>
    </row>
    <row r="1438" spans="2:2" x14ac:dyDescent="0.25">
      <c r="B1438" s="25"/>
    </row>
    <row r="1439" spans="2:2" x14ac:dyDescent="0.25">
      <c r="B1439" s="25"/>
    </row>
    <row r="1440" spans="2:2" x14ac:dyDescent="0.25">
      <c r="B1440" s="25"/>
    </row>
    <row r="1441" spans="2:2" x14ac:dyDescent="0.25">
      <c r="B1441" s="25"/>
    </row>
    <row r="1442" spans="2:2" x14ac:dyDescent="0.25">
      <c r="B1442" s="25"/>
    </row>
    <row r="1443" spans="2:2" x14ac:dyDescent="0.25">
      <c r="B1443" s="25"/>
    </row>
    <row r="1444" spans="2:2" x14ac:dyDescent="0.25">
      <c r="B1444" s="25"/>
    </row>
    <row r="1445" spans="2:2" x14ac:dyDescent="0.25">
      <c r="B1445" s="25"/>
    </row>
    <row r="1446" spans="2:2" x14ac:dyDescent="0.25">
      <c r="B1446" s="25"/>
    </row>
    <row r="1447" spans="2:2" x14ac:dyDescent="0.25">
      <c r="B1447" s="25"/>
    </row>
    <row r="1448" spans="2:2" x14ac:dyDescent="0.25">
      <c r="B1448" s="25"/>
    </row>
    <row r="1449" spans="2:2" x14ac:dyDescent="0.25">
      <c r="B1449" s="25"/>
    </row>
    <row r="1450" spans="2:2" x14ac:dyDescent="0.25">
      <c r="B1450" s="25"/>
    </row>
    <row r="1451" spans="2:2" x14ac:dyDescent="0.25">
      <c r="B1451" s="25"/>
    </row>
    <row r="1452" spans="2:2" x14ac:dyDescent="0.25">
      <c r="B1452" s="25"/>
    </row>
    <row r="1453" spans="2:2" x14ac:dyDescent="0.25">
      <c r="B1453" s="25"/>
    </row>
    <row r="1454" spans="2:2" x14ac:dyDescent="0.25">
      <c r="B1454" s="25"/>
    </row>
    <row r="1455" spans="2:2" x14ac:dyDescent="0.25">
      <c r="B1455" s="25"/>
    </row>
    <row r="1456" spans="2:2" x14ac:dyDescent="0.25">
      <c r="B1456" s="25"/>
    </row>
    <row r="1457" spans="2:2" x14ac:dyDescent="0.25">
      <c r="B1457" s="25"/>
    </row>
    <row r="1458" spans="2:2" x14ac:dyDescent="0.25">
      <c r="B1458" s="25"/>
    </row>
    <row r="1459" spans="2:2" x14ac:dyDescent="0.25">
      <c r="B1459" s="25"/>
    </row>
    <row r="1460" spans="2:2" x14ac:dyDescent="0.25">
      <c r="B1460" s="25"/>
    </row>
    <row r="1461" spans="2:2" x14ac:dyDescent="0.25">
      <c r="B1461" s="25"/>
    </row>
    <row r="1462" spans="2:2" x14ac:dyDescent="0.25">
      <c r="B1462" s="25"/>
    </row>
    <row r="1463" spans="2:2" x14ac:dyDescent="0.25">
      <c r="B1463" s="25"/>
    </row>
    <row r="1464" spans="2:2" x14ac:dyDescent="0.25">
      <c r="B1464" s="25"/>
    </row>
    <row r="1465" spans="2:2" x14ac:dyDescent="0.25">
      <c r="B1465" s="25"/>
    </row>
    <row r="1466" spans="2:2" x14ac:dyDescent="0.25">
      <c r="B1466" s="25"/>
    </row>
    <row r="1467" spans="2:2" x14ac:dyDescent="0.25">
      <c r="B1467" s="25"/>
    </row>
    <row r="1468" spans="2:2" x14ac:dyDescent="0.25">
      <c r="B1468" s="25"/>
    </row>
    <row r="1469" spans="2:2" x14ac:dyDescent="0.25">
      <c r="B1469" s="25"/>
    </row>
    <row r="1470" spans="2:2" x14ac:dyDescent="0.25">
      <c r="B1470" s="25"/>
    </row>
    <row r="1471" spans="2:2" x14ac:dyDescent="0.25">
      <c r="B1471" s="25"/>
    </row>
    <row r="1472" spans="2:2" x14ac:dyDescent="0.25">
      <c r="B1472" s="25"/>
    </row>
    <row r="1473" spans="2:2" x14ac:dyDescent="0.25">
      <c r="B1473" s="25"/>
    </row>
    <row r="1474" spans="2:2" x14ac:dyDescent="0.25">
      <c r="B1474" s="25"/>
    </row>
    <row r="1475" spans="2:2" x14ac:dyDescent="0.25">
      <c r="B1475" s="25"/>
    </row>
    <row r="1476" spans="2:2" x14ac:dyDescent="0.25">
      <c r="B1476" s="25"/>
    </row>
    <row r="1477" spans="2:2" x14ac:dyDescent="0.25">
      <c r="B1477" s="25"/>
    </row>
    <row r="1478" spans="2:2" x14ac:dyDescent="0.25">
      <c r="B1478" s="25"/>
    </row>
    <row r="1479" spans="2:2" x14ac:dyDescent="0.25">
      <c r="B1479" s="25"/>
    </row>
    <row r="1480" spans="2:2" x14ac:dyDescent="0.25">
      <c r="B1480" s="25"/>
    </row>
    <row r="1481" spans="2:2" x14ac:dyDescent="0.25">
      <c r="B1481" s="25"/>
    </row>
    <row r="1482" spans="2:2" x14ac:dyDescent="0.25">
      <c r="B1482" s="25"/>
    </row>
    <row r="1483" spans="2:2" x14ac:dyDescent="0.25">
      <c r="B1483" s="25"/>
    </row>
    <row r="1484" spans="2:2" x14ac:dyDescent="0.25">
      <c r="B1484" s="25"/>
    </row>
    <row r="1485" spans="2:2" x14ac:dyDescent="0.25">
      <c r="B1485" s="25"/>
    </row>
    <row r="1486" spans="2:2" x14ac:dyDescent="0.25">
      <c r="B1486" s="25"/>
    </row>
    <row r="1487" spans="2:2" x14ac:dyDescent="0.25">
      <c r="B1487" s="25"/>
    </row>
    <row r="1488" spans="2:2" x14ac:dyDescent="0.25">
      <c r="B1488" s="25"/>
    </row>
    <row r="1489" spans="2:2" x14ac:dyDescent="0.25">
      <c r="B1489" s="25"/>
    </row>
    <row r="1490" spans="2:2" x14ac:dyDescent="0.25">
      <c r="B1490" s="25"/>
    </row>
    <row r="1491" spans="2:2" x14ac:dyDescent="0.25">
      <c r="B1491" s="25"/>
    </row>
    <row r="1492" spans="2:2" x14ac:dyDescent="0.25">
      <c r="B1492" s="25"/>
    </row>
    <row r="1493" spans="2:2" x14ac:dyDescent="0.25">
      <c r="B1493" s="25"/>
    </row>
    <row r="1494" spans="2:2" x14ac:dyDescent="0.25">
      <c r="B1494" s="25"/>
    </row>
    <row r="1495" spans="2:2" x14ac:dyDescent="0.25">
      <c r="B1495" s="25"/>
    </row>
    <row r="1496" spans="2:2" x14ac:dyDescent="0.25">
      <c r="B1496" s="25"/>
    </row>
    <row r="1497" spans="2:2" x14ac:dyDescent="0.25">
      <c r="B1497" s="25"/>
    </row>
    <row r="1498" spans="2:2" x14ac:dyDescent="0.25">
      <c r="B1498" s="25"/>
    </row>
    <row r="1499" spans="2:2" x14ac:dyDescent="0.25">
      <c r="B1499" s="25"/>
    </row>
    <row r="1500" spans="2:2" x14ac:dyDescent="0.25">
      <c r="B1500" s="25"/>
    </row>
    <row r="1501" spans="2:2" x14ac:dyDescent="0.25">
      <c r="B1501" s="25"/>
    </row>
    <row r="1502" spans="2:2" x14ac:dyDescent="0.25">
      <c r="B1502" s="25"/>
    </row>
    <row r="1503" spans="2:2" x14ac:dyDescent="0.25">
      <c r="B1503" s="25"/>
    </row>
    <row r="1504" spans="2:2" x14ac:dyDescent="0.25">
      <c r="B1504" s="25"/>
    </row>
    <row r="1505" spans="2:2" x14ac:dyDescent="0.25">
      <c r="B1505" s="25"/>
    </row>
    <row r="1506" spans="2:2" x14ac:dyDescent="0.25">
      <c r="B1506" s="25"/>
    </row>
    <row r="1507" spans="2:2" x14ac:dyDescent="0.25">
      <c r="B1507" s="25"/>
    </row>
    <row r="1508" spans="2:2" x14ac:dyDescent="0.25">
      <c r="B1508" s="25"/>
    </row>
    <row r="1509" spans="2:2" x14ac:dyDescent="0.25">
      <c r="B1509" s="25"/>
    </row>
    <row r="1510" spans="2:2" x14ac:dyDescent="0.25">
      <c r="B1510" s="25"/>
    </row>
    <row r="1511" spans="2:2" x14ac:dyDescent="0.25">
      <c r="B1511" s="25"/>
    </row>
    <row r="1512" spans="2:2" x14ac:dyDescent="0.25">
      <c r="B1512" s="25"/>
    </row>
    <row r="1513" spans="2:2" x14ac:dyDescent="0.25">
      <c r="B1513" s="25"/>
    </row>
    <row r="1514" spans="2:2" x14ac:dyDescent="0.25">
      <c r="B1514" s="25"/>
    </row>
    <row r="1515" spans="2:2" x14ac:dyDescent="0.25">
      <c r="B1515" s="25"/>
    </row>
    <row r="1516" spans="2:2" x14ac:dyDescent="0.25">
      <c r="B1516" s="25"/>
    </row>
    <row r="1517" spans="2:2" x14ac:dyDescent="0.25">
      <c r="B1517" s="25"/>
    </row>
    <row r="1518" spans="2:2" x14ac:dyDescent="0.25">
      <c r="B1518" s="25"/>
    </row>
    <row r="1519" spans="2:2" x14ac:dyDescent="0.25">
      <c r="B1519" s="25"/>
    </row>
    <row r="1520" spans="2:2" x14ac:dyDescent="0.25">
      <c r="B1520" s="25"/>
    </row>
    <row r="1521" spans="2:2" x14ac:dyDescent="0.25">
      <c r="B1521" s="25"/>
    </row>
    <row r="1522" spans="2:2" x14ac:dyDescent="0.25">
      <c r="B1522" s="25"/>
    </row>
    <row r="1523" spans="2:2" x14ac:dyDescent="0.25">
      <c r="B1523" s="25"/>
    </row>
    <row r="1524" spans="2:2" x14ac:dyDescent="0.25">
      <c r="B1524" s="25"/>
    </row>
    <row r="1525" spans="2:2" x14ac:dyDescent="0.25">
      <c r="B1525" s="25"/>
    </row>
    <row r="1526" spans="2:2" x14ac:dyDescent="0.25">
      <c r="B1526" s="25"/>
    </row>
    <row r="1527" spans="2:2" x14ac:dyDescent="0.25">
      <c r="B1527" s="25"/>
    </row>
    <row r="1528" spans="2:2" x14ac:dyDescent="0.25">
      <c r="B1528" s="25"/>
    </row>
    <row r="1529" spans="2:2" x14ac:dyDescent="0.25">
      <c r="B1529" s="25"/>
    </row>
    <row r="1530" spans="2:2" x14ac:dyDescent="0.25">
      <c r="B1530" s="25"/>
    </row>
    <row r="1531" spans="2:2" x14ac:dyDescent="0.25">
      <c r="B1531" s="25"/>
    </row>
    <row r="1532" spans="2:2" x14ac:dyDescent="0.25">
      <c r="B1532" s="25"/>
    </row>
    <row r="1533" spans="2:2" x14ac:dyDescent="0.25">
      <c r="B1533" s="25"/>
    </row>
    <row r="1534" spans="2:2" x14ac:dyDescent="0.25">
      <c r="B1534" s="25"/>
    </row>
    <row r="1535" spans="2:2" x14ac:dyDescent="0.25">
      <c r="B1535" s="25"/>
    </row>
    <row r="1536" spans="2:2" x14ac:dyDescent="0.25">
      <c r="B1536" s="25"/>
    </row>
    <row r="1537" spans="2:2" x14ac:dyDescent="0.25">
      <c r="B1537" s="25"/>
    </row>
    <row r="1538" spans="2:2" x14ac:dyDescent="0.25">
      <c r="B1538" s="25"/>
    </row>
    <row r="1539" spans="2:2" x14ac:dyDescent="0.25">
      <c r="B1539" s="25"/>
    </row>
    <row r="1540" spans="2:2" x14ac:dyDescent="0.25">
      <c r="B1540" s="25"/>
    </row>
    <row r="1541" spans="2:2" x14ac:dyDescent="0.25">
      <c r="B1541" s="25"/>
    </row>
    <row r="1542" spans="2:2" x14ac:dyDescent="0.25">
      <c r="B1542" s="25"/>
    </row>
    <row r="1543" spans="2:2" x14ac:dyDescent="0.25">
      <c r="B1543" s="25"/>
    </row>
    <row r="1544" spans="2:2" x14ac:dyDescent="0.25">
      <c r="B1544" s="25"/>
    </row>
    <row r="1545" spans="2:2" x14ac:dyDescent="0.25">
      <c r="B1545" s="25"/>
    </row>
    <row r="1546" spans="2:2" x14ac:dyDescent="0.25">
      <c r="B1546" s="25"/>
    </row>
    <row r="1547" spans="2:2" x14ac:dyDescent="0.25">
      <c r="B1547" s="25"/>
    </row>
    <row r="1548" spans="2:2" x14ac:dyDescent="0.25">
      <c r="B1548" s="25"/>
    </row>
    <row r="1549" spans="2:2" x14ac:dyDescent="0.25">
      <c r="B1549" s="25"/>
    </row>
    <row r="1550" spans="2:2" x14ac:dyDescent="0.25">
      <c r="B1550" s="25"/>
    </row>
    <row r="1551" spans="2:2" x14ac:dyDescent="0.25">
      <c r="B1551" s="25"/>
    </row>
    <row r="1552" spans="2:2" x14ac:dyDescent="0.25">
      <c r="B1552" s="25"/>
    </row>
    <row r="1553" spans="2:2" x14ac:dyDescent="0.25">
      <c r="B1553" s="25"/>
    </row>
    <row r="1554" spans="2:2" x14ac:dyDescent="0.25">
      <c r="B1554" s="25"/>
    </row>
    <row r="1555" spans="2:2" x14ac:dyDescent="0.25">
      <c r="B1555" s="25"/>
    </row>
    <row r="1556" spans="2:2" x14ac:dyDescent="0.25">
      <c r="B1556" s="25"/>
    </row>
    <row r="1557" spans="2:2" x14ac:dyDescent="0.25">
      <c r="B1557" s="25"/>
    </row>
    <row r="1558" spans="2:2" x14ac:dyDescent="0.25">
      <c r="B1558" s="25"/>
    </row>
    <row r="1559" spans="2:2" x14ac:dyDescent="0.25">
      <c r="B1559" s="25"/>
    </row>
    <row r="1560" spans="2:2" x14ac:dyDescent="0.25">
      <c r="B1560" s="25"/>
    </row>
    <row r="1561" spans="2:2" x14ac:dyDescent="0.25">
      <c r="B1561" s="25"/>
    </row>
    <row r="1562" spans="2:2" x14ac:dyDescent="0.25">
      <c r="B1562" s="25"/>
    </row>
    <row r="1563" spans="2:2" x14ac:dyDescent="0.25">
      <c r="B1563" s="25"/>
    </row>
    <row r="1564" spans="2:2" x14ac:dyDescent="0.25">
      <c r="B1564" s="25"/>
    </row>
    <row r="1565" spans="2:2" x14ac:dyDescent="0.25">
      <c r="B1565" s="25"/>
    </row>
    <row r="1566" spans="2:2" x14ac:dyDescent="0.25">
      <c r="B1566" s="25"/>
    </row>
    <row r="1567" spans="2:2" x14ac:dyDescent="0.25">
      <c r="B1567" s="25"/>
    </row>
    <row r="1568" spans="2:2" x14ac:dyDescent="0.25">
      <c r="B1568" s="25"/>
    </row>
    <row r="1569" spans="2:2" x14ac:dyDescent="0.25">
      <c r="B1569" s="25"/>
    </row>
    <row r="1570" spans="2:2" x14ac:dyDescent="0.25">
      <c r="B1570" s="25"/>
    </row>
    <row r="1571" spans="2:2" x14ac:dyDescent="0.25">
      <c r="B1571" s="25"/>
    </row>
    <row r="1572" spans="2:2" x14ac:dyDescent="0.25">
      <c r="B1572" s="25"/>
    </row>
    <row r="1573" spans="2:2" x14ac:dyDescent="0.25">
      <c r="B1573" s="25"/>
    </row>
    <row r="1574" spans="2:2" x14ac:dyDescent="0.25">
      <c r="B1574" s="25"/>
    </row>
    <row r="1575" spans="2:2" x14ac:dyDescent="0.25">
      <c r="B1575" s="25"/>
    </row>
    <row r="1576" spans="2:2" x14ac:dyDescent="0.25">
      <c r="B1576" s="25"/>
    </row>
    <row r="1577" spans="2:2" x14ac:dyDescent="0.25">
      <c r="B1577" s="25"/>
    </row>
    <row r="1578" spans="2:2" x14ac:dyDescent="0.25">
      <c r="B1578" s="25"/>
    </row>
    <row r="1579" spans="2:2" x14ac:dyDescent="0.25">
      <c r="B1579" s="25"/>
    </row>
    <row r="1580" spans="2:2" x14ac:dyDescent="0.25">
      <c r="B1580" s="25"/>
    </row>
    <row r="1581" spans="2:2" x14ac:dyDescent="0.25">
      <c r="B1581" s="25"/>
    </row>
    <row r="1582" spans="2:2" x14ac:dyDescent="0.25">
      <c r="B1582" s="25"/>
    </row>
    <row r="1583" spans="2:2" x14ac:dyDescent="0.25">
      <c r="B1583" s="25"/>
    </row>
    <row r="1584" spans="2:2" x14ac:dyDescent="0.25">
      <c r="B1584" s="25"/>
    </row>
    <row r="1585" spans="2:2" x14ac:dyDescent="0.25">
      <c r="B1585" s="25"/>
    </row>
    <row r="1586" spans="2:2" x14ac:dyDescent="0.25">
      <c r="B1586" s="25"/>
    </row>
    <row r="1587" spans="2:2" x14ac:dyDescent="0.25">
      <c r="B1587" s="25"/>
    </row>
    <row r="1588" spans="2:2" x14ac:dyDescent="0.25">
      <c r="B1588" s="25"/>
    </row>
    <row r="1589" spans="2:2" x14ac:dyDescent="0.25">
      <c r="B1589" s="25"/>
    </row>
    <row r="1590" spans="2:2" x14ac:dyDescent="0.25">
      <c r="B1590" s="25"/>
    </row>
    <row r="1591" spans="2:2" x14ac:dyDescent="0.25">
      <c r="B1591" s="25"/>
    </row>
    <row r="1592" spans="2:2" x14ac:dyDescent="0.25">
      <c r="B1592" s="25"/>
    </row>
    <row r="1593" spans="2:2" x14ac:dyDescent="0.25">
      <c r="B1593" s="25"/>
    </row>
    <row r="1594" spans="2:2" x14ac:dyDescent="0.25">
      <c r="B1594" s="25"/>
    </row>
    <row r="1595" spans="2:2" x14ac:dyDescent="0.25">
      <c r="B1595" s="25"/>
    </row>
    <row r="1596" spans="2:2" x14ac:dyDescent="0.25">
      <c r="B1596" s="25"/>
    </row>
    <row r="1597" spans="2:2" x14ac:dyDescent="0.25">
      <c r="B1597" s="25"/>
    </row>
    <row r="1598" spans="2:2" x14ac:dyDescent="0.25">
      <c r="B1598" s="25"/>
    </row>
    <row r="1599" spans="2:2" x14ac:dyDescent="0.25">
      <c r="B1599" s="25"/>
    </row>
    <row r="1600" spans="2:2" x14ac:dyDescent="0.25">
      <c r="B1600" s="25"/>
    </row>
    <row r="1601" spans="2:2" x14ac:dyDescent="0.25">
      <c r="B1601" s="25"/>
    </row>
    <row r="1602" spans="2:2" x14ac:dyDescent="0.25">
      <c r="B1602" s="25"/>
    </row>
    <row r="1603" spans="2:2" x14ac:dyDescent="0.25">
      <c r="B1603" s="25"/>
    </row>
    <row r="1604" spans="2:2" x14ac:dyDescent="0.25">
      <c r="B1604" s="25"/>
    </row>
    <row r="1605" spans="2:2" x14ac:dyDescent="0.25">
      <c r="B1605" s="25"/>
    </row>
    <row r="1606" spans="2:2" x14ac:dyDescent="0.25">
      <c r="B1606" s="25"/>
    </row>
    <row r="1607" spans="2:2" x14ac:dyDescent="0.25">
      <c r="B1607" s="25"/>
    </row>
    <row r="1608" spans="2:2" x14ac:dyDescent="0.25">
      <c r="B1608" s="25"/>
    </row>
    <row r="1609" spans="2:2" x14ac:dyDescent="0.25">
      <c r="B1609" s="25"/>
    </row>
    <row r="1610" spans="2:2" x14ac:dyDescent="0.25">
      <c r="B1610" s="25"/>
    </row>
    <row r="1611" spans="2:2" x14ac:dyDescent="0.25">
      <c r="B1611" s="25"/>
    </row>
    <row r="1612" spans="2:2" x14ac:dyDescent="0.25">
      <c r="B1612" s="25"/>
    </row>
    <row r="1613" spans="2:2" x14ac:dyDescent="0.25">
      <c r="B1613" s="25"/>
    </row>
    <row r="1614" spans="2:2" x14ac:dyDescent="0.25">
      <c r="B1614" s="25"/>
    </row>
    <row r="1615" spans="2:2" x14ac:dyDescent="0.25">
      <c r="B1615" s="25"/>
    </row>
    <row r="1616" spans="2:2" x14ac:dyDescent="0.25">
      <c r="B1616" s="25"/>
    </row>
    <row r="1617" spans="2:2" x14ac:dyDescent="0.25">
      <c r="B1617" s="25"/>
    </row>
    <row r="1618" spans="2:2" x14ac:dyDescent="0.25">
      <c r="B1618" s="25"/>
    </row>
    <row r="1619" spans="2:2" x14ac:dyDescent="0.25">
      <c r="B1619" s="25"/>
    </row>
    <row r="1620" spans="2:2" x14ac:dyDescent="0.25">
      <c r="B1620" s="25"/>
    </row>
    <row r="1621" spans="2:2" x14ac:dyDescent="0.25">
      <c r="B1621" s="25"/>
    </row>
  </sheetData>
  <sheetProtection password="FA0B" sheet="1" objects="1" scenarios="1" selectLockedCells="1" selectUnlockedCells="1"/>
  <mergeCells count="7">
    <mergeCell ref="E34:F34"/>
    <mergeCell ref="E31:F31"/>
    <mergeCell ref="I30:J30"/>
    <mergeCell ref="E30:G30"/>
    <mergeCell ref="B2:C2"/>
    <mergeCell ref="E32:F32"/>
    <mergeCell ref="E33:F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37</vt:i4>
      </vt:variant>
    </vt:vector>
  </HeadingPairs>
  <TitlesOfParts>
    <vt:vector size="43" baseType="lpstr">
      <vt:lpstr>ISTRUZIONI</vt:lpstr>
      <vt:lpstr>FOGLIO DEPOSITO</vt:lpstr>
      <vt:lpstr>DATI</vt:lpstr>
      <vt:lpstr>ANALISI DELLE SPINTE</vt:lpstr>
      <vt:lpstr>geom masse muro+tensioni</vt:lpstr>
      <vt:lpstr>SPETTRO DI PROGETTO ORIZZONTALE</vt:lpstr>
      <vt:lpstr>app</vt:lpstr>
      <vt:lpstr>class</vt:lpstr>
      <vt:lpstr>COMBO</vt:lpstr>
      <vt:lpstr>dr</vt:lpstr>
      <vt:lpstr>fer</vt:lpstr>
      <vt:lpstr>fond</vt:lpstr>
      <vt:lpstr>fonda</vt:lpstr>
      <vt:lpstr>graf1</vt:lpstr>
      <vt:lpstr>graf2</vt:lpstr>
      <vt:lpstr>graf3</vt:lpstr>
      <vt:lpstr>graf4</vt:lpstr>
      <vt:lpstr>mey</vt:lpstr>
      <vt:lpstr>mur</vt:lpstr>
      <vt:lpstr>NUMCOST</vt:lpstr>
      <vt:lpstr>PASDEN</vt:lpstr>
      <vt:lpstr>perm</vt:lpstr>
      <vt:lpstr>posdent</vt:lpstr>
      <vt:lpstr>posza</vt:lpstr>
      <vt:lpstr>pr</vt:lpstr>
      <vt:lpstr>RAN</vt:lpstr>
      <vt:lpstr>RANK</vt:lpstr>
      <vt:lpstr>sd</vt:lpstr>
      <vt:lpstr>sec</vt:lpstr>
      <vt:lpstr>SISM</vt:lpstr>
      <vt:lpstr>sn</vt:lpstr>
      <vt:lpstr>speg</vt:lpstr>
      <vt:lpstr>spegn</vt:lpstr>
      <vt:lpstr>spin</vt:lpstr>
      <vt:lpstr>spint</vt:lpstr>
      <vt:lpstr>ss</vt:lpstr>
      <vt:lpstr>st</vt:lpstr>
      <vt:lpstr>str</vt:lpstr>
      <vt:lpstr>ter</vt:lpstr>
      <vt:lpstr>terrr</vt:lpstr>
      <vt:lpstr>terrrr</vt:lpstr>
      <vt:lpstr>tip</vt:lpstr>
      <vt:lpstr>TOP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Cicchini</dc:creator>
  <cp:keywords/>
  <dc:description/>
  <cp:lastModifiedBy>Nicla</cp:lastModifiedBy>
  <cp:revision/>
  <cp:lastPrinted>2016-03-05T00:36:19Z</cp:lastPrinted>
  <dcterms:created xsi:type="dcterms:W3CDTF">2015-06-12T08:48:10Z</dcterms:created>
  <dcterms:modified xsi:type="dcterms:W3CDTF">2016-05-19T17:12:50Z</dcterms:modified>
</cp:coreProperties>
</file>