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icla\Documents\6.VARIE PER LA PROFESSIONE\PROGRAMMI UTILI\PROGETTO SOLAIO\PROGETTO SOLAIO PREFABBRICATO\"/>
    </mc:Choice>
  </mc:AlternateContent>
  <workbookProtection workbookPassword="C2CA" lockStructure="1"/>
  <bookViews>
    <workbookView xWindow="0" yWindow="0" windowWidth="20490" windowHeight="7755"/>
  </bookViews>
  <sheets>
    <sheet name="Istruzioni" sheetId="7" r:id="rId1"/>
    <sheet name="Pred. solaio a pannello " sheetId="5" r:id="rId2"/>
    <sheet name="Foglio1" sheetId="6" state="hidden" r:id="rId3"/>
  </sheets>
  <externalReferences>
    <externalReference r:id="rId4"/>
  </externalReferences>
  <definedNames>
    <definedName name="ca">Foglio1!$D$5:$D$7</definedName>
    <definedName name="cals">Foglio1!$B$145:$B$151</definedName>
    <definedName name="comb">Foglio1!$F$5:$F$7</definedName>
    <definedName name="fe">Foglio1!$E$141:$E$142</definedName>
    <definedName name="SN">Foglio1!$B$5:$B$6</definedName>
    <definedName name="w">'[1]DATI NASCOSTI'!$C$105:$C$107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5" i="6" l="1"/>
  <c r="D306" i="5" l="1"/>
  <c r="D337" i="5"/>
  <c r="F87" i="6"/>
  <c r="G87" i="6"/>
  <c r="F89" i="6"/>
  <c r="G89" i="6"/>
  <c r="F92" i="6"/>
  <c r="F94" i="6"/>
  <c r="G94" i="6"/>
  <c r="H94" i="6"/>
  <c r="F95" i="6"/>
  <c r="G95" i="6"/>
  <c r="H95" i="6"/>
  <c r="C90" i="6" l="1"/>
  <c r="C92" i="6" s="1"/>
  <c r="I95" i="6"/>
  <c r="B90" i="6"/>
  <c r="B92" i="6" s="1"/>
  <c r="E36" i="5" l="1"/>
  <c r="D316" i="5" s="1"/>
  <c r="D292" i="5" l="1"/>
  <c r="D263" i="5"/>
  <c r="H142" i="6" l="1"/>
  <c r="I6" i="6" s="1"/>
  <c r="H141" i="6"/>
  <c r="I5" i="6" s="1"/>
  <c r="D63" i="6"/>
  <c r="B63" i="6" s="1"/>
  <c r="D36" i="6"/>
  <c r="I7" i="6" l="1"/>
  <c r="D242" i="5"/>
  <c r="D301" i="5" s="1"/>
  <c r="J70" i="6" l="1"/>
  <c r="J43" i="6"/>
  <c r="D272" i="5"/>
  <c r="J18" i="6"/>
  <c r="D290" i="5" l="1"/>
  <c r="G114" i="6"/>
  <c r="I141" i="6"/>
  <c r="C141" i="6"/>
  <c r="E134" i="6" l="1"/>
  <c r="P58" i="6" l="1"/>
  <c r="P59" i="6" s="1"/>
  <c r="P60" i="6" s="1"/>
  <c r="P61" i="6" s="1"/>
  <c r="P62" i="6" s="1"/>
  <c r="P63" i="6" s="1"/>
  <c r="P64" i="6" s="1"/>
  <c r="P65" i="6" s="1"/>
  <c r="P66" i="6" s="1"/>
  <c r="P67" i="6" s="1"/>
  <c r="P68" i="6" s="1"/>
  <c r="P69" i="6" s="1"/>
  <c r="P70" i="6" s="1"/>
  <c r="P71" i="6" s="1"/>
  <c r="P72" i="6" s="1"/>
  <c r="P73" i="6" s="1"/>
  <c r="P74" i="6" s="1"/>
  <c r="P75" i="6" s="1"/>
  <c r="P76" i="6" s="1"/>
  <c r="P77" i="6" s="1"/>
  <c r="P78" i="6" s="1"/>
  <c r="P79" i="6" s="1"/>
  <c r="P80" i="6" s="1"/>
  <c r="P81" i="6" s="1"/>
  <c r="P82" i="6" s="1"/>
  <c r="P83" i="6" s="1"/>
  <c r="P84" i="6" s="1"/>
  <c r="P85" i="6" s="1"/>
  <c r="P86" i="6" s="1"/>
  <c r="P87" i="6" s="1"/>
  <c r="P88" i="6" s="1"/>
  <c r="P89" i="6" s="1"/>
  <c r="P90" i="6" s="1"/>
  <c r="P91" i="6" s="1"/>
  <c r="P92" i="6" s="1"/>
  <c r="P93" i="6" s="1"/>
  <c r="P94" i="6" s="1"/>
  <c r="P95" i="6" s="1"/>
  <c r="P96" i="6" s="1"/>
  <c r="P97" i="6" s="1"/>
  <c r="P98" i="6" s="1"/>
  <c r="P99" i="6" s="1"/>
  <c r="P100" i="6" s="1"/>
  <c r="P101" i="6" s="1"/>
  <c r="P102" i="6" s="1"/>
  <c r="P103" i="6" s="1"/>
  <c r="P104" i="6" s="1"/>
  <c r="P105" i="6" s="1"/>
  <c r="P106" i="6" s="1"/>
  <c r="P107" i="6" s="1"/>
  <c r="P108" i="6" s="1"/>
  <c r="P109" i="6" s="1"/>
  <c r="J45" i="6"/>
  <c r="Y7" i="6"/>
  <c r="J41" i="6"/>
  <c r="B36" i="6"/>
  <c r="D11" i="6"/>
  <c r="B11" i="6" s="1"/>
  <c r="P31" i="6"/>
  <c r="P32" i="6" s="1"/>
  <c r="P33" i="6" s="1"/>
  <c r="P34" i="6" s="1"/>
  <c r="P35" i="6" s="1"/>
  <c r="P36" i="6" s="1"/>
  <c r="P37" i="6" s="1"/>
  <c r="P38" i="6" s="1"/>
  <c r="P39" i="6" s="1"/>
  <c r="P40" i="6" s="1"/>
  <c r="P41" i="6" s="1"/>
  <c r="P42" i="6" s="1"/>
  <c r="P43" i="6" s="1"/>
  <c r="P44" i="6" s="1"/>
  <c r="P45" i="6" s="1"/>
  <c r="P46" i="6" s="1"/>
  <c r="P47" i="6" s="1"/>
  <c r="P48" i="6" s="1"/>
  <c r="P49" i="6" s="1"/>
  <c r="P50" i="6" s="1"/>
  <c r="P51" i="6" s="1"/>
  <c r="P52" i="6" s="1"/>
  <c r="P53" i="6" s="1"/>
  <c r="P54" i="6" s="1"/>
  <c r="P55" i="6" s="1"/>
  <c r="P56" i="6" s="1"/>
  <c r="Z11" i="6"/>
  <c r="AA11" i="6" s="1"/>
  <c r="P5" i="6"/>
  <c r="P6" i="6" s="1"/>
  <c r="P7" i="6" s="1"/>
  <c r="P8" i="6" s="1"/>
  <c r="P9" i="6" s="1"/>
  <c r="P10" i="6" s="1"/>
  <c r="P11" i="6" s="1"/>
  <c r="P12" i="6" s="1"/>
  <c r="P13" i="6" s="1"/>
  <c r="P14" i="6" s="1"/>
  <c r="P15" i="6" s="1"/>
  <c r="P16" i="6" s="1"/>
  <c r="P17" i="6" s="1"/>
  <c r="P18" i="6" s="1"/>
  <c r="P19" i="6" s="1"/>
  <c r="P20" i="6" s="1"/>
  <c r="P21" i="6" s="1"/>
  <c r="P22" i="6" s="1"/>
  <c r="P23" i="6" s="1"/>
  <c r="P24" i="6" s="1"/>
  <c r="P25" i="6" s="1"/>
  <c r="P26" i="6" s="1"/>
  <c r="P27" i="6" s="1"/>
  <c r="P28" i="6" s="1"/>
  <c r="P29" i="6" s="1"/>
  <c r="J68" i="6" l="1"/>
  <c r="J20" i="6"/>
  <c r="J72" i="6"/>
  <c r="C107" i="6" s="1"/>
  <c r="J16" i="6"/>
  <c r="Q86" i="6"/>
  <c r="P110" i="6"/>
  <c r="Q57" i="6"/>
  <c r="Q59" i="6"/>
  <c r="Q61" i="6"/>
  <c r="Q63" i="6"/>
  <c r="Q65" i="6"/>
  <c r="Q67" i="6"/>
  <c r="Q69" i="6"/>
  <c r="Q71" i="6"/>
  <c r="Q73" i="6"/>
  <c r="Q75" i="6"/>
  <c r="Q77" i="6"/>
  <c r="Q79" i="6"/>
  <c r="Q81" i="6"/>
  <c r="Q83" i="6"/>
  <c r="Q85" i="6"/>
  <c r="Q87" i="6"/>
  <c r="Q89" i="6"/>
  <c r="Q91" i="6"/>
  <c r="Q93" i="6"/>
  <c r="Q95" i="6"/>
  <c r="Q97" i="6"/>
  <c r="Q99" i="6"/>
  <c r="Q101" i="6"/>
  <c r="Q103" i="6"/>
  <c r="Q105" i="6"/>
  <c r="Q107" i="6"/>
  <c r="Q109" i="6"/>
  <c r="Q110" i="6" s="1"/>
  <c r="Q60" i="6"/>
  <c r="Q66" i="6"/>
  <c r="Q70" i="6"/>
  <c r="Q72" i="6"/>
  <c r="Q76" i="6"/>
  <c r="Q78" i="6"/>
  <c r="Q80" i="6"/>
  <c r="Q82" i="6"/>
  <c r="Q84" i="6"/>
  <c r="Q88" i="6"/>
  <c r="Q90" i="6"/>
  <c r="Q92" i="6"/>
  <c r="Q94" i="6"/>
  <c r="Q96" i="6"/>
  <c r="Q98" i="6"/>
  <c r="Q100" i="6"/>
  <c r="Q102" i="6"/>
  <c r="Q104" i="6"/>
  <c r="Q106" i="6"/>
  <c r="Q108" i="6"/>
  <c r="Q58" i="6"/>
  <c r="Q62" i="6"/>
  <c r="Q64" i="6"/>
  <c r="Q68" i="6"/>
  <c r="Q74" i="6"/>
  <c r="Y5" i="6"/>
  <c r="Y9" i="6"/>
  <c r="Q56" i="6"/>
  <c r="Q52" i="6"/>
  <c r="Q48" i="6"/>
  <c r="Q44" i="6"/>
  <c r="Q40" i="6"/>
  <c r="Q36" i="6"/>
  <c r="Q32" i="6"/>
  <c r="Q53" i="6"/>
  <c r="Q55" i="6"/>
  <c r="Q51" i="6"/>
  <c r="Q47" i="6"/>
  <c r="Q43" i="6"/>
  <c r="Q39" i="6"/>
  <c r="Q35" i="6"/>
  <c r="Q31" i="6"/>
  <c r="Q49" i="6"/>
  <c r="Q45" i="6"/>
  <c r="Q41" i="6"/>
  <c r="Q37" i="6"/>
  <c r="Q19" i="6"/>
  <c r="Q16" i="6"/>
  <c r="Q25" i="6"/>
  <c r="Q10" i="6"/>
  <c r="Q30" i="6"/>
  <c r="Q28" i="6"/>
  <c r="Q24" i="6"/>
  <c r="Q12" i="6"/>
  <c r="Q13" i="6"/>
  <c r="Q7" i="6"/>
  <c r="Q6" i="6"/>
  <c r="Q26" i="6"/>
  <c r="Q22" i="6"/>
  <c r="Q18" i="6"/>
  <c r="Q14" i="6"/>
  <c r="Q11" i="6"/>
  <c r="Q54" i="6"/>
  <c r="Q50" i="6"/>
  <c r="Q46" i="6"/>
  <c r="Q42" i="6"/>
  <c r="Q38" i="6"/>
  <c r="Q34" i="6"/>
  <c r="Q33" i="6"/>
  <c r="Q27" i="6"/>
  <c r="Q23" i="6"/>
  <c r="Q15" i="6"/>
  <c r="Q20" i="6"/>
  <c r="Q4" i="6"/>
  <c r="Q3" i="6" s="1"/>
  <c r="Q29" i="6"/>
  <c r="Q21" i="6"/>
  <c r="Q17" i="6"/>
  <c r="Q9" i="6"/>
  <c r="Q8" i="6"/>
  <c r="Q5" i="6"/>
  <c r="D97" i="5"/>
  <c r="D94" i="5"/>
  <c r="D91" i="5"/>
  <c r="D178" i="5"/>
  <c r="B23" i="6" l="1"/>
  <c r="D65" i="6"/>
  <c r="D38" i="6"/>
  <c r="D13" i="6"/>
  <c r="B13" i="6" s="1"/>
  <c r="F23" i="6"/>
  <c r="C183" i="5"/>
  <c r="C184" i="5"/>
  <c r="B65" i="6" l="1"/>
  <c r="F75" i="6"/>
  <c r="B15" i="6"/>
  <c r="F48" i="6"/>
  <c r="B38" i="6"/>
  <c r="C475" i="5"/>
  <c r="C474" i="5"/>
  <c r="B75" i="6" l="1"/>
  <c r="B67" i="6"/>
  <c r="B48" i="6"/>
  <c r="B40" i="6"/>
  <c r="E51" i="5"/>
  <c r="F72" i="6" l="1"/>
  <c r="B72" i="6"/>
  <c r="D325" i="5" l="1"/>
  <c r="D314" i="5" l="1"/>
  <c r="F78" i="6" s="1"/>
  <c r="G113" i="6"/>
  <c r="D261" i="5"/>
  <c r="D239" i="5"/>
  <c r="E33" i="5"/>
  <c r="E42" i="5"/>
  <c r="G43" i="5"/>
  <c r="F47" i="5"/>
  <c r="E29" i="5" s="1"/>
  <c r="B51" i="6" l="1"/>
  <c r="F51" i="6"/>
  <c r="B78" i="6"/>
  <c r="B70" i="6" s="1"/>
  <c r="D61" i="6"/>
  <c r="D67" i="6" s="1"/>
  <c r="D78" i="6" s="1"/>
  <c r="D293" i="5"/>
  <c r="D264" i="5"/>
  <c r="D317" i="5"/>
  <c r="D34" i="6"/>
  <c r="D132" i="6"/>
  <c r="F26" i="6"/>
  <c r="B26" i="6"/>
  <c r="D9" i="6"/>
  <c r="J42" i="6"/>
  <c r="J69" i="6" s="1"/>
  <c r="G49" i="5"/>
  <c r="G46" i="5" s="1"/>
  <c r="D241" i="5" s="1"/>
  <c r="D330" i="5"/>
  <c r="D250" i="5"/>
  <c r="D277" i="5"/>
  <c r="E30" i="5"/>
  <c r="E55" i="5"/>
  <c r="E52" i="5" s="1"/>
  <c r="E56" i="5"/>
  <c r="E57" i="5"/>
  <c r="C100" i="5"/>
  <c r="J71" i="6" l="1"/>
  <c r="B81" i="6" s="1"/>
  <c r="B82" i="6" s="1"/>
  <c r="J44" i="6"/>
  <c r="D75" i="6"/>
  <c r="G116" i="6"/>
  <c r="J19" i="6"/>
  <c r="B20" i="6" s="1"/>
  <c r="B18" i="6" s="1"/>
  <c r="F70" i="6"/>
  <c r="D243" i="5"/>
  <c r="D296" i="5" s="1"/>
  <c r="B132" i="6"/>
  <c r="B135" i="6"/>
  <c r="G94" i="5" s="1"/>
  <c r="B138" i="6"/>
  <c r="G97" i="5" s="1"/>
  <c r="AC11" i="6" s="1"/>
  <c r="D15" i="6"/>
  <c r="D23" i="6"/>
  <c r="F20" i="6"/>
  <c r="F18" i="6" s="1"/>
  <c r="F45" i="6"/>
  <c r="F43" i="6" s="1"/>
  <c r="B45" i="6"/>
  <c r="B43" i="6" s="1"/>
  <c r="Y6" i="6"/>
  <c r="J17" i="6"/>
  <c r="E103" i="5"/>
  <c r="D40" i="6"/>
  <c r="D51" i="6" s="1"/>
  <c r="D48" i="6"/>
  <c r="D45" i="6"/>
  <c r="C97" i="5"/>
  <c r="C94" i="5"/>
  <c r="C91" i="5"/>
  <c r="C111" i="5"/>
  <c r="Z13" i="6" s="1"/>
  <c r="F103" i="5"/>
  <c r="E53" i="5"/>
  <c r="D100" i="5"/>
  <c r="B29" i="6" l="1"/>
  <c r="B30" i="6" s="1"/>
  <c r="D247" i="5"/>
  <c r="D267" i="5"/>
  <c r="D297" i="5" s="1"/>
  <c r="B54" i="6"/>
  <c r="B55" i="6" s="1"/>
  <c r="B128" i="6"/>
  <c r="D184" i="5" s="1"/>
  <c r="C128" i="6" s="1"/>
  <c r="B127" i="6"/>
  <c r="N96" i="6"/>
  <c r="N73" i="6"/>
  <c r="N74" i="6"/>
  <c r="N95" i="6"/>
  <c r="N76" i="6"/>
  <c r="N90" i="6"/>
  <c r="N71" i="6"/>
  <c r="N86" i="6"/>
  <c r="N103" i="6"/>
  <c r="N59" i="6"/>
  <c r="N88" i="6"/>
  <c r="N65" i="6"/>
  <c r="N105" i="6"/>
  <c r="N70" i="6"/>
  <c r="N107" i="6"/>
  <c r="N91" i="6"/>
  <c r="N83" i="6"/>
  <c r="N67" i="6"/>
  <c r="N98" i="6"/>
  <c r="N94" i="6"/>
  <c r="N97" i="6"/>
  <c r="N64" i="6"/>
  <c r="N81" i="6"/>
  <c r="N89" i="6"/>
  <c r="N58" i="6"/>
  <c r="N99" i="6"/>
  <c r="N80" i="6"/>
  <c r="N60" i="6"/>
  <c r="N106" i="6"/>
  <c r="N75" i="6"/>
  <c r="N102" i="6"/>
  <c r="N63" i="6"/>
  <c r="N84" i="6"/>
  <c r="N66" i="6"/>
  <c r="N87" i="6"/>
  <c r="N79" i="6"/>
  <c r="N72" i="6"/>
  <c r="N10" i="6"/>
  <c r="N92" i="6"/>
  <c r="N38" i="6"/>
  <c r="N42" i="6"/>
  <c r="N19" i="6"/>
  <c r="N52" i="6"/>
  <c r="N37" i="6"/>
  <c r="N85" i="6"/>
  <c r="N35" i="6"/>
  <c r="N53" i="6"/>
  <c r="N45" i="6"/>
  <c r="N43" i="6"/>
  <c r="N109" i="6"/>
  <c r="N110" i="6" s="1"/>
  <c r="N44" i="6"/>
  <c r="N39" i="6"/>
  <c r="N104" i="6"/>
  <c r="N47" i="6"/>
  <c r="N101" i="6"/>
  <c r="N9" i="6"/>
  <c r="N22" i="6"/>
  <c r="N49" i="6"/>
  <c r="N17" i="6"/>
  <c r="N31" i="6"/>
  <c r="N82" i="6"/>
  <c r="N77" i="6"/>
  <c r="N15" i="6"/>
  <c r="N30" i="6"/>
  <c r="N51" i="6"/>
  <c r="N28" i="6"/>
  <c r="N32" i="6"/>
  <c r="N40" i="6"/>
  <c r="N4" i="6"/>
  <c r="N3" i="6" s="1"/>
  <c r="N56" i="6"/>
  <c r="N34" i="6"/>
  <c r="N8" i="6"/>
  <c r="N48" i="6"/>
  <c r="N26" i="6"/>
  <c r="N108" i="6"/>
  <c r="N29" i="6"/>
  <c r="N27" i="6"/>
  <c r="N24" i="6"/>
  <c r="N36" i="6"/>
  <c r="N13" i="6"/>
  <c r="N68" i="6"/>
  <c r="N93" i="6"/>
  <c r="N5" i="6"/>
  <c r="N50" i="6"/>
  <c r="N41" i="6"/>
  <c r="N20" i="6"/>
  <c r="N23" i="6"/>
  <c r="N12" i="6"/>
  <c r="N55" i="6"/>
  <c r="N62" i="6"/>
  <c r="N100" i="6"/>
  <c r="N21" i="6"/>
  <c r="N14" i="6"/>
  <c r="N11" i="6"/>
  <c r="N54" i="6"/>
  <c r="N16" i="6"/>
  <c r="N78" i="6"/>
  <c r="N18" i="6"/>
  <c r="N57" i="6"/>
  <c r="N33" i="6"/>
  <c r="N61" i="6"/>
  <c r="N7" i="6"/>
  <c r="N46" i="6"/>
  <c r="N69" i="6"/>
  <c r="N25" i="6"/>
  <c r="N6" i="6"/>
  <c r="G103" i="5"/>
  <c r="D26" i="6"/>
  <c r="T18" i="6"/>
  <c r="T15" i="6"/>
  <c r="T25" i="6"/>
  <c r="T93" i="6"/>
  <c r="T84" i="6"/>
  <c r="T97" i="6"/>
  <c r="T29" i="6"/>
  <c r="T24" i="6"/>
  <c r="T26" i="6"/>
  <c r="T86" i="6"/>
  <c r="T89" i="6"/>
  <c r="T95" i="6"/>
  <c r="T90" i="6"/>
  <c r="T96" i="6"/>
  <c r="T19" i="6"/>
  <c r="T87" i="6"/>
  <c r="T88" i="6"/>
  <c r="T16" i="6"/>
  <c r="T22" i="6"/>
  <c r="T23" i="6"/>
  <c r="T20" i="6"/>
  <c r="T28" i="6"/>
  <c r="T21" i="6"/>
  <c r="T98" i="6"/>
  <c r="T27" i="6"/>
  <c r="T17" i="6"/>
  <c r="T94" i="6"/>
  <c r="T91" i="6"/>
  <c r="T92" i="6"/>
  <c r="T85" i="6"/>
  <c r="Y8" i="6"/>
  <c r="T9" i="6"/>
  <c r="T7" i="6"/>
  <c r="T11" i="6"/>
  <c r="T10" i="6"/>
  <c r="T104" i="6"/>
  <c r="T106" i="6"/>
  <c r="T5" i="6"/>
  <c r="T99" i="6"/>
  <c r="T4" i="6"/>
  <c r="T3" i="6" s="1"/>
  <c r="T12" i="6"/>
  <c r="T8" i="6"/>
  <c r="T14" i="6"/>
  <c r="T109" i="6"/>
  <c r="T110" i="6" s="1"/>
  <c r="T100" i="6"/>
  <c r="T6" i="6"/>
  <c r="T13" i="6"/>
  <c r="T103" i="6"/>
  <c r="T102" i="6"/>
  <c r="T101" i="6"/>
  <c r="T108" i="6"/>
  <c r="T107" i="6"/>
  <c r="T105" i="6"/>
  <c r="D43" i="6"/>
  <c r="E54" i="5"/>
  <c r="E45" i="5"/>
  <c r="D245" i="5" s="1"/>
  <c r="D246" i="5" l="1"/>
  <c r="C255" i="5" s="1"/>
  <c r="D54" i="6"/>
  <c r="D55" i="6" s="1"/>
  <c r="D20" i="6"/>
  <c r="D18" i="6" s="1"/>
  <c r="D29" i="6" s="1"/>
  <c r="D30" i="6" s="1"/>
  <c r="D183" i="5"/>
  <c r="F183" i="5"/>
  <c r="F184" i="5"/>
  <c r="C189" i="5" s="1"/>
  <c r="E184" i="5"/>
  <c r="D244" i="5"/>
  <c r="E39" i="5"/>
  <c r="F49" i="5"/>
  <c r="D315" i="5" l="1"/>
  <c r="D262" i="5"/>
  <c r="D240" i="5"/>
  <c r="D291" i="5"/>
  <c r="D72" i="6"/>
  <c r="D70" i="6" s="1"/>
  <c r="D81" i="6" s="1"/>
  <c r="D82" i="6" s="1"/>
  <c r="G6" i="6"/>
  <c r="D294" i="5" s="1"/>
  <c r="D295" i="5" s="1"/>
  <c r="G7" i="6"/>
  <c r="G5" i="6"/>
  <c r="D265" i="5" s="1"/>
  <c r="D266" i="5" s="1"/>
  <c r="D268" i="5"/>
  <c r="C127" i="6"/>
  <c r="E183" i="5" s="1"/>
  <c r="C188" i="5"/>
  <c r="D189" i="5"/>
  <c r="C63" i="5"/>
  <c r="D318" i="5"/>
  <c r="D319" i="5" s="1"/>
  <c r="D320" i="5"/>
  <c r="D321" i="5" s="1"/>
  <c r="D248" i="5"/>
  <c r="D249" i="5" s="1"/>
  <c r="C308" i="5" l="1"/>
  <c r="D274" i="5"/>
  <c r="U57" i="6"/>
  <c r="V57" i="6"/>
  <c r="C66" i="5"/>
  <c r="F91" i="5" s="1"/>
  <c r="Y2" i="6"/>
  <c r="U109" i="6"/>
  <c r="U107" i="6"/>
  <c r="U105" i="6"/>
  <c r="U103" i="6"/>
  <c r="U101" i="6"/>
  <c r="U99" i="6"/>
  <c r="U97" i="6"/>
  <c r="U95" i="6"/>
  <c r="U93" i="6"/>
  <c r="U91" i="6"/>
  <c r="U89" i="6"/>
  <c r="U87" i="6"/>
  <c r="U85" i="6"/>
  <c r="V83" i="6"/>
  <c r="U82" i="6"/>
  <c r="V79" i="6"/>
  <c r="U78" i="6"/>
  <c r="V75" i="6"/>
  <c r="U74" i="6"/>
  <c r="V71" i="6"/>
  <c r="U70" i="6"/>
  <c r="V67" i="6"/>
  <c r="U66" i="6"/>
  <c r="V63" i="6"/>
  <c r="U62" i="6"/>
  <c r="V59" i="6"/>
  <c r="U58" i="6"/>
  <c r="V54" i="6"/>
  <c r="U53" i="6"/>
  <c r="V50" i="6"/>
  <c r="U49" i="6"/>
  <c r="V46" i="6"/>
  <c r="U45" i="6"/>
  <c r="V42" i="6"/>
  <c r="U41" i="6"/>
  <c r="V38" i="6"/>
  <c r="U37" i="6"/>
  <c r="V34" i="6"/>
  <c r="U33" i="6"/>
  <c r="U28" i="6"/>
  <c r="U26" i="6"/>
  <c r="U24" i="6"/>
  <c r="U22" i="6"/>
  <c r="U20" i="6"/>
  <c r="U18" i="6"/>
  <c r="U16" i="6"/>
  <c r="U14" i="6"/>
  <c r="U12" i="6"/>
  <c r="U11" i="6"/>
  <c r="V9" i="6"/>
  <c r="U8" i="6"/>
  <c r="V5" i="6"/>
  <c r="U4" i="6"/>
  <c r="U102" i="6"/>
  <c r="U98" i="6"/>
  <c r="U86" i="6"/>
  <c r="V81" i="6"/>
  <c r="V77" i="6"/>
  <c r="U76" i="6"/>
  <c r="U72" i="6"/>
  <c r="V69" i="6"/>
  <c r="U64" i="6"/>
  <c r="V61" i="6"/>
  <c r="U55" i="6"/>
  <c r="U51" i="6"/>
  <c r="V48" i="6"/>
  <c r="V44" i="6"/>
  <c r="U39" i="6"/>
  <c r="V36" i="6"/>
  <c r="V31" i="6"/>
  <c r="U29" i="6"/>
  <c r="V108" i="6"/>
  <c r="V106" i="6"/>
  <c r="V104" i="6"/>
  <c r="V102" i="6"/>
  <c r="V100" i="6"/>
  <c r="V98" i="6"/>
  <c r="V96" i="6"/>
  <c r="V94" i="6"/>
  <c r="V92" i="6"/>
  <c r="V90" i="6"/>
  <c r="V88" i="6"/>
  <c r="V86" i="6"/>
  <c r="U83" i="6"/>
  <c r="V80" i="6"/>
  <c r="U79" i="6"/>
  <c r="V76" i="6"/>
  <c r="U75" i="6"/>
  <c r="V72" i="6"/>
  <c r="U71" i="6"/>
  <c r="V68" i="6"/>
  <c r="U67" i="6"/>
  <c r="V64" i="6"/>
  <c r="U63" i="6"/>
  <c r="V60" i="6"/>
  <c r="U59" i="6"/>
  <c r="V55" i="6"/>
  <c r="U54" i="6"/>
  <c r="V51" i="6"/>
  <c r="U50" i="6"/>
  <c r="V47" i="6"/>
  <c r="U46" i="6"/>
  <c r="V43" i="6"/>
  <c r="U42" i="6"/>
  <c r="V39" i="6"/>
  <c r="U38" i="6"/>
  <c r="V35" i="6"/>
  <c r="U34" i="6"/>
  <c r="V29" i="6"/>
  <c r="V27" i="6"/>
  <c r="V25" i="6"/>
  <c r="V23" i="6"/>
  <c r="V21" i="6"/>
  <c r="V19" i="6"/>
  <c r="V17" i="6"/>
  <c r="V15" i="6"/>
  <c r="V13" i="6"/>
  <c r="V10" i="6"/>
  <c r="U9" i="6"/>
  <c r="V6" i="6"/>
  <c r="U5" i="6"/>
  <c r="U108" i="6"/>
  <c r="U106" i="6"/>
  <c r="U104" i="6"/>
  <c r="U100" i="6"/>
  <c r="U96" i="6"/>
  <c r="U94" i="6"/>
  <c r="U92" i="6"/>
  <c r="U90" i="6"/>
  <c r="U88" i="6"/>
  <c r="V84" i="6"/>
  <c r="U80" i="6"/>
  <c r="V73" i="6"/>
  <c r="U68" i="6"/>
  <c r="V65" i="6"/>
  <c r="U60" i="6"/>
  <c r="V56" i="6"/>
  <c r="V52" i="6"/>
  <c r="U47" i="6"/>
  <c r="U43" i="6"/>
  <c r="V40" i="6"/>
  <c r="U35" i="6"/>
  <c r="V32" i="6"/>
  <c r="V30" i="6"/>
  <c r="V109" i="6"/>
  <c r="V101" i="6"/>
  <c r="V93" i="6"/>
  <c r="V85" i="6"/>
  <c r="V82" i="6"/>
  <c r="U77" i="6"/>
  <c r="V74" i="6"/>
  <c r="U69" i="6"/>
  <c r="V66" i="6"/>
  <c r="U61" i="6"/>
  <c r="V58" i="6"/>
  <c r="U52" i="6"/>
  <c r="V49" i="6"/>
  <c r="U44" i="6"/>
  <c r="V41" i="6"/>
  <c r="U36" i="6"/>
  <c r="V33" i="6"/>
  <c r="U30" i="6"/>
  <c r="V26" i="6"/>
  <c r="V22" i="6"/>
  <c r="V18" i="6"/>
  <c r="V14" i="6"/>
  <c r="U6" i="6"/>
  <c r="V103" i="6"/>
  <c r="V87" i="6"/>
  <c r="U27" i="6"/>
  <c r="U19" i="6"/>
  <c r="V107" i="6"/>
  <c r="V99" i="6"/>
  <c r="V91" i="6"/>
  <c r="U31" i="6"/>
  <c r="U25" i="6"/>
  <c r="U21" i="6"/>
  <c r="U17" i="6"/>
  <c r="U13" i="6"/>
  <c r="V11" i="6"/>
  <c r="V8" i="6"/>
  <c r="V62" i="6"/>
  <c r="U56" i="6"/>
  <c r="V45" i="6"/>
  <c r="V37" i="6"/>
  <c r="V28" i="6"/>
  <c r="V24" i="6"/>
  <c r="V16" i="6"/>
  <c r="V12" i="6"/>
  <c r="V7" i="6"/>
  <c r="V4" i="6"/>
  <c r="V105" i="6"/>
  <c r="V97" i="6"/>
  <c r="V89" i="6"/>
  <c r="U84" i="6"/>
  <c r="U81" i="6"/>
  <c r="V78" i="6"/>
  <c r="U73" i="6"/>
  <c r="V70" i="6"/>
  <c r="U65" i="6"/>
  <c r="V53" i="6"/>
  <c r="U48" i="6"/>
  <c r="U40" i="6"/>
  <c r="U32" i="6"/>
  <c r="V20" i="6"/>
  <c r="U10" i="6"/>
  <c r="V95" i="6"/>
  <c r="U23" i="6"/>
  <c r="U15" i="6"/>
  <c r="U7" i="6"/>
  <c r="D188" i="5"/>
  <c r="C339" i="5"/>
  <c r="E180" i="5"/>
  <c r="E189" i="5" s="1"/>
  <c r="F189" i="5" s="1"/>
  <c r="D252" i="5"/>
  <c r="B46" i="5" s="1"/>
  <c r="D327" i="5"/>
  <c r="D251" i="5"/>
  <c r="D298" i="5" l="1"/>
  <c r="D300" i="5" s="1"/>
  <c r="D322" i="5"/>
  <c r="B44" i="5" s="1"/>
  <c r="C283" i="5"/>
  <c r="D66" i="5"/>
  <c r="E66" i="5" s="1"/>
  <c r="R108" i="6"/>
  <c r="R100" i="6"/>
  <c r="R92" i="6"/>
  <c r="R84" i="6"/>
  <c r="R76" i="6"/>
  <c r="R64" i="6"/>
  <c r="R105" i="6"/>
  <c r="R95" i="6"/>
  <c r="R81" i="6"/>
  <c r="R65" i="6"/>
  <c r="R101" i="6"/>
  <c r="R79" i="6"/>
  <c r="R63" i="6"/>
  <c r="R62" i="6"/>
  <c r="R106" i="6"/>
  <c r="R98" i="6"/>
  <c r="R90" i="6"/>
  <c r="R82" i="6"/>
  <c r="R72" i="6"/>
  <c r="R60" i="6"/>
  <c r="R93" i="6"/>
  <c r="R61" i="6"/>
  <c r="R75" i="6"/>
  <c r="R58" i="6"/>
  <c r="R96" i="6"/>
  <c r="R80" i="6"/>
  <c r="R109" i="6"/>
  <c r="R110" i="6" s="1"/>
  <c r="R89" i="6"/>
  <c r="R57" i="6"/>
  <c r="R71" i="6"/>
  <c r="R102" i="6"/>
  <c r="R94" i="6"/>
  <c r="R86" i="6"/>
  <c r="R78" i="6"/>
  <c r="R68" i="6"/>
  <c r="R107" i="6"/>
  <c r="R97" i="6"/>
  <c r="R85" i="6"/>
  <c r="R69" i="6"/>
  <c r="S57" i="6"/>
  <c r="R83" i="6"/>
  <c r="R67" i="6"/>
  <c r="R66" i="6"/>
  <c r="R103" i="6"/>
  <c r="R77" i="6"/>
  <c r="R91" i="6"/>
  <c r="R59" i="6"/>
  <c r="R104" i="6"/>
  <c r="R88" i="6"/>
  <c r="R70" i="6"/>
  <c r="R99" i="6"/>
  <c r="R73" i="6"/>
  <c r="R87" i="6"/>
  <c r="R74" i="6"/>
  <c r="E91" i="5"/>
  <c r="R44" i="6"/>
  <c r="S87" i="6"/>
  <c r="S62" i="6"/>
  <c r="R41" i="6"/>
  <c r="S44" i="6"/>
  <c r="S78" i="6"/>
  <c r="S97" i="6"/>
  <c r="S45" i="6"/>
  <c r="S51" i="6"/>
  <c r="R14" i="6"/>
  <c r="R51" i="6"/>
  <c r="R54" i="6"/>
  <c r="R39" i="6"/>
  <c r="S107" i="6"/>
  <c r="S48" i="6"/>
  <c r="S77" i="6"/>
  <c r="S53" i="6"/>
  <c r="S55" i="6"/>
  <c r="S30" i="6"/>
  <c r="S94" i="6"/>
  <c r="S104" i="6"/>
  <c r="R30" i="6"/>
  <c r="S63" i="6"/>
  <c r="S36" i="6"/>
  <c r="S60" i="6"/>
  <c r="S34" i="6"/>
  <c r="S98" i="6"/>
  <c r="R46" i="6"/>
  <c r="S25" i="6"/>
  <c r="S46" i="6"/>
  <c r="S31" i="6"/>
  <c r="S74" i="6"/>
  <c r="R56" i="6"/>
  <c r="S18" i="6"/>
  <c r="S82" i="6"/>
  <c r="S12" i="6"/>
  <c r="S29" i="6"/>
  <c r="S39" i="6"/>
  <c r="S13" i="6"/>
  <c r="R13" i="6"/>
  <c r="R15" i="6"/>
  <c r="S10" i="6"/>
  <c r="R40" i="6"/>
  <c r="S26" i="6"/>
  <c r="R10" i="6"/>
  <c r="R22" i="6"/>
  <c r="R19" i="6"/>
  <c r="S108" i="6"/>
  <c r="S59" i="6"/>
  <c r="S27" i="6"/>
  <c r="S72" i="6"/>
  <c r="S92" i="6"/>
  <c r="R5" i="6"/>
  <c r="S93" i="6"/>
  <c r="S16" i="6"/>
  <c r="R42" i="6"/>
  <c r="S67" i="6"/>
  <c r="S103" i="6"/>
  <c r="S102" i="6"/>
  <c r="R17" i="6"/>
  <c r="S84" i="6"/>
  <c r="S15" i="6"/>
  <c r="S21" i="6"/>
  <c r="S66" i="6"/>
  <c r="R45" i="6"/>
  <c r="S106" i="6"/>
  <c r="R38" i="6"/>
  <c r="S9" i="6"/>
  <c r="R55" i="6"/>
  <c r="R20" i="6"/>
  <c r="S68" i="6"/>
  <c r="R49" i="6"/>
  <c r="R35" i="6"/>
  <c r="S5" i="6"/>
  <c r="R53" i="6"/>
  <c r="R52" i="6"/>
  <c r="S22" i="6"/>
  <c r="S50" i="6"/>
  <c r="R34" i="6"/>
  <c r="R25" i="6"/>
  <c r="R37" i="6"/>
  <c r="R47" i="6"/>
  <c r="S73" i="6"/>
  <c r="S86" i="6"/>
  <c r="R9" i="6"/>
  <c r="S101" i="6"/>
  <c r="R7" i="6"/>
  <c r="S52" i="6"/>
  <c r="S7" i="6"/>
  <c r="R28" i="6"/>
  <c r="S11" i="6"/>
  <c r="S88" i="6"/>
  <c r="S64" i="6"/>
  <c r="S85" i="6"/>
  <c r="R27" i="6"/>
  <c r="S19" i="6"/>
  <c r="S20" i="6"/>
  <c r="S14" i="6"/>
  <c r="R50" i="6"/>
  <c r="S54" i="6"/>
  <c r="S76" i="6"/>
  <c r="R36" i="6"/>
  <c r="S75" i="6"/>
  <c r="S35" i="6"/>
  <c r="S69" i="6"/>
  <c r="S38" i="6"/>
  <c r="S90" i="6"/>
  <c r="S91" i="6"/>
  <c r="R32" i="6"/>
  <c r="S96" i="6"/>
  <c r="S37" i="6"/>
  <c r="S95" i="6"/>
  <c r="R26" i="6"/>
  <c r="S42" i="6"/>
  <c r="S43" i="6"/>
  <c r="S100" i="6"/>
  <c r="S41" i="6"/>
  <c r="S109" i="6"/>
  <c r="S83" i="6"/>
  <c r="S23" i="6"/>
  <c r="S61" i="6"/>
  <c r="S33" i="6"/>
  <c r="S79" i="6"/>
  <c r="S58" i="6"/>
  <c r="S40" i="6"/>
  <c r="S8" i="6"/>
  <c r="S65" i="6"/>
  <c r="S70" i="6"/>
  <c r="R23" i="6"/>
  <c r="S6" i="6"/>
  <c r="R48" i="6"/>
  <c r="R6" i="6"/>
  <c r="R16" i="6"/>
  <c r="S56" i="6"/>
  <c r="R31" i="6"/>
  <c r="S105" i="6"/>
  <c r="R21" i="6"/>
  <c r="S28" i="6"/>
  <c r="R43" i="6"/>
  <c r="R12" i="6"/>
  <c r="S80" i="6"/>
  <c r="S32" i="6"/>
  <c r="S71" i="6"/>
  <c r="S81" i="6"/>
  <c r="S24" i="6"/>
  <c r="S49" i="6"/>
  <c r="S47" i="6"/>
  <c r="R11" i="6"/>
  <c r="R29" i="6"/>
  <c r="R18" i="6"/>
  <c r="R33" i="6"/>
  <c r="S99" i="6"/>
  <c r="R8" i="6"/>
  <c r="S89" i="6"/>
  <c r="S17" i="6"/>
  <c r="R4" i="6"/>
  <c r="R3" i="6" s="1"/>
  <c r="S4" i="6"/>
  <c r="R24" i="6"/>
  <c r="E188" i="5"/>
  <c r="F188" i="5" s="1"/>
  <c r="D324" i="5"/>
  <c r="D254" i="5"/>
  <c r="D253" i="5"/>
  <c r="D323" i="5" l="1"/>
  <c r="D326" i="5"/>
  <c r="D299" i="5"/>
  <c r="D302" i="5"/>
  <c r="D303" i="5" s="1"/>
  <c r="C108" i="6"/>
  <c r="C106" i="6" s="1"/>
  <c r="D269" i="5"/>
  <c r="B43" i="5"/>
  <c r="D304" i="5" l="1"/>
  <c r="C115" i="6"/>
  <c r="D273" i="5"/>
  <c r="D281" i="5" s="1"/>
  <c r="D271" i="5"/>
  <c r="D270" i="5"/>
  <c r="G91" i="5"/>
  <c r="T57" i="6" s="1"/>
  <c r="D279" i="5" l="1"/>
  <c r="D280" i="5" s="1"/>
  <c r="D275" i="5"/>
  <c r="T81" i="6"/>
  <c r="T77" i="6"/>
  <c r="T73" i="6"/>
  <c r="T69" i="6"/>
  <c r="T65" i="6"/>
  <c r="T61" i="6"/>
  <c r="T56" i="6"/>
  <c r="T52" i="6"/>
  <c r="T48" i="6"/>
  <c r="T44" i="6"/>
  <c r="T40" i="6"/>
  <c r="T36" i="6"/>
  <c r="T32" i="6"/>
  <c r="T30" i="6"/>
  <c r="T83" i="6"/>
  <c r="T79" i="6"/>
  <c r="T71" i="6"/>
  <c r="T63" i="6"/>
  <c r="T50" i="6"/>
  <c r="T38" i="6"/>
  <c r="T80" i="6"/>
  <c r="T76" i="6"/>
  <c r="T72" i="6"/>
  <c r="T68" i="6"/>
  <c r="T64" i="6"/>
  <c r="T60" i="6"/>
  <c r="T55" i="6"/>
  <c r="T51" i="6"/>
  <c r="T47" i="6"/>
  <c r="T43" i="6"/>
  <c r="T39" i="6"/>
  <c r="T35" i="6"/>
  <c r="T59" i="6"/>
  <c r="T46" i="6"/>
  <c r="T34" i="6"/>
  <c r="T82" i="6"/>
  <c r="T78" i="6"/>
  <c r="T74" i="6"/>
  <c r="T70" i="6"/>
  <c r="T66" i="6"/>
  <c r="T62" i="6"/>
  <c r="T58" i="6"/>
  <c r="T53" i="6"/>
  <c r="T49" i="6"/>
  <c r="T45" i="6"/>
  <c r="T41" i="6"/>
  <c r="T37" i="6"/>
  <c r="T33" i="6"/>
  <c r="T75" i="6"/>
  <c r="T67" i="6"/>
  <c r="T54" i="6"/>
  <c r="T42" i="6"/>
  <c r="T31" i="6"/>
  <c r="D282" i="5"/>
  <c r="D276" i="5" l="1"/>
  <c r="D278" i="5" s="1"/>
  <c r="C104" i="6"/>
  <c r="C116" i="6" s="1"/>
  <c r="C117" i="6" s="1"/>
  <c r="D305" i="5" s="1"/>
  <c r="C72" i="5"/>
  <c r="D328" i="5"/>
  <c r="D329" i="5" s="1"/>
  <c r="D331" i="5" s="1"/>
  <c r="D334" i="5"/>
  <c r="D332" i="5"/>
  <c r="D333" i="5" s="1"/>
  <c r="D307" i="5" l="1"/>
  <c r="D335" i="5"/>
  <c r="D104" i="6"/>
  <c r="D116" i="6" s="1"/>
  <c r="D117" i="6" s="1"/>
  <c r="D336" i="5" s="1"/>
  <c r="D338" i="5" s="1"/>
  <c r="F97" i="5"/>
  <c r="D72" i="5"/>
  <c r="E72" i="5" s="1"/>
  <c r="E97" i="5"/>
  <c r="C69" i="5"/>
  <c r="D69" i="5" l="1"/>
  <c r="E69" i="5" s="1"/>
  <c r="F94" i="5"/>
  <c r="E94" i="5"/>
</calcChain>
</file>

<file path=xl/comments1.xml><?xml version="1.0" encoding="utf-8"?>
<comments xmlns="http://schemas.openxmlformats.org/spreadsheetml/2006/main">
  <authors>
    <author>DELL1</author>
    <author>Davide Cicchini</author>
    <author>Nicla</author>
  </authors>
  <commentList>
    <comment ref="B27" authorId="0" shapeId="0">
      <text>
        <r>
          <rPr>
            <b/>
            <sz val="9"/>
            <color indexed="81"/>
            <rFont val="Tahoma"/>
            <family val="2"/>
          </rPr>
          <t>Davide Cicchini:</t>
        </r>
        <r>
          <rPr>
            <sz val="9"/>
            <color indexed="81"/>
            <rFont val="Tahoma"/>
            <family val="2"/>
          </rPr>
          <t xml:space="preserve">
Il peso sarà sempre considerato come un carico G2</t>
        </r>
      </text>
    </comment>
    <comment ref="D65" authorId="1" shapeId="0">
      <text>
        <r>
          <rPr>
            <b/>
            <sz val="9"/>
            <color indexed="81"/>
            <rFont val="Tahoma"/>
            <family val="2"/>
          </rPr>
          <t>Davide Cicchini:</t>
        </r>
        <r>
          <rPr>
            <sz val="9"/>
            <color indexed="81"/>
            <rFont val="Tahoma"/>
            <family val="2"/>
          </rPr>
          <t xml:space="preserve">
Asse neutro calcolato con armatura minima</t>
        </r>
      </text>
    </comment>
    <comment ref="D68" authorId="1" shapeId="0">
      <text>
        <r>
          <rPr>
            <b/>
            <sz val="9"/>
            <color indexed="81"/>
            <rFont val="Tahoma"/>
            <family val="2"/>
          </rPr>
          <t>Davide Cicchini:</t>
        </r>
        <r>
          <rPr>
            <sz val="9"/>
            <color indexed="81"/>
            <rFont val="Tahoma"/>
            <family val="2"/>
          </rPr>
          <t xml:space="preserve">
Asse neutro calcolato con armatura minima</t>
        </r>
      </text>
    </comment>
    <comment ref="D71" authorId="1" shapeId="0">
      <text>
        <r>
          <rPr>
            <b/>
            <sz val="9"/>
            <color indexed="81"/>
            <rFont val="Tahoma"/>
            <family val="2"/>
          </rPr>
          <t>Davide Cicchini:</t>
        </r>
        <r>
          <rPr>
            <sz val="9"/>
            <color indexed="81"/>
            <rFont val="Tahoma"/>
            <family val="2"/>
          </rPr>
          <t xml:space="preserve">
Asse neutro calcolato con armatura minima</t>
        </r>
      </text>
    </comment>
    <comment ref="C90" authorId="1" shapeId="0">
      <text>
        <r>
          <rPr>
            <b/>
            <sz val="9"/>
            <color indexed="81"/>
            <rFont val="Tahoma"/>
            <family val="2"/>
          </rPr>
          <t>Davide Cicchini:</t>
        </r>
        <r>
          <rPr>
            <sz val="9"/>
            <color indexed="81"/>
            <rFont val="Tahoma"/>
            <family val="2"/>
          </rPr>
          <t xml:space="preserve">
Asse neutro calcolato con armatura definita da utente</t>
        </r>
      </text>
    </comment>
    <comment ref="C93" authorId="1" shapeId="0">
      <text>
        <r>
          <rPr>
            <b/>
            <sz val="9"/>
            <color indexed="81"/>
            <rFont val="Tahoma"/>
            <family val="2"/>
          </rPr>
          <t>Davide Cicchini:</t>
        </r>
        <r>
          <rPr>
            <sz val="9"/>
            <color indexed="81"/>
            <rFont val="Tahoma"/>
            <family val="2"/>
          </rPr>
          <t xml:space="preserve">
Asse neutro calcolato con armatura definita da utente</t>
        </r>
      </text>
    </comment>
    <comment ref="C96" authorId="1" shapeId="0">
      <text>
        <r>
          <rPr>
            <b/>
            <sz val="9"/>
            <color indexed="81"/>
            <rFont val="Tahoma"/>
            <family val="2"/>
          </rPr>
          <t>Davide Cicchini:</t>
        </r>
        <r>
          <rPr>
            <sz val="9"/>
            <color indexed="81"/>
            <rFont val="Tahoma"/>
            <family val="2"/>
          </rPr>
          <t xml:space="preserve">
Asse neutro calcolato con armatura definita da utente</t>
        </r>
      </text>
    </comment>
    <comment ref="C178" authorId="0" shapeId="0">
      <text>
        <r>
          <rPr>
            <b/>
            <sz val="9"/>
            <color indexed="81"/>
            <rFont val="Tahoma"/>
            <family val="2"/>
          </rPr>
          <t>Davide Cicchini:</t>
        </r>
        <r>
          <rPr>
            <sz val="9"/>
            <color indexed="81"/>
            <rFont val="Tahoma"/>
            <family val="2"/>
          </rPr>
          <t xml:space="preserve">
Modifica questo valore</t>
        </r>
      </text>
    </comment>
    <comment ref="C239" authorId="2" shapeId="0">
      <text>
        <r>
          <rPr>
            <b/>
            <sz val="9"/>
            <color indexed="81"/>
            <rFont val="Tahoma"/>
            <family val="2"/>
          </rPr>
          <t>Davide Cicchini:</t>
        </r>
        <r>
          <rPr>
            <sz val="9"/>
            <color indexed="81"/>
            <rFont val="Tahoma"/>
            <family val="2"/>
          </rPr>
          <t xml:space="preserve">
Coefficiente di omogeneizzazione della sezione</t>
        </r>
      </text>
    </comment>
    <comment ref="C241" authorId="2" shapeId="0">
      <text>
        <r>
          <rPr>
            <b/>
            <sz val="9"/>
            <color indexed="81"/>
            <rFont val="Tahoma"/>
            <family val="2"/>
          </rPr>
          <t>Davide Cicchini:</t>
        </r>
        <r>
          <rPr>
            <sz val="9"/>
            <color indexed="81"/>
            <rFont val="Tahoma"/>
            <family val="2"/>
          </rPr>
          <t xml:space="preserve">
Posizione dell'asse neutro</t>
        </r>
      </text>
    </comment>
    <comment ref="C242" authorId="2" shapeId="0">
      <text>
        <r>
          <rPr>
            <b/>
            <sz val="9"/>
            <color indexed="81"/>
            <rFont val="Tahoma"/>
            <family val="2"/>
          </rPr>
          <t>Davide Cicchini:</t>
        </r>
        <r>
          <rPr>
            <sz val="9"/>
            <color indexed="81"/>
            <rFont val="Tahoma"/>
            <family val="2"/>
          </rPr>
          <t xml:space="preserve">
Modulo elastico del calcestruzzo giovane</t>
        </r>
      </text>
    </comment>
    <comment ref="C243" authorId="2" shapeId="0">
      <text>
        <r>
          <rPr>
            <b/>
            <sz val="9"/>
            <color indexed="81"/>
            <rFont val="Tahoma"/>
            <family val="2"/>
          </rPr>
          <t xml:space="preserve">Davide Cicchini:
</t>
        </r>
        <r>
          <rPr>
            <sz val="9"/>
            <color indexed="81"/>
            <rFont val="Tahoma"/>
            <family val="2"/>
          </rPr>
          <t xml:space="preserve">Momento D'inerzia sezione totale (trascurando l'acciaio)
</t>
        </r>
      </text>
    </comment>
    <comment ref="C244" authorId="2" shapeId="0">
      <text>
        <r>
          <rPr>
            <b/>
            <sz val="9"/>
            <color indexed="81"/>
            <rFont val="Tahoma"/>
            <family val="2"/>
          </rPr>
          <t>Davide Cicchini:</t>
        </r>
        <r>
          <rPr>
            <sz val="9"/>
            <color indexed="81"/>
            <rFont val="Tahoma"/>
            <family val="2"/>
          </rPr>
          <t xml:space="preserve">
Modulo di resistenza a flessione della sezione totale (escluso acciaio)</t>
        </r>
      </text>
    </comment>
    <comment ref="C247" authorId="2" shapeId="0">
      <text>
        <r>
          <rPr>
            <b/>
            <sz val="9"/>
            <color indexed="81"/>
            <rFont val="Tahoma"/>
            <family val="2"/>
          </rPr>
          <t>Davide Cicchini:</t>
        </r>
        <r>
          <rPr>
            <sz val="9"/>
            <color indexed="81"/>
            <rFont val="Tahoma"/>
            <family val="2"/>
          </rPr>
          <t xml:space="preserve">
Momento di prima fessurazione</t>
        </r>
      </text>
    </comment>
    <comment ref="C248" authorId="2" shapeId="0">
      <text>
        <r>
          <rPr>
            <b/>
            <sz val="9"/>
            <color indexed="81"/>
            <rFont val="Tahoma"/>
            <family val="2"/>
          </rPr>
          <t>Davide Cicchini:</t>
        </r>
        <r>
          <rPr>
            <sz val="9"/>
            <color indexed="81"/>
            <rFont val="Tahoma"/>
            <family val="2"/>
          </rPr>
          <t xml:space="preserve">
Freccia elastica</t>
        </r>
      </text>
    </comment>
    <comment ref="C249" authorId="2" shapeId="0">
      <text>
        <r>
          <rPr>
            <b/>
            <sz val="9"/>
            <color indexed="81"/>
            <rFont val="Tahoma"/>
            <family val="2"/>
          </rPr>
          <t>Davide Cicchini:</t>
        </r>
        <r>
          <rPr>
            <sz val="9"/>
            <color indexed="81"/>
            <rFont val="Tahoma"/>
            <family val="2"/>
          </rPr>
          <t xml:space="preserve">
freccia di calcolo</t>
        </r>
      </text>
    </comment>
    <comment ref="C252" authorId="1" shapeId="0">
      <text>
        <r>
          <rPr>
            <b/>
            <sz val="9"/>
            <color indexed="81"/>
            <rFont val="Tahoma"/>
            <family val="2"/>
          </rPr>
          <t>Davide Cicchini:</t>
        </r>
        <r>
          <rPr>
            <sz val="9"/>
            <color indexed="81"/>
            <rFont val="Tahoma"/>
            <family val="2"/>
          </rPr>
          <t xml:space="preserve">
Tensione nel calcestruzzo</t>
        </r>
      </text>
    </comment>
    <comment ref="C254" authorId="1" shapeId="0">
      <text>
        <r>
          <rPr>
            <b/>
            <sz val="9"/>
            <color indexed="81"/>
            <rFont val="Tahoma"/>
            <family val="2"/>
          </rPr>
          <t>Davide Cicchini:</t>
        </r>
        <r>
          <rPr>
            <sz val="9"/>
            <color indexed="81"/>
            <rFont val="Tahoma"/>
            <family val="2"/>
          </rPr>
          <t xml:space="preserve">
Tensione nell'acciaio</t>
        </r>
      </text>
    </comment>
    <comment ref="C261" authorId="2" shapeId="0">
      <text>
        <r>
          <rPr>
            <b/>
            <sz val="9"/>
            <color indexed="81"/>
            <rFont val="Tahoma"/>
            <family val="2"/>
          </rPr>
          <t>Davide Cicchini:</t>
        </r>
        <r>
          <rPr>
            <sz val="9"/>
            <color indexed="81"/>
            <rFont val="Tahoma"/>
            <family val="2"/>
          </rPr>
          <t xml:space="preserve">
Coefficiente di omogeneizzazione della sezione</t>
        </r>
      </text>
    </comment>
    <comment ref="C267" authorId="2" shapeId="0">
      <text>
        <r>
          <rPr>
            <b/>
            <sz val="9"/>
            <color indexed="81"/>
            <rFont val="Tahoma"/>
            <family val="2"/>
          </rPr>
          <t xml:space="preserve">Davide Cicchini:
</t>
        </r>
        <r>
          <rPr>
            <sz val="9"/>
            <color indexed="81"/>
            <rFont val="Tahoma"/>
            <family val="2"/>
          </rPr>
          <t xml:space="preserve">Momento D'inerzia sezione totale (trascurando l'acciaio)
</t>
        </r>
      </text>
    </comment>
    <comment ref="C268" authorId="2" shapeId="0">
      <text>
        <r>
          <rPr>
            <b/>
            <sz val="9"/>
            <color indexed="81"/>
            <rFont val="Tahoma"/>
            <family val="2"/>
          </rPr>
          <t>Davide Cicchini:</t>
        </r>
        <r>
          <rPr>
            <sz val="9"/>
            <color indexed="81"/>
            <rFont val="Tahoma"/>
            <family val="2"/>
          </rPr>
          <t xml:space="preserve">
Momento di prima fessurazione</t>
        </r>
      </text>
    </comment>
    <comment ref="C269" authorId="2" shapeId="0">
      <text>
        <r>
          <rPr>
            <b/>
            <sz val="9"/>
            <color indexed="81"/>
            <rFont val="Tahoma"/>
            <family val="2"/>
          </rPr>
          <t>Davide Cicchini:</t>
        </r>
        <r>
          <rPr>
            <sz val="9"/>
            <color indexed="81"/>
            <rFont val="Tahoma"/>
            <family val="2"/>
          </rPr>
          <t xml:space="preserve">
Posizione dell'asse neutro</t>
        </r>
      </text>
    </comment>
    <comment ref="C270" authorId="2" shapeId="0">
      <text>
        <r>
          <rPr>
            <b/>
            <sz val="9"/>
            <color indexed="81"/>
            <rFont val="Tahoma"/>
            <family val="2"/>
          </rPr>
          <t>Davide Cicchini:</t>
        </r>
        <r>
          <rPr>
            <sz val="9"/>
            <color indexed="81"/>
            <rFont val="Tahoma"/>
            <family val="2"/>
          </rPr>
          <t xml:space="preserve">
Baricentro virtuale della armature e del cls della sezione a doppio T; Quando l'asse neutro è contenuto nella soletta questo valore indica il baricentro virtuale delle sole armature.</t>
        </r>
      </text>
    </comment>
    <comment ref="C272" authorId="2" shapeId="0">
      <text>
        <r>
          <rPr>
            <b/>
            <sz val="9"/>
            <color indexed="81"/>
            <rFont val="Tahoma"/>
            <family val="2"/>
          </rPr>
          <t>Davide Cicchini:</t>
        </r>
        <r>
          <rPr>
            <sz val="9"/>
            <color indexed="81"/>
            <rFont val="Tahoma"/>
            <family val="2"/>
          </rPr>
          <t xml:space="preserve">
Modulo elastico del calcestruzzo giovane</t>
        </r>
      </text>
    </comment>
    <comment ref="C273" authorId="2" shapeId="0">
      <text>
        <r>
          <rPr>
            <b/>
            <sz val="9"/>
            <color indexed="81"/>
            <rFont val="Tahoma"/>
            <family val="2"/>
          </rPr>
          <t>Davide Cicchini:</t>
        </r>
        <r>
          <rPr>
            <sz val="9"/>
            <color indexed="81"/>
            <rFont val="Tahoma"/>
            <family val="2"/>
          </rPr>
          <t xml:space="preserve">
Momento D'Inerzia della sezione parzializzata</t>
        </r>
      </text>
    </comment>
    <comment ref="C274" authorId="2" shapeId="0">
      <text>
        <r>
          <rPr>
            <b/>
            <sz val="9"/>
            <color indexed="81"/>
            <rFont val="Tahoma"/>
            <family val="2"/>
          </rPr>
          <t>Davide Cicchini:</t>
        </r>
        <r>
          <rPr>
            <sz val="9"/>
            <color indexed="81"/>
            <rFont val="Tahoma"/>
            <family val="2"/>
          </rPr>
          <t xml:space="preserve">
Freccia elastica</t>
        </r>
      </text>
    </comment>
    <comment ref="C275" authorId="2" shapeId="0">
      <text>
        <r>
          <rPr>
            <b/>
            <sz val="9"/>
            <color indexed="81"/>
            <rFont val="Tahoma"/>
            <family val="2"/>
          </rPr>
          <t>Davide Cicchini:</t>
        </r>
        <r>
          <rPr>
            <sz val="9"/>
            <color indexed="81"/>
            <rFont val="Tahoma"/>
            <family val="2"/>
          </rPr>
          <t xml:space="preserve">
freccia della sezione parzializzata</t>
        </r>
      </text>
    </comment>
    <comment ref="C276" authorId="2" shapeId="0">
      <text>
        <r>
          <rPr>
            <b/>
            <sz val="9"/>
            <color indexed="81"/>
            <rFont val="Tahoma"/>
            <family val="2"/>
          </rPr>
          <t>Davide Cicchini:</t>
        </r>
        <r>
          <rPr>
            <sz val="9"/>
            <color indexed="81"/>
            <rFont val="Tahoma"/>
            <family val="2"/>
          </rPr>
          <t xml:space="preserve">
freccia di calcolo</t>
        </r>
      </text>
    </comment>
    <comment ref="C279" authorId="1" shapeId="0">
      <text>
        <r>
          <rPr>
            <b/>
            <sz val="9"/>
            <color indexed="81"/>
            <rFont val="Tahoma"/>
            <family val="2"/>
          </rPr>
          <t>Davide Cicchini:</t>
        </r>
        <r>
          <rPr>
            <sz val="9"/>
            <color indexed="81"/>
            <rFont val="Tahoma"/>
            <family val="2"/>
          </rPr>
          <t xml:space="preserve">
Tensione nel calcestruzzo</t>
        </r>
      </text>
    </comment>
    <comment ref="C281" authorId="1" shapeId="0">
      <text>
        <r>
          <rPr>
            <b/>
            <sz val="9"/>
            <color indexed="81"/>
            <rFont val="Tahoma"/>
            <family val="2"/>
          </rPr>
          <t>Davide Cicchini:</t>
        </r>
        <r>
          <rPr>
            <sz val="9"/>
            <color indexed="81"/>
            <rFont val="Tahoma"/>
            <family val="2"/>
          </rPr>
          <t xml:space="preserve">
Tensione nell'acciaio</t>
        </r>
      </text>
    </comment>
    <comment ref="C290" authorId="2" shapeId="0">
      <text>
        <r>
          <rPr>
            <b/>
            <sz val="9"/>
            <color indexed="81"/>
            <rFont val="Tahoma"/>
            <family val="2"/>
          </rPr>
          <t>Davide Cicchini:</t>
        </r>
        <r>
          <rPr>
            <sz val="9"/>
            <color indexed="81"/>
            <rFont val="Tahoma"/>
            <family val="2"/>
          </rPr>
          <t xml:space="preserve">
Coefficiente di omogeneizzazione della sezione</t>
        </r>
      </text>
    </comment>
    <comment ref="C296" authorId="2" shapeId="0">
      <text>
        <r>
          <rPr>
            <b/>
            <sz val="9"/>
            <color indexed="81"/>
            <rFont val="Tahoma"/>
            <family val="2"/>
          </rPr>
          <t xml:space="preserve">Davide Cicchini:
</t>
        </r>
        <r>
          <rPr>
            <sz val="9"/>
            <color indexed="81"/>
            <rFont val="Tahoma"/>
            <family val="2"/>
          </rPr>
          <t xml:space="preserve">Momento D'inerzia sezione totale (trascurando l'acciaio)
</t>
        </r>
      </text>
    </comment>
    <comment ref="C297" authorId="2" shapeId="0">
      <text>
        <r>
          <rPr>
            <b/>
            <sz val="9"/>
            <color indexed="81"/>
            <rFont val="Tahoma"/>
            <family val="2"/>
          </rPr>
          <t>Davide Cicchini:</t>
        </r>
        <r>
          <rPr>
            <sz val="9"/>
            <color indexed="81"/>
            <rFont val="Tahoma"/>
            <family val="2"/>
          </rPr>
          <t xml:space="preserve">
Momento di prima fessurazione</t>
        </r>
      </text>
    </comment>
    <comment ref="C298" authorId="2" shapeId="0">
      <text>
        <r>
          <rPr>
            <b/>
            <sz val="9"/>
            <color indexed="81"/>
            <rFont val="Tahoma"/>
            <family val="2"/>
          </rPr>
          <t>Davide Cicchini:</t>
        </r>
        <r>
          <rPr>
            <sz val="9"/>
            <color indexed="81"/>
            <rFont val="Tahoma"/>
            <family val="2"/>
          </rPr>
          <t xml:space="preserve">
Posizione dell'asse neutro</t>
        </r>
      </text>
    </comment>
    <comment ref="C299" authorId="2" shapeId="0">
      <text>
        <r>
          <rPr>
            <b/>
            <sz val="9"/>
            <color indexed="81"/>
            <rFont val="Tahoma"/>
            <family val="2"/>
          </rPr>
          <t>Davide Cicchini:</t>
        </r>
        <r>
          <rPr>
            <sz val="9"/>
            <color indexed="81"/>
            <rFont val="Tahoma"/>
            <family val="2"/>
          </rPr>
          <t xml:space="preserve">
Baricentro virtuale della armature e del cls della sezione a doppio T; Quando l'asse neutro è contenuto nella soletta questo valore indica il baricentro virtuale delle sole armature.</t>
        </r>
      </text>
    </comment>
    <comment ref="C301" authorId="2" shapeId="0">
      <text>
        <r>
          <rPr>
            <b/>
            <sz val="9"/>
            <color indexed="81"/>
            <rFont val="Tahoma"/>
            <family val="2"/>
          </rPr>
          <t>Davide Cicchini:</t>
        </r>
        <r>
          <rPr>
            <sz val="9"/>
            <color indexed="81"/>
            <rFont val="Tahoma"/>
            <family val="2"/>
          </rPr>
          <t xml:space="preserve">
Modulo elastico del calcestruzzo giovane</t>
        </r>
      </text>
    </comment>
    <comment ref="C302" authorId="2" shapeId="0">
      <text>
        <r>
          <rPr>
            <b/>
            <sz val="9"/>
            <color indexed="81"/>
            <rFont val="Tahoma"/>
            <family val="2"/>
          </rPr>
          <t>Davide Cicchini:</t>
        </r>
        <r>
          <rPr>
            <sz val="9"/>
            <color indexed="81"/>
            <rFont val="Tahoma"/>
            <family val="2"/>
          </rPr>
          <t xml:space="preserve">
Momento D'Inerzia della sezione parzializzata</t>
        </r>
      </text>
    </comment>
    <comment ref="C303" authorId="1" shapeId="0">
      <text>
        <r>
          <rPr>
            <b/>
            <sz val="9"/>
            <color indexed="81"/>
            <rFont val="Tahoma"/>
            <family val="2"/>
          </rPr>
          <t>Davide Cicchini:</t>
        </r>
        <r>
          <rPr>
            <sz val="9"/>
            <color indexed="81"/>
            <rFont val="Tahoma"/>
            <family val="2"/>
          </rPr>
          <t xml:space="preserve">
Tensione nel calcestruzzo</t>
        </r>
      </text>
    </comment>
    <comment ref="C304" authorId="1" shapeId="0">
      <text>
        <r>
          <rPr>
            <b/>
            <sz val="9"/>
            <color indexed="81"/>
            <rFont val="Tahoma"/>
            <family val="2"/>
          </rPr>
          <t>Davide Cicchini:</t>
        </r>
        <r>
          <rPr>
            <sz val="9"/>
            <color indexed="81"/>
            <rFont val="Tahoma"/>
            <family val="2"/>
          </rPr>
          <t xml:space="preserve">
Tensione nell'acciaio</t>
        </r>
      </text>
    </comment>
    <comment ref="C314" authorId="2" shapeId="0">
      <text>
        <r>
          <rPr>
            <b/>
            <sz val="9"/>
            <color indexed="81"/>
            <rFont val="Tahoma"/>
            <family val="2"/>
          </rPr>
          <t>Davide Cicchini:</t>
        </r>
        <r>
          <rPr>
            <sz val="9"/>
            <color indexed="81"/>
            <rFont val="Tahoma"/>
            <family val="2"/>
          </rPr>
          <t xml:space="preserve">
Coefficiente di omogeneizzazione della sezione</t>
        </r>
      </text>
    </comment>
    <comment ref="C320" authorId="2" shapeId="0">
      <text>
        <r>
          <rPr>
            <b/>
            <sz val="9"/>
            <color indexed="81"/>
            <rFont val="Tahoma"/>
            <family val="2"/>
          </rPr>
          <t xml:space="preserve">Davide Cicchini:
</t>
        </r>
        <r>
          <rPr>
            <sz val="9"/>
            <color indexed="81"/>
            <rFont val="Tahoma"/>
            <family val="2"/>
          </rPr>
          <t xml:space="preserve">Momento D'inerzia sezione totale (trascurando l'acciaio)
</t>
        </r>
      </text>
    </comment>
    <comment ref="C321" authorId="2" shapeId="0">
      <text>
        <r>
          <rPr>
            <b/>
            <sz val="9"/>
            <color indexed="81"/>
            <rFont val="Tahoma"/>
            <family val="2"/>
          </rPr>
          <t>Davide Cicchini:</t>
        </r>
        <r>
          <rPr>
            <sz val="9"/>
            <color indexed="81"/>
            <rFont val="Tahoma"/>
            <family val="2"/>
          </rPr>
          <t xml:space="preserve">
Momento di prima fessurazione</t>
        </r>
      </text>
    </comment>
    <comment ref="C322" authorId="2" shapeId="0">
      <text>
        <r>
          <rPr>
            <b/>
            <sz val="9"/>
            <color indexed="81"/>
            <rFont val="Tahoma"/>
            <family val="2"/>
          </rPr>
          <t>Davide Cicchini:</t>
        </r>
        <r>
          <rPr>
            <sz val="9"/>
            <color indexed="81"/>
            <rFont val="Tahoma"/>
            <family val="2"/>
          </rPr>
          <t xml:space="preserve">
Posizione dell'asse neutro</t>
        </r>
      </text>
    </comment>
    <comment ref="C323" authorId="2" shapeId="0">
      <text>
        <r>
          <rPr>
            <b/>
            <sz val="9"/>
            <color indexed="81"/>
            <rFont val="Tahoma"/>
            <family val="2"/>
          </rPr>
          <t>Davide Cicchini:</t>
        </r>
        <r>
          <rPr>
            <sz val="9"/>
            <color indexed="81"/>
            <rFont val="Tahoma"/>
            <family val="2"/>
          </rPr>
          <t xml:space="preserve">
Baricentro virtuale della armature e del cls della sezione a doppio T; Quando l'asse neutro è contenuto nella soletta questo valore indica il baricentro virtuale delle sole armature.</t>
        </r>
      </text>
    </comment>
    <comment ref="C325" authorId="2" shapeId="0">
      <text>
        <r>
          <rPr>
            <b/>
            <sz val="9"/>
            <color indexed="81"/>
            <rFont val="Tahoma"/>
            <family val="2"/>
          </rPr>
          <t>Davide Cicchini:</t>
        </r>
        <r>
          <rPr>
            <sz val="9"/>
            <color indexed="81"/>
            <rFont val="Tahoma"/>
            <family val="2"/>
          </rPr>
          <t xml:space="preserve">
Modulo di elasticità longitudinale del calcestruzzo corretto con il coefficiente di invecchiamento.</t>
        </r>
      </text>
    </comment>
    <comment ref="C326" authorId="2" shapeId="0">
      <text>
        <r>
          <rPr>
            <b/>
            <sz val="9"/>
            <color indexed="81"/>
            <rFont val="Tahoma"/>
            <family val="2"/>
          </rPr>
          <t>Davide Cicchini:</t>
        </r>
        <r>
          <rPr>
            <sz val="9"/>
            <color indexed="81"/>
            <rFont val="Tahoma"/>
            <family val="2"/>
          </rPr>
          <t xml:space="preserve">
Momento D'Inerzia della sezione parzializzata</t>
        </r>
      </text>
    </comment>
    <comment ref="C327" authorId="2" shapeId="0">
      <text>
        <r>
          <rPr>
            <b/>
            <sz val="9"/>
            <color indexed="81"/>
            <rFont val="Tahoma"/>
            <family val="2"/>
          </rPr>
          <t>Davide Cicchini:</t>
        </r>
        <r>
          <rPr>
            <sz val="9"/>
            <color indexed="81"/>
            <rFont val="Tahoma"/>
            <family val="2"/>
          </rPr>
          <t xml:space="preserve">
Freccia elastica</t>
        </r>
      </text>
    </comment>
    <comment ref="C328" authorId="2" shapeId="0">
      <text>
        <r>
          <rPr>
            <b/>
            <sz val="9"/>
            <color indexed="81"/>
            <rFont val="Tahoma"/>
            <family val="2"/>
          </rPr>
          <t>Davide Cicchini:</t>
        </r>
        <r>
          <rPr>
            <sz val="9"/>
            <color indexed="81"/>
            <rFont val="Tahoma"/>
            <family val="2"/>
          </rPr>
          <t xml:space="preserve">
freccia della sezione parzializzata</t>
        </r>
      </text>
    </comment>
    <comment ref="C329" authorId="2" shapeId="0">
      <text>
        <r>
          <rPr>
            <b/>
            <sz val="9"/>
            <color indexed="81"/>
            <rFont val="Tahoma"/>
            <family val="2"/>
          </rPr>
          <t>Davide Cicchini:</t>
        </r>
        <r>
          <rPr>
            <sz val="9"/>
            <color indexed="81"/>
            <rFont val="Tahoma"/>
            <family val="2"/>
          </rPr>
          <t xml:space="preserve">
freccia di calcolo</t>
        </r>
      </text>
    </comment>
    <comment ref="C332" authorId="1" shapeId="0">
      <text>
        <r>
          <rPr>
            <b/>
            <sz val="9"/>
            <color indexed="81"/>
            <rFont val="Tahoma"/>
            <family val="2"/>
          </rPr>
          <t>Davide Cicchini:</t>
        </r>
        <r>
          <rPr>
            <sz val="9"/>
            <color indexed="81"/>
            <rFont val="Tahoma"/>
            <family val="2"/>
          </rPr>
          <t xml:space="preserve">
Tensione nel calcestruzzo</t>
        </r>
      </text>
    </comment>
    <comment ref="C334" authorId="1" shapeId="0">
      <text>
        <r>
          <rPr>
            <b/>
            <sz val="9"/>
            <color indexed="81"/>
            <rFont val="Tahoma"/>
            <family val="2"/>
          </rPr>
          <t>Davide Cicchini:</t>
        </r>
        <r>
          <rPr>
            <sz val="9"/>
            <color indexed="81"/>
            <rFont val="Tahoma"/>
            <family val="2"/>
          </rPr>
          <t xml:space="preserve">
Tensione nell'acciaio</t>
        </r>
      </text>
    </comment>
  </commentList>
</comments>
</file>

<file path=xl/sharedStrings.xml><?xml version="1.0" encoding="utf-8"?>
<sst xmlns="http://schemas.openxmlformats.org/spreadsheetml/2006/main" count="609" uniqueCount="321">
  <si>
    <t>L</t>
  </si>
  <si>
    <t>m</t>
  </si>
  <si>
    <t>kN/m</t>
  </si>
  <si>
    <t>Mpa</t>
  </si>
  <si>
    <t>mm</t>
  </si>
  <si>
    <t>kNm</t>
  </si>
  <si>
    <t>f</t>
  </si>
  <si>
    <t>Numero costole interne</t>
  </si>
  <si>
    <t>Numero costole esterne</t>
  </si>
  <si>
    <t>Spessore getto collaborante</t>
  </si>
  <si>
    <t>INPUT</t>
  </si>
  <si>
    <r>
      <t>N/mm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</si>
  <si>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r>
      <t>N/mm</t>
    </r>
    <r>
      <rPr>
        <vertAlign val="superscript"/>
        <sz val="11"/>
        <color theme="1"/>
        <rFont val="Calibri"/>
        <family val="2"/>
        <scheme val="minor"/>
      </rPr>
      <t>2</t>
    </r>
  </si>
  <si>
    <t>2-Progetto allo stato limite ultimo delle armature resistenti a flessione</t>
  </si>
  <si>
    <t xml:space="preserve">sezione </t>
  </si>
  <si>
    <r>
      <t>M</t>
    </r>
    <r>
      <rPr>
        <vertAlign val="subscript"/>
        <sz val="11"/>
        <color theme="1"/>
        <rFont val="Calibri"/>
        <family val="2"/>
      </rPr>
      <t>sd</t>
    </r>
    <r>
      <rPr>
        <sz val="11"/>
        <color theme="1"/>
        <rFont val="Calibri"/>
        <family val="2"/>
      </rPr>
      <t>(Nmm)</t>
    </r>
  </si>
  <si>
    <t>x (mm)</t>
  </si>
  <si>
    <r>
      <t>M</t>
    </r>
    <r>
      <rPr>
        <vertAlign val="subscript"/>
        <sz val="11"/>
        <color theme="1"/>
        <rFont val="Calibri"/>
        <family val="2"/>
      </rPr>
      <t>Rd</t>
    </r>
    <r>
      <rPr>
        <sz val="11"/>
        <color theme="1"/>
        <rFont val="Calibri"/>
        <family val="2"/>
      </rPr>
      <t>(Nmm)</t>
    </r>
  </si>
  <si>
    <r>
      <t>M</t>
    </r>
    <r>
      <rPr>
        <vertAlign val="subscript"/>
        <sz val="11"/>
        <color theme="1"/>
        <rFont val="Calibri"/>
        <family val="2"/>
      </rPr>
      <t>Rd</t>
    </r>
    <r>
      <rPr>
        <sz val="11"/>
        <color theme="1"/>
        <rFont val="Calibri"/>
        <family val="2"/>
      </rPr>
      <t>(kNm)</t>
    </r>
  </si>
  <si>
    <t>d</t>
  </si>
  <si>
    <t>β2</t>
  </si>
  <si>
    <t>β1</t>
  </si>
  <si>
    <t>b (mm)</t>
  </si>
  <si>
    <t>Spessore costole interne</t>
  </si>
  <si>
    <t>Spessore costole esterne</t>
  </si>
  <si>
    <t>Lunghezza della trave (app-app)</t>
  </si>
  <si>
    <t>Spessore massetto e finiture</t>
  </si>
  <si>
    <t>↓</t>
  </si>
  <si>
    <r>
      <t>kN/m</t>
    </r>
    <r>
      <rPr>
        <vertAlign val="superscript"/>
        <sz val="11"/>
        <color theme="1"/>
        <rFont val="Calibri"/>
        <family val="2"/>
        <scheme val="minor"/>
      </rPr>
      <t>2</t>
    </r>
  </si>
  <si>
    <t>Larghezza totale pannello</t>
  </si>
  <si>
    <t>Altezza totale pannello</t>
  </si>
  <si>
    <t>Spessore copriferro</t>
  </si>
  <si>
    <t>Carico folla</t>
  </si>
  <si>
    <t>Spessore dell'anima equivalente</t>
  </si>
  <si>
    <t>Altezza utile della sezione</t>
  </si>
  <si>
    <r>
      <t>M</t>
    </r>
    <r>
      <rPr>
        <vertAlign val="subscript"/>
        <sz val="11"/>
        <color theme="1"/>
        <rFont val="Calibri"/>
        <family val="2"/>
      </rPr>
      <t>sd</t>
    </r>
    <r>
      <rPr>
        <sz val="11"/>
        <color theme="1"/>
        <rFont val="Calibri"/>
        <family val="2"/>
      </rPr>
      <t>(kNm)</t>
    </r>
  </si>
  <si>
    <r>
      <t>f</t>
    </r>
    <r>
      <rPr>
        <b/>
        <sz val="8"/>
        <color theme="1"/>
        <rFont val="Calibri"/>
        <family val="2"/>
        <scheme val="minor"/>
      </rPr>
      <t>max</t>
    </r>
  </si>
  <si>
    <r>
      <t>M</t>
    </r>
    <r>
      <rPr>
        <b/>
        <sz val="8"/>
        <color theme="1"/>
        <rFont val="Calibri"/>
        <family val="2"/>
        <scheme val="minor"/>
      </rPr>
      <t>cr</t>
    </r>
  </si>
  <si>
    <r>
      <t>f</t>
    </r>
    <r>
      <rPr>
        <b/>
        <sz val="8"/>
        <color theme="1"/>
        <rFont val="Calibri"/>
        <family val="2"/>
        <scheme val="minor"/>
      </rPr>
      <t>ctm</t>
    </r>
  </si>
  <si>
    <r>
      <t>f</t>
    </r>
    <r>
      <rPr>
        <b/>
        <sz val="8"/>
        <color theme="1"/>
        <rFont val="Calibri"/>
        <family val="2"/>
        <scheme val="minor"/>
      </rPr>
      <t>2</t>
    </r>
  </si>
  <si>
    <r>
      <t>f</t>
    </r>
    <r>
      <rPr>
        <b/>
        <sz val="8"/>
        <color theme="1"/>
        <rFont val="Calibri"/>
        <family val="2"/>
        <scheme val="minor"/>
      </rPr>
      <t>1</t>
    </r>
  </si>
  <si>
    <r>
      <t>E</t>
    </r>
    <r>
      <rPr>
        <b/>
        <sz val="8"/>
        <color theme="1"/>
        <rFont val="Calibri"/>
        <family val="2"/>
        <scheme val="minor"/>
      </rPr>
      <t>c</t>
    </r>
  </si>
  <si>
    <r>
      <t xml:space="preserve">f </t>
    </r>
    <r>
      <rPr>
        <b/>
        <sz val="11"/>
        <color theme="1"/>
        <rFont val="Calibri"/>
        <family val="2"/>
      </rPr>
      <t>≤ f</t>
    </r>
    <r>
      <rPr>
        <b/>
        <sz val="8"/>
        <color theme="1"/>
        <rFont val="Calibri"/>
        <family val="2"/>
      </rPr>
      <t>max</t>
    </r>
  </si>
  <si>
    <r>
      <t>G</t>
    </r>
    <r>
      <rPr>
        <b/>
        <sz val="8"/>
        <color theme="1"/>
        <rFont val="Calibri"/>
        <family val="2"/>
        <scheme val="minor"/>
      </rPr>
      <t>2</t>
    </r>
  </si>
  <si>
    <r>
      <t>E</t>
    </r>
    <r>
      <rPr>
        <b/>
        <sz val="8"/>
        <color theme="1"/>
        <rFont val="Calibri"/>
        <family val="2"/>
        <scheme val="minor"/>
      </rPr>
      <t>c,vec</t>
    </r>
  </si>
  <si>
    <r>
      <t>Q</t>
    </r>
    <r>
      <rPr>
        <b/>
        <sz val="8"/>
        <color theme="1"/>
        <rFont val="Calibri"/>
        <family val="2"/>
        <scheme val="minor"/>
      </rPr>
      <t>K,folla</t>
    </r>
  </si>
  <si>
    <r>
      <t>cm</t>
    </r>
    <r>
      <rPr>
        <sz val="11"/>
        <color theme="1"/>
        <rFont val="Calibri"/>
        <family val="2"/>
      </rPr>
      <t>⁴</t>
    </r>
  </si>
  <si>
    <t>n</t>
  </si>
  <si>
    <r>
      <t>n</t>
    </r>
    <r>
      <rPr>
        <sz val="8"/>
        <color theme="1"/>
        <rFont val="Calibri"/>
        <family val="2"/>
        <scheme val="minor"/>
      </rPr>
      <t>ci</t>
    </r>
  </si>
  <si>
    <r>
      <t>n</t>
    </r>
    <r>
      <rPr>
        <sz val="8"/>
        <color theme="1"/>
        <rFont val="Calibri"/>
        <family val="2"/>
        <scheme val="minor"/>
      </rPr>
      <t>ce</t>
    </r>
  </si>
  <si>
    <r>
      <t>s</t>
    </r>
    <r>
      <rPr>
        <sz val="8"/>
        <color theme="1"/>
        <rFont val="Calibri"/>
        <family val="2"/>
        <scheme val="minor"/>
      </rPr>
      <t>ci</t>
    </r>
  </si>
  <si>
    <r>
      <t>s</t>
    </r>
    <r>
      <rPr>
        <sz val="8"/>
        <color theme="1"/>
        <rFont val="Calibri"/>
        <family val="2"/>
        <scheme val="minor"/>
      </rPr>
      <t>ce</t>
    </r>
  </si>
  <si>
    <t>b</t>
  </si>
  <si>
    <t>h</t>
  </si>
  <si>
    <t>d'</t>
  </si>
  <si>
    <r>
      <t>s</t>
    </r>
    <r>
      <rPr>
        <sz val="8"/>
        <color theme="1"/>
        <rFont val="Calibri"/>
        <family val="2"/>
        <scheme val="minor"/>
      </rPr>
      <t>g</t>
    </r>
  </si>
  <si>
    <r>
      <t>s</t>
    </r>
    <r>
      <rPr>
        <sz val="8"/>
        <color theme="1"/>
        <rFont val="Calibri"/>
        <family val="2"/>
        <scheme val="minor"/>
      </rPr>
      <t>m</t>
    </r>
  </si>
  <si>
    <r>
      <t>Q</t>
    </r>
    <r>
      <rPr>
        <sz val="8"/>
        <color theme="1"/>
        <rFont val="Calibri"/>
        <family val="2"/>
        <scheme val="minor"/>
      </rPr>
      <t>k</t>
    </r>
  </si>
  <si>
    <r>
      <t>b</t>
    </r>
    <r>
      <rPr>
        <vertAlign val="subscript"/>
        <sz val="8"/>
        <color theme="1"/>
        <rFont val="Calibri"/>
        <family val="2"/>
        <scheme val="minor"/>
      </rPr>
      <t>W</t>
    </r>
  </si>
  <si>
    <r>
      <t>Q</t>
    </r>
    <r>
      <rPr>
        <b/>
        <sz val="8"/>
        <color theme="1"/>
        <rFont val="Calibri"/>
        <family val="2"/>
        <scheme val="minor"/>
      </rPr>
      <t>k</t>
    </r>
  </si>
  <si>
    <r>
      <t>G</t>
    </r>
    <r>
      <rPr>
        <b/>
        <sz val="8"/>
        <color theme="1"/>
        <rFont val="Calibri"/>
        <family val="2"/>
        <scheme val="minor"/>
      </rPr>
      <t>1</t>
    </r>
  </si>
  <si>
    <r>
      <t>f</t>
    </r>
    <r>
      <rPr>
        <b/>
        <sz val="8"/>
        <color theme="1"/>
        <rFont val="Calibri"/>
        <family val="2"/>
        <scheme val="minor"/>
      </rPr>
      <t>ctk</t>
    </r>
  </si>
  <si>
    <r>
      <t>f</t>
    </r>
    <r>
      <rPr>
        <b/>
        <sz val="8"/>
        <color theme="1"/>
        <rFont val="Calibri"/>
        <family val="2"/>
        <scheme val="minor"/>
      </rPr>
      <t>bd</t>
    </r>
  </si>
  <si>
    <r>
      <t>f</t>
    </r>
    <r>
      <rPr>
        <b/>
        <sz val="8"/>
        <color theme="1"/>
        <rFont val="Calibri"/>
        <family val="2"/>
        <scheme val="minor"/>
      </rPr>
      <t>ck</t>
    </r>
  </si>
  <si>
    <r>
      <t>f</t>
    </r>
    <r>
      <rPr>
        <b/>
        <sz val="8"/>
        <color theme="1"/>
        <rFont val="Calibri"/>
        <family val="2"/>
        <scheme val="minor"/>
      </rPr>
      <t>cd</t>
    </r>
  </si>
  <si>
    <r>
      <t>f</t>
    </r>
    <r>
      <rPr>
        <b/>
        <sz val="8"/>
        <color theme="1"/>
        <rFont val="Calibri"/>
        <family val="2"/>
        <scheme val="minor"/>
      </rPr>
      <t>yd</t>
    </r>
  </si>
  <si>
    <t>-</t>
  </si>
  <si>
    <t xml:space="preserve">Spessore soletta </t>
  </si>
  <si>
    <t>s</t>
  </si>
  <si>
    <r>
      <t>W</t>
    </r>
    <r>
      <rPr>
        <b/>
        <sz val="8"/>
        <color theme="1"/>
        <rFont val="Calibri"/>
        <family val="2"/>
        <scheme val="minor"/>
      </rPr>
      <t>1</t>
    </r>
  </si>
  <si>
    <r>
      <t>cm</t>
    </r>
    <r>
      <rPr>
        <sz val="11"/>
        <color theme="1"/>
        <rFont val="Calibri"/>
        <family val="2"/>
      </rPr>
      <t>³</t>
    </r>
  </si>
  <si>
    <r>
      <t xml:space="preserve">σ </t>
    </r>
    <r>
      <rPr>
        <b/>
        <sz val="8"/>
        <color theme="1"/>
        <rFont val="Calibri"/>
        <family val="2"/>
      </rPr>
      <t xml:space="preserve">c </t>
    </r>
    <r>
      <rPr>
        <b/>
        <sz val="11"/>
        <color theme="1"/>
        <rFont val="Calibri"/>
        <family val="2"/>
      </rPr>
      <t>≤ 0,6 f</t>
    </r>
    <r>
      <rPr>
        <b/>
        <sz val="8"/>
        <color theme="1"/>
        <rFont val="Calibri"/>
        <family val="2"/>
      </rPr>
      <t>ck</t>
    </r>
  </si>
  <si>
    <r>
      <t>σ</t>
    </r>
    <r>
      <rPr>
        <b/>
        <sz val="8"/>
        <color theme="1"/>
        <rFont val="Calibri"/>
        <family val="2"/>
      </rPr>
      <t xml:space="preserve"> c</t>
    </r>
  </si>
  <si>
    <r>
      <t>σ</t>
    </r>
    <r>
      <rPr>
        <b/>
        <sz val="8"/>
        <color theme="1"/>
        <rFont val="Calibri"/>
        <family val="2"/>
      </rPr>
      <t xml:space="preserve"> s</t>
    </r>
  </si>
  <si>
    <r>
      <t xml:space="preserve">σ </t>
    </r>
    <r>
      <rPr>
        <b/>
        <sz val="8"/>
        <color theme="1"/>
        <rFont val="Calibri"/>
        <family val="2"/>
      </rPr>
      <t xml:space="preserve">c </t>
    </r>
    <r>
      <rPr>
        <b/>
        <sz val="11"/>
        <color theme="1"/>
        <rFont val="Calibri"/>
        <family val="2"/>
      </rPr>
      <t>≤ 0,45 f</t>
    </r>
    <r>
      <rPr>
        <b/>
        <sz val="8"/>
        <color theme="1"/>
        <rFont val="Calibri"/>
        <family val="2"/>
      </rPr>
      <t>ck</t>
    </r>
  </si>
  <si>
    <r>
      <t xml:space="preserve">σ </t>
    </r>
    <r>
      <rPr>
        <b/>
        <sz val="8"/>
        <color theme="1"/>
        <rFont val="Calibri"/>
        <family val="2"/>
      </rPr>
      <t xml:space="preserve">s </t>
    </r>
    <r>
      <rPr>
        <b/>
        <sz val="11"/>
        <color theme="1"/>
        <rFont val="Calibri"/>
        <family val="2"/>
      </rPr>
      <t>≤ 0,8 fy</t>
    </r>
    <r>
      <rPr>
        <b/>
        <sz val="8"/>
        <color theme="1"/>
        <rFont val="Calibri"/>
        <family val="2"/>
      </rPr>
      <t>k</t>
    </r>
  </si>
  <si>
    <t>x</t>
  </si>
  <si>
    <t>SOLO PANNELLO</t>
  </si>
  <si>
    <t>Rck</t>
  </si>
  <si>
    <r>
      <t>N/mm</t>
    </r>
    <r>
      <rPr>
        <b/>
        <i/>
        <vertAlign val="superscript"/>
        <sz val="12"/>
        <color theme="1"/>
        <rFont val="Calibri"/>
        <family val="2"/>
        <scheme val="minor"/>
      </rPr>
      <t>2</t>
    </r>
  </si>
  <si>
    <t>SI</t>
  </si>
  <si>
    <t>NO</t>
  </si>
  <si>
    <t>Calcestruzzo nuovo, sezione totalmente    reagente</t>
  </si>
  <si>
    <t>Calcestruzzo nuovo, sezione fessurata</t>
  </si>
  <si>
    <t>Calcestruzzo vecchio, sezione fessurata</t>
  </si>
  <si>
    <t xml:space="preserve"> INPUT RETE SOLETTA SUPERIORE</t>
  </si>
  <si>
    <t>INPUT RETE SOLETTA INFERIORE</t>
  </si>
  <si>
    <t xml:space="preserve"> La verifica è soddisfatta se il rapporto freccia luce è minore di 1/250.</t>
  </si>
  <si>
    <t>sezione totalmente reagente, stadio 1. Nell’ipotesi che il calcestruzzo sia giovane</t>
  </si>
  <si>
    <t>sezione parzializzata, stadio 2. Nell’ipotesi che il calcestruzzo sia giovane</t>
  </si>
  <si>
    <r>
      <t>f</t>
    </r>
    <r>
      <rPr>
        <sz val="8"/>
        <color theme="1"/>
        <rFont val="Arial"/>
        <family val="2"/>
      </rPr>
      <t>1</t>
    </r>
    <r>
      <rPr>
        <sz val="12"/>
        <color theme="1"/>
        <rFont val="Arial"/>
        <family val="2"/>
      </rPr>
      <t xml:space="preserve"> è la freccia massima calcolata per la trave appoggiata nella condizione di </t>
    </r>
  </si>
  <si>
    <r>
      <t>f</t>
    </r>
    <r>
      <rPr>
        <sz val="8"/>
        <color theme="1"/>
        <rFont val="Arial"/>
        <family val="2"/>
      </rPr>
      <t>2</t>
    </r>
    <r>
      <rPr>
        <sz val="12"/>
        <color theme="1"/>
        <rFont val="Arial"/>
        <family val="2"/>
      </rPr>
      <t xml:space="preserve"> è la freccia massima calcolata per la trave appoggiata nella condizione di </t>
    </r>
  </si>
  <si>
    <t xml:space="preserve"> volta attinta la tensione massima a trazione del calcestruzzo maggiorata del 20% .</t>
  </si>
  <si>
    <t xml:space="preserve">   è un coefficiente che tiene conto dei carichi di lunga durata ( vale 1 per carichi </t>
  </si>
  <si>
    <t>di breve durata e 0,5 per carichi di lunga durata o ciclici).</t>
  </si>
  <si>
    <t xml:space="preserve">Nel caso di mensole la freccia massima si calcola con la stessa relazione </t>
  </si>
  <si>
    <t>considerando però il doppio della lunghezza dello sbalzo.</t>
  </si>
  <si>
    <t>Lo stesso calcolo viene eseguito considerando i fenomeni lenti del calcestruzzo,</t>
  </si>
  <si>
    <t xml:space="preserve"> aggiornando il modulo elastico con il coefficiente di viscosità. Questa verifica è </t>
  </si>
  <si>
    <t>condotta per lo stato limite di esercizio quasi permanente.</t>
  </si>
  <si>
    <t>Nel calcolo slu la sezione è cosiderata in "stadio 2" ossia sezione parzializzata.</t>
  </si>
  <si>
    <t>La verifica dell'ampiezza di fesseurazione per via indiretta, può riferirsi ai limiti</t>
  </si>
  <si>
    <t>di tensione nell'acciaio di armatura definiti nelle tabelle C.4.1.II e C.4.1.III.</t>
  </si>
  <si>
    <t>pertinente.</t>
  </si>
  <si>
    <t xml:space="preserve">sezione calcolata nella sezione parzializzata per la combinazione di carico </t>
  </si>
  <si>
    <r>
      <t>La tensione σ</t>
    </r>
    <r>
      <rPr>
        <sz val="8"/>
        <color theme="1"/>
        <rFont val="Arial"/>
        <family val="2"/>
      </rPr>
      <t xml:space="preserve">s </t>
    </r>
    <r>
      <rPr>
        <sz val="12"/>
        <color theme="1"/>
        <rFont val="Arial"/>
        <family val="2"/>
      </rPr>
      <t xml:space="preserve">è quella nell'acciaio d'armatura prossimo al lembo teso della </t>
    </r>
  </si>
  <si>
    <r>
      <t>w</t>
    </r>
    <r>
      <rPr>
        <sz val="8"/>
        <color theme="1"/>
        <rFont val="Calibri"/>
        <family val="2"/>
        <scheme val="minor"/>
      </rPr>
      <t>1</t>
    </r>
  </si>
  <si>
    <r>
      <t>w</t>
    </r>
    <r>
      <rPr>
        <sz val="8"/>
        <color theme="1"/>
        <rFont val="Calibri"/>
        <family val="2"/>
        <scheme val="minor"/>
      </rPr>
      <t>3</t>
    </r>
  </si>
  <si>
    <r>
      <t>w</t>
    </r>
    <r>
      <rPr>
        <sz val="8"/>
        <color theme="1"/>
        <rFont val="Calibri"/>
        <family val="2"/>
        <scheme val="minor"/>
      </rPr>
      <t>2</t>
    </r>
  </si>
  <si>
    <t>0,2 mm</t>
  </si>
  <si>
    <t>0,3 mm</t>
  </si>
  <si>
    <t>0,4 mm</t>
  </si>
  <si>
    <t xml:space="preserve">Lo stato limite di apertura delle fessure, riferito alla combinazione di azioni </t>
  </si>
  <si>
    <t xml:space="preserve">prescelta, è il valore limite di apertura della fessura calcolato al livello </t>
  </si>
  <si>
    <t>considerato. In particolare si assume pari ad uno dei seguenti valori nominali.</t>
  </si>
  <si>
    <t>Lo stato limite deve essere fissato in funzione delle condizioni ambientali e della</t>
  </si>
  <si>
    <t>sensibilità delle armature.</t>
  </si>
  <si>
    <t xml:space="preserve">Il calcolo dell'asse neutro è stato eseguito usando il legame rigido-plastico </t>
  </si>
  <si>
    <t>dalla soletta.</t>
  </si>
  <si>
    <t xml:space="preserve">La posizione dell'asse neutro è calcolata nell'ipotesi che questa non esca </t>
  </si>
  <si>
    <t>Le armature utilizzate riportano le seguenti caratteristiche:</t>
  </si>
  <si>
    <t>Passo della rete elettrosaldata:</t>
  </si>
  <si>
    <t>La condizione ambientale è:</t>
  </si>
  <si>
    <t>ordinaria</t>
  </si>
  <si>
    <t>aggressiva</t>
  </si>
  <si>
    <t>molto aggressiva</t>
  </si>
  <si>
    <t>per l'acciaio.</t>
  </si>
  <si>
    <t xml:space="preserve">denominato:  "stress block" per il calcestruzzo e il legame elasto-plastico </t>
  </si>
  <si>
    <t>FESSURAZIONE IMPOSTA NELLA SEZIONE VECCHIA:</t>
  </si>
  <si>
    <r>
      <t>M</t>
    </r>
    <r>
      <rPr>
        <sz val="8"/>
        <color theme="1"/>
        <rFont val="Arial"/>
        <family val="2"/>
      </rPr>
      <t>cr</t>
    </r>
    <r>
      <rPr>
        <sz val="12"/>
        <color theme="1"/>
        <rFont val="Arial"/>
        <family val="2"/>
      </rPr>
      <t xml:space="preserve"> è il momento di prima fessurazione si calcola con la teoria elastica una</t>
    </r>
  </si>
  <si>
    <t xml:space="preserve"> Dall’ EC2 2004, La freccia massima si calcola:</t>
  </si>
  <si>
    <r>
      <rPr>
        <b/>
        <sz val="11"/>
        <color theme="1"/>
        <rFont val="Calibri"/>
        <family val="2"/>
        <scheme val="minor"/>
      </rPr>
      <t>J</t>
    </r>
    <r>
      <rPr>
        <b/>
        <sz val="8"/>
        <color theme="1"/>
        <rFont val="Calibri"/>
        <family val="2"/>
        <scheme val="minor"/>
      </rPr>
      <t>1</t>
    </r>
  </si>
  <si>
    <r>
      <t>J</t>
    </r>
    <r>
      <rPr>
        <b/>
        <sz val="8"/>
        <color theme="1"/>
        <rFont val="Calibri"/>
        <family val="2"/>
        <scheme val="minor"/>
      </rPr>
      <t>2</t>
    </r>
  </si>
  <si>
    <r>
      <t>J</t>
    </r>
    <r>
      <rPr>
        <b/>
        <sz val="8"/>
        <color theme="1"/>
        <rFont val="Calibri"/>
        <family val="2"/>
        <scheme val="minor"/>
      </rPr>
      <t>1</t>
    </r>
  </si>
  <si>
    <t>I pedici 1 e 2 indicano rispettivamente sezione reagente e parzializzata.</t>
  </si>
  <si>
    <t>I-Verifica di deformabilità</t>
  </si>
  <si>
    <t>II-Verifica delle tensioni di esercizio</t>
  </si>
  <si>
    <t>III-Verifica di fessurazione</t>
  </si>
  <si>
    <r>
      <rPr>
        <b/>
        <sz val="12"/>
        <color theme="1"/>
        <rFont val="Arial"/>
        <family val="2"/>
      </rPr>
      <t>n</t>
    </r>
    <r>
      <rPr>
        <sz val="12"/>
        <color theme="1"/>
        <rFont val="Arial"/>
        <family val="2"/>
      </rPr>
      <t xml:space="preserve"> è il coefficiente di omogeneizzazione della sezione.</t>
    </r>
  </si>
  <si>
    <t>FESSURAZIONE IMPOSTA NELLA SEZIONE GIOVANE:</t>
  </si>
  <si>
    <t>PANNELLO + GETTO+FINITURE+FOLLA</t>
  </si>
  <si>
    <t>Peso specifico del massetto</t>
  </si>
  <si>
    <r>
      <t>γ</t>
    </r>
    <r>
      <rPr>
        <sz val="8"/>
        <color theme="1"/>
        <rFont val="Calibri"/>
        <family val="2"/>
      </rPr>
      <t>m</t>
    </r>
  </si>
  <si>
    <r>
      <t>kN/m</t>
    </r>
    <r>
      <rPr>
        <sz val="11"/>
        <color theme="1"/>
        <rFont val="Calibri"/>
        <family val="2"/>
      </rPr>
      <t>³</t>
    </r>
  </si>
  <si>
    <t>As, virtuale</t>
  </si>
  <si>
    <r>
      <t>A</t>
    </r>
    <r>
      <rPr>
        <b/>
        <sz val="8"/>
        <color theme="1"/>
        <rFont val="Calibri"/>
        <family val="2"/>
        <scheme val="minor"/>
      </rPr>
      <t>s,virt</t>
    </r>
  </si>
  <si>
    <t>d,virt</t>
  </si>
  <si>
    <t>xsoletta</t>
  </si>
  <si>
    <t>xfuori</t>
  </si>
  <si>
    <r>
      <t>d</t>
    </r>
    <r>
      <rPr>
        <b/>
        <sz val="8"/>
        <color theme="1"/>
        <rFont val="Calibri"/>
        <family val="2"/>
        <scheme val="minor"/>
      </rPr>
      <t>,virt</t>
    </r>
  </si>
  <si>
    <t>xsoletta,approx</t>
  </si>
  <si>
    <t>As</t>
  </si>
  <si>
    <r>
      <t>mm</t>
    </r>
    <r>
      <rPr>
        <sz val="11"/>
        <color theme="1"/>
        <rFont val="Calibri"/>
        <family val="2"/>
      </rPr>
      <t>²</t>
    </r>
  </si>
  <si>
    <r>
      <rPr>
        <b/>
        <sz val="12"/>
        <color theme="1"/>
        <rFont val="Arial"/>
        <family val="2"/>
      </rPr>
      <t>x</t>
    </r>
    <r>
      <rPr>
        <sz val="12"/>
        <color theme="1"/>
        <rFont val="Arial"/>
        <family val="2"/>
      </rPr>
      <t xml:space="preserve"> Indica la posizione dell'asse neutro, mentre J rappresenta il momento</t>
    </r>
  </si>
  <si>
    <t>d'inerzia della sezione.</t>
  </si>
  <si>
    <r>
      <t>P</t>
    </r>
    <r>
      <rPr>
        <b/>
        <sz val="8"/>
        <color theme="1"/>
        <rFont val="Calibri"/>
        <family val="2"/>
        <scheme val="minor"/>
      </rPr>
      <t>,sle rara</t>
    </r>
  </si>
  <si>
    <t>P,sle rara</t>
  </si>
  <si>
    <r>
      <t>P</t>
    </r>
    <r>
      <rPr>
        <b/>
        <sz val="8"/>
        <color theme="1"/>
        <rFont val="Calibri"/>
        <family val="2"/>
        <scheme val="minor"/>
      </rPr>
      <t>,sle quas. Perm</t>
    </r>
  </si>
  <si>
    <t>Massimo diametro utilizzato:</t>
  </si>
  <si>
    <t>4-Progetto allo stato limite di esercizio</t>
  </si>
  <si>
    <t>1°</t>
  </si>
  <si>
    <t>2°</t>
  </si>
  <si>
    <r>
      <t>A</t>
    </r>
    <r>
      <rPr>
        <vertAlign val="subscript"/>
        <sz val="11"/>
        <color theme="1"/>
        <rFont val="Calibri"/>
        <family val="2"/>
        <scheme val="minor"/>
      </rPr>
      <t>sl</t>
    </r>
    <r>
      <rPr>
        <sz val="11"/>
        <color theme="1"/>
        <rFont val="Calibri"/>
        <family val="2"/>
        <scheme val="minor"/>
      </rPr>
      <t xml:space="preserve"> (mm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</si>
  <si>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t>k</t>
  </si>
  <si>
    <r>
      <t>v</t>
    </r>
    <r>
      <rPr>
        <vertAlign val="subscript"/>
        <sz val="11"/>
        <color theme="1"/>
        <rFont val="Calibri"/>
        <family val="2"/>
        <scheme val="minor"/>
      </rPr>
      <t>min</t>
    </r>
  </si>
  <si>
    <r>
      <t>ρ</t>
    </r>
    <r>
      <rPr>
        <vertAlign val="subscript"/>
        <sz val="11"/>
        <color theme="1"/>
        <rFont val="Calibri"/>
        <family val="2"/>
      </rPr>
      <t>l</t>
    </r>
  </si>
  <si>
    <r>
      <t>V</t>
    </r>
    <r>
      <rPr>
        <vertAlign val="subscript"/>
        <sz val="11"/>
        <color theme="1"/>
        <rFont val="Calibri"/>
        <family val="2"/>
      </rPr>
      <t>rd</t>
    </r>
    <r>
      <rPr>
        <sz val="11"/>
        <color theme="1"/>
        <rFont val="Calibri"/>
        <family val="2"/>
      </rPr>
      <t xml:space="preserve"> (kN)</t>
    </r>
  </si>
  <si>
    <r>
      <t>V</t>
    </r>
    <r>
      <rPr>
        <vertAlign val="subscript"/>
        <sz val="11"/>
        <color theme="1"/>
        <rFont val="Calibri"/>
        <family val="2"/>
      </rPr>
      <t>min</t>
    </r>
    <r>
      <rPr>
        <sz val="11"/>
        <color theme="1"/>
        <rFont val="Calibri"/>
        <family val="2"/>
      </rPr>
      <t xml:space="preserve"> (kN)</t>
    </r>
  </si>
  <si>
    <t>Appoggio 2</t>
  </si>
  <si>
    <t>Appoggio 1</t>
  </si>
  <si>
    <t>dove:</t>
  </si>
  <si>
    <t>kN</t>
  </si>
  <si>
    <r>
      <t>V</t>
    </r>
    <r>
      <rPr>
        <b/>
        <sz val="9"/>
        <color theme="1"/>
        <rFont val="Calibri"/>
        <family val="2"/>
        <scheme val="minor"/>
      </rPr>
      <t>ed,SLU</t>
    </r>
  </si>
  <si>
    <t>1-Geometria, carichi e materiali utilizzati per la realizzazione del pannello</t>
  </si>
  <si>
    <t>PROGETTO SOLAIO PREFABBRICATO</t>
  </si>
  <si>
    <t>As,richiesta</t>
  </si>
  <si>
    <t>As, inserita</t>
  </si>
  <si>
    <r>
      <t>As,min=0.26 (f</t>
    </r>
    <r>
      <rPr>
        <sz val="8"/>
        <color theme="1"/>
        <rFont val="Calibri"/>
        <family val="2"/>
        <scheme val="minor"/>
      </rPr>
      <t>ctm</t>
    </r>
    <r>
      <rPr>
        <sz val="11"/>
        <color theme="1"/>
        <rFont val="Calibri"/>
        <family val="2"/>
        <scheme val="minor"/>
      </rPr>
      <t>/f</t>
    </r>
    <r>
      <rPr>
        <sz val="8"/>
        <color theme="1"/>
        <rFont val="Calibri"/>
        <family val="2"/>
        <scheme val="minor"/>
      </rPr>
      <t>yk</t>
    </r>
    <r>
      <rPr>
        <sz val="11"/>
        <color theme="1"/>
        <rFont val="Calibri"/>
        <family val="2"/>
        <scheme val="minor"/>
      </rPr>
      <t xml:space="preserve">) bw d; </t>
    </r>
    <r>
      <rPr>
        <sz val="11"/>
        <color theme="1"/>
        <rFont val="Calibri"/>
        <family val="2"/>
      </rPr>
      <t>non minore di 0.0013 bw d</t>
    </r>
  </si>
  <si>
    <t>step</t>
  </si>
  <si>
    <t>carico slu</t>
  </si>
  <si>
    <t>Mrd</t>
  </si>
  <si>
    <t>sol</t>
  </si>
  <si>
    <t>accsup</t>
  </si>
  <si>
    <t>accinf</t>
  </si>
  <si>
    <t>area tot eq</t>
  </si>
  <si>
    <t>j</t>
  </si>
  <si>
    <t>b0</t>
  </si>
  <si>
    <t>Atot,equival</t>
  </si>
  <si>
    <t>Si effettuano le seguenti verifiche, per la sezione di mezzeria:</t>
  </si>
  <si>
    <t>mezzeria</t>
  </si>
  <si>
    <t>L/4</t>
  </si>
  <si>
    <t>sezione</t>
  </si>
  <si>
    <t xml:space="preserve"> Mrd&gt;Msd</t>
  </si>
  <si>
    <t>Ved(x)</t>
  </si>
  <si>
    <t>Med(x)</t>
  </si>
  <si>
    <t>Vrd,sup</t>
  </si>
  <si>
    <t>Vrd,inf</t>
  </si>
  <si>
    <r>
      <t>V</t>
    </r>
    <r>
      <rPr>
        <sz val="8"/>
        <color rgb="FFFF0000"/>
        <rFont val="Calibri"/>
        <family val="2"/>
      </rPr>
      <t>ed</t>
    </r>
    <r>
      <rPr>
        <sz val="11"/>
        <color rgb="FFFF0000"/>
        <rFont val="Calibri"/>
        <family val="2"/>
      </rPr>
      <t xml:space="preserve"> ≤ V</t>
    </r>
    <r>
      <rPr>
        <sz val="8"/>
        <color rgb="FFFF0000"/>
        <rFont val="Calibri"/>
        <family val="2"/>
      </rPr>
      <t>rd</t>
    </r>
  </si>
  <si>
    <r>
      <t>V</t>
    </r>
    <r>
      <rPr>
        <sz val="8"/>
        <color rgb="FFFF0000"/>
        <rFont val="Calibri"/>
        <family val="2"/>
      </rPr>
      <t>rd</t>
    </r>
    <r>
      <rPr>
        <sz val="11"/>
        <color rgb="FFFF0000"/>
        <rFont val="Calibri"/>
        <family val="2"/>
      </rPr>
      <t xml:space="preserve"> ≥ V</t>
    </r>
    <r>
      <rPr>
        <sz val="8"/>
        <color rgb="FFFF0000"/>
        <rFont val="Calibri"/>
        <family val="2"/>
      </rPr>
      <t>min</t>
    </r>
  </si>
  <si>
    <r>
      <t>V</t>
    </r>
    <r>
      <rPr>
        <vertAlign val="subscript"/>
        <sz val="11"/>
        <color theme="1"/>
        <rFont val="Calibri"/>
        <family val="2"/>
      </rPr>
      <t>ed</t>
    </r>
    <r>
      <rPr>
        <vertAlign val="superscript"/>
        <sz val="11"/>
        <color theme="1"/>
        <rFont val="Calibri"/>
        <family val="2"/>
      </rPr>
      <t xml:space="preserve">  </t>
    </r>
    <r>
      <rPr>
        <sz val="11"/>
        <color theme="1"/>
        <rFont val="Calibri"/>
        <family val="2"/>
      </rPr>
      <t>(kN)</t>
    </r>
  </si>
  <si>
    <t>fine fascia piena</t>
  </si>
  <si>
    <t>2.1-Sollecitazioni e armature minime richiesta</t>
  </si>
  <si>
    <t>2.2-Progetto dell'armatura</t>
  </si>
  <si>
    <t>2.3-Verifiche</t>
  </si>
  <si>
    <t>Carico stato limite ultimo P,slu:</t>
  </si>
  <si>
    <t>INPUT ARMATURA INFERIORE, SEZIONE FINE FASCIA PIENA</t>
  </si>
  <si>
    <t>INPUT ARMATURA INFERIORE IN SEZIONE DI MEZZERIA</t>
  </si>
  <si>
    <t>FASCIA PIENA:</t>
  </si>
  <si>
    <t>INPUT ARMATURA INFERIORE, SEZIONE A L/4</t>
  </si>
  <si>
    <t>3.1-Verifiche</t>
  </si>
  <si>
    <t>3.2-Andamenti</t>
  </si>
  <si>
    <t>3.1-Cenni teorici</t>
  </si>
  <si>
    <t>4.4-Cenni Teorici</t>
  </si>
  <si>
    <t>xtrasl</t>
  </si>
  <si>
    <t>2.4-Traslazione del momento flettente</t>
  </si>
  <si>
    <t>2.5-Andamenti</t>
  </si>
  <si>
    <t>2.6-Cenni teorici</t>
  </si>
  <si>
    <t>traslazione momento</t>
  </si>
  <si>
    <t>3-Verifica a taglio di progetto per elementi non armati a taglio</t>
  </si>
  <si>
    <t>fascia piena che si estende per :</t>
  </si>
  <si>
    <t xml:space="preserve">Si esegue la verifica sulle sezioni di appoggio, in cui si predispone comunque una   </t>
  </si>
  <si>
    <t>Il taglio sollecitante allo slu vale:</t>
  </si>
  <si>
    <t>riguarda le travi senza armatura a taglio, ossia:</t>
  </si>
  <si>
    <t xml:space="preserve">Per la valutazione della resistenza tagliante si usa la relazione di normativa che </t>
  </si>
  <si>
    <t>La traslazione viene definita secondo normativa: 0,45 d, per i solai, dove "d" è l'altezza</t>
  </si>
  <si>
    <t>utile della sezione</t>
  </si>
  <si>
    <r>
      <t>W</t>
    </r>
    <r>
      <rPr>
        <b/>
        <sz val="8"/>
        <color rgb="FFFF0000"/>
        <rFont val="Calibri"/>
        <family val="2"/>
        <scheme val="minor"/>
      </rPr>
      <t>PANNELLO:</t>
    </r>
  </si>
  <si>
    <t>Sezione Equivalente:</t>
  </si>
  <si>
    <t xml:space="preserve">grandezze </t>
  </si>
  <si>
    <t>caratteristiche</t>
  </si>
  <si>
    <r>
      <t>M</t>
    </r>
    <r>
      <rPr>
        <b/>
        <sz val="8"/>
        <color theme="1"/>
        <rFont val="Calibri"/>
        <family val="2"/>
        <scheme val="minor"/>
      </rPr>
      <t>ed</t>
    </r>
  </si>
  <si>
    <t>permanente</t>
  </si>
  <si>
    <t xml:space="preserve">4.5-Verifica della fessurazione senza calcolo diretto, in combinazione quasi </t>
  </si>
  <si>
    <t>P,sle quas. Perm</t>
  </si>
  <si>
    <t>C25/30</t>
  </si>
  <si>
    <t>C8/10</t>
  </si>
  <si>
    <t>C12/15</t>
  </si>
  <si>
    <t>C16/20</t>
  </si>
  <si>
    <t>C20/25</t>
  </si>
  <si>
    <t>C32/40</t>
  </si>
  <si>
    <t>C35/45</t>
  </si>
  <si>
    <t>C40/50</t>
  </si>
  <si>
    <t>C45/55</t>
  </si>
  <si>
    <t>C50/60</t>
  </si>
  <si>
    <t>C28/35</t>
  </si>
  <si>
    <t>Fe B450C</t>
  </si>
  <si>
    <t>Classe di resistenza del calcestruzzo</t>
  </si>
  <si>
    <t>Tipo Acciaio</t>
  </si>
  <si>
    <t>Fe B44k</t>
  </si>
  <si>
    <t>Modulo elastico dell'acciaio</t>
  </si>
  <si>
    <r>
      <t>E</t>
    </r>
    <r>
      <rPr>
        <sz val="8"/>
        <color theme="1"/>
        <rFont val="Calibri"/>
        <family val="2"/>
        <scheme val="minor"/>
      </rPr>
      <t>s</t>
    </r>
  </si>
  <si>
    <r>
      <rPr>
        <sz val="14"/>
        <color theme="1"/>
        <rFont val="Arial "/>
      </rPr>
      <t>S</t>
    </r>
    <r>
      <rPr>
        <sz val="12"/>
        <color theme="1"/>
        <rFont val="Arial "/>
      </rPr>
      <t>i riportano le verifiche condotte per ogni stato limite di esercizio, in particolare:</t>
    </r>
  </si>
  <si>
    <r>
      <rPr>
        <b/>
        <sz val="12"/>
        <color theme="1"/>
        <rFont val="Arial "/>
      </rPr>
      <t>Combinazione Rara:</t>
    </r>
    <r>
      <rPr>
        <sz val="12"/>
        <color theme="1"/>
        <rFont val="Arial "/>
      </rPr>
      <t xml:space="preserve"> Verifica alle tensioni e Verifica alle frecce istantanee;</t>
    </r>
  </si>
  <si>
    <r>
      <rPr>
        <b/>
        <sz val="12"/>
        <color theme="1"/>
        <rFont val="Arial "/>
      </rPr>
      <t>Combinazione Frequente:</t>
    </r>
    <r>
      <rPr>
        <sz val="12"/>
        <color theme="1"/>
        <rFont val="Arial "/>
      </rPr>
      <t xml:space="preserve"> Verifica all'apertura delle lesioni;</t>
    </r>
  </si>
  <si>
    <r>
      <rPr>
        <b/>
        <sz val="12"/>
        <color theme="1"/>
        <rFont val="Arial "/>
      </rPr>
      <t>Combinazione Quasi Permanente:</t>
    </r>
    <r>
      <rPr>
        <sz val="12"/>
        <color theme="1"/>
        <rFont val="Arial "/>
      </rPr>
      <t xml:space="preserve"> Verifica alle tensioni, Verifica all'apertura delle lesioni e</t>
    </r>
  </si>
  <si>
    <t>Verifica delle frecce differite.</t>
  </si>
  <si>
    <t>di tutte le sezioni in relazione allo stadio di esercizio, per la combinazione rara.</t>
  </si>
  <si>
    <t>La verifica delle tensioni consiste nel confrontare le tensioni che si attingono nei materiali in</t>
  </si>
  <si>
    <t xml:space="preserve"> condizioni di esercizio con i valori limite fissati dalla normativa per contenere i fenomeni di</t>
  </si>
  <si>
    <t xml:space="preserve"> microfessurazione  e di viscosità nel calcestruzzo compresso e lo snervamento dell’acciaio.</t>
  </si>
  <si>
    <t xml:space="preserve">Al fine di preservare la durabilità strutturale nelle condizioni ambientali maggiormente onerose le </t>
  </si>
  <si>
    <t>NTC prescrivono che la massima tensione di compressione nel calcestruzzo debba rispettare:</t>
  </si>
  <si>
    <t xml:space="preserve">Per quanto attiene la massima trazione nell’acciaio: </t>
  </si>
  <si>
    <t>Le massime tensioni sono state calcolate con la teoria elastica.</t>
  </si>
  <si>
    <t xml:space="preserve">Il calcolo tecnico dell’apertura delle fessure viene eseguito per la combinazione frequente e quasi </t>
  </si>
  <si>
    <t>permanente.</t>
  </si>
  <si>
    <t>Il valore di calcolo dell’apertura delle fessure wd può essere ottenuto con l’espressione:</t>
  </si>
  <si>
    <t xml:space="preserve"> </t>
  </si>
  <si>
    <t>Si fa l'ipotesi che l’armatura sia disposta con una spaziatura non superiore a 5(c + φ/2 ), in cui</t>
  </si>
  <si>
    <t>il diametro nel caso fossero presenti tondi diversi, è stabilito attraverso una media pesata.</t>
  </si>
  <si>
    <t>P,sle freq.</t>
  </si>
  <si>
    <t>wk</t>
  </si>
  <si>
    <r>
      <t>w</t>
    </r>
    <r>
      <rPr>
        <b/>
        <sz val="8"/>
        <color theme="1"/>
        <rFont val="Calibri"/>
        <family val="2"/>
      </rPr>
      <t>lim</t>
    </r>
  </si>
  <si>
    <r>
      <t>w</t>
    </r>
    <r>
      <rPr>
        <b/>
        <sz val="8"/>
        <color theme="1"/>
        <rFont val="Calibri"/>
        <family val="2"/>
      </rPr>
      <t>k</t>
    </r>
    <r>
      <rPr>
        <b/>
        <sz val="11"/>
        <color theme="1"/>
        <rFont val="Calibri"/>
        <family val="2"/>
      </rPr>
      <t xml:space="preserve"> ≤ wlim</t>
    </r>
  </si>
  <si>
    <t>Classe di resistenza del calcestruzzo gettato in opera</t>
  </si>
  <si>
    <t>Ec(pref)</t>
  </si>
  <si>
    <t>Ec(gettato)</t>
  </si>
  <si>
    <t>nc</t>
  </si>
  <si>
    <t>4.1.1 Si considera solo il peso proprio dell'elemento.</t>
  </si>
  <si>
    <t>4.1.2 si considerano anche le finiture e il carico folla.</t>
  </si>
  <si>
    <t>Si riportano anche i valori tensionali di interesse progettuale e i valori del momento d'inerzia</t>
  </si>
  <si>
    <r>
      <t>P</t>
    </r>
    <r>
      <rPr>
        <b/>
        <sz val="8"/>
        <color theme="1"/>
        <rFont val="Calibri"/>
        <family val="2"/>
        <scheme val="minor"/>
      </rPr>
      <t>,sle freq.</t>
    </r>
  </si>
  <si>
    <t>4.3 FASE 3: Verifiche a lungo termine, in combinazione quasi permanente</t>
  </si>
  <si>
    <t>4.2 FASE 2: Verifiche a breve termine, in combinazione frequente</t>
  </si>
  <si>
    <t>4.1 FASE 1: Posizionamento del Pannello, verifiche in combinazione caratteristica</t>
  </si>
  <si>
    <t>Φ medio sup</t>
  </si>
  <si>
    <t>Φ medio inf</t>
  </si>
  <si>
    <t>5*(c-phi/2)</t>
  </si>
  <si>
    <t>Armatura Superiore</t>
  </si>
  <si>
    <t>Armatura Inferiore</t>
  </si>
  <si>
    <t>freq</t>
  </si>
  <si>
    <t>quas perm</t>
  </si>
  <si>
    <t>Rete elettrosaldata sup</t>
  </si>
  <si>
    <t>Rete elettrosaldata inf</t>
  </si>
  <si>
    <r>
      <rPr>
        <sz val="16"/>
        <color theme="1"/>
        <rFont val="Calibri"/>
        <family val="2"/>
      </rPr>
      <t>ρ</t>
    </r>
    <r>
      <rPr>
        <sz val="10"/>
        <color theme="1"/>
        <rFont val="Calibri"/>
        <family val="2"/>
      </rPr>
      <t>p,eff</t>
    </r>
  </si>
  <si>
    <t>2,5 d'</t>
  </si>
  <si>
    <t>(h-x)/3</t>
  </si>
  <si>
    <t>k1</t>
  </si>
  <si>
    <t>k2</t>
  </si>
  <si>
    <t>k3</t>
  </si>
  <si>
    <t>k4</t>
  </si>
  <si>
    <t>kt</t>
  </si>
  <si>
    <t>Sr,max</t>
  </si>
  <si>
    <r>
      <rPr>
        <sz val="16"/>
        <color theme="1"/>
        <rFont val="Calibri"/>
        <family val="2"/>
      </rPr>
      <t>ε</t>
    </r>
    <r>
      <rPr>
        <sz val="10"/>
        <color theme="1"/>
        <rFont val="Calibri"/>
        <family val="2"/>
      </rPr>
      <t>sm-</t>
    </r>
    <r>
      <rPr>
        <sz val="16"/>
        <color theme="1"/>
        <rFont val="Calibri"/>
        <family val="2"/>
      </rPr>
      <t>ε</t>
    </r>
    <r>
      <rPr>
        <sz val="10"/>
        <color theme="1"/>
        <rFont val="Calibri"/>
        <family val="2"/>
      </rPr>
      <t>cm</t>
    </r>
  </si>
  <si>
    <t>σ_s</t>
  </si>
  <si>
    <t>Ec=</t>
  </si>
  <si>
    <t>Es=</t>
  </si>
  <si>
    <t>fctm=</t>
  </si>
  <si>
    <t>Ec,vecchio</t>
  </si>
  <si>
    <t>FREQUENTE</t>
  </si>
  <si>
    <t>QUASI PERMANENTE</t>
  </si>
  <si>
    <t>CARATTERISITCA</t>
  </si>
  <si>
    <t>CONSIDERARE IL GETTO INTEGRATIVO COME COLLABORANTE?</t>
  </si>
  <si>
    <t>versione 1.0</t>
  </si>
  <si>
    <t>Ing. Davide Cicchini</t>
  </si>
  <si>
    <t>www.davidecicchini.it</t>
  </si>
  <si>
    <t>Il foglio di calcolo esegue il progetto e la verifica di un solaio realizzato con un</t>
  </si>
  <si>
    <t>pannello prefabbricato del tipo riportato in figura. Lo spessore della soletta</t>
  </si>
  <si>
    <t>sia all'intradosso che all'estradosso è uguale.</t>
  </si>
  <si>
    <t>Si possono modificare solo le celle con il bordo doppio.</t>
  </si>
  <si>
    <t>Lo schema di calcolo considerato è quello di trave semplicemente appoggiata.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</si>
</sst>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64" formatCode="0.0000"/>
    <numFmt numFmtId="165" formatCode="0.0"/>
    <numFmt numFmtId="166" formatCode="0.0\ &quot;cm&quot;"/>
    <numFmt numFmtId="167" formatCode="0\ &quot;kg&quot;"/>
    <numFmt numFmtId="168" formatCode="&quot;φ&quot;\ 0"/>
    <numFmt numFmtId="169" formatCode="&quot;/&quot;\ 0.0\ &quot;cm&quot;"/>
    <numFmt numFmtId="170" formatCode="0.0\ &quot;mmq&quot;"/>
    <numFmt numFmtId="171" formatCode="&quot;Asse neutro slu&quot;\ 0\ &quot;mm&quot;"/>
    <numFmt numFmtId="172" formatCode="&quot;Asse neutro, sle cls vecchio&quot;\ 0\ &quot;mm&quot;"/>
    <numFmt numFmtId="173" formatCode="&quot;Asse neutro, sle cls giovane&quot;\ 0\ &quot;mm&quot;"/>
    <numFmt numFmtId="174" formatCode="0.000"/>
    <numFmt numFmtId="175" formatCode="0.0&quot; mm²&quot;"/>
    <numFmt numFmtId="176" formatCode="0&quot; cm&quot;"/>
    <numFmt numFmtId="177" formatCode="0\ &quot;cm²&quot;"/>
  </numFmts>
  <fonts count="5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color theme="1"/>
      <name val="Arial"/>
      <family val="2"/>
    </font>
    <font>
      <b/>
      <vertAlign val="superscript"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vertAlign val="subscript"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theme="1"/>
      <name val="Calibri"/>
      <family val="2"/>
    </font>
    <font>
      <b/>
      <sz val="14"/>
      <color theme="1"/>
      <name val="Calibri"/>
      <family val="2"/>
      <scheme val="minor"/>
    </font>
    <font>
      <b/>
      <sz val="14"/>
      <color rgb="FFFF0000"/>
      <name val="Arial"/>
      <family val="2"/>
    </font>
    <font>
      <sz val="8"/>
      <color theme="1"/>
      <name val="Calibri"/>
      <family val="2"/>
      <scheme val="minor"/>
    </font>
    <font>
      <vertAlign val="subscript"/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vertAlign val="superscript"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8"/>
      <color theme="1"/>
      <name val="Arial"/>
      <family val="2"/>
    </font>
    <font>
      <sz val="12"/>
      <color theme="1"/>
      <name val="Arial "/>
    </font>
    <font>
      <b/>
      <sz val="11"/>
      <color theme="9" tint="-0.499984740745262"/>
      <name val="Arial"/>
      <family val="2"/>
    </font>
    <font>
      <b/>
      <sz val="12"/>
      <color theme="1"/>
      <name val="Arial"/>
      <family val="2"/>
    </font>
    <font>
      <sz val="8"/>
      <color theme="1"/>
      <name val="Calibri"/>
      <family val="2"/>
    </font>
    <font>
      <b/>
      <sz val="12"/>
      <color rgb="FFFF0000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</font>
    <font>
      <b/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rgb="FFFF0000"/>
      <name val="Arial"/>
      <family val="2"/>
    </font>
    <font>
      <b/>
      <sz val="12"/>
      <color theme="9" tint="-0.499984740745262"/>
      <name val="Arial"/>
      <family val="2"/>
    </font>
    <font>
      <sz val="10"/>
      <color theme="1"/>
      <name val="Calibri"/>
      <family val="2"/>
      <scheme val="minor"/>
    </font>
    <font>
      <sz val="8"/>
      <color rgb="FFFF0000"/>
      <name val="Calibri"/>
      <family val="2"/>
    </font>
    <font>
      <b/>
      <sz val="11"/>
      <color rgb="FFFF0000"/>
      <name val="Arial"/>
      <family val="2"/>
    </font>
    <font>
      <b/>
      <i/>
      <sz val="13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4"/>
      <color theme="1"/>
      <name val="Arial "/>
    </font>
    <font>
      <b/>
      <sz val="12"/>
      <color theme="1"/>
      <name val="Arial "/>
    </font>
    <font>
      <b/>
      <sz val="11"/>
      <color indexed="8"/>
      <name val="Calibri"/>
      <family val="2"/>
    </font>
    <font>
      <b/>
      <sz val="11"/>
      <color theme="9" tint="-0.499984740745262"/>
      <name val="Arial "/>
    </font>
    <font>
      <sz val="16"/>
      <color theme="1"/>
      <name val="Calibri"/>
      <family val="2"/>
    </font>
    <font>
      <sz val="10"/>
      <color theme="1"/>
      <name val="Calibri"/>
      <family val="2"/>
    </font>
    <font>
      <b/>
      <sz val="10"/>
      <color rgb="FF00B050"/>
      <name val="Arial"/>
      <family val="2"/>
    </font>
    <font>
      <u/>
      <sz val="11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5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dashed">
        <color auto="1"/>
      </left>
      <right/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dashed">
        <color auto="1"/>
      </right>
      <top style="dashed">
        <color auto="1"/>
      </top>
      <bottom/>
      <diagonal/>
    </border>
    <border>
      <left style="dashed">
        <color auto="1"/>
      </left>
      <right/>
      <top/>
      <bottom style="dashed">
        <color auto="1"/>
      </bottom>
      <diagonal/>
    </border>
    <border>
      <left/>
      <right/>
      <top/>
      <bottom style="dashed">
        <color auto="1"/>
      </bottom>
      <diagonal/>
    </border>
    <border>
      <left/>
      <right style="dashed">
        <color auto="1"/>
      </right>
      <top/>
      <bottom style="dashed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ashDotDot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double">
        <color auto="1"/>
      </right>
      <top/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double">
        <color auto="1"/>
      </right>
      <top style="dotted">
        <color auto="1"/>
      </top>
      <bottom style="dotted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ashed">
        <color auto="1"/>
      </bottom>
      <diagonal/>
    </border>
    <border>
      <left style="double">
        <color auto="1"/>
      </left>
      <right style="double">
        <color auto="1"/>
      </right>
      <top style="dashed">
        <color auto="1"/>
      </top>
      <bottom style="dashed">
        <color auto="1"/>
      </bottom>
      <diagonal/>
    </border>
    <border>
      <left style="double">
        <color auto="1"/>
      </left>
      <right style="double">
        <color auto="1"/>
      </right>
      <top style="dashed">
        <color auto="1"/>
      </top>
      <bottom style="double">
        <color auto="1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medium">
        <color indexed="64"/>
      </right>
      <top/>
      <bottom style="dashDotDot">
        <color indexed="64"/>
      </bottom>
      <diagonal/>
    </border>
    <border>
      <left/>
      <right/>
      <top/>
      <bottom style="dashDot">
        <color auto="1"/>
      </bottom>
      <diagonal/>
    </border>
    <border>
      <left style="medium">
        <color indexed="64"/>
      </left>
      <right style="medium">
        <color indexed="64"/>
      </right>
      <top/>
      <bottom style="dashDotDot">
        <color indexed="64"/>
      </bottom>
      <diagonal/>
    </border>
    <border diagonalDown="1">
      <left style="medium">
        <color indexed="64"/>
      </left>
      <right style="medium">
        <color indexed="64"/>
      </right>
      <top style="dashDotDot">
        <color indexed="64"/>
      </top>
      <bottom/>
      <diagonal style="thin">
        <color indexed="64"/>
      </diagonal>
    </border>
    <border>
      <left/>
      <right style="medium">
        <color indexed="64"/>
      </right>
      <top style="medium">
        <color indexed="64"/>
      </top>
      <bottom style="dashDotDot">
        <color indexed="64"/>
      </bottom>
      <diagonal/>
    </border>
    <border>
      <left/>
      <right/>
      <top style="medium">
        <color indexed="64"/>
      </top>
      <bottom style="dashDotDot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/>
      <diagonal/>
    </border>
  </borders>
  <cellStyleXfs count="2">
    <xf numFmtId="0" fontId="0" fillId="0" borderId="0"/>
    <xf numFmtId="0" fontId="52" fillId="0" borderId="0" applyNumberFormat="0" applyFill="0" applyBorder="0" applyAlignment="0" applyProtection="0"/>
  </cellStyleXfs>
  <cellXfs count="337">
    <xf numFmtId="0" fontId="0" fillId="0" borderId="0" xfId="0"/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0" fontId="0" fillId="0" borderId="0" xfId="0" applyProtection="1"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/>
      <protection hidden="1"/>
    </xf>
    <xf numFmtId="0" fontId="1" fillId="0" borderId="4" xfId="0" applyFont="1" applyBorder="1" applyAlignment="1" applyProtection="1">
      <alignment horizontal="right"/>
      <protection hidden="1"/>
    </xf>
    <xf numFmtId="2" fontId="1" fillId="0" borderId="4" xfId="0" applyNumberFormat="1" applyFont="1" applyBorder="1" applyAlignment="1" applyProtection="1">
      <alignment horizontal="center" vertical="center"/>
      <protection hidden="1"/>
    </xf>
    <xf numFmtId="0" fontId="1" fillId="0" borderId="4" xfId="0" applyFont="1" applyBorder="1" applyProtection="1">
      <protection hidden="1"/>
    </xf>
    <xf numFmtId="2" fontId="0" fillId="0" borderId="0" xfId="0" applyNumberFormat="1" applyFill="1" applyBorder="1" applyAlignment="1" applyProtection="1">
      <alignment horizontal="center"/>
      <protection hidden="1"/>
    </xf>
    <xf numFmtId="0" fontId="6" fillId="0" borderId="0" xfId="0" applyFont="1" applyAlignment="1"/>
    <xf numFmtId="2" fontId="0" fillId="0" borderId="0" xfId="0" applyNumberForma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1" fontId="0" fillId="0" borderId="0" xfId="0" applyNumberFormat="1" applyFill="1" applyBorder="1" applyAlignment="1" applyProtection="1">
      <alignment horizontal="center" vertical="center"/>
      <protection hidden="1"/>
    </xf>
    <xf numFmtId="0" fontId="0" fillId="0" borderId="5" xfId="0" applyBorder="1"/>
    <xf numFmtId="1" fontId="9" fillId="0" borderId="0" xfId="0" applyNumberFormat="1" applyFont="1" applyFill="1" applyBorder="1" applyAlignment="1" applyProtection="1">
      <alignment horizontal="center"/>
      <protection hidden="1"/>
    </xf>
    <xf numFmtId="1" fontId="0" fillId="0" borderId="0" xfId="0" applyNumberFormat="1" applyFill="1" applyBorder="1" applyAlignment="1" applyProtection="1">
      <alignment horizontal="center"/>
      <protection hidden="1"/>
    </xf>
    <xf numFmtId="0" fontId="9" fillId="0" borderId="6" xfId="0" applyFont="1" applyBorder="1" applyAlignment="1" applyProtection="1">
      <alignment horizontal="center" vertical="center"/>
      <protection hidden="1"/>
    </xf>
    <xf numFmtId="0" fontId="9" fillId="0" borderId="6" xfId="0" applyFont="1" applyFill="1" applyBorder="1" applyAlignment="1" applyProtection="1">
      <alignment horizontal="center" vertical="center"/>
      <protection hidden="1"/>
    </xf>
    <xf numFmtId="0" fontId="0" fillId="0" borderId="14" xfId="0" applyBorder="1"/>
    <xf numFmtId="0" fontId="0" fillId="0" borderId="2" xfId="0" applyBorder="1"/>
    <xf numFmtId="0" fontId="0" fillId="0" borderId="15" xfId="0" applyBorder="1"/>
    <xf numFmtId="0" fontId="0" fillId="3" borderId="11" xfId="0" applyFill="1" applyBorder="1"/>
    <xf numFmtId="0" fontId="0" fillId="3" borderId="5" xfId="0" applyFill="1" applyBorder="1"/>
    <xf numFmtId="0" fontId="0" fillId="3" borderId="10" xfId="0" applyFill="1" applyBorder="1"/>
    <xf numFmtId="0" fontId="0" fillId="3" borderId="14" xfId="0" applyFill="1" applyBorder="1"/>
    <xf numFmtId="166" fontId="0" fillId="0" borderId="0" xfId="0" applyNumberForma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/>
    <xf numFmtId="165" fontId="0" fillId="0" borderId="3" xfId="0" applyNumberFormat="1" applyBorder="1" applyAlignment="1">
      <alignment horizontal="center" vertical="center"/>
    </xf>
    <xf numFmtId="165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4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/>
    <xf numFmtId="0" fontId="1" fillId="0" borderId="27" xfId="0" applyFon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19" fillId="0" borderId="0" xfId="0" applyFont="1" applyFill="1" applyAlignment="1" applyProtection="1">
      <protection hidden="1"/>
    </xf>
    <xf numFmtId="0" fontId="1" fillId="0" borderId="28" xfId="0" applyFont="1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 vertical="center"/>
    </xf>
    <xf numFmtId="0" fontId="0" fillId="0" borderId="0" xfId="0" applyBorder="1"/>
    <xf numFmtId="0" fontId="0" fillId="0" borderId="0" xfId="0" applyAlignment="1" applyProtection="1">
      <alignment horizontal="center" vertical="center"/>
      <protection hidden="1"/>
    </xf>
    <xf numFmtId="0" fontId="12" fillId="0" borderId="27" xfId="0" applyFont="1" applyBorder="1" applyAlignment="1" applyProtection="1">
      <alignment horizontal="center" vertical="center"/>
      <protection hidden="1"/>
    </xf>
    <xf numFmtId="0" fontId="12" fillId="0" borderId="12" xfId="0" applyFont="1" applyBorder="1" applyAlignment="1" applyProtection="1">
      <alignment horizontal="center" vertical="center"/>
      <protection hidden="1"/>
    </xf>
    <xf numFmtId="2" fontId="0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165" fontId="4" fillId="0" borderId="0" xfId="0" applyNumberFormat="1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22" fillId="0" borderId="28" xfId="0" applyFont="1" applyBorder="1" applyAlignment="1">
      <alignment horizontal="center" vertical="center"/>
    </xf>
    <xf numFmtId="0" fontId="13" fillId="0" borderId="0" xfId="0" applyFont="1" applyFill="1" applyBorder="1" applyAlignment="1" applyProtection="1">
      <alignment horizontal="center"/>
      <protection hidden="1"/>
    </xf>
    <xf numFmtId="1" fontId="0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 vertical="center"/>
    </xf>
    <xf numFmtId="2" fontId="9" fillId="0" borderId="0" xfId="0" applyNumberFormat="1" applyFont="1" applyBorder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horizontal="center"/>
      <protection hidden="1"/>
    </xf>
    <xf numFmtId="0" fontId="24" fillId="0" borderId="0" xfId="0" applyFont="1" applyAlignment="1">
      <alignment horizontal="center" vertical="center"/>
    </xf>
    <xf numFmtId="0" fontId="24" fillId="0" borderId="0" xfId="0" applyFont="1" applyAlignment="1" applyProtection="1">
      <alignment horizontal="center" vertical="center"/>
      <protection hidden="1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26" fillId="0" borderId="22" xfId="0" applyFont="1" applyBorder="1" applyAlignment="1">
      <alignment horizontal="center" vertical="center"/>
    </xf>
    <xf numFmtId="0" fontId="26" fillId="0" borderId="23" xfId="0" applyFont="1" applyBorder="1" applyAlignment="1">
      <alignment horizontal="center" vertical="center"/>
    </xf>
    <xf numFmtId="0" fontId="26" fillId="0" borderId="9" xfId="0" applyFont="1" applyBorder="1" applyAlignment="1">
      <alignment horizontal="center" vertical="center"/>
    </xf>
    <xf numFmtId="168" fontId="9" fillId="0" borderId="30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right"/>
      <protection hidden="1"/>
    </xf>
    <xf numFmtId="2" fontId="1" fillId="0" borderId="0" xfId="0" applyNumberFormat="1" applyFont="1" applyBorder="1" applyAlignment="1" applyProtection="1">
      <alignment horizontal="center" vertical="center"/>
      <protection hidden="1"/>
    </xf>
    <xf numFmtId="0" fontId="1" fillId="0" borderId="0" xfId="0" applyFont="1" applyBorder="1" applyProtection="1">
      <protection hidden="1"/>
    </xf>
    <xf numFmtId="0" fontId="1" fillId="0" borderId="32" xfId="0" applyFont="1" applyBorder="1" applyAlignment="1">
      <alignment horizontal="left" vertical="center"/>
    </xf>
    <xf numFmtId="0" fontId="0" fillId="0" borderId="32" xfId="0" applyBorder="1"/>
    <xf numFmtId="0" fontId="0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left" vertical="center"/>
    </xf>
    <xf numFmtId="0" fontId="0" fillId="0" borderId="34" xfId="0" applyBorder="1"/>
    <xf numFmtId="0" fontId="0" fillId="0" borderId="35" xfId="0" applyFont="1" applyBorder="1" applyAlignment="1">
      <alignment horizontal="center" vertical="center"/>
    </xf>
    <xf numFmtId="0" fontId="0" fillId="0" borderId="35" xfId="0" applyBorder="1" applyAlignment="1" applyProtection="1">
      <alignment horizontal="center"/>
      <protection hidden="1"/>
    </xf>
    <xf numFmtId="0" fontId="0" fillId="0" borderId="34" xfId="0" applyBorder="1" applyAlignment="1">
      <alignment horizontal="center" vertical="center"/>
    </xf>
    <xf numFmtId="0" fontId="0" fillId="0" borderId="34" xfId="0" applyBorder="1" applyAlignment="1">
      <alignment horizontal="left"/>
    </xf>
    <xf numFmtId="0" fontId="1" fillId="0" borderId="34" xfId="0" applyFont="1" applyBorder="1" applyAlignment="1">
      <alignment horizontal="left"/>
    </xf>
    <xf numFmtId="0" fontId="0" fillId="0" borderId="35" xfId="0" applyBorder="1" applyAlignment="1">
      <alignment horizontal="center"/>
    </xf>
    <xf numFmtId="0" fontId="0" fillId="0" borderId="36" xfId="0" applyFill="1" applyBorder="1" applyAlignment="1" applyProtection="1">
      <alignment horizontal="center" vertical="center"/>
      <protection locked="0"/>
    </xf>
    <xf numFmtId="1" fontId="0" fillId="0" borderId="37" xfId="0" applyNumberFormat="1" applyFill="1" applyBorder="1" applyAlignment="1" applyProtection="1">
      <alignment horizontal="center" vertical="center"/>
      <protection locked="0"/>
    </xf>
    <xf numFmtId="0" fontId="0" fillId="0" borderId="37" xfId="0" applyFill="1" applyBorder="1" applyAlignment="1" applyProtection="1">
      <alignment horizontal="center" vertical="center"/>
      <protection locked="0"/>
    </xf>
    <xf numFmtId="0" fontId="0" fillId="0" borderId="38" xfId="0" applyFill="1" applyBorder="1" applyAlignment="1" applyProtection="1">
      <alignment horizontal="center" vertical="center"/>
      <protection locked="0"/>
    </xf>
    <xf numFmtId="0" fontId="5" fillId="0" borderId="40" xfId="0" applyFont="1" applyBorder="1" applyAlignment="1" applyProtection="1">
      <alignment vertical="center"/>
      <protection hidden="1"/>
    </xf>
    <xf numFmtId="0" fontId="27" fillId="0" borderId="0" xfId="0" applyFont="1" applyBorder="1" applyProtection="1">
      <protection hidden="1"/>
    </xf>
    <xf numFmtId="0" fontId="0" fillId="0" borderId="0" xfId="0" applyBorder="1" applyProtection="1">
      <protection hidden="1"/>
    </xf>
    <xf numFmtId="0" fontId="29" fillId="0" borderId="0" xfId="0" applyFont="1" applyProtection="1">
      <protection hidden="1"/>
    </xf>
    <xf numFmtId="2" fontId="1" fillId="0" borderId="4" xfId="0" applyNumberFormat="1" applyFont="1" applyBorder="1" applyAlignment="1" applyProtection="1">
      <alignment horizontal="right"/>
      <protection hidden="1"/>
    </xf>
    <xf numFmtId="0" fontId="30" fillId="0" borderId="0" xfId="0" applyFont="1" applyFill="1" applyAlignment="1" applyProtection="1">
      <protection hidden="1"/>
    </xf>
    <xf numFmtId="0" fontId="0" fillId="0" borderId="4" xfId="0" applyBorder="1" applyAlignment="1">
      <alignment horizontal="center" vertical="center"/>
    </xf>
    <xf numFmtId="0" fontId="0" fillId="0" borderId="0" xfId="0" applyFont="1"/>
    <xf numFmtId="166" fontId="0" fillId="0" borderId="4" xfId="0" applyNumberFormat="1" applyFont="1" applyBorder="1" applyAlignment="1">
      <alignment horizontal="center" vertical="center"/>
    </xf>
    <xf numFmtId="168" fontId="9" fillId="0" borderId="4" xfId="0" applyNumberFormat="1" applyFont="1" applyBorder="1" applyAlignment="1" applyProtection="1">
      <alignment horizontal="center" vertical="center"/>
      <protection locked="0"/>
    </xf>
    <xf numFmtId="0" fontId="27" fillId="0" borderId="0" xfId="0" applyFont="1" applyBorder="1" applyAlignment="1" applyProtection="1">
      <protection hidden="1"/>
    </xf>
    <xf numFmtId="0" fontId="18" fillId="0" borderId="0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center" vertical="center"/>
    </xf>
    <xf numFmtId="0" fontId="29" fillId="0" borderId="0" xfId="0" applyFont="1" applyAlignment="1" applyProtection="1">
      <alignment horizontal="left"/>
      <protection hidden="1"/>
    </xf>
    <xf numFmtId="169" fontId="0" fillId="0" borderId="30" xfId="0" applyNumberFormat="1" applyBorder="1" applyAlignment="1" applyProtection="1">
      <alignment horizontal="center" vertical="center"/>
      <protection locked="0"/>
    </xf>
    <xf numFmtId="0" fontId="16" fillId="0" borderId="27" xfId="0" applyFont="1" applyBorder="1" applyAlignment="1">
      <alignment horizontal="center" vertical="center"/>
    </xf>
    <xf numFmtId="0" fontId="0" fillId="0" borderId="43" xfId="0" applyBorder="1"/>
    <xf numFmtId="0" fontId="0" fillId="0" borderId="44" xfId="0" applyBorder="1"/>
    <xf numFmtId="0" fontId="0" fillId="3" borderId="45" xfId="0" applyFill="1" applyBorder="1"/>
    <xf numFmtId="0" fontId="0" fillId="3" borderId="46" xfId="0" applyFill="1" applyBorder="1"/>
    <xf numFmtId="0" fontId="9" fillId="0" borderId="35" xfId="0" applyFont="1" applyBorder="1" applyAlignment="1" applyProtection="1">
      <alignment horizontal="center" vertical="center"/>
      <protection hidden="1"/>
    </xf>
    <xf numFmtId="0" fontId="0" fillId="0" borderId="13" xfId="0" applyBorder="1"/>
    <xf numFmtId="0" fontId="0" fillId="0" borderId="26" xfId="0" applyFill="1" applyBorder="1"/>
    <xf numFmtId="0" fontId="0" fillId="0" borderId="26" xfId="0" applyBorder="1"/>
    <xf numFmtId="0" fontId="0" fillId="0" borderId="8" xfId="0" applyBorder="1"/>
    <xf numFmtId="0" fontId="0" fillId="0" borderId="27" xfId="0" applyFill="1" applyBorder="1"/>
    <xf numFmtId="0" fontId="0" fillId="0" borderId="0" xfId="0" applyFill="1" applyBorder="1"/>
    <xf numFmtId="0" fontId="0" fillId="0" borderId="28" xfId="0" applyBorder="1"/>
    <xf numFmtId="0" fontId="0" fillId="0" borderId="27" xfId="0" applyBorder="1"/>
    <xf numFmtId="0" fontId="0" fillId="0" borderId="0" xfId="0" applyBorder="1" applyAlignment="1">
      <alignment horizontal="left"/>
    </xf>
    <xf numFmtId="170" fontId="0" fillId="0" borderId="0" xfId="0" applyNumberFormat="1" applyBorder="1"/>
    <xf numFmtId="0" fontId="0" fillId="0" borderId="0" xfId="0" applyAlignment="1" applyProtection="1">
      <alignment horizontal="center"/>
      <protection hidden="1"/>
    </xf>
    <xf numFmtId="171" fontId="23" fillId="0" borderId="31" xfId="0" applyNumberFormat="1" applyFont="1" applyBorder="1" applyAlignment="1">
      <alignment horizontal="center" vertical="center"/>
    </xf>
    <xf numFmtId="0" fontId="0" fillId="0" borderId="48" xfId="0" applyBorder="1"/>
    <xf numFmtId="0" fontId="0" fillId="0" borderId="47" xfId="0" applyBorder="1"/>
    <xf numFmtId="0" fontId="16" fillId="0" borderId="27" xfId="0" applyFont="1" applyBorder="1" applyAlignment="1" applyProtection="1">
      <alignment horizontal="center" vertical="center"/>
      <protection locked="0"/>
    </xf>
    <xf numFmtId="172" fontId="23" fillId="0" borderId="31" xfId="0" applyNumberFormat="1" applyFont="1" applyBorder="1" applyAlignment="1">
      <alignment horizontal="center" vertical="center"/>
    </xf>
    <xf numFmtId="173" fontId="23" fillId="0" borderId="31" xfId="0" applyNumberFormat="1" applyFont="1" applyBorder="1" applyAlignment="1">
      <alignment horizontal="center" vertical="center"/>
    </xf>
    <xf numFmtId="0" fontId="33" fillId="0" borderId="0" xfId="0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49" xfId="0" applyBorder="1" applyAlignment="1" applyProtection="1">
      <alignment horizontal="center" vertical="center"/>
      <protection hidden="1"/>
    </xf>
    <xf numFmtId="174" fontId="0" fillId="0" borderId="7" xfId="0" applyNumberFormat="1" applyBorder="1" applyAlignment="1" applyProtection="1">
      <alignment horizontal="center" vertical="center"/>
      <protection hidden="1"/>
    </xf>
    <xf numFmtId="174" fontId="0" fillId="0" borderId="9" xfId="0" applyNumberFormat="1" applyBorder="1" applyAlignment="1" applyProtection="1">
      <alignment horizontal="center" vertical="center"/>
      <protection hidden="1"/>
    </xf>
    <xf numFmtId="0" fontId="0" fillId="0" borderId="0" xfId="0" applyAlignment="1" applyProtection="1">
      <protection hidden="1"/>
    </xf>
    <xf numFmtId="2" fontId="0" fillId="0" borderId="0" xfId="0" applyNumberFormat="1" applyBorder="1" applyAlignment="1" applyProtection="1">
      <alignment horizontal="center" vertical="center"/>
      <protection hidden="1"/>
    </xf>
    <xf numFmtId="0" fontId="6" fillId="0" borderId="0" xfId="0" applyFont="1" applyFill="1" applyAlignment="1"/>
    <xf numFmtId="0" fontId="0" fillId="0" borderId="0" xfId="0" applyFill="1" applyAlignment="1"/>
    <xf numFmtId="1" fontId="0" fillId="0" borderId="4" xfId="0" applyNumberFormat="1" applyBorder="1" applyAlignment="1" applyProtection="1">
      <alignment horizontal="center" vertical="center"/>
      <protection hidden="1"/>
    </xf>
    <xf numFmtId="0" fontId="0" fillId="0" borderId="50" xfId="0" applyBorder="1" applyAlignment="1" applyProtection="1">
      <alignment horizontal="center" vertical="center"/>
      <protection hidden="1"/>
    </xf>
    <xf numFmtId="1" fontId="0" fillId="0" borderId="0" xfId="0" applyNumberFormat="1" applyBorder="1" applyAlignment="1" applyProtection="1">
      <alignment horizontal="center" vertical="center"/>
      <protection hidden="1"/>
    </xf>
    <xf numFmtId="174" fontId="0" fillId="0" borderId="0" xfId="0" applyNumberFormat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horizontal="left"/>
      <protection hidden="1"/>
    </xf>
    <xf numFmtId="0" fontId="4" fillId="0" borderId="0" xfId="0" applyFont="1" applyAlignment="1">
      <alignment horizontal="right"/>
    </xf>
    <xf numFmtId="2" fontId="4" fillId="0" borderId="0" xfId="0" applyNumberFormat="1" applyFont="1" applyAlignment="1">
      <alignment horizontal="center" vertical="center"/>
    </xf>
    <xf numFmtId="1" fontId="0" fillId="0" borderId="0" xfId="0" applyNumberFormat="1" applyAlignment="1" applyProtection="1">
      <protection hidden="1"/>
    </xf>
    <xf numFmtId="0" fontId="31" fillId="0" borderId="0" xfId="0" applyFont="1" applyFill="1" applyAlignment="1"/>
    <xf numFmtId="0" fontId="38" fillId="0" borderId="0" xfId="0" applyFont="1" applyFill="1" applyAlignment="1" applyProtection="1">
      <protection hidden="1"/>
    </xf>
    <xf numFmtId="0" fontId="39" fillId="0" borderId="0" xfId="0" applyFont="1" applyFill="1" applyAlignment="1" applyProtection="1">
      <protection hidden="1"/>
    </xf>
    <xf numFmtId="0" fontId="9" fillId="0" borderId="0" xfId="0" applyFont="1" applyAlignment="1" applyProtection="1">
      <alignment horizontal="center"/>
      <protection hidden="1"/>
    </xf>
    <xf numFmtId="175" fontId="0" fillId="0" borderId="0" xfId="0" applyNumberFormat="1" applyAlignment="1">
      <alignment horizontal="center" vertical="center"/>
    </xf>
    <xf numFmtId="2" fontId="0" fillId="0" borderId="0" xfId="0" applyNumberFormat="1"/>
    <xf numFmtId="0" fontId="4" fillId="0" borderId="0" xfId="0" applyFont="1" applyBorder="1" applyAlignment="1">
      <alignment horizontal="right" vertical="center"/>
    </xf>
    <xf numFmtId="2" fontId="4" fillId="0" borderId="0" xfId="0" applyNumberFormat="1" applyFont="1" applyBorder="1" applyAlignment="1" applyProtection="1">
      <alignment horizontal="center"/>
      <protection hidden="1"/>
    </xf>
    <xf numFmtId="0" fontId="4" fillId="0" borderId="0" xfId="0" applyFont="1" applyBorder="1" applyAlignment="1">
      <alignment horizontal="left" vertical="center"/>
    </xf>
    <xf numFmtId="175" fontId="0" fillId="0" borderId="0" xfId="0" applyNumberFormat="1" applyFill="1"/>
    <xf numFmtId="174" fontId="0" fillId="0" borderId="0" xfId="0" applyNumberFormat="1"/>
    <xf numFmtId="174" fontId="0" fillId="0" borderId="0" xfId="0" applyNumberFormat="1" applyFill="1" applyBorder="1"/>
    <xf numFmtId="2" fontId="0" fillId="0" borderId="0" xfId="0" applyNumberFormat="1" applyFill="1" applyBorder="1"/>
    <xf numFmtId="2" fontId="0" fillId="0" borderId="27" xfId="0" applyNumberFormat="1" applyBorder="1"/>
    <xf numFmtId="2" fontId="0" fillId="0" borderId="0" xfId="0" applyNumberFormat="1" applyBorder="1"/>
    <xf numFmtId="1" fontId="0" fillId="0" borderId="0" xfId="0" applyNumberFormat="1"/>
    <xf numFmtId="175" fontId="0" fillId="0" borderId="0" xfId="0" applyNumberFormat="1" applyFill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0" fillId="4" borderId="0" xfId="0" applyFill="1" applyAlignment="1">
      <alignment horizontal="center" vertical="center"/>
    </xf>
    <xf numFmtId="2" fontId="0" fillId="4" borderId="0" xfId="0" applyNumberFormat="1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2" fontId="0" fillId="5" borderId="0" xfId="0" applyNumberFormat="1" applyFill="1" applyAlignment="1">
      <alignment horizontal="center" vertical="center"/>
    </xf>
    <xf numFmtId="0" fontId="13" fillId="0" borderId="0" xfId="0" applyFont="1" applyFill="1" applyBorder="1" applyAlignment="1" applyProtection="1">
      <protection hidden="1"/>
    </xf>
    <xf numFmtId="165" fontId="0" fillId="0" borderId="7" xfId="0" applyNumberFormat="1" applyBorder="1" applyAlignment="1">
      <alignment horizontal="center" vertical="center"/>
    </xf>
    <xf numFmtId="174" fontId="0" fillId="4" borderId="0" xfId="0" applyNumberFormat="1" applyFill="1" applyAlignment="1">
      <alignment horizontal="center" vertical="center"/>
    </xf>
    <xf numFmtId="174" fontId="0" fillId="0" borderId="0" xfId="0" applyNumberFormat="1" applyAlignment="1">
      <alignment horizontal="center" vertical="center"/>
    </xf>
    <xf numFmtId="174" fontId="0" fillId="5" borderId="0" xfId="0" applyNumberFormat="1" applyFill="1" applyAlignment="1">
      <alignment horizontal="center" vertical="center"/>
    </xf>
    <xf numFmtId="0" fontId="13" fillId="2" borderId="4" xfId="0" applyFont="1" applyFill="1" applyBorder="1" applyAlignment="1" applyProtection="1">
      <alignment horizontal="center" vertical="center"/>
      <protection hidden="1"/>
    </xf>
    <xf numFmtId="176" fontId="27" fillId="0" borderId="0" xfId="0" applyNumberFormat="1" applyFont="1" applyBorder="1" applyAlignment="1" applyProtection="1">
      <alignment horizontal="left"/>
      <protection locked="0"/>
    </xf>
    <xf numFmtId="0" fontId="42" fillId="0" borderId="0" xfId="0" applyFont="1" applyFill="1" applyAlignment="1" applyProtection="1">
      <protection hidden="1"/>
    </xf>
    <xf numFmtId="165" fontId="14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 wrapText="1"/>
      <protection hidden="1"/>
    </xf>
    <xf numFmtId="176" fontId="0" fillId="0" borderId="0" xfId="0" applyNumberFormat="1"/>
    <xf numFmtId="2" fontId="0" fillId="0" borderId="0" xfId="0" applyNumberFormat="1" applyFill="1" applyAlignment="1">
      <alignment horizontal="center" vertical="center"/>
    </xf>
    <xf numFmtId="0" fontId="33" fillId="0" borderId="0" xfId="0" applyFont="1" applyAlignment="1" applyProtection="1">
      <protection hidden="1"/>
    </xf>
    <xf numFmtId="0" fontId="13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Font="1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174" fontId="0" fillId="0" borderId="0" xfId="0" applyNumberFormat="1" applyFill="1" applyAlignment="1">
      <alignment horizontal="center" vertical="center"/>
    </xf>
    <xf numFmtId="174" fontId="0" fillId="5" borderId="0" xfId="0" applyNumberFormat="1" applyFill="1"/>
    <xf numFmtId="174" fontId="0" fillId="4" borderId="0" xfId="0" applyNumberFormat="1" applyFill="1"/>
    <xf numFmtId="0" fontId="0" fillId="0" borderId="3" xfId="0" applyFill="1" applyBorder="1" applyAlignment="1" applyProtection="1">
      <alignment horizontal="center" vertical="center"/>
      <protection hidden="1"/>
    </xf>
    <xf numFmtId="1" fontId="0" fillId="0" borderId="3" xfId="0" applyNumberFormat="1" applyFill="1" applyBorder="1" applyAlignment="1" applyProtection="1">
      <alignment horizontal="center" vertical="center"/>
      <protection hidden="1"/>
    </xf>
    <xf numFmtId="2" fontId="0" fillId="0" borderId="3" xfId="0" applyNumberFormat="1" applyFill="1" applyBorder="1" applyAlignment="1" applyProtection="1">
      <alignment horizontal="center" vertical="center"/>
      <protection hidden="1"/>
    </xf>
    <xf numFmtId="0" fontId="0" fillId="0" borderId="1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1" fontId="0" fillId="0" borderId="3" xfId="0" applyNumberFormat="1" applyFill="1" applyBorder="1" applyAlignment="1">
      <alignment horizontal="center" vertical="center"/>
    </xf>
    <xf numFmtId="168" fontId="9" fillId="0" borderId="30" xfId="0" applyNumberFormat="1" applyFont="1" applyFill="1" applyBorder="1" applyAlignment="1" applyProtection="1">
      <alignment horizontal="center" vertical="center"/>
      <protection locked="0"/>
    </xf>
    <xf numFmtId="1" fontId="0" fillId="0" borderId="30" xfId="0" applyNumberFormat="1" applyFill="1" applyBorder="1" applyAlignment="1" applyProtection="1">
      <alignment horizontal="center"/>
      <protection locked="0"/>
    </xf>
    <xf numFmtId="0" fontId="1" fillId="0" borderId="16" xfId="0" applyFont="1" applyFill="1" applyBorder="1"/>
    <xf numFmtId="0" fontId="1" fillId="0" borderId="17" xfId="0" applyFont="1" applyFill="1" applyBorder="1" applyAlignment="1">
      <alignment horizontal="right"/>
    </xf>
    <xf numFmtId="0" fontId="1" fillId="0" borderId="17" xfId="0" applyFont="1" applyFill="1" applyBorder="1" applyAlignment="1">
      <alignment horizontal="center" vertical="center"/>
    </xf>
    <xf numFmtId="0" fontId="1" fillId="0" borderId="17" xfId="0" applyFont="1" applyFill="1" applyBorder="1" applyProtection="1">
      <protection hidden="1"/>
    </xf>
    <xf numFmtId="0" fontId="1" fillId="0" borderId="18" xfId="0" applyFont="1" applyFill="1" applyBorder="1"/>
    <xf numFmtId="0" fontId="9" fillId="0" borderId="19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165" fontId="1" fillId="0" borderId="17" xfId="0" applyNumberFormat="1" applyFont="1" applyFill="1" applyBorder="1" applyAlignment="1">
      <alignment horizontal="center" vertical="center"/>
    </xf>
    <xf numFmtId="0" fontId="1" fillId="0" borderId="4" xfId="0" applyFont="1" applyBorder="1" applyAlignment="1" applyProtection="1">
      <alignment horizontal="center" vertical="center"/>
      <protection locked="0" hidden="1"/>
    </xf>
    <xf numFmtId="0" fontId="29" fillId="0" borderId="0" xfId="0" applyFont="1" applyAlignment="1" applyProtection="1">
      <alignment horizontal="left" vertical="top"/>
      <protection hidden="1"/>
    </xf>
    <xf numFmtId="166" fontId="0" fillId="3" borderId="51" xfId="0" applyNumberFormat="1" applyFill="1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0" xfId="0" applyAlignment="1">
      <alignment horizontal="right"/>
    </xf>
    <xf numFmtId="166" fontId="0" fillId="0" borderId="0" xfId="0" applyNumberFormat="1" applyAlignment="1">
      <alignment horizontal="right"/>
    </xf>
    <xf numFmtId="0" fontId="0" fillId="0" borderId="0" xfId="0" applyBorder="1" applyAlignment="1">
      <alignment horizontal="right"/>
    </xf>
    <xf numFmtId="0" fontId="0" fillId="0" borderId="2" xfId="0" applyBorder="1" applyAlignment="1">
      <alignment horizontal="right"/>
    </xf>
    <xf numFmtId="165" fontId="14" fillId="0" borderId="0" xfId="0" applyNumberFormat="1" applyFont="1" applyBorder="1" applyAlignment="1" applyProtection="1">
      <alignment horizontal="center" vertical="center"/>
      <protection hidden="1"/>
    </xf>
    <xf numFmtId="168" fontId="9" fillId="0" borderId="0" xfId="0" applyNumberFormat="1" applyFont="1" applyFill="1" applyBorder="1" applyAlignment="1" applyProtection="1">
      <alignment horizontal="center" vertical="center"/>
      <protection hidden="1"/>
    </xf>
    <xf numFmtId="169" fontId="0" fillId="0" borderId="0" xfId="0" applyNumberFormat="1" applyBorder="1" applyAlignment="1" applyProtection="1">
      <alignment horizontal="center" vertical="center"/>
      <protection hidden="1"/>
    </xf>
    <xf numFmtId="0" fontId="27" fillId="0" borderId="0" xfId="0" applyFont="1" applyBorder="1" applyAlignment="1" applyProtection="1">
      <protection hidden="1"/>
    </xf>
    <xf numFmtId="0" fontId="1" fillId="0" borderId="0" xfId="0" applyFont="1" applyBorder="1" applyAlignment="1">
      <alignment horizontal="left"/>
    </xf>
    <xf numFmtId="167" fontId="14" fillId="3" borderId="29" xfId="0" applyNumberFormat="1" applyFont="1" applyFill="1" applyBorder="1" applyAlignment="1">
      <alignment horizontal="left" vertical="center"/>
    </xf>
    <xf numFmtId="174" fontId="0" fillId="0" borderId="0" xfId="0" applyNumberFormat="1" applyFont="1"/>
    <xf numFmtId="0" fontId="43" fillId="0" borderId="0" xfId="0" applyFont="1"/>
    <xf numFmtId="175" fontId="0" fillId="0" borderId="3" xfId="0" applyNumberFormat="1" applyFill="1" applyBorder="1" applyAlignment="1">
      <alignment horizontal="center" vertical="center"/>
    </xf>
    <xf numFmtId="0" fontId="0" fillId="0" borderId="4" xfId="0" applyBorder="1" applyAlignment="1" applyProtection="1">
      <alignment horizontal="center" vertical="center"/>
      <protection hidden="1"/>
    </xf>
    <xf numFmtId="0" fontId="9" fillId="0" borderId="9" xfId="0" applyFont="1" applyBorder="1" applyAlignment="1" applyProtection="1">
      <alignment horizontal="center" vertical="center"/>
      <protection hidden="1"/>
    </xf>
    <xf numFmtId="0" fontId="9" fillId="0" borderId="9" xfId="0" applyFont="1" applyFill="1" applyBorder="1" applyAlignment="1" applyProtection="1">
      <alignment horizontal="center" vertical="center"/>
      <protection hidden="1"/>
    </xf>
    <xf numFmtId="0" fontId="0" fillId="0" borderId="24" xfId="0" applyBorder="1" applyAlignment="1" applyProtection="1">
      <alignment horizontal="center" vertical="center"/>
      <protection hidden="1"/>
    </xf>
    <xf numFmtId="0" fontId="0" fillId="0" borderId="24" xfId="0" applyFill="1" applyBorder="1" applyAlignment="1" applyProtection="1">
      <alignment horizontal="center" vertical="center"/>
      <protection hidden="1"/>
    </xf>
    <xf numFmtId="0" fontId="13" fillId="2" borderId="3" xfId="0" applyFont="1" applyFill="1" applyBorder="1" applyAlignment="1" applyProtection="1">
      <alignment horizontal="center" vertical="center"/>
      <protection hidden="1"/>
    </xf>
    <xf numFmtId="0" fontId="9" fillId="0" borderId="4" xfId="0" applyFont="1" applyFill="1" applyBorder="1" applyAlignment="1" applyProtection="1">
      <alignment horizontal="center" vertical="center"/>
      <protection hidden="1"/>
    </xf>
    <xf numFmtId="0" fontId="9" fillId="0" borderId="4" xfId="0" applyFont="1" applyBorder="1" applyAlignment="1" applyProtection="1">
      <alignment horizontal="center" vertical="center"/>
      <protection hidden="1"/>
    </xf>
    <xf numFmtId="0" fontId="11" fillId="0" borderId="22" xfId="0" applyFont="1" applyFill="1" applyBorder="1" applyAlignment="1" applyProtection="1">
      <alignment horizontal="center" vertical="center"/>
      <protection hidden="1"/>
    </xf>
    <xf numFmtId="0" fontId="9" fillId="0" borderId="4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2" fontId="0" fillId="0" borderId="4" xfId="0" applyNumberFormat="1" applyBorder="1" applyAlignment="1" applyProtection="1">
      <alignment horizontal="center" vertical="center"/>
      <protection hidden="1"/>
    </xf>
    <xf numFmtId="174" fontId="0" fillId="0" borderId="4" xfId="0" applyNumberFormat="1" applyBorder="1" applyAlignment="1" applyProtection="1">
      <alignment horizontal="center" vertical="center"/>
      <protection hidden="1"/>
    </xf>
    <xf numFmtId="2" fontId="9" fillId="0" borderId="4" xfId="0" applyNumberFormat="1" applyFont="1" applyFill="1" applyBorder="1" applyAlignment="1" applyProtection="1">
      <alignment horizontal="center" vertical="center"/>
      <protection hidden="1"/>
    </xf>
    <xf numFmtId="174" fontId="9" fillId="0" borderId="4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protection hidden="1"/>
    </xf>
    <xf numFmtId="0" fontId="11" fillId="0" borderId="4" xfId="0" applyFont="1" applyFill="1" applyBorder="1" applyAlignment="1" applyProtection="1">
      <alignment horizontal="center" vertical="center"/>
      <protection hidden="1"/>
    </xf>
    <xf numFmtId="177" fontId="44" fillId="3" borderId="10" xfId="0" applyNumberFormat="1" applyFont="1" applyFill="1" applyBorder="1" applyAlignment="1">
      <alignment horizontal="center" vertical="center"/>
    </xf>
    <xf numFmtId="165" fontId="0" fillId="0" borderId="0" xfId="0" applyNumberFormat="1" applyFont="1" applyFill="1" applyBorder="1" applyAlignment="1">
      <alignment horizontal="center" vertical="center"/>
    </xf>
    <xf numFmtId="165" fontId="0" fillId="0" borderId="26" xfId="0" applyNumberFormat="1" applyFont="1" applyBorder="1" applyAlignment="1">
      <alignment horizontal="center" vertical="center"/>
    </xf>
    <xf numFmtId="0" fontId="0" fillId="0" borderId="34" xfId="0" applyBorder="1" applyProtection="1"/>
    <xf numFmtId="0" fontId="0" fillId="0" borderId="35" xfId="0" applyBorder="1" applyAlignment="1" applyProtection="1">
      <alignment horizontal="center"/>
    </xf>
    <xf numFmtId="0" fontId="0" fillId="0" borderId="0" xfId="0" applyAlignment="1" applyProtection="1">
      <alignment horizontal="center" vertical="center"/>
    </xf>
    <xf numFmtId="0" fontId="0" fillId="0" borderId="34" xfId="0" applyBorder="1" applyAlignment="1" applyProtection="1">
      <alignment horizontal="center"/>
    </xf>
    <xf numFmtId="0" fontId="0" fillId="0" borderId="34" xfId="0" applyBorder="1" applyAlignment="1" applyProtection="1">
      <alignment horizontal="center"/>
      <protection hidden="1"/>
    </xf>
    <xf numFmtId="0" fontId="29" fillId="0" borderId="0" xfId="0" applyFont="1" applyProtection="1"/>
    <xf numFmtId="0" fontId="27" fillId="0" borderId="0" xfId="0" applyFont="1" applyProtection="1">
      <protection hidden="1"/>
    </xf>
    <xf numFmtId="0" fontId="47" fillId="0" borderId="0" xfId="0" applyFont="1" applyFill="1" applyBorder="1" applyAlignment="1" applyProtection="1">
      <alignment horizontal="center" vertical="center"/>
    </xf>
    <xf numFmtId="0" fontId="0" fillId="0" borderId="0" xfId="0" applyBorder="1" applyProtection="1"/>
    <xf numFmtId="0" fontId="12" fillId="0" borderId="27" xfId="0" applyFont="1" applyFill="1" applyBorder="1" applyAlignment="1" applyProtection="1">
      <alignment horizontal="center" vertical="center"/>
      <protection hidden="1"/>
    </xf>
    <xf numFmtId="0" fontId="12" fillId="0" borderId="12" xfId="0" applyFont="1" applyFill="1" applyBorder="1" applyAlignment="1" applyProtection="1">
      <alignment horizontal="center" vertical="center"/>
      <protection hidden="1"/>
    </xf>
    <xf numFmtId="0" fontId="48" fillId="0" borderId="0" xfId="0" applyFont="1" applyProtection="1">
      <protection hidden="1"/>
    </xf>
    <xf numFmtId="0" fontId="48" fillId="0" borderId="0" xfId="0" applyFont="1" applyAlignment="1" applyProtection="1">
      <alignment horizontal="left" vertical="top"/>
      <protection hidden="1"/>
    </xf>
    <xf numFmtId="165" fontId="0" fillId="0" borderId="0" xfId="0" applyNumberFormat="1" applyFont="1" applyBorder="1" applyAlignment="1">
      <alignment horizontal="center" vertical="center"/>
    </xf>
    <xf numFmtId="0" fontId="1" fillId="0" borderId="52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168" fontId="9" fillId="0" borderId="42" xfId="0" applyNumberFormat="1" applyFont="1" applyFill="1" applyBorder="1" applyAlignment="1" applyProtection="1">
      <alignment horizontal="center" vertical="center"/>
    </xf>
    <xf numFmtId="169" fontId="0" fillId="0" borderId="42" xfId="0" applyNumberFormat="1" applyBorder="1" applyAlignment="1" applyProtection="1">
      <alignment horizontal="center" vertical="center"/>
    </xf>
    <xf numFmtId="0" fontId="12" fillId="0" borderId="4" xfId="0" applyFont="1" applyFill="1" applyBorder="1" applyAlignment="1" applyProtection="1">
      <alignment horizontal="center" vertical="center"/>
    </xf>
    <xf numFmtId="1" fontId="0" fillId="0" borderId="0" xfId="0" applyNumberFormat="1" applyFont="1" applyAlignment="1">
      <alignment horizontal="center" vertical="center"/>
    </xf>
    <xf numFmtId="175" fontId="0" fillId="0" borderId="3" xfId="0" applyNumberFormat="1" applyFill="1" applyBorder="1" applyAlignment="1" applyProtection="1">
      <alignment horizontal="center" vertical="center"/>
    </xf>
    <xf numFmtId="0" fontId="0" fillId="0" borderId="0" xfId="0" applyProtection="1"/>
    <xf numFmtId="0" fontId="1" fillId="0" borderId="0" xfId="0" applyFont="1" applyBorder="1" applyAlignment="1" applyProtection="1">
      <alignment horizontal="left"/>
    </xf>
    <xf numFmtId="0" fontId="0" fillId="0" borderId="0" xfId="0" applyBorder="1" applyAlignment="1" applyProtection="1">
      <alignment horizontal="center"/>
    </xf>
    <xf numFmtId="0" fontId="9" fillId="0" borderId="0" xfId="0" applyFont="1"/>
    <xf numFmtId="0" fontId="12" fillId="0" borderId="0" xfId="0" applyFont="1"/>
    <xf numFmtId="2" fontId="1" fillId="0" borderId="0" xfId="0" applyNumberFormat="1" applyFont="1"/>
    <xf numFmtId="0" fontId="9" fillId="0" borderId="14" xfId="0" applyFont="1" applyBorder="1" applyAlignment="1">
      <alignment horizontal="center" vertical="center"/>
    </xf>
    <xf numFmtId="0" fontId="0" fillId="0" borderId="4" xfId="0" applyBorder="1"/>
    <xf numFmtId="2" fontId="0" fillId="0" borderId="4" xfId="0" applyNumberFormat="1" applyBorder="1"/>
    <xf numFmtId="1" fontId="0" fillId="0" borderId="4" xfId="0" applyNumberFormat="1" applyBorder="1"/>
    <xf numFmtId="0" fontId="0" fillId="0" borderId="28" xfId="0" applyBorder="1" applyAlignment="1" applyProtection="1">
      <alignment horizontal="center" vertical="center"/>
      <protection hidden="1"/>
    </xf>
    <xf numFmtId="0" fontId="1" fillId="0" borderId="30" xfId="0" applyFont="1" applyBorder="1" applyAlignment="1" applyProtection="1">
      <alignment horizontal="center" vertical="center"/>
      <protection locked="0" hidden="1"/>
    </xf>
    <xf numFmtId="0" fontId="1" fillId="0" borderId="0" xfId="0" applyFont="1" applyBorder="1" applyAlignment="1" applyProtection="1">
      <alignment horizontal="left"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42" xfId="0" applyFill="1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center" vertical="center" wrapText="1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51" fillId="7" borderId="0" xfId="0" applyFont="1" applyFill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/>
      <protection hidden="1"/>
    </xf>
    <xf numFmtId="0" fontId="52" fillId="0" borderId="0" xfId="1" applyAlignment="1" applyProtection="1">
      <alignment horizontal="center"/>
      <protection hidden="1"/>
    </xf>
    <xf numFmtId="0" fontId="52" fillId="0" borderId="0" xfId="1" applyAlignment="1" applyProtection="1">
      <alignment horizontal="center"/>
      <protection locked="0"/>
    </xf>
    <xf numFmtId="165" fontId="1" fillId="2" borderId="0" xfId="0" applyNumberFormat="1" applyFont="1" applyFill="1" applyBorder="1" applyAlignment="1">
      <alignment horizontal="center" vertical="center"/>
    </xf>
    <xf numFmtId="165" fontId="1" fillId="2" borderId="28" xfId="0" applyNumberFormat="1" applyFont="1" applyFill="1" applyBorder="1" applyAlignment="1">
      <alignment horizontal="center" vertical="center"/>
    </xf>
    <xf numFmtId="0" fontId="18" fillId="0" borderId="24" xfId="0" applyFont="1" applyBorder="1" applyAlignment="1">
      <alignment horizontal="center" vertical="center" textRotation="90" wrapText="1"/>
    </xf>
    <xf numFmtId="0" fontId="18" fillId="0" borderId="25" xfId="0" applyFont="1" applyBorder="1" applyAlignment="1">
      <alignment horizontal="center" vertical="center" textRotation="90" wrapText="1"/>
    </xf>
    <xf numFmtId="0" fontId="18" fillId="0" borderId="3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5" fillId="0" borderId="22" xfId="0" applyFont="1" applyBorder="1" applyAlignment="1" applyProtection="1">
      <alignment horizontal="center" vertical="center" wrapText="1"/>
      <protection hidden="1"/>
    </xf>
    <xf numFmtId="0" fontId="29" fillId="0" borderId="0" xfId="0" applyFont="1" applyAlignment="1" applyProtection="1">
      <alignment horizontal="right"/>
      <protection hidden="1"/>
    </xf>
    <xf numFmtId="0" fontId="37" fillId="0" borderId="0" xfId="0" applyFont="1" applyAlignment="1">
      <alignment horizontal="center"/>
    </xf>
    <xf numFmtId="165" fontId="14" fillId="0" borderId="4" xfId="0" applyNumberFormat="1" applyFont="1" applyBorder="1" applyAlignment="1">
      <alignment horizontal="center" vertical="center"/>
    </xf>
    <xf numFmtId="165" fontId="14" fillId="0" borderId="22" xfId="0" applyNumberFormat="1" applyFont="1" applyBorder="1" applyAlignment="1">
      <alignment horizontal="center" vertical="center"/>
    </xf>
    <xf numFmtId="0" fontId="27" fillId="0" borderId="0" xfId="0" applyFont="1" applyBorder="1" applyAlignment="1" applyProtection="1">
      <protection hidden="1"/>
    </xf>
    <xf numFmtId="0" fontId="1" fillId="0" borderId="0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41" xfId="0" applyFont="1" applyBorder="1" applyAlignment="1" applyProtection="1">
      <alignment horizontal="center"/>
      <protection locked="0"/>
    </xf>
    <xf numFmtId="0" fontId="1" fillId="0" borderId="42" xfId="0" applyFont="1" applyBorder="1" applyAlignment="1" applyProtection="1">
      <alignment horizontal="center"/>
      <protection locked="0"/>
    </xf>
    <xf numFmtId="0" fontId="1" fillId="0" borderId="39" xfId="0" applyFont="1" applyBorder="1" applyAlignment="1" applyProtection="1">
      <alignment horizontal="center"/>
      <protection locked="0"/>
    </xf>
    <xf numFmtId="0" fontId="14" fillId="3" borderId="2" xfId="0" applyFont="1" applyFill="1" applyBorder="1" applyAlignment="1">
      <alignment horizontal="right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0" fillId="0" borderId="0" xfId="0" applyFont="1" applyAlignment="1" applyProtection="1">
      <alignment horizontal="center"/>
      <protection hidden="1"/>
    </xf>
    <xf numFmtId="0" fontId="1" fillId="0" borderId="4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 textRotation="90" wrapText="1"/>
    </xf>
    <xf numFmtId="0" fontId="27" fillId="0" borderId="0" xfId="0" applyFont="1" applyBorder="1" applyAlignment="1" applyProtection="1">
      <alignment horizontal="left"/>
      <protection hidden="1"/>
    </xf>
    <xf numFmtId="0" fontId="27" fillId="0" borderId="0" xfId="0" applyFont="1" applyBorder="1" applyAlignment="1" applyProtection="1">
      <alignment horizontal="right"/>
      <protection hidden="1"/>
    </xf>
    <xf numFmtId="0" fontId="27" fillId="0" borderId="0" xfId="0" applyFont="1" applyBorder="1" applyAlignment="1" applyProtection="1">
      <alignment horizontal="left" vertical="center"/>
      <protection hidden="1"/>
    </xf>
    <xf numFmtId="0" fontId="1" fillId="0" borderId="1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165" fontId="1" fillId="2" borderId="1" xfId="0" applyNumberFormat="1" applyFont="1" applyFill="1" applyBorder="1" applyAlignment="1" applyProtection="1">
      <alignment horizontal="center" vertical="center"/>
      <protection hidden="1"/>
    </xf>
    <xf numFmtId="165" fontId="1" fillId="2" borderId="7" xfId="0" applyNumberFormat="1" applyFont="1" applyFill="1" applyBorder="1" applyAlignment="1" applyProtection="1">
      <alignment horizontal="center" vertical="center"/>
      <protection hidden="1"/>
    </xf>
    <xf numFmtId="165" fontId="1" fillId="2" borderId="1" xfId="0" applyNumberFormat="1" applyFont="1" applyFill="1" applyBorder="1" applyAlignment="1">
      <alignment horizontal="center" vertical="center"/>
    </xf>
    <xf numFmtId="165" fontId="1" fillId="2" borderId="7" xfId="0" applyNumberFormat="1" applyFont="1" applyFill="1" applyBorder="1" applyAlignment="1">
      <alignment horizontal="center" vertical="center"/>
    </xf>
    <xf numFmtId="0" fontId="18" fillId="0" borderId="24" xfId="0" applyFont="1" applyFill="1" applyBorder="1" applyAlignment="1">
      <alignment horizontal="center" vertical="center" textRotation="90" wrapText="1"/>
    </xf>
    <xf numFmtId="0" fontId="18" fillId="0" borderId="25" xfId="0" applyFont="1" applyFill="1" applyBorder="1" applyAlignment="1">
      <alignment horizontal="center" vertical="center" textRotation="90" wrapText="1"/>
    </xf>
    <xf numFmtId="0" fontId="18" fillId="0" borderId="3" xfId="0" applyFont="1" applyFill="1" applyBorder="1" applyAlignment="1">
      <alignment horizontal="center" vertical="center" textRotation="90" wrapText="1"/>
    </xf>
    <xf numFmtId="0" fontId="1" fillId="0" borderId="52" xfId="0" applyFont="1" applyBorder="1" applyAlignment="1" applyProtection="1">
      <alignment horizontal="center" vertical="center"/>
    </xf>
    <xf numFmtId="0" fontId="1" fillId="0" borderId="33" xfId="0" applyFont="1" applyBorder="1" applyAlignment="1" applyProtection="1">
      <alignment horizontal="center" vertical="center"/>
    </xf>
    <xf numFmtId="0" fontId="0" fillId="6" borderId="4" xfId="0" applyFill="1" applyBorder="1" applyAlignment="1">
      <alignment horizontal="center"/>
    </xf>
    <xf numFmtId="0" fontId="0" fillId="0" borderId="0" xfId="0" applyAlignment="1">
      <alignment horizontal="right" vertical="center"/>
    </xf>
    <xf numFmtId="0" fontId="40" fillId="4" borderId="0" xfId="0" applyFont="1" applyFill="1" applyAlignment="1">
      <alignment horizontal="center" vertical="center"/>
    </xf>
    <xf numFmtId="0" fontId="40" fillId="5" borderId="0" xfId="0" applyFont="1" applyFill="1" applyAlignment="1">
      <alignment horizontal="center" vertical="center"/>
    </xf>
  </cellXfs>
  <cellStyles count="2">
    <cellStyle name="Collegamento ipertestuale" xfId="1" builtinId="8"/>
    <cellStyle name="Normale" xfId="0" builtinId="0"/>
  </cellStyles>
  <dxfs count="39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8913793047701883E-2"/>
          <c:y val="0.18738972941150259"/>
          <c:w val="0.88572028496323862"/>
          <c:h val="0.77675052699460634"/>
        </c:manualLayout>
      </c:layout>
      <c:scatterChart>
        <c:scatterStyle val="lineMarker"/>
        <c:varyColors val="0"/>
        <c:ser>
          <c:idx val="0"/>
          <c:order val="0"/>
          <c:tx>
            <c:v>Med</c:v>
          </c:tx>
          <c:spPr>
            <a:ln w="19050" cap="rnd">
              <a:solidFill>
                <a:schemeClr val="bg1">
                  <a:lumMod val="65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Foglio1!$Q$4:$Q$109</c:f>
              <c:numCache>
                <c:formatCode>0.000</c:formatCode>
                <c:ptCount val="106"/>
                <c:pt idx="0">
                  <c:v>0</c:v>
                </c:pt>
                <c:pt idx="1">
                  <c:v>5.4368932038834951E-2</c:v>
                </c:pt>
                <c:pt idx="2">
                  <c:v>0.1087378640776699</c:v>
                </c:pt>
                <c:pt idx="3">
                  <c:v>0.16310679611650486</c:v>
                </c:pt>
                <c:pt idx="4">
                  <c:v>0.2174757281553398</c:v>
                </c:pt>
                <c:pt idx="5">
                  <c:v>0.27184466019417475</c:v>
                </c:pt>
                <c:pt idx="6">
                  <c:v>0.32621359223300972</c:v>
                </c:pt>
                <c:pt idx="7">
                  <c:v>0.38058252427184464</c:v>
                </c:pt>
                <c:pt idx="8">
                  <c:v>0.43495145631067961</c:v>
                </c:pt>
                <c:pt idx="9">
                  <c:v>0.48932038834951458</c:v>
                </c:pt>
                <c:pt idx="10">
                  <c:v>0.5436893203883495</c:v>
                </c:pt>
                <c:pt idx="11">
                  <c:v>0.59805825242718447</c:v>
                </c:pt>
                <c:pt idx="12">
                  <c:v>0.65242718446601944</c:v>
                </c:pt>
                <c:pt idx="13">
                  <c:v>0.70679611650485441</c:v>
                </c:pt>
                <c:pt idx="14">
                  <c:v>0.76116504854368927</c:v>
                </c:pt>
                <c:pt idx="15">
                  <c:v>0.81553398058252424</c:v>
                </c:pt>
                <c:pt idx="16">
                  <c:v>0.86990291262135921</c:v>
                </c:pt>
                <c:pt idx="17">
                  <c:v>0.92427184466019419</c:v>
                </c:pt>
                <c:pt idx="18">
                  <c:v>0.97864077669902916</c:v>
                </c:pt>
                <c:pt idx="19">
                  <c:v>1.033009708737864</c:v>
                </c:pt>
                <c:pt idx="20">
                  <c:v>1.087378640776699</c:v>
                </c:pt>
                <c:pt idx="21">
                  <c:v>1.141747572815534</c:v>
                </c:pt>
                <c:pt idx="22">
                  <c:v>1.1961165048543689</c:v>
                </c:pt>
                <c:pt idx="23">
                  <c:v>1.2504854368932039</c:v>
                </c:pt>
                <c:pt idx="24">
                  <c:v>1.3048543689320389</c:v>
                </c:pt>
                <c:pt idx="25">
                  <c:v>1.3592233009708738</c:v>
                </c:pt>
                <c:pt idx="26">
                  <c:v>1.3592233009708738</c:v>
                </c:pt>
                <c:pt idx="27">
                  <c:v>1.4135922330097088</c:v>
                </c:pt>
                <c:pt idx="28">
                  <c:v>1.4679611650485436</c:v>
                </c:pt>
                <c:pt idx="29">
                  <c:v>1.5223300970873785</c:v>
                </c:pt>
                <c:pt idx="30">
                  <c:v>1.5766990291262135</c:v>
                </c:pt>
                <c:pt idx="31">
                  <c:v>1.6310679611650485</c:v>
                </c:pt>
                <c:pt idx="32">
                  <c:v>1.6854368932038835</c:v>
                </c:pt>
                <c:pt idx="33">
                  <c:v>1.7398058252427184</c:v>
                </c:pt>
                <c:pt idx="34">
                  <c:v>1.7941747572815534</c:v>
                </c:pt>
                <c:pt idx="35">
                  <c:v>1.8485436893203884</c:v>
                </c:pt>
                <c:pt idx="36">
                  <c:v>1.9029126213592233</c:v>
                </c:pt>
                <c:pt idx="37">
                  <c:v>1.9572815533980583</c:v>
                </c:pt>
                <c:pt idx="38">
                  <c:v>2.0116504854368933</c:v>
                </c:pt>
                <c:pt idx="39">
                  <c:v>2.066019417475728</c:v>
                </c:pt>
                <c:pt idx="40">
                  <c:v>2.1203883495145632</c:v>
                </c:pt>
                <c:pt idx="41">
                  <c:v>2.174757281553398</c:v>
                </c:pt>
                <c:pt idx="42">
                  <c:v>2.2291262135922332</c:v>
                </c:pt>
                <c:pt idx="43">
                  <c:v>2.2834951456310679</c:v>
                </c:pt>
                <c:pt idx="44">
                  <c:v>2.3378640776699027</c:v>
                </c:pt>
                <c:pt idx="45">
                  <c:v>2.3922330097087379</c:v>
                </c:pt>
                <c:pt idx="46">
                  <c:v>2.4466019417475726</c:v>
                </c:pt>
                <c:pt idx="47">
                  <c:v>2.5009708737864078</c:v>
                </c:pt>
                <c:pt idx="48">
                  <c:v>2.5553398058252426</c:v>
                </c:pt>
                <c:pt idx="49">
                  <c:v>2.6097087378640778</c:v>
                </c:pt>
                <c:pt idx="50">
                  <c:v>2.6640776699029125</c:v>
                </c:pt>
                <c:pt idx="51">
                  <c:v>2.7184466019417477</c:v>
                </c:pt>
                <c:pt idx="52">
                  <c:v>2.7728155339805824</c:v>
                </c:pt>
                <c:pt idx="53">
                  <c:v>2.7728155339805824</c:v>
                </c:pt>
                <c:pt idx="54">
                  <c:v>2.8271844660194176</c:v>
                </c:pt>
                <c:pt idx="55">
                  <c:v>2.8815533980582524</c:v>
                </c:pt>
                <c:pt idx="56">
                  <c:v>2.9359223300970871</c:v>
                </c:pt>
                <c:pt idx="57">
                  <c:v>2.9902912621359223</c:v>
                </c:pt>
                <c:pt idx="58">
                  <c:v>3.0446601941747571</c:v>
                </c:pt>
                <c:pt idx="59">
                  <c:v>3.0990291262135923</c:v>
                </c:pt>
                <c:pt idx="60">
                  <c:v>3.153398058252427</c:v>
                </c:pt>
                <c:pt idx="61">
                  <c:v>3.2077669902912622</c:v>
                </c:pt>
                <c:pt idx="62">
                  <c:v>3.262135922330097</c:v>
                </c:pt>
                <c:pt idx="63">
                  <c:v>3.3165048543689322</c:v>
                </c:pt>
                <c:pt idx="64">
                  <c:v>3.3708737864077669</c:v>
                </c:pt>
                <c:pt idx="65">
                  <c:v>3.4252427184466021</c:v>
                </c:pt>
                <c:pt idx="66">
                  <c:v>3.4796116504854369</c:v>
                </c:pt>
                <c:pt idx="67">
                  <c:v>3.5339805825242716</c:v>
                </c:pt>
                <c:pt idx="68">
                  <c:v>3.5883495145631068</c:v>
                </c:pt>
                <c:pt idx="69">
                  <c:v>3.6427184466019416</c:v>
                </c:pt>
                <c:pt idx="70">
                  <c:v>3.6970873786407767</c:v>
                </c:pt>
                <c:pt idx="71">
                  <c:v>3.7514563106796115</c:v>
                </c:pt>
                <c:pt idx="72">
                  <c:v>3.8058252427184467</c:v>
                </c:pt>
                <c:pt idx="73">
                  <c:v>3.8601941747572814</c:v>
                </c:pt>
                <c:pt idx="74">
                  <c:v>3.9145631067961166</c:v>
                </c:pt>
                <c:pt idx="75">
                  <c:v>3.9689320388349514</c:v>
                </c:pt>
                <c:pt idx="76">
                  <c:v>4.0233009708737866</c:v>
                </c:pt>
                <c:pt idx="77">
                  <c:v>4.0776699029126213</c:v>
                </c:pt>
                <c:pt idx="78">
                  <c:v>4.1320388349514561</c:v>
                </c:pt>
                <c:pt idx="79">
                  <c:v>4.1864077669902908</c:v>
                </c:pt>
                <c:pt idx="80">
                  <c:v>4.2407766990291265</c:v>
                </c:pt>
                <c:pt idx="81">
                  <c:v>4.2951456310679612</c:v>
                </c:pt>
                <c:pt idx="82">
                  <c:v>4.349514563106796</c:v>
                </c:pt>
                <c:pt idx="83">
                  <c:v>4.4038834951456307</c:v>
                </c:pt>
                <c:pt idx="84">
                  <c:v>4.4582524271844663</c:v>
                </c:pt>
                <c:pt idx="85">
                  <c:v>4.5126213592233011</c:v>
                </c:pt>
                <c:pt idx="86">
                  <c:v>4.5669902912621358</c:v>
                </c:pt>
                <c:pt idx="87">
                  <c:v>4.6213592233009706</c:v>
                </c:pt>
                <c:pt idx="88">
                  <c:v>4.6757281553398053</c:v>
                </c:pt>
                <c:pt idx="89">
                  <c:v>4.730097087378641</c:v>
                </c:pt>
                <c:pt idx="90">
                  <c:v>4.7844660194174757</c:v>
                </c:pt>
                <c:pt idx="91">
                  <c:v>4.8388349514563105</c:v>
                </c:pt>
                <c:pt idx="92">
                  <c:v>4.8932038834951452</c:v>
                </c:pt>
                <c:pt idx="93">
                  <c:v>4.9475728155339809</c:v>
                </c:pt>
                <c:pt idx="94">
                  <c:v>5.0019417475728156</c:v>
                </c:pt>
                <c:pt idx="95">
                  <c:v>5.0563106796116504</c:v>
                </c:pt>
                <c:pt idx="96">
                  <c:v>5.1106796116504851</c:v>
                </c:pt>
                <c:pt idx="97">
                  <c:v>5.1650485436893208</c:v>
                </c:pt>
                <c:pt idx="98">
                  <c:v>5.2194174757281555</c:v>
                </c:pt>
                <c:pt idx="99">
                  <c:v>5.2737864077669903</c:v>
                </c:pt>
                <c:pt idx="100">
                  <c:v>5.328155339805825</c:v>
                </c:pt>
                <c:pt idx="101">
                  <c:v>5.3825242718446598</c:v>
                </c:pt>
                <c:pt idx="102">
                  <c:v>5.4368932038834954</c:v>
                </c:pt>
                <c:pt idx="103">
                  <c:v>5.4912621359223301</c:v>
                </c:pt>
                <c:pt idx="104">
                  <c:v>5.5456310679611649</c:v>
                </c:pt>
                <c:pt idx="105">
                  <c:v>5.6</c:v>
                </c:pt>
              </c:numCache>
            </c:numRef>
          </c:xVal>
          <c:yVal>
            <c:numRef>
              <c:f>Foglio1!$R$4:$R$109</c:f>
              <c:numCache>
                <c:formatCode>0.00</c:formatCode>
                <c:ptCount val="106"/>
                <c:pt idx="0">
                  <c:v>0</c:v>
                </c:pt>
                <c:pt idx="1">
                  <c:v>4.6771744745027801</c:v>
                </c:pt>
                <c:pt idx="2">
                  <c:v>9.2626396455839384</c:v>
                </c:pt>
                <c:pt idx="3">
                  <c:v>13.75639551324347</c:v>
                </c:pt>
                <c:pt idx="4">
                  <c:v>18.158442077481382</c:v>
                </c:pt>
                <c:pt idx="5">
                  <c:v>22.468779338297669</c:v>
                </c:pt>
                <c:pt idx="6">
                  <c:v>26.687407295692331</c:v>
                </c:pt>
                <c:pt idx="7">
                  <c:v>30.814325949665374</c:v>
                </c:pt>
                <c:pt idx="8">
                  <c:v>34.849535300216793</c:v>
                </c:pt>
                <c:pt idx="9">
                  <c:v>38.793035347346589</c:v>
                </c:pt>
                <c:pt idx="10">
                  <c:v>42.64482609105476</c:v>
                </c:pt>
                <c:pt idx="11">
                  <c:v>46.404907531341308</c:v>
                </c:pt>
                <c:pt idx="12">
                  <c:v>50.073279668206233</c:v>
                </c:pt>
                <c:pt idx="13">
                  <c:v>53.649942501649541</c:v>
                </c:pt>
                <c:pt idx="14">
                  <c:v>57.134896031671211</c:v>
                </c:pt>
                <c:pt idx="15">
                  <c:v>60.528140258271264</c:v>
                </c:pt>
                <c:pt idx="16">
                  <c:v>63.829675181449709</c:v>
                </c:pt>
                <c:pt idx="17">
                  <c:v>67.039500801206515</c:v>
                </c:pt>
                <c:pt idx="18">
                  <c:v>70.157617117541704</c:v>
                </c:pt>
                <c:pt idx="19">
                  <c:v>73.184024130455271</c:v>
                </c:pt>
                <c:pt idx="20">
                  <c:v>76.118721839947199</c:v>
                </c:pt>
                <c:pt idx="21">
                  <c:v>78.961710246017518</c:v>
                </c:pt>
                <c:pt idx="22">
                  <c:v>81.712989348666213</c:v>
                </c:pt>
                <c:pt idx="23">
                  <c:v>84.372559147893284</c:v>
                </c:pt>
                <c:pt idx="24">
                  <c:v>86.940419643698732</c:v>
                </c:pt>
                <c:pt idx="25">
                  <c:v>89.41657083608257</c:v>
                </c:pt>
                <c:pt idx="26">
                  <c:v>89.41657083608257</c:v>
                </c:pt>
                <c:pt idx="27">
                  <c:v>91.801012725044757</c:v>
                </c:pt>
                <c:pt idx="28">
                  <c:v>94.093745310585348</c:v>
                </c:pt>
                <c:pt idx="29">
                  <c:v>96.294768592704287</c:v>
                </c:pt>
                <c:pt idx="30">
                  <c:v>98.404082571401617</c:v>
                </c:pt>
                <c:pt idx="31">
                  <c:v>100.42168724667732</c:v>
                </c:pt>
                <c:pt idx="32">
                  <c:v>102.34758261853143</c:v>
                </c:pt>
                <c:pt idx="33">
                  <c:v>104.18176868696389</c:v>
                </c:pt>
                <c:pt idx="34">
                  <c:v>105.92424545197473</c:v>
                </c:pt>
                <c:pt idx="35">
                  <c:v>107.57501291356394</c:v>
                </c:pt>
                <c:pt idx="36">
                  <c:v>109.13407107173153</c:v>
                </c:pt>
                <c:pt idx="37">
                  <c:v>110.60141992647749</c:v>
                </c:pt>
                <c:pt idx="38">
                  <c:v>111.97705947780184</c:v>
                </c:pt>
                <c:pt idx="39">
                  <c:v>113.26098972570458</c:v>
                </c:pt>
                <c:pt idx="40">
                  <c:v>114.45321067018568</c:v>
                </c:pt>
                <c:pt idx="41">
                  <c:v>115.55372231124515</c:v>
                </c:pt>
                <c:pt idx="42">
                  <c:v>116.56252464888301</c:v>
                </c:pt>
                <c:pt idx="43">
                  <c:v>117.47961768309922</c:v>
                </c:pt>
                <c:pt idx="44">
                  <c:v>118.30500141389385</c:v>
                </c:pt>
                <c:pt idx="45">
                  <c:v>119.03867584126684</c:v>
                </c:pt>
                <c:pt idx="46">
                  <c:v>119.68064096521819</c:v>
                </c:pt>
                <c:pt idx="47">
                  <c:v>120.23089678574793</c:v>
                </c:pt>
                <c:pt idx="48">
                  <c:v>120.68944330285606</c:v>
                </c:pt>
                <c:pt idx="49">
                  <c:v>121.05628051654253</c:v>
                </c:pt>
                <c:pt idx="50">
                  <c:v>121.33140842680741</c:v>
                </c:pt>
                <c:pt idx="51">
                  <c:v>121.51482703365066</c:v>
                </c:pt>
                <c:pt idx="52">
                  <c:v>121.60653633707227</c:v>
                </c:pt>
                <c:pt idx="53">
                  <c:v>121.60653633707227</c:v>
                </c:pt>
                <c:pt idx="54">
                  <c:v>121.60653633707227</c:v>
                </c:pt>
                <c:pt idx="55">
                  <c:v>121.51482703365065</c:v>
                </c:pt>
                <c:pt idx="56">
                  <c:v>121.33140842680743</c:v>
                </c:pt>
                <c:pt idx="57">
                  <c:v>121.0562805165425</c:v>
                </c:pt>
                <c:pt idx="58">
                  <c:v>120.68944330285603</c:v>
                </c:pt>
                <c:pt idx="59">
                  <c:v>120.23089678574794</c:v>
                </c:pt>
                <c:pt idx="60">
                  <c:v>119.68064096521817</c:v>
                </c:pt>
                <c:pt idx="61">
                  <c:v>119.03867584126684</c:v>
                </c:pt>
                <c:pt idx="62">
                  <c:v>118.30500141389382</c:v>
                </c:pt>
                <c:pt idx="63">
                  <c:v>117.47961768309924</c:v>
                </c:pt>
                <c:pt idx="64">
                  <c:v>116.56252464888303</c:v>
                </c:pt>
                <c:pt idx="65">
                  <c:v>115.55372231124514</c:v>
                </c:pt>
                <c:pt idx="66">
                  <c:v>114.45321067018568</c:v>
                </c:pt>
                <c:pt idx="67">
                  <c:v>113.26098972570455</c:v>
                </c:pt>
                <c:pt idx="68">
                  <c:v>111.97705947780184</c:v>
                </c:pt>
                <c:pt idx="69">
                  <c:v>110.60141992647752</c:v>
                </c:pt>
                <c:pt idx="70">
                  <c:v>109.13407107173151</c:v>
                </c:pt>
                <c:pt idx="71">
                  <c:v>107.57501291356394</c:v>
                </c:pt>
                <c:pt idx="72">
                  <c:v>105.92424545197468</c:v>
                </c:pt>
                <c:pt idx="73">
                  <c:v>104.18176868696389</c:v>
                </c:pt>
                <c:pt idx="74">
                  <c:v>102.34758261853139</c:v>
                </c:pt>
                <c:pt idx="75">
                  <c:v>100.42168724667732</c:v>
                </c:pt>
                <c:pt idx="76">
                  <c:v>98.404082571401574</c:v>
                </c:pt>
                <c:pt idx="77">
                  <c:v>96.294768592704315</c:v>
                </c:pt>
                <c:pt idx="78">
                  <c:v>94.093745310585348</c:v>
                </c:pt>
                <c:pt idx="79">
                  <c:v>91.801012725044757</c:v>
                </c:pt>
                <c:pt idx="80">
                  <c:v>89.416570836082542</c:v>
                </c:pt>
                <c:pt idx="81">
                  <c:v>86.940419643698704</c:v>
                </c:pt>
                <c:pt idx="82">
                  <c:v>84.372559147893298</c:v>
                </c:pt>
                <c:pt idx="83">
                  <c:v>81.712989348666213</c:v>
                </c:pt>
                <c:pt idx="84">
                  <c:v>78.961710246017503</c:v>
                </c:pt>
                <c:pt idx="85">
                  <c:v>76.11872183994717</c:v>
                </c:pt>
                <c:pt idx="86">
                  <c:v>73.184024130455214</c:v>
                </c:pt>
                <c:pt idx="87">
                  <c:v>70.157617117541633</c:v>
                </c:pt>
                <c:pt idx="88">
                  <c:v>67.039500801206543</c:v>
                </c:pt>
                <c:pt idx="89">
                  <c:v>63.829675181449659</c:v>
                </c:pt>
                <c:pt idx="90">
                  <c:v>60.528140258271264</c:v>
                </c:pt>
                <c:pt idx="91">
                  <c:v>57.13489603167119</c:v>
                </c:pt>
                <c:pt idx="92">
                  <c:v>53.649942501649548</c:v>
                </c:pt>
                <c:pt idx="93">
                  <c:v>50.073279668206169</c:v>
                </c:pt>
                <c:pt idx="94">
                  <c:v>46.40490753134128</c:v>
                </c:pt>
                <c:pt idx="95">
                  <c:v>42.644826091054767</c:v>
                </c:pt>
                <c:pt idx="96">
                  <c:v>38.793035347346631</c:v>
                </c:pt>
                <c:pt idx="97">
                  <c:v>34.849535300216758</c:v>
                </c:pt>
                <c:pt idx="98">
                  <c:v>30.814325949665317</c:v>
                </c:pt>
                <c:pt idx="99">
                  <c:v>26.68740729569231</c:v>
                </c:pt>
                <c:pt idx="100">
                  <c:v>22.468779338297679</c:v>
                </c:pt>
                <c:pt idx="101">
                  <c:v>18.158442077481368</c:v>
                </c:pt>
                <c:pt idx="102">
                  <c:v>13.756395513243433</c:v>
                </c:pt>
                <c:pt idx="103">
                  <c:v>9.2626396455838744</c:v>
                </c:pt>
                <c:pt idx="104">
                  <c:v>4.677174474502749</c:v>
                </c:pt>
                <c:pt idx="10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mrd</c:v>
          </c:tx>
          <c:spPr>
            <a:ln w="19050" cap="rnd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Foglio1!$Q$4:$Q$109</c:f>
              <c:numCache>
                <c:formatCode>0.000</c:formatCode>
                <c:ptCount val="106"/>
                <c:pt idx="0">
                  <c:v>0</c:v>
                </c:pt>
                <c:pt idx="1">
                  <c:v>5.4368932038834951E-2</c:v>
                </c:pt>
                <c:pt idx="2">
                  <c:v>0.1087378640776699</c:v>
                </c:pt>
                <c:pt idx="3">
                  <c:v>0.16310679611650486</c:v>
                </c:pt>
                <c:pt idx="4">
                  <c:v>0.2174757281553398</c:v>
                </c:pt>
                <c:pt idx="5">
                  <c:v>0.27184466019417475</c:v>
                </c:pt>
                <c:pt idx="6">
                  <c:v>0.32621359223300972</c:v>
                </c:pt>
                <c:pt idx="7">
                  <c:v>0.38058252427184464</c:v>
                </c:pt>
                <c:pt idx="8">
                  <c:v>0.43495145631067961</c:v>
                </c:pt>
                <c:pt idx="9">
                  <c:v>0.48932038834951458</c:v>
                </c:pt>
                <c:pt idx="10">
                  <c:v>0.5436893203883495</c:v>
                </c:pt>
                <c:pt idx="11">
                  <c:v>0.59805825242718447</c:v>
                </c:pt>
                <c:pt idx="12">
                  <c:v>0.65242718446601944</c:v>
                </c:pt>
                <c:pt idx="13">
                  <c:v>0.70679611650485441</c:v>
                </c:pt>
                <c:pt idx="14">
                  <c:v>0.76116504854368927</c:v>
                </c:pt>
                <c:pt idx="15">
                  <c:v>0.81553398058252424</c:v>
                </c:pt>
                <c:pt idx="16">
                  <c:v>0.86990291262135921</c:v>
                </c:pt>
                <c:pt idx="17">
                  <c:v>0.92427184466019419</c:v>
                </c:pt>
                <c:pt idx="18">
                  <c:v>0.97864077669902916</c:v>
                </c:pt>
                <c:pt idx="19">
                  <c:v>1.033009708737864</c:v>
                </c:pt>
                <c:pt idx="20">
                  <c:v>1.087378640776699</c:v>
                </c:pt>
                <c:pt idx="21">
                  <c:v>1.141747572815534</c:v>
                </c:pt>
                <c:pt idx="22">
                  <c:v>1.1961165048543689</c:v>
                </c:pt>
                <c:pt idx="23">
                  <c:v>1.2504854368932039</c:v>
                </c:pt>
                <c:pt idx="24">
                  <c:v>1.3048543689320389</c:v>
                </c:pt>
                <c:pt idx="25">
                  <c:v>1.3592233009708738</c:v>
                </c:pt>
                <c:pt idx="26">
                  <c:v>1.3592233009708738</c:v>
                </c:pt>
                <c:pt idx="27">
                  <c:v>1.4135922330097088</c:v>
                </c:pt>
                <c:pt idx="28">
                  <c:v>1.4679611650485436</c:v>
                </c:pt>
                <c:pt idx="29">
                  <c:v>1.5223300970873785</c:v>
                </c:pt>
                <c:pt idx="30">
                  <c:v>1.5766990291262135</c:v>
                </c:pt>
                <c:pt idx="31">
                  <c:v>1.6310679611650485</c:v>
                </c:pt>
                <c:pt idx="32">
                  <c:v>1.6854368932038835</c:v>
                </c:pt>
                <c:pt idx="33">
                  <c:v>1.7398058252427184</c:v>
                </c:pt>
                <c:pt idx="34">
                  <c:v>1.7941747572815534</c:v>
                </c:pt>
                <c:pt idx="35">
                  <c:v>1.8485436893203884</c:v>
                </c:pt>
                <c:pt idx="36">
                  <c:v>1.9029126213592233</c:v>
                </c:pt>
                <c:pt idx="37">
                  <c:v>1.9572815533980583</c:v>
                </c:pt>
                <c:pt idx="38">
                  <c:v>2.0116504854368933</c:v>
                </c:pt>
                <c:pt idx="39">
                  <c:v>2.066019417475728</c:v>
                </c:pt>
                <c:pt idx="40">
                  <c:v>2.1203883495145632</c:v>
                </c:pt>
                <c:pt idx="41">
                  <c:v>2.174757281553398</c:v>
                </c:pt>
                <c:pt idx="42">
                  <c:v>2.2291262135922332</c:v>
                </c:pt>
                <c:pt idx="43">
                  <c:v>2.2834951456310679</c:v>
                </c:pt>
                <c:pt idx="44">
                  <c:v>2.3378640776699027</c:v>
                </c:pt>
                <c:pt idx="45">
                  <c:v>2.3922330097087379</c:v>
                </c:pt>
                <c:pt idx="46">
                  <c:v>2.4466019417475726</c:v>
                </c:pt>
                <c:pt idx="47">
                  <c:v>2.5009708737864078</c:v>
                </c:pt>
                <c:pt idx="48">
                  <c:v>2.5553398058252426</c:v>
                </c:pt>
                <c:pt idx="49">
                  <c:v>2.6097087378640778</c:v>
                </c:pt>
                <c:pt idx="50">
                  <c:v>2.6640776699029125</c:v>
                </c:pt>
                <c:pt idx="51">
                  <c:v>2.7184466019417477</c:v>
                </c:pt>
                <c:pt idx="52">
                  <c:v>2.7728155339805824</c:v>
                </c:pt>
                <c:pt idx="53">
                  <c:v>2.7728155339805824</c:v>
                </c:pt>
                <c:pt idx="54">
                  <c:v>2.8271844660194176</c:v>
                </c:pt>
                <c:pt idx="55">
                  <c:v>2.8815533980582524</c:v>
                </c:pt>
                <c:pt idx="56">
                  <c:v>2.9359223300970871</c:v>
                </c:pt>
                <c:pt idx="57">
                  <c:v>2.9902912621359223</c:v>
                </c:pt>
                <c:pt idx="58">
                  <c:v>3.0446601941747571</c:v>
                </c:pt>
                <c:pt idx="59">
                  <c:v>3.0990291262135923</c:v>
                </c:pt>
                <c:pt idx="60">
                  <c:v>3.153398058252427</c:v>
                </c:pt>
                <c:pt idx="61">
                  <c:v>3.2077669902912622</c:v>
                </c:pt>
                <c:pt idx="62">
                  <c:v>3.262135922330097</c:v>
                </c:pt>
                <c:pt idx="63">
                  <c:v>3.3165048543689322</c:v>
                </c:pt>
                <c:pt idx="64">
                  <c:v>3.3708737864077669</c:v>
                </c:pt>
                <c:pt idx="65">
                  <c:v>3.4252427184466021</c:v>
                </c:pt>
                <c:pt idx="66">
                  <c:v>3.4796116504854369</c:v>
                </c:pt>
                <c:pt idx="67">
                  <c:v>3.5339805825242716</c:v>
                </c:pt>
                <c:pt idx="68">
                  <c:v>3.5883495145631068</c:v>
                </c:pt>
                <c:pt idx="69">
                  <c:v>3.6427184466019416</c:v>
                </c:pt>
                <c:pt idx="70">
                  <c:v>3.6970873786407767</c:v>
                </c:pt>
                <c:pt idx="71">
                  <c:v>3.7514563106796115</c:v>
                </c:pt>
                <c:pt idx="72">
                  <c:v>3.8058252427184467</c:v>
                </c:pt>
                <c:pt idx="73">
                  <c:v>3.8601941747572814</c:v>
                </c:pt>
                <c:pt idx="74">
                  <c:v>3.9145631067961166</c:v>
                </c:pt>
                <c:pt idx="75">
                  <c:v>3.9689320388349514</c:v>
                </c:pt>
                <c:pt idx="76">
                  <c:v>4.0233009708737866</c:v>
                </c:pt>
                <c:pt idx="77">
                  <c:v>4.0776699029126213</c:v>
                </c:pt>
                <c:pt idx="78">
                  <c:v>4.1320388349514561</c:v>
                </c:pt>
                <c:pt idx="79">
                  <c:v>4.1864077669902908</c:v>
                </c:pt>
                <c:pt idx="80">
                  <c:v>4.2407766990291265</c:v>
                </c:pt>
                <c:pt idx="81">
                  <c:v>4.2951456310679612</c:v>
                </c:pt>
                <c:pt idx="82">
                  <c:v>4.349514563106796</c:v>
                </c:pt>
                <c:pt idx="83">
                  <c:v>4.4038834951456307</c:v>
                </c:pt>
                <c:pt idx="84">
                  <c:v>4.4582524271844663</c:v>
                </c:pt>
                <c:pt idx="85">
                  <c:v>4.5126213592233011</c:v>
                </c:pt>
                <c:pt idx="86">
                  <c:v>4.5669902912621358</c:v>
                </c:pt>
                <c:pt idx="87">
                  <c:v>4.6213592233009706</c:v>
                </c:pt>
                <c:pt idx="88">
                  <c:v>4.6757281553398053</c:v>
                </c:pt>
                <c:pt idx="89">
                  <c:v>4.730097087378641</c:v>
                </c:pt>
                <c:pt idx="90">
                  <c:v>4.7844660194174757</c:v>
                </c:pt>
                <c:pt idx="91">
                  <c:v>4.8388349514563105</c:v>
                </c:pt>
                <c:pt idx="92">
                  <c:v>4.8932038834951452</c:v>
                </c:pt>
                <c:pt idx="93">
                  <c:v>4.9475728155339809</c:v>
                </c:pt>
                <c:pt idx="94">
                  <c:v>5.0019417475728156</c:v>
                </c:pt>
                <c:pt idx="95">
                  <c:v>5.0563106796116504</c:v>
                </c:pt>
                <c:pt idx="96">
                  <c:v>5.1106796116504851</c:v>
                </c:pt>
                <c:pt idx="97">
                  <c:v>5.1650485436893208</c:v>
                </c:pt>
                <c:pt idx="98">
                  <c:v>5.2194174757281555</c:v>
                </c:pt>
                <c:pt idx="99">
                  <c:v>5.2737864077669903</c:v>
                </c:pt>
                <c:pt idx="100">
                  <c:v>5.328155339805825</c:v>
                </c:pt>
                <c:pt idx="101">
                  <c:v>5.3825242718446598</c:v>
                </c:pt>
                <c:pt idx="102">
                  <c:v>5.4368932038834954</c:v>
                </c:pt>
                <c:pt idx="103">
                  <c:v>5.4912621359223301</c:v>
                </c:pt>
                <c:pt idx="104">
                  <c:v>5.5456310679611649</c:v>
                </c:pt>
                <c:pt idx="105">
                  <c:v>5.6</c:v>
                </c:pt>
              </c:numCache>
            </c:numRef>
          </c:xVal>
          <c:yVal>
            <c:numRef>
              <c:f>Foglio1!$T$4:$T$109</c:f>
              <c:numCache>
                <c:formatCode>0.00</c:formatCode>
                <c:ptCount val="106"/>
                <c:pt idx="0">
                  <c:v>78.09985677725733</c:v>
                </c:pt>
                <c:pt idx="1">
                  <c:v>78.09985677725733</c:v>
                </c:pt>
                <c:pt idx="2">
                  <c:v>78.09985677725733</c:v>
                </c:pt>
                <c:pt idx="3">
                  <c:v>78.09985677725733</c:v>
                </c:pt>
                <c:pt idx="4">
                  <c:v>78.09985677725733</c:v>
                </c:pt>
                <c:pt idx="5">
                  <c:v>78.09985677725733</c:v>
                </c:pt>
                <c:pt idx="6">
                  <c:v>78.09985677725733</c:v>
                </c:pt>
                <c:pt idx="7">
                  <c:v>78.09985677725733</c:v>
                </c:pt>
                <c:pt idx="8">
                  <c:v>78.09985677725733</c:v>
                </c:pt>
                <c:pt idx="9">
                  <c:v>78.09985677725733</c:v>
                </c:pt>
                <c:pt idx="10">
                  <c:v>78.09985677725733</c:v>
                </c:pt>
                <c:pt idx="11">
                  <c:v>78.09985677725733</c:v>
                </c:pt>
                <c:pt idx="12">
                  <c:v>129.08216872365227</c:v>
                </c:pt>
                <c:pt idx="13">
                  <c:v>129.08216872365227</c:v>
                </c:pt>
                <c:pt idx="14">
                  <c:v>129.08216872365227</c:v>
                </c:pt>
                <c:pt idx="15">
                  <c:v>129.08216872365227</c:v>
                </c:pt>
                <c:pt idx="16">
                  <c:v>129.08216872365227</c:v>
                </c:pt>
                <c:pt idx="17">
                  <c:v>129.08216872365227</c:v>
                </c:pt>
                <c:pt idx="18">
                  <c:v>129.08216872365227</c:v>
                </c:pt>
                <c:pt idx="19">
                  <c:v>129.08216872365227</c:v>
                </c:pt>
                <c:pt idx="20">
                  <c:v>129.08216872365227</c:v>
                </c:pt>
                <c:pt idx="21">
                  <c:v>129.08216872365227</c:v>
                </c:pt>
                <c:pt idx="22">
                  <c:v>129.08216872365227</c:v>
                </c:pt>
                <c:pt idx="23">
                  <c:v>129.08216872365227</c:v>
                </c:pt>
                <c:pt idx="24">
                  <c:v>129.08216872365227</c:v>
                </c:pt>
                <c:pt idx="25">
                  <c:v>129.08216872365227</c:v>
                </c:pt>
                <c:pt idx="26">
                  <c:v>129.08216872365227</c:v>
                </c:pt>
                <c:pt idx="27">
                  <c:v>129.08216872365227</c:v>
                </c:pt>
                <c:pt idx="28">
                  <c:v>129.08216872365227</c:v>
                </c:pt>
                <c:pt idx="29">
                  <c:v>129.08216872365227</c:v>
                </c:pt>
                <c:pt idx="30">
                  <c:v>129.08216872365227</c:v>
                </c:pt>
                <c:pt idx="31">
                  <c:v>129.08216872365227</c:v>
                </c:pt>
                <c:pt idx="32">
                  <c:v>129.08216872365227</c:v>
                </c:pt>
                <c:pt idx="33">
                  <c:v>129.08216872365227</c:v>
                </c:pt>
                <c:pt idx="34">
                  <c:v>129.08216872365227</c:v>
                </c:pt>
                <c:pt idx="35">
                  <c:v>129.08216872365227</c:v>
                </c:pt>
                <c:pt idx="36">
                  <c:v>129.08216872365227</c:v>
                </c:pt>
                <c:pt idx="37">
                  <c:v>129.08216872365227</c:v>
                </c:pt>
                <c:pt idx="38">
                  <c:v>129.08216872365227</c:v>
                </c:pt>
                <c:pt idx="39">
                  <c:v>129.08216872365227</c:v>
                </c:pt>
                <c:pt idx="40">
                  <c:v>129.08216872365227</c:v>
                </c:pt>
                <c:pt idx="41">
                  <c:v>129.08216872365227</c:v>
                </c:pt>
                <c:pt idx="42">
                  <c:v>129.08216872365227</c:v>
                </c:pt>
                <c:pt idx="43">
                  <c:v>129.08216872365227</c:v>
                </c:pt>
                <c:pt idx="44">
                  <c:v>129.08216872365227</c:v>
                </c:pt>
                <c:pt idx="45">
                  <c:v>129.08216872365227</c:v>
                </c:pt>
                <c:pt idx="46">
                  <c:v>129.08216872365227</c:v>
                </c:pt>
                <c:pt idx="47">
                  <c:v>129.08216872365227</c:v>
                </c:pt>
                <c:pt idx="48">
                  <c:v>129.08216872365227</c:v>
                </c:pt>
                <c:pt idx="49">
                  <c:v>129.08216872365227</c:v>
                </c:pt>
                <c:pt idx="50">
                  <c:v>129.08216872365227</c:v>
                </c:pt>
                <c:pt idx="51">
                  <c:v>129.08216872365227</c:v>
                </c:pt>
                <c:pt idx="52">
                  <c:v>129.08216872365227</c:v>
                </c:pt>
                <c:pt idx="53">
                  <c:v>129.08216872365227</c:v>
                </c:pt>
                <c:pt idx="54">
                  <c:v>129.08216872365227</c:v>
                </c:pt>
                <c:pt idx="55">
                  <c:v>129.08216872365227</c:v>
                </c:pt>
                <c:pt idx="56">
                  <c:v>129.08216872365227</c:v>
                </c:pt>
                <c:pt idx="57">
                  <c:v>129.08216872365227</c:v>
                </c:pt>
                <c:pt idx="58">
                  <c:v>129.08216872365227</c:v>
                </c:pt>
                <c:pt idx="59">
                  <c:v>129.08216872365227</c:v>
                </c:pt>
                <c:pt idx="60">
                  <c:v>129.08216872365227</c:v>
                </c:pt>
                <c:pt idx="61">
                  <c:v>129.08216872365227</c:v>
                </c:pt>
                <c:pt idx="62">
                  <c:v>129.08216872365227</c:v>
                </c:pt>
                <c:pt idx="63">
                  <c:v>129.08216872365227</c:v>
                </c:pt>
                <c:pt idx="64">
                  <c:v>129.08216872365227</c:v>
                </c:pt>
                <c:pt idx="65">
                  <c:v>129.08216872365227</c:v>
                </c:pt>
                <c:pt idx="66">
                  <c:v>129.08216872365227</c:v>
                </c:pt>
                <c:pt idx="67">
                  <c:v>129.08216872365227</c:v>
                </c:pt>
                <c:pt idx="68">
                  <c:v>129.08216872365227</c:v>
                </c:pt>
                <c:pt idx="69">
                  <c:v>129.08216872365227</c:v>
                </c:pt>
                <c:pt idx="70">
                  <c:v>129.08216872365227</c:v>
                </c:pt>
                <c:pt idx="71">
                  <c:v>129.08216872365227</c:v>
                </c:pt>
                <c:pt idx="72">
                  <c:v>129.08216872365227</c:v>
                </c:pt>
                <c:pt idx="73">
                  <c:v>129.08216872365227</c:v>
                </c:pt>
                <c:pt idx="74">
                  <c:v>129.08216872365227</c:v>
                </c:pt>
                <c:pt idx="75">
                  <c:v>129.08216872365227</c:v>
                </c:pt>
                <c:pt idx="76">
                  <c:v>129.08216872365227</c:v>
                </c:pt>
                <c:pt idx="77">
                  <c:v>129.08216872365227</c:v>
                </c:pt>
                <c:pt idx="78">
                  <c:v>129.08216872365227</c:v>
                </c:pt>
                <c:pt idx="79">
                  <c:v>129.08216872365227</c:v>
                </c:pt>
                <c:pt idx="80">
                  <c:v>129.08216872365227</c:v>
                </c:pt>
                <c:pt idx="81">
                  <c:v>129.08216872365227</c:v>
                </c:pt>
                <c:pt idx="82">
                  <c:v>129.08216872365227</c:v>
                </c:pt>
                <c:pt idx="83">
                  <c:v>129.08216872365227</c:v>
                </c:pt>
                <c:pt idx="84">
                  <c:v>129.08216872365227</c:v>
                </c:pt>
                <c:pt idx="85">
                  <c:v>129.08216872365227</c:v>
                </c:pt>
                <c:pt idx="86">
                  <c:v>129.08216872365227</c:v>
                </c:pt>
                <c:pt idx="87">
                  <c:v>129.08216872365227</c:v>
                </c:pt>
                <c:pt idx="88">
                  <c:v>129.08216872365227</c:v>
                </c:pt>
                <c:pt idx="89">
                  <c:v>129.08216872365227</c:v>
                </c:pt>
                <c:pt idx="90">
                  <c:v>129.08216872365227</c:v>
                </c:pt>
                <c:pt idx="91">
                  <c:v>129.08216872365227</c:v>
                </c:pt>
                <c:pt idx="92">
                  <c:v>129.08216872365227</c:v>
                </c:pt>
                <c:pt idx="93">
                  <c:v>129.08216872365227</c:v>
                </c:pt>
                <c:pt idx="94">
                  <c:v>78.09985677725733</c:v>
                </c:pt>
                <c:pt idx="95">
                  <c:v>78.09985677725733</c:v>
                </c:pt>
                <c:pt idx="96">
                  <c:v>78.09985677725733</c:v>
                </c:pt>
                <c:pt idx="97">
                  <c:v>78.09985677725733</c:v>
                </c:pt>
                <c:pt idx="98">
                  <c:v>78.09985677725733</c:v>
                </c:pt>
                <c:pt idx="99">
                  <c:v>78.09985677725733</c:v>
                </c:pt>
                <c:pt idx="100">
                  <c:v>78.09985677725733</c:v>
                </c:pt>
                <c:pt idx="101">
                  <c:v>78.09985677725733</c:v>
                </c:pt>
                <c:pt idx="102">
                  <c:v>78.09985677725733</c:v>
                </c:pt>
                <c:pt idx="103">
                  <c:v>78.09985677725733</c:v>
                </c:pt>
                <c:pt idx="104">
                  <c:v>78.09985677725733</c:v>
                </c:pt>
                <c:pt idx="105">
                  <c:v>78.09985677725733</c:v>
                </c:pt>
              </c:numCache>
            </c:numRef>
          </c:yVal>
          <c:smooth val="0"/>
        </c:ser>
        <c:ser>
          <c:idx val="2"/>
          <c:order val="2"/>
          <c:tx>
            <c:v>med,trasl</c:v>
          </c:tx>
          <c:spPr>
            <a:ln w="28575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Foglio1!$N$4:$N$109</c:f>
              <c:numCache>
                <c:formatCode>0.000</c:formatCode>
                <c:ptCount val="106"/>
                <c:pt idx="0">
                  <c:v>-8.1000000000000003E-2</c:v>
                </c:pt>
                <c:pt idx="1">
                  <c:v>-2.6631067961165052E-2</c:v>
                </c:pt>
                <c:pt idx="2">
                  <c:v>2.7737864077669899E-2</c:v>
                </c:pt>
                <c:pt idx="3">
                  <c:v>8.2106796116504857E-2</c:v>
                </c:pt>
                <c:pt idx="4">
                  <c:v>0.13647572815533981</c:v>
                </c:pt>
                <c:pt idx="5">
                  <c:v>0.19084466019417473</c:v>
                </c:pt>
                <c:pt idx="6">
                  <c:v>0.2452135922330097</c:v>
                </c:pt>
                <c:pt idx="7">
                  <c:v>0.29958252427184462</c:v>
                </c:pt>
                <c:pt idx="8">
                  <c:v>0.35395145631067959</c:v>
                </c:pt>
                <c:pt idx="9">
                  <c:v>0.40832038834951456</c:v>
                </c:pt>
                <c:pt idx="10">
                  <c:v>0.46268932038834948</c:v>
                </c:pt>
                <c:pt idx="11">
                  <c:v>0.51705825242718451</c:v>
                </c:pt>
                <c:pt idx="12">
                  <c:v>0.57142718446601948</c:v>
                </c:pt>
                <c:pt idx="13">
                  <c:v>0.62579611650485445</c:v>
                </c:pt>
                <c:pt idx="14">
                  <c:v>0.68016504854368931</c:v>
                </c:pt>
                <c:pt idx="15">
                  <c:v>0.73453398058252428</c:v>
                </c:pt>
                <c:pt idx="16">
                  <c:v>0.78890291262135925</c:v>
                </c:pt>
                <c:pt idx="17">
                  <c:v>0.84327184466019423</c:v>
                </c:pt>
                <c:pt idx="18">
                  <c:v>0.8976407766990292</c:v>
                </c:pt>
                <c:pt idx="19">
                  <c:v>0.95200970873786406</c:v>
                </c:pt>
                <c:pt idx="20">
                  <c:v>1.006378640776699</c:v>
                </c:pt>
                <c:pt idx="21">
                  <c:v>1.060747572815534</c:v>
                </c:pt>
                <c:pt idx="22">
                  <c:v>1.115116504854369</c:v>
                </c:pt>
                <c:pt idx="23">
                  <c:v>1.1694854368932039</c:v>
                </c:pt>
                <c:pt idx="24">
                  <c:v>1.2238543689320389</c:v>
                </c:pt>
                <c:pt idx="25">
                  <c:v>1.2782233009708739</c:v>
                </c:pt>
                <c:pt idx="26">
                  <c:v>1.2782233009708739</c:v>
                </c:pt>
                <c:pt idx="27">
                  <c:v>1.3325922330097089</c:v>
                </c:pt>
                <c:pt idx="28">
                  <c:v>1.3869611650485436</c:v>
                </c:pt>
                <c:pt idx="29">
                  <c:v>1.4413300970873786</c:v>
                </c:pt>
                <c:pt idx="30">
                  <c:v>1.4956990291262136</c:v>
                </c:pt>
                <c:pt idx="31">
                  <c:v>1.5500679611650485</c:v>
                </c:pt>
                <c:pt idx="32">
                  <c:v>1.6044368932038835</c:v>
                </c:pt>
                <c:pt idx="33">
                  <c:v>1.6588058252427185</c:v>
                </c:pt>
                <c:pt idx="34">
                  <c:v>1.7131747572815534</c:v>
                </c:pt>
                <c:pt idx="35">
                  <c:v>1.7675436893203884</c:v>
                </c:pt>
                <c:pt idx="36">
                  <c:v>1.8219126213592234</c:v>
                </c:pt>
                <c:pt idx="37">
                  <c:v>1.8762815533980584</c:v>
                </c:pt>
                <c:pt idx="38">
                  <c:v>1.9306504854368933</c:v>
                </c:pt>
                <c:pt idx="39">
                  <c:v>1.9850194174757281</c:v>
                </c:pt>
                <c:pt idx="40">
                  <c:v>2.0393883495145633</c:v>
                </c:pt>
                <c:pt idx="41">
                  <c:v>2.093757281553398</c:v>
                </c:pt>
                <c:pt idx="42">
                  <c:v>2.1481262135922332</c:v>
                </c:pt>
                <c:pt idx="43">
                  <c:v>2.202495145631068</c:v>
                </c:pt>
                <c:pt idx="44">
                  <c:v>2.2568640776699027</c:v>
                </c:pt>
                <c:pt idx="45">
                  <c:v>2.3112330097087379</c:v>
                </c:pt>
                <c:pt idx="46">
                  <c:v>2.3656019417475727</c:v>
                </c:pt>
                <c:pt idx="47">
                  <c:v>2.4199708737864079</c:v>
                </c:pt>
                <c:pt idx="48">
                  <c:v>2.4743398058252426</c:v>
                </c:pt>
                <c:pt idx="49">
                  <c:v>2.5287087378640778</c:v>
                </c:pt>
                <c:pt idx="50">
                  <c:v>2.5830776699029125</c:v>
                </c:pt>
                <c:pt idx="51">
                  <c:v>2.6374466019417477</c:v>
                </c:pt>
                <c:pt idx="52">
                  <c:v>2.6918155339805825</c:v>
                </c:pt>
                <c:pt idx="53">
                  <c:v>2.8538155339805824</c:v>
                </c:pt>
                <c:pt idx="54">
                  <c:v>2.9081844660194176</c:v>
                </c:pt>
                <c:pt idx="55">
                  <c:v>2.9625533980582524</c:v>
                </c:pt>
                <c:pt idx="56">
                  <c:v>3.0169223300970871</c:v>
                </c:pt>
                <c:pt idx="57">
                  <c:v>3.0712912621359223</c:v>
                </c:pt>
                <c:pt idx="58">
                  <c:v>3.125660194174757</c:v>
                </c:pt>
                <c:pt idx="59">
                  <c:v>3.1800291262135922</c:v>
                </c:pt>
                <c:pt idx="60">
                  <c:v>3.234398058252427</c:v>
                </c:pt>
                <c:pt idx="61">
                  <c:v>3.2887669902912622</c:v>
                </c:pt>
                <c:pt idx="62">
                  <c:v>3.3431359223300969</c:v>
                </c:pt>
                <c:pt idx="63">
                  <c:v>3.3975048543689321</c:v>
                </c:pt>
                <c:pt idx="64">
                  <c:v>3.4518737864077669</c:v>
                </c:pt>
                <c:pt idx="65">
                  <c:v>3.5062427184466021</c:v>
                </c:pt>
                <c:pt idx="66">
                  <c:v>3.5606116504854368</c:v>
                </c:pt>
                <c:pt idx="67">
                  <c:v>3.6149805825242716</c:v>
                </c:pt>
                <c:pt idx="68">
                  <c:v>3.6693495145631068</c:v>
                </c:pt>
                <c:pt idx="69">
                  <c:v>3.7237184466019415</c:v>
                </c:pt>
                <c:pt idx="70">
                  <c:v>3.7780873786407767</c:v>
                </c:pt>
                <c:pt idx="71">
                  <c:v>3.8324563106796115</c:v>
                </c:pt>
                <c:pt idx="72">
                  <c:v>3.8868252427184466</c:v>
                </c:pt>
                <c:pt idx="73">
                  <c:v>3.9411941747572814</c:v>
                </c:pt>
                <c:pt idx="74">
                  <c:v>3.9955631067961166</c:v>
                </c:pt>
                <c:pt idx="75">
                  <c:v>4.0499320388349513</c:v>
                </c:pt>
                <c:pt idx="76">
                  <c:v>4.104300970873787</c:v>
                </c:pt>
                <c:pt idx="77">
                  <c:v>4.1586699029126217</c:v>
                </c:pt>
                <c:pt idx="78">
                  <c:v>4.2130388349514565</c:v>
                </c:pt>
                <c:pt idx="79">
                  <c:v>4.2674077669902912</c:v>
                </c:pt>
                <c:pt idx="80">
                  <c:v>4.3217766990291269</c:v>
                </c:pt>
                <c:pt idx="81">
                  <c:v>4.3761456310679616</c:v>
                </c:pt>
                <c:pt idx="82">
                  <c:v>4.4305145631067964</c:v>
                </c:pt>
                <c:pt idx="83">
                  <c:v>4.4848834951456311</c:v>
                </c:pt>
                <c:pt idx="84">
                  <c:v>4.5392524271844668</c:v>
                </c:pt>
                <c:pt idx="85">
                  <c:v>4.5936213592233015</c:v>
                </c:pt>
                <c:pt idx="86">
                  <c:v>4.6479902912621363</c:v>
                </c:pt>
                <c:pt idx="87">
                  <c:v>4.702359223300971</c:v>
                </c:pt>
                <c:pt idx="88">
                  <c:v>4.7567281553398058</c:v>
                </c:pt>
                <c:pt idx="89">
                  <c:v>4.8110970873786414</c:v>
                </c:pt>
                <c:pt idx="90">
                  <c:v>4.8654660194174761</c:v>
                </c:pt>
                <c:pt idx="91">
                  <c:v>4.9198349514563109</c:v>
                </c:pt>
                <c:pt idx="92">
                  <c:v>4.9742038834951456</c:v>
                </c:pt>
                <c:pt idx="93">
                  <c:v>5.0285728155339813</c:v>
                </c:pt>
                <c:pt idx="94">
                  <c:v>5.082941747572816</c:v>
                </c:pt>
                <c:pt idx="95">
                  <c:v>5.1373106796116508</c:v>
                </c:pt>
                <c:pt idx="96">
                  <c:v>5.1916796116504855</c:v>
                </c:pt>
                <c:pt idx="97">
                  <c:v>5.2460485436893212</c:v>
                </c:pt>
                <c:pt idx="98">
                  <c:v>5.3004174757281559</c:v>
                </c:pt>
                <c:pt idx="99">
                  <c:v>5.3547864077669907</c:v>
                </c:pt>
                <c:pt idx="100">
                  <c:v>5.4091553398058254</c:v>
                </c:pt>
                <c:pt idx="101">
                  <c:v>5.4635242718446602</c:v>
                </c:pt>
                <c:pt idx="102">
                  <c:v>5.5178932038834958</c:v>
                </c:pt>
                <c:pt idx="103">
                  <c:v>5.5722621359223306</c:v>
                </c:pt>
                <c:pt idx="104">
                  <c:v>5.6266310679611653</c:v>
                </c:pt>
                <c:pt idx="105">
                  <c:v>5.681</c:v>
                </c:pt>
              </c:numCache>
            </c:numRef>
          </c:xVal>
          <c:yVal>
            <c:numRef>
              <c:f>Foglio1!$R$4:$R$109</c:f>
              <c:numCache>
                <c:formatCode>0.00</c:formatCode>
                <c:ptCount val="106"/>
                <c:pt idx="0">
                  <c:v>0</c:v>
                </c:pt>
                <c:pt idx="1">
                  <c:v>4.6771744745027801</c:v>
                </c:pt>
                <c:pt idx="2">
                  <c:v>9.2626396455839384</c:v>
                </c:pt>
                <c:pt idx="3">
                  <c:v>13.75639551324347</c:v>
                </c:pt>
                <c:pt idx="4">
                  <c:v>18.158442077481382</c:v>
                </c:pt>
                <c:pt idx="5">
                  <c:v>22.468779338297669</c:v>
                </c:pt>
                <c:pt idx="6">
                  <c:v>26.687407295692331</c:v>
                </c:pt>
                <c:pt idx="7">
                  <c:v>30.814325949665374</c:v>
                </c:pt>
                <c:pt idx="8">
                  <c:v>34.849535300216793</c:v>
                </c:pt>
                <c:pt idx="9">
                  <c:v>38.793035347346589</c:v>
                </c:pt>
                <c:pt idx="10">
                  <c:v>42.64482609105476</c:v>
                </c:pt>
                <c:pt idx="11">
                  <c:v>46.404907531341308</c:v>
                </c:pt>
                <c:pt idx="12">
                  <c:v>50.073279668206233</c:v>
                </c:pt>
                <c:pt idx="13">
                  <c:v>53.649942501649541</c:v>
                </c:pt>
                <c:pt idx="14">
                  <c:v>57.134896031671211</c:v>
                </c:pt>
                <c:pt idx="15">
                  <c:v>60.528140258271264</c:v>
                </c:pt>
                <c:pt idx="16">
                  <c:v>63.829675181449709</c:v>
                </c:pt>
                <c:pt idx="17">
                  <c:v>67.039500801206515</c:v>
                </c:pt>
                <c:pt idx="18">
                  <c:v>70.157617117541704</c:v>
                </c:pt>
                <c:pt idx="19">
                  <c:v>73.184024130455271</c:v>
                </c:pt>
                <c:pt idx="20">
                  <c:v>76.118721839947199</c:v>
                </c:pt>
                <c:pt idx="21">
                  <c:v>78.961710246017518</c:v>
                </c:pt>
                <c:pt idx="22">
                  <c:v>81.712989348666213</c:v>
                </c:pt>
                <c:pt idx="23">
                  <c:v>84.372559147893284</c:v>
                </c:pt>
                <c:pt idx="24">
                  <c:v>86.940419643698732</c:v>
                </c:pt>
                <c:pt idx="25">
                  <c:v>89.41657083608257</c:v>
                </c:pt>
                <c:pt idx="26">
                  <c:v>89.41657083608257</c:v>
                </c:pt>
                <c:pt idx="27">
                  <c:v>91.801012725044757</c:v>
                </c:pt>
                <c:pt idx="28">
                  <c:v>94.093745310585348</c:v>
                </c:pt>
                <c:pt idx="29">
                  <c:v>96.294768592704287</c:v>
                </c:pt>
                <c:pt idx="30">
                  <c:v>98.404082571401617</c:v>
                </c:pt>
                <c:pt idx="31">
                  <c:v>100.42168724667732</c:v>
                </c:pt>
                <c:pt idx="32">
                  <c:v>102.34758261853143</c:v>
                </c:pt>
                <c:pt idx="33">
                  <c:v>104.18176868696389</c:v>
                </c:pt>
                <c:pt idx="34">
                  <c:v>105.92424545197473</c:v>
                </c:pt>
                <c:pt idx="35">
                  <c:v>107.57501291356394</c:v>
                </c:pt>
                <c:pt idx="36">
                  <c:v>109.13407107173153</c:v>
                </c:pt>
                <c:pt idx="37">
                  <c:v>110.60141992647749</c:v>
                </c:pt>
                <c:pt idx="38">
                  <c:v>111.97705947780184</c:v>
                </c:pt>
                <c:pt idx="39">
                  <c:v>113.26098972570458</c:v>
                </c:pt>
                <c:pt idx="40">
                  <c:v>114.45321067018568</c:v>
                </c:pt>
                <c:pt idx="41">
                  <c:v>115.55372231124515</c:v>
                </c:pt>
                <c:pt idx="42">
                  <c:v>116.56252464888301</c:v>
                </c:pt>
                <c:pt idx="43">
                  <c:v>117.47961768309922</c:v>
                </c:pt>
                <c:pt idx="44">
                  <c:v>118.30500141389385</c:v>
                </c:pt>
                <c:pt idx="45">
                  <c:v>119.03867584126684</c:v>
                </c:pt>
                <c:pt idx="46">
                  <c:v>119.68064096521819</c:v>
                </c:pt>
                <c:pt idx="47">
                  <c:v>120.23089678574793</c:v>
                </c:pt>
                <c:pt idx="48">
                  <c:v>120.68944330285606</c:v>
                </c:pt>
                <c:pt idx="49">
                  <c:v>121.05628051654253</c:v>
                </c:pt>
                <c:pt idx="50">
                  <c:v>121.33140842680741</c:v>
                </c:pt>
                <c:pt idx="51">
                  <c:v>121.51482703365066</c:v>
                </c:pt>
                <c:pt idx="52">
                  <c:v>121.60653633707227</c:v>
                </c:pt>
                <c:pt idx="53">
                  <c:v>121.60653633707227</c:v>
                </c:pt>
                <c:pt idx="54">
                  <c:v>121.60653633707227</c:v>
                </c:pt>
                <c:pt idx="55">
                  <c:v>121.51482703365065</c:v>
                </c:pt>
                <c:pt idx="56">
                  <c:v>121.33140842680743</c:v>
                </c:pt>
                <c:pt idx="57">
                  <c:v>121.0562805165425</c:v>
                </c:pt>
                <c:pt idx="58">
                  <c:v>120.68944330285603</c:v>
                </c:pt>
                <c:pt idx="59">
                  <c:v>120.23089678574794</c:v>
                </c:pt>
                <c:pt idx="60">
                  <c:v>119.68064096521817</c:v>
                </c:pt>
                <c:pt idx="61">
                  <c:v>119.03867584126684</c:v>
                </c:pt>
                <c:pt idx="62">
                  <c:v>118.30500141389382</c:v>
                </c:pt>
                <c:pt idx="63">
                  <c:v>117.47961768309924</c:v>
                </c:pt>
                <c:pt idx="64">
                  <c:v>116.56252464888303</c:v>
                </c:pt>
                <c:pt idx="65">
                  <c:v>115.55372231124514</c:v>
                </c:pt>
                <c:pt idx="66">
                  <c:v>114.45321067018568</c:v>
                </c:pt>
                <c:pt idx="67">
                  <c:v>113.26098972570455</c:v>
                </c:pt>
                <c:pt idx="68">
                  <c:v>111.97705947780184</c:v>
                </c:pt>
                <c:pt idx="69">
                  <c:v>110.60141992647752</c:v>
                </c:pt>
                <c:pt idx="70">
                  <c:v>109.13407107173151</c:v>
                </c:pt>
                <c:pt idx="71">
                  <c:v>107.57501291356394</c:v>
                </c:pt>
                <c:pt idx="72">
                  <c:v>105.92424545197468</c:v>
                </c:pt>
                <c:pt idx="73">
                  <c:v>104.18176868696389</c:v>
                </c:pt>
                <c:pt idx="74">
                  <c:v>102.34758261853139</c:v>
                </c:pt>
                <c:pt idx="75">
                  <c:v>100.42168724667732</c:v>
                </c:pt>
                <c:pt idx="76">
                  <c:v>98.404082571401574</c:v>
                </c:pt>
                <c:pt idx="77">
                  <c:v>96.294768592704315</c:v>
                </c:pt>
                <c:pt idx="78">
                  <c:v>94.093745310585348</c:v>
                </c:pt>
                <c:pt idx="79">
                  <c:v>91.801012725044757</c:v>
                </c:pt>
                <c:pt idx="80">
                  <c:v>89.416570836082542</c:v>
                </c:pt>
                <c:pt idx="81">
                  <c:v>86.940419643698704</c:v>
                </c:pt>
                <c:pt idx="82">
                  <c:v>84.372559147893298</c:v>
                </c:pt>
                <c:pt idx="83">
                  <c:v>81.712989348666213</c:v>
                </c:pt>
                <c:pt idx="84">
                  <c:v>78.961710246017503</c:v>
                </c:pt>
                <c:pt idx="85">
                  <c:v>76.11872183994717</c:v>
                </c:pt>
                <c:pt idx="86">
                  <c:v>73.184024130455214</c:v>
                </c:pt>
                <c:pt idx="87">
                  <c:v>70.157617117541633</c:v>
                </c:pt>
                <c:pt idx="88">
                  <c:v>67.039500801206543</c:v>
                </c:pt>
                <c:pt idx="89">
                  <c:v>63.829675181449659</c:v>
                </c:pt>
                <c:pt idx="90">
                  <c:v>60.528140258271264</c:v>
                </c:pt>
                <c:pt idx="91">
                  <c:v>57.13489603167119</c:v>
                </c:pt>
                <c:pt idx="92">
                  <c:v>53.649942501649548</c:v>
                </c:pt>
                <c:pt idx="93">
                  <c:v>50.073279668206169</c:v>
                </c:pt>
                <c:pt idx="94">
                  <c:v>46.40490753134128</c:v>
                </c:pt>
                <c:pt idx="95">
                  <c:v>42.644826091054767</c:v>
                </c:pt>
                <c:pt idx="96">
                  <c:v>38.793035347346631</c:v>
                </c:pt>
                <c:pt idx="97">
                  <c:v>34.849535300216758</c:v>
                </c:pt>
                <c:pt idx="98">
                  <c:v>30.814325949665317</c:v>
                </c:pt>
                <c:pt idx="99">
                  <c:v>26.68740729569231</c:v>
                </c:pt>
                <c:pt idx="100">
                  <c:v>22.468779338297679</c:v>
                </c:pt>
                <c:pt idx="101">
                  <c:v>18.158442077481368</c:v>
                </c:pt>
                <c:pt idx="102">
                  <c:v>13.756395513243433</c:v>
                </c:pt>
                <c:pt idx="103">
                  <c:v>9.2626396455838744</c:v>
                </c:pt>
                <c:pt idx="104">
                  <c:v>4.677174474502749</c:v>
                </c:pt>
                <c:pt idx="105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748286512"/>
        <c:axId val="-1748285968"/>
      </c:scatterChart>
      <c:valAx>
        <c:axId val="-1748286512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it-IT"/>
                  <a:t>Lunghezza trave[m]</a:t>
                </a:r>
              </a:p>
            </c:rich>
          </c:tx>
          <c:layout>
            <c:manualLayout>
              <c:xMode val="edge"/>
              <c:yMode val="edge"/>
              <c:x val="0.3703484733488881"/>
              <c:y val="2.6079869600651995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</c:title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-1748285968"/>
        <c:crosses val="autoZero"/>
        <c:crossBetween val="midCat"/>
      </c:valAx>
      <c:valAx>
        <c:axId val="-1748285968"/>
        <c:scaling>
          <c:orientation val="maxMin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it-IT"/>
                  <a:t>Momento [kNm]</a:t>
                </a:r>
              </a:p>
            </c:rich>
          </c:tx>
          <c:layout>
            <c:manualLayout>
              <c:xMode val="edge"/>
              <c:yMode val="edge"/>
              <c:x val="8.9365492338421906E-3"/>
              <c:y val="0.4354913828542516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-1748286512"/>
        <c:crossesAt val="0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063233660209653"/>
          <c:y val="4.1431261770244823E-2"/>
          <c:w val="0.82814240812491036"/>
          <c:h val="0.85986802497145487"/>
        </c:manualLayout>
      </c:layout>
      <c:scatterChart>
        <c:scatterStyle val="lineMarker"/>
        <c:varyColors val="0"/>
        <c:ser>
          <c:idx val="0"/>
          <c:order val="0"/>
          <c:tx>
            <c:v>ved</c:v>
          </c:tx>
          <c:spPr>
            <a:ln w="19050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Foglio1!$Q$3:$Q$110</c:f>
              <c:numCache>
                <c:formatCode>0.000</c:formatCode>
                <c:ptCount val="108"/>
                <c:pt idx="0">
                  <c:v>0</c:v>
                </c:pt>
                <c:pt idx="1">
                  <c:v>0</c:v>
                </c:pt>
                <c:pt idx="2">
                  <c:v>5.4368932038834951E-2</c:v>
                </c:pt>
                <c:pt idx="3">
                  <c:v>0.1087378640776699</c:v>
                </c:pt>
                <c:pt idx="4">
                  <c:v>0.16310679611650486</c:v>
                </c:pt>
                <c:pt idx="5">
                  <c:v>0.2174757281553398</c:v>
                </c:pt>
                <c:pt idx="6">
                  <c:v>0.27184466019417475</c:v>
                </c:pt>
                <c:pt idx="7">
                  <c:v>0.32621359223300972</c:v>
                </c:pt>
                <c:pt idx="8">
                  <c:v>0.38058252427184464</c:v>
                </c:pt>
                <c:pt idx="9">
                  <c:v>0.43495145631067961</c:v>
                </c:pt>
                <c:pt idx="10">
                  <c:v>0.48932038834951458</c:v>
                </c:pt>
                <c:pt idx="11">
                  <c:v>0.5436893203883495</c:v>
                </c:pt>
                <c:pt idx="12">
                  <c:v>0.59805825242718447</c:v>
                </c:pt>
                <c:pt idx="13">
                  <c:v>0.65242718446601944</c:v>
                </c:pt>
                <c:pt idx="14">
                  <c:v>0.70679611650485441</c:v>
                </c:pt>
                <c:pt idx="15">
                  <c:v>0.76116504854368927</c:v>
                </c:pt>
                <c:pt idx="16">
                  <c:v>0.81553398058252424</c:v>
                </c:pt>
                <c:pt idx="17">
                  <c:v>0.86990291262135921</c:v>
                </c:pt>
                <c:pt idx="18">
                  <c:v>0.92427184466019419</c:v>
                </c:pt>
                <c:pt idx="19">
                  <c:v>0.97864077669902916</c:v>
                </c:pt>
                <c:pt idx="20">
                  <c:v>1.033009708737864</c:v>
                </c:pt>
                <c:pt idx="21">
                  <c:v>1.087378640776699</c:v>
                </c:pt>
                <c:pt idx="22">
                  <c:v>1.141747572815534</c:v>
                </c:pt>
                <c:pt idx="23">
                  <c:v>1.1961165048543689</c:v>
                </c:pt>
                <c:pt idx="24">
                  <c:v>1.2504854368932039</c:v>
                </c:pt>
                <c:pt idx="25">
                  <c:v>1.3048543689320389</c:v>
                </c:pt>
                <c:pt idx="26">
                  <c:v>1.3592233009708738</c:v>
                </c:pt>
                <c:pt idx="27">
                  <c:v>1.3592233009708738</c:v>
                </c:pt>
                <c:pt idx="28">
                  <c:v>1.4135922330097088</c:v>
                </c:pt>
                <c:pt idx="29">
                  <c:v>1.4679611650485436</c:v>
                </c:pt>
                <c:pt idx="30">
                  <c:v>1.5223300970873785</c:v>
                </c:pt>
                <c:pt idx="31">
                  <c:v>1.5766990291262135</c:v>
                </c:pt>
                <c:pt idx="32">
                  <c:v>1.6310679611650485</c:v>
                </c:pt>
                <c:pt idx="33">
                  <c:v>1.6854368932038835</c:v>
                </c:pt>
                <c:pt idx="34">
                  <c:v>1.7398058252427184</c:v>
                </c:pt>
                <c:pt idx="35">
                  <c:v>1.7941747572815534</c:v>
                </c:pt>
                <c:pt idx="36">
                  <c:v>1.8485436893203884</c:v>
                </c:pt>
                <c:pt idx="37">
                  <c:v>1.9029126213592233</c:v>
                </c:pt>
                <c:pt idx="38">
                  <c:v>1.9572815533980583</c:v>
                </c:pt>
                <c:pt idx="39">
                  <c:v>2.0116504854368933</c:v>
                </c:pt>
                <c:pt idx="40">
                  <c:v>2.066019417475728</c:v>
                </c:pt>
                <c:pt idx="41">
                  <c:v>2.1203883495145632</c:v>
                </c:pt>
                <c:pt idx="42">
                  <c:v>2.174757281553398</c:v>
                </c:pt>
                <c:pt idx="43">
                  <c:v>2.2291262135922332</c:v>
                </c:pt>
                <c:pt idx="44">
                  <c:v>2.2834951456310679</c:v>
                </c:pt>
                <c:pt idx="45">
                  <c:v>2.3378640776699027</c:v>
                </c:pt>
                <c:pt idx="46">
                  <c:v>2.3922330097087379</c:v>
                </c:pt>
                <c:pt idx="47">
                  <c:v>2.4466019417475726</c:v>
                </c:pt>
                <c:pt idx="48">
                  <c:v>2.5009708737864078</c:v>
                </c:pt>
                <c:pt idx="49">
                  <c:v>2.5553398058252426</c:v>
                </c:pt>
                <c:pt idx="50">
                  <c:v>2.6097087378640778</c:v>
                </c:pt>
                <c:pt idx="51">
                  <c:v>2.6640776699029125</c:v>
                </c:pt>
                <c:pt idx="52">
                  <c:v>2.7184466019417477</c:v>
                </c:pt>
                <c:pt idx="53">
                  <c:v>2.7728155339805824</c:v>
                </c:pt>
                <c:pt idx="54">
                  <c:v>2.7728155339805824</c:v>
                </c:pt>
                <c:pt idx="55">
                  <c:v>2.8271844660194176</c:v>
                </c:pt>
                <c:pt idx="56">
                  <c:v>2.8815533980582524</c:v>
                </c:pt>
                <c:pt idx="57">
                  <c:v>2.9359223300970871</c:v>
                </c:pt>
                <c:pt idx="58">
                  <c:v>2.9902912621359223</c:v>
                </c:pt>
                <c:pt idx="59">
                  <c:v>3.0446601941747571</c:v>
                </c:pt>
                <c:pt idx="60">
                  <c:v>3.0990291262135923</c:v>
                </c:pt>
                <c:pt idx="61">
                  <c:v>3.153398058252427</c:v>
                </c:pt>
                <c:pt idx="62">
                  <c:v>3.2077669902912622</c:v>
                </c:pt>
                <c:pt idx="63">
                  <c:v>3.262135922330097</c:v>
                </c:pt>
                <c:pt idx="64">
                  <c:v>3.3165048543689322</c:v>
                </c:pt>
                <c:pt idx="65">
                  <c:v>3.3708737864077669</c:v>
                </c:pt>
                <c:pt idx="66">
                  <c:v>3.4252427184466021</c:v>
                </c:pt>
                <c:pt idx="67">
                  <c:v>3.4796116504854369</c:v>
                </c:pt>
                <c:pt idx="68">
                  <c:v>3.5339805825242716</c:v>
                </c:pt>
                <c:pt idx="69">
                  <c:v>3.5883495145631068</c:v>
                </c:pt>
                <c:pt idx="70">
                  <c:v>3.6427184466019416</c:v>
                </c:pt>
                <c:pt idx="71">
                  <c:v>3.6970873786407767</c:v>
                </c:pt>
                <c:pt idx="72">
                  <c:v>3.7514563106796115</c:v>
                </c:pt>
                <c:pt idx="73">
                  <c:v>3.8058252427184467</c:v>
                </c:pt>
                <c:pt idx="74">
                  <c:v>3.8601941747572814</c:v>
                </c:pt>
                <c:pt idx="75">
                  <c:v>3.9145631067961166</c:v>
                </c:pt>
                <c:pt idx="76">
                  <c:v>3.9689320388349514</c:v>
                </c:pt>
                <c:pt idx="77">
                  <c:v>4.0233009708737866</c:v>
                </c:pt>
                <c:pt idx="78">
                  <c:v>4.0776699029126213</c:v>
                </c:pt>
                <c:pt idx="79">
                  <c:v>4.1320388349514561</c:v>
                </c:pt>
                <c:pt idx="80">
                  <c:v>4.1864077669902908</c:v>
                </c:pt>
                <c:pt idx="81">
                  <c:v>4.2407766990291265</c:v>
                </c:pt>
                <c:pt idx="82">
                  <c:v>4.2951456310679612</c:v>
                </c:pt>
                <c:pt idx="83">
                  <c:v>4.349514563106796</c:v>
                </c:pt>
                <c:pt idx="84">
                  <c:v>4.4038834951456307</c:v>
                </c:pt>
                <c:pt idx="85">
                  <c:v>4.4582524271844663</c:v>
                </c:pt>
                <c:pt idx="86">
                  <c:v>4.5126213592233011</c:v>
                </c:pt>
                <c:pt idx="87">
                  <c:v>4.5669902912621358</c:v>
                </c:pt>
                <c:pt idx="88">
                  <c:v>4.6213592233009706</c:v>
                </c:pt>
                <c:pt idx="89">
                  <c:v>4.6757281553398053</c:v>
                </c:pt>
                <c:pt idx="90">
                  <c:v>4.730097087378641</c:v>
                </c:pt>
                <c:pt idx="91">
                  <c:v>4.7844660194174757</c:v>
                </c:pt>
                <c:pt idx="92">
                  <c:v>4.8388349514563105</c:v>
                </c:pt>
                <c:pt idx="93">
                  <c:v>4.8932038834951452</c:v>
                </c:pt>
                <c:pt idx="94">
                  <c:v>4.9475728155339809</c:v>
                </c:pt>
                <c:pt idx="95">
                  <c:v>5.0019417475728156</c:v>
                </c:pt>
                <c:pt idx="96">
                  <c:v>5.0563106796116504</c:v>
                </c:pt>
                <c:pt idx="97">
                  <c:v>5.1106796116504851</c:v>
                </c:pt>
                <c:pt idx="98">
                  <c:v>5.1650485436893208</c:v>
                </c:pt>
                <c:pt idx="99">
                  <c:v>5.2194174757281555</c:v>
                </c:pt>
                <c:pt idx="100">
                  <c:v>5.2737864077669903</c:v>
                </c:pt>
                <c:pt idx="101">
                  <c:v>5.328155339805825</c:v>
                </c:pt>
                <c:pt idx="102">
                  <c:v>5.3825242718446598</c:v>
                </c:pt>
                <c:pt idx="103">
                  <c:v>5.4368932038834954</c:v>
                </c:pt>
                <c:pt idx="104">
                  <c:v>5.4912621359223301</c:v>
                </c:pt>
                <c:pt idx="105">
                  <c:v>5.5456310679611649</c:v>
                </c:pt>
                <c:pt idx="106">
                  <c:v>5.6</c:v>
                </c:pt>
                <c:pt idx="107">
                  <c:v>5.6</c:v>
                </c:pt>
              </c:numCache>
            </c:numRef>
          </c:xVal>
          <c:yVal>
            <c:numRef>
              <c:f>Foglio1!$S$3:$S$110</c:f>
              <c:numCache>
                <c:formatCode>0.00</c:formatCode>
                <c:ptCount val="108"/>
                <c:pt idx="0" formatCode="0.000">
                  <c:v>0</c:v>
                </c:pt>
                <c:pt idx="1">
                  <c:v>-86.86999999999999</c:v>
                </c:pt>
                <c:pt idx="2">
                  <c:v>-85.183203883495139</c:v>
                </c:pt>
                <c:pt idx="3">
                  <c:v>-83.496407766990288</c:v>
                </c:pt>
                <c:pt idx="4">
                  <c:v>-81.809611650485422</c:v>
                </c:pt>
                <c:pt idx="5">
                  <c:v>-80.122815533980571</c:v>
                </c:pt>
                <c:pt idx="6">
                  <c:v>-78.43601941747572</c:v>
                </c:pt>
                <c:pt idx="7">
                  <c:v>-76.749223300970868</c:v>
                </c:pt>
                <c:pt idx="8">
                  <c:v>-75.062427184466017</c:v>
                </c:pt>
                <c:pt idx="9">
                  <c:v>-73.375631067961152</c:v>
                </c:pt>
                <c:pt idx="10">
                  <c:v>-71.6888349514563</c:v>
                </c:pt>
                <c:pt idx="11">
                  <c:v>-70.002038834951449</c:v>
                </c:pt>
                <c:pt idx="12">
                  <c:v>-68.315242718446598</c:v>
                </c:pt>
                <c:pt idx="13">
                  <c:v>-66.628446601941732</c:v>
                </c:pt>
                <c:pt idx="14">
                  <c:v>-64.941650485436881</c:v>
                </c:pt>
                <c:pt idx="15">
                  <c:v>-63.25485436893203</c:v>
                </c:pt>
                <c:pt idx="16">
                  <c:v>-61.568058252427178</c:v>
                </c:pt>
                <c:pt idx="17">
                  <c:v>-59.881262135922327</c:v>
                </c:pt>
                <c:pt idx="18">
                  <c:v>-58.194466019417469</c:v>
                </c:pt>
                <c:pt idx="19">
                  <c:v>-56.50766990291261</c:v>
                </c:pt>
                <c:pt idx="20">
                  <c:v>-54.820873786407759</c:v>
                </c:pt>
                <c:pt idx="21">
                  <c:v>-53.134077669902908</c:v>
                </c:pt>
                <c:pt idx="22">
                  <c:v>-51.447281553398049</c:v>
                </c:pt>
                <c:pt idx="23">
                  <c:v>-49.760485436893198</c:v>
                </c:pt>
                <c:pt idx="24">
                  <c:v>-48.07368932038834</c:v>
                </c:pt>
                <c:pt idx="25">
                  <c:v>-46.386893203883488</c:v>
                </c:pt>
                <c:pt idx="26">
                  <c:v>-44.70009708737863</c:v>
                </c:pt>
                <c:pt idx="27">
                  <c:v>-44.70009708737863</c:v>
                </c:pt>
                <c:pt idx="28">
                  <c:v>-43.013300970873779</c:v>
                </c:pt>
                <c:pt idx="29">
                  <c:v>-41.326504854368928</c:v>
                </c:pt>
                <c:pt idx="30">
                  <c:v>-39.639708737864076</c:v>
                </c:pt>
                <c:pt idx="31">
                  <c:v>-37.952912621359218</c:v>
                </c:pt>
                <c:pt idx="32">
                  <c:v>-36.266116504854367</c:v>
                </c:pt>
                <c:pt idx="33">
                  <c:v>-34.579320388349508</c:v>
                </c:pt>
                <c:pt idx="34">
                  <c:v>-32.892524271844657</c:v>
                </c:pt>
                <c:pt idx="35">
                  <c:v>-31.205728155339798</c:v>
                </c:pt>
                <c:pt idx="36">
                  <c:v>-29.518932038834947</c:v>
                </c:pt>
                <c:pt idx="37">
                  <c:v>-27.832135922330089</c:v>
                </c:pt>
                <c:pt idx="38">
                  <c:v>-26.14533980582523</c:v>
                </c:pt>
                <c:pt idx="39">
                  <c:v>-24.458543689320379</c:v>
                </c:pt>
                <c:pt idx="40">
                  <c:v>-22.771747572815528</c:v>
                </c:pt>
                <c:pt idx="41">
                  <c:v>-21.084951456310662</c:v>
                </c:pt>
                <c:pt idx="42">
                  <c:v>-19.398155339805825</c:v>
                </c:pt>
                <c:pt idx="43">
                  <c:v>-17.71135922330096</c:v>
                </c:pt>
                <c:pt idx="44">
                  <c:v>-16.024563106796109</c:v>
                </c:pt>
                <c:pt idx="45">
                  <c:v>-14.337766990291257</c:v>
                </c:pt>
                <c:pt idx="46">
                  <c:v>-12.650970873786406</c:v>
                </c:pt>
                <c:pt idx="47">
                  <c:v>-10.964174757281555</c:v>
                </c:pt>
                <c:pt idx="48">
                  <c:v>-9.2773786407766892</c:v>
                </c:pt>
                <c:pt idx="49">
                  <c:v>-7.5905825242718379</c:v>
                </c:pt>
                <c:pt idx="50">
                  <c:v>-5.9037864077669866</c:v>
                </c:pt>
                <c:pt idx="51">
                  <c:v>-4.2169902912621353</c:v>
                </c:pt>
                <c:pt idx="52">
                  <c:v>-2.5301941747572698</c:v>
                </c:pt>
                <c:pt idx="53">
                  <c:v>-0.84339805825241854</c:v>
                </c:pt>
                <c:pt idx="54">
                  <c:v>-0.84339805825241854</c:v>
                </c:pt>
                <c:pt idx="55">
                  <c:v>0.84339805825243275</c:v>
                </c:pt>
                <c:pt idx="56">
                  <c:v>2.530194174757284</c:v>
                </c:pt>
                <c:pt idx="57">
                  <c:v>4.2169902912621353</c:v>
                </c:pt>
                <c:pt idx="58">
                  <c:v>5.9037864077670008</c:v>
                </c:pt>
                <c:pt idx="59">
                  <c:v>7.5905825242718379</c:v>
                </c:pt>
                <c:pt idx="60">
                  <c:v>9.2773786407767034</c:v>
                </c:pt>
                <c:pt idx="61">
                  <c:v>10.964174757281555</c:v>
                </c:pt>
                <c:pt idx="62">
                  <c:v>12.65097087378642</c:v>
                </c:pt>
                <c:pt idx="63">
                  <c:v>14.337766990291257</c:v>
                </c:pt>
                <c:pt idx="64">
                  <c:v>16.024563106796123</c:v>
                </c:pt>
                <c:pt idx="65">
                  <c:v>17.711359223300974</c:v>
                </c:pt>
                <c:pt idx="66">
                  <c:v>19.39815533980584</c:v>
                </c:pt>
                <c:pt idx="67">
                  <c:v>21.084951456310677</c:v>
                </c:pt>
                <c:pt idx="68">
                  <c:v>22.771747572815528</c:v>
                </c:pt>
                <c:pt idx="69">
                  <c:v>24.458543689320393</c:v>
                </c:pt>
                <c:pt idx="70">
                  <c:v>26.145339805825245</c:v>
                </c:pt>
                <c:pt idx="71">
                  <c:v>27.832135922330096</c:v>
                </c:pt>
                <c:pt idx="72">
                  <c:v>29.518932038834947</c:v>
                </c:pt>
                <c:pt idx="73">
                  <c:v>31.205728155339813</c:v>
                </c:pt>
                <c:pt idx="74">
                  <c:v>32.892524271844664</c:v>
                </c:pt>
                <c:pt idx="75">
                  <c:v>34.579320388349529</c:v>
                </c:pt>
                <c:pt idx="76">
                  <c:v>36.266116504854367</c:v>
                </c:pt>
                <c:pt idx="77">
                  <c:v>37.952912621359232</c:v>
                </c:pt>
                <c:pt idx="78">
                  <c:v>39.639708737864083</c:v>
                </c:pt>
                <c:pt idx="79">
                  <c:v>41.326504854368935</c:v>
                </c:pt>
                <c:pt idx="80">
                  <c:v>43.013300970873772</c:v>
                </c:pt>
                <c:pt idx="81">
                  <c:v>44.700097087378666</c:v>
                </c:pt>
                <c:pt idx="82">
                  <c:v>46.386893203883503</c:v>
                </c:pt>
                <c:pt idx="83">
                  <c:v>48.07368932038834</c:v>
                </c:pt>
                <c:pt idx="84">
                  <c:v>49.760485436893205</c:v>
                </c:pt>
                <c:pt idx="85">
                  <c:v>51.447281553398071</c:v>
                </c:pt>
                <c:pt idx="86">
                  <c:v>53.134077669902908</c:v>
                </c:pt>
                <c:pt idx="87">
                  <c:v>54.820873786407773</c:v>
                </c:pt>
                <c:pt idx="88">
                  <c:v>56.50766990291261</c:v>
                </c:pt>
                <c:pt idx="89">
                  <c:v>58.194466019417476</c:v>
                </c:pt>
                <c:pt idx="90">
                  <c:v>59.881262135922341</c:v>
                </c:pt>
                <c:pt idx="91">
                  <c:v>61.568058252427178</c:v>
                </c:pt>
                <c:pt idx="92">
                  <c:v>63.254854368932044</c:v>
                </c:pt>
                <c:pt idx="93">
                  <c:v>64.941650485436881</c:v>
                </c:pt>
                <c:pt idx="94">
                  <c:v>66.628446601941747</c:v>
                </c:pt>
                <c:pt idx="95">
                  <c:v>68.315242718446612</c:v>
                </c:pt>
                <c:pt idx="96">
                  <c:v>70.002038834951449</c:v>
                </c:pt>
                <c:pt idx="97">
                  <c:v>71.688834951456315</c:v>
                </c:pt>
                <c:pt idx="98">
                  <c:v>73.37563106796118</c:v>
                </c:pt>
                <c:pt idx="99">
                  <c:v>75.062427184466017</c:v>
                </c:pt>
                <c:pt idx="100">
                  <c:v>76.749223300970883</c:v>
                </c:pt>
                <c:pt idx="101">
                  <c:v>78.43601941747572</c:v>
                </c:pt>
                <c:pt idx="102">
                  <c:v>80.122815533980585</c:v>
                </c:pt>
                <c:pt idx="103">
                  <c:v>81.809611650485451</c:v>
                </c:pt>
                <c:pt idx="104">
                  <c:v>83.496407766990288</c:v>
                </c:pt>
                <c:pt idx="105">
                  <c:v>85.183203883495153</c:v>
                </c:pt>
                <c:pt idx="106">
                  <c:v>86.86999999999999</c:v>
                </c:pt>
                <c:pt idx="107" formatCode="0.000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748279984"/>
        <c:axId val="-1748278896"/>
      </c:scatterChart>
      <c:scatterChart>
        <c:scatterStyle val="smoothMarker"/>
        <c:varyColors val="0"/>
        <c:ser>
          <c:idx val="1"/>
          <c:order val="1"/>
          <c:tx>
            <c:v>vrd sup</c:v>
          </c:tx>
          <c:spPr>
            <a:ln w="19050" cap="rnd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Foglio1!$Q$4:$Q$109</c:f>
              <c:numCache>
                <c:formatCode>0.000</c:formatCode>
                <c:ptCount val="106"/>
                <c:pt idx="0">
                  <c:v>0</c:v>
                </c:pt>
                <c:pt idx="1">
                  <c:v>5.4368932038834951E-2</c:v>
                </c:pt>
                <c:pt idx="2">
                  <c:v>0.1087378640776699</c:v>
                </c:pt>
                <c:pt idx="3">
                  <c:v>0.16310679611650486</c:v>
                </c:pt>
                <c:pt idx="4">
                  <c:v>0.2174757281553398</c:v>
                </c:pt>
                <c:pt idx="5">
                  <c:v>0.27184466019417475</c:v>
                </c:pt>
                <c:pt idx="6">
                  <c:v>0.32621359223300972</c:v>
                </c:pt>
                <c:pt idx="7">
                  <c:v>0.38058252427184464</c:v>
                </c:pt>
                <c:pt idx="8">
                  <c:v>0.43495145631067961</c:v>
                </c:pt>
                <c:pt idx="9">
                  <c:v>0.48932038834951458</c:v>
                </c:pt>
                <c:pt idx="10">
                  <c:v>0.5436893203883495</c:v>
                </c:pt>
                <c:pt idx="11">
                  <c:v>0.59805825242718447</c:v>
                </c:pt>
                <c:pt idx="12">
                  <c:v>0.65242718446601944</c:v>
                </c:pt>
                <c:pt idx="13">
                  <c:v>0.70679611650485441</c:v>
                </c:pt>
                <c:pt idx="14">
                  <c:v>0.76116504854368927</c:v>
                </c:pt>
                <c:pt idx="15">
                  <c:v>0.81553398058252424</c:v>
                </c:pt>
                <c:pt idx="16">
                  <c:v>0.86990291262135921</c:v>
                </c:pt>
                <c:pt idx="17">
                  <c:v>0.92427184466019419</c:v>
                </c:pt>
                <c:pt idx="18">
                  <c:v>0.97864077669902916</c:v>
                </c:pt>
                <c:pt idx="19">
                  <c:v>1.033009708737864</c:v>
                </c:pt>
                <c:pt idx="20">
                  <c:v>1.087378640776699</c:v>
                </c:pt>
                <c:pt idx="21">
                  <c:v>1.141747572815534</c:v>
                </c:pt>
                <c:pt idx="22">
                  <c:v>1.1961165048543689</c:v>
                </c:pt>
                <c:pt idx="23">
                  <c:v>1.2504854368932039</c:v>
                </c:pt>
                <c:pt idx="24">
                  <c:v>1.3048543689320389</c:v>
                </c:pt>
                <c:pt idx="25">
                  <c:v>1.3592233009708738</c:v>
                </c:pt>
                <c:pt idx="26">
                  <c:v>1.3592233009708738</c:v>
                </c:pt>
                <c:pt idx="27">
                  <c:v>1.4135922330097088</c:v>
                </c:pt>
                <c:pt idx="28">
                  <c:v>1.4679611650485436</c:v>
                </c:pt>
                <c:pt idx="29">
                  <c:v>1.5223300970873785</c:v>
                </c:pt>
                <c:pt idx="30">
                  <c:v>1.5766990291262135</c:v>
                </c:pt>
                <c:pt idx="31">
                  <c:v>1.6310679611650485</c:v>
                </c:pt>
                <c:pt idx="32">
                  <c:v>1.6854368932038835</c:v>
                </c:pt>
                <c:pt idx="33">
                  <c:v>1.7398058252427184</c:v>
                </c:pt>
                <c:pt idx="34">
                  <c:v>1.7941747572815534</c:v>
                </c:pt>
                <c:pt idx="35">
                  <c:v>1.8485436893203884</c:v>
                </c:pt>
                <c:pt idx="36">
                  <c:v>1.9029126213592233</c:v>
                </c:pt>
                <c:pt idx="37">
                  <c:v>1.9572815533980583</c:v>
                </c:pt>
                <c:pt idx="38">
                  <c:v>2.0116504854368933</c:v>
                </c:pt>
                <c:pt idx="39">
                  <c:v>2.066019417475728</c:v>
                </c:pt>
                <c:pt idx="40">
                  <c:v>2.1203883495145632</c:v>
                </c:pt>
                <c:pt idx="41">
                  <c:v>2.174757281553398</c:v>
                </c:pt>
                <c:pt idx="42">
                  <c:v>2.2291262135922332</c:v>
                </c:pt>
                <c:pt idx="43">
                  <c:v>2.2834951456310679</c:v>
                </c:pt>
                <c:pt idx="44">
                  <c:v>2.3378640776699027</c:v>
                </c:pt>
                <c:pt idx="45">
                  <c:v>2.3922330097087379</c:v>
                </c:pt>
                <c:pt idx="46">
                  <c:v>2.4466019417475726</c:v>
                </c:pt>
                <c:pt idx="47">
                  <c:v>2.5009708737864078</c:v>
                </c:pt>
                <c:pt idx="48">
                  <c:v>2.5553398058252426</c:v>
                </c:pt>
                <c:pt idx="49">
                  <c:v>2.6097087378640778</c:v>
                </c:pt>
                <c:pt idx="50">
                  <c:v>2.6640776699029125</c:v>
                </c:pt>
                <c:pt idx="51">
                  <c:v>2.7184466019417477</c:v>
                </c:pt>
                <c:pt idx="52">
                  <c:v>2.7728155339805824</c:v>
                </c:pt>
                <c:pt idx="53">
                  <c:v>2.7728155339805824</c:v>
                </c:pt>
                <c:pt idx="54">
                  <c:v>2.8271844660194176</c:v>
                </c:pt>
                <c:pt idx="55">
                  <c:v>2.8815533980582524</c:v>
                </c:pt>
                <c:pt idx="56">
                  <c:v>2.9359223300970871</c:v>
                </c:pt>
                <c:pt idx="57">
                  <c:v>2.9902912621359223</c:v>
                </c:pt>
                <c:pt idx="58">
                  <c:v>3.0446601941747571</c:v>
                </c:pt>
                <c:pt idx="59">
                  <c:v>3.0990291262135923</c:v>
                </c:pt>
                <c:pt idx="60">
                  <c:v>3.153398058252427</c:v>
                </c:pt>
                <c:pt idx="61">
                  <c:v>3.2077669902912622</c:v>
                </c:pt>
                <c:pt idx="62">
                  <c:v>3.262135922330097</c:v>
                </c:pt>
                <c:pt idx="63">
                  <c:v>3.3165048543689322</c:v>
                </c:pt>
                <c:pt idx="64">
                  <c:v>3.3708737864077669</c:v>
                </c:pt>
                <c:pt idx="65">
                  <c:v>3.4252427184466021</c:v>
                </c:pt>
                <c:pt idx="66">
                  <c:v>3.4796116504854369</c:v>
                </c:pt>
                <c:pt idx="67">
                  <c:v>3.5339805825242716</c:v>
                </c:pt>
                <c:pt idx="68">
                  <c:v>3.5883495145631068</c:v>
                </c:pt>
                <c:pt idx="69">
                  <c:v>3.6427184466019416</c:v>
                </c:pt>
                <c:pt idx="70">
                  <c:v>3.6970873786407767</c:v>
                </c:pt>
                <c:pt idx="71">
                  <c:v>3.7514563106796115</c:v>
                </c:pt>
                <c:pt idx="72">
                  <c:v>3.8058252427184467</c:v>
                </c:pt>
                <c:pt idx="73">
                  <c:v>3.8601941747572814</c:v>
                </c:pt>
                <c:pt idx="74">
                  <c:v>3.9145631067961166</c:v>
                </c:pt>
                <c:pt idx="75">
                  <c:v>3.9689320388349514</c:v>
                </c:pt>
                <c:pt idx="76">
                  <c:v>4.0233009708737866</c:v>
                </c:pt>
                <c:pt idx="77">
                  <c:v>4.0776699029126213</c:v>
                </c:pt>
                <c:pt idx="78">
                  <c:v>4.1320388349514561</c:v>
                </c:pt>
                <c:pt idx="79">
                  <c:v>4.1864077669902908</c:v>
                </c:pt>
                <c:pt idx="80">
                  <c:v>4.2407766990291265</c:v>
                </c:pt>
                <c:pt idx="81">
                  <c:v>4.2951456310679612</c:v>
                </c:pt>
                <c:pt idx="82">
                  <c:v>4.349514563106796</c:v>
                </c:pt>
                <c:pt idx="83">
                  <c:v>4.4038834951456307</c:v>
                </c:pt>
                <c:pt idx="84">
                  <c:v>4.4582524271844663</c:v>
                </c:pt>
                <c:pt idx="85">
                  <c:v>4.5126213592233011</c:v>
                </c:pt>
                <c:pt idx="86">
                  <c:v>4.5669902912621358</c:v>
                </c:pt>
                <c:pt idx="87">
                  <c:v>4.6213592233009706</c:v>
                </c:pt>
                <c:pt idx="88">
                  <c:v>4.6757281553398053</c:v>
                </c:pt>
                <c:pt idx="89">
                  <c:v>4.730097087378641</c:v>
                </c:pt>
                <c:pt idx="90">
                  <c:v>4.7844660194174757</c:v>
                </c:pt>
                <c:pt idx="91">
                  <c:v>4.8388349514563105</c:v>
                </c:pt>
                <c:pt idx="92">
                  <c:v>4.8932038834951452</c:v>
                </c:pt>
                <c:pt idx="93">
                  <c:v>4.9475728155339809</c:v>
                </c:pt>
                <c:pt idx="94">
                  <c:v>5.0019417475728156</c:v>
                </c:pt>
                <c:pt idx="95">
                  <c:v>5.0563106796116504</c:v>
                </c:pt>
                <c:pt idx="96">
                  <c:v>5.1106796116504851</c:v>
                </c:pt>
                <c:pt idx="97">
                  <c:v>5.1650485436893208</c:v>
                </c:pt>
                <c:pt idx="98">
                  <c:v>5.2194174757281555</c:v>
                </c:pt>
                <c:pt idx="99">
                  <c:v>5.2737864077669903</c:v>
                </c:pt>
                <c:pt idx="100">
                  <c:v>5.328155339805825</c:v>
                </c:pt>
                <c:pt idx="101">
                  <c:v>5.3825242718446598</c:v>
                </c:pt>
                <c:pt idx="102">
                  <c:v>5.4368932038834954</c:v>
                </c:pt>
                <c:pt idx="103">
                  <c:v>5.4912621359223301</c:v>
                </c:pt>
                <c:pt idx="104">
                  <c:v>5.5456310679611649</c:v>
                </c:pt>
                <c:pt idx="105">
                  <c:v>5.6</c:v>
                </c:pt>
              </c:numCache>
            </c:numRef>
          </c:xVal>
          <c:yVal>
            <c:numRef>
              <c:f>Foglio1!$U$4:$U$109</c:f>
              <c:numCache>
                <c:formatCode>0.00</c:formatCode>
                <c:ptCount val="106"/>
                <c:pt idx="0">
                  <c:v>266.48808784913786</c:v>
                </c:pt>
                <c:pt idx="1">
                  <c:v>266.48808784913786</c:v>
                </c:pt>
                <c:pt idx="2">
                  <c:v>266.48808784913786</c:v>
                </c:pt>
                <c:pt idx="3">
                  <c:v>266.48808784913786</c:v>
                </c:pt>
                <c:pt idx="4">
                  <c:v>266.48808784913786</c:v>
                </c:pt>
                <c:pt idx="5">
                  <c:v>266.48808784913786</c:v>
                </c:pt>
                <c:pt idx="6">
                  <c:v>266.48808784913786</c:v>
                </c:pt>
                <c:pt idx="7">
                  <c:v>266.48808784913786</c:v>
                </c:pt>
                <c:pt idx="8">
                  <c:v>266.48808784913786</c:v>
                </c:pt>
                <c:pt idx="9">
                  <c:v>266.48808784913786</c:v>
                </c:pt>
                <c:pt idx="10">
                  <c:v>266.48808784913786</c:v>
                </c:pt>
                <c:pt idx="11">
                  <c:v>266.48808784913786</c:v>
                </c:pt>
                <c:pt idx="12">
                  <c:v>266.48808784913786</c:v>
                </c:pt>
                <c:pt idx="13">
                  <c:v>266.48808784913786</c:v>
                </c:pt>
                <c:pt idx="14">
                  <c:v>266.48808784913786</c:v>
                </c:pt>
                <c:pt idx="15">
                  <c:v>266.48808784913786</c:v>
                </c:pt>
                <c:pt idx="16">
                  <c:v>266.48808784913786</c:v>
                </c:pt>
                <c:pt idx="17">
                  <c:v>266.48808784913786</c:v>
                </c:pt>
                <c:pt idx="18">
                  <c:v>266.48808784913786</c:v>
                </c:pt>
                <c:pt idx="19">
                  <c:v>266.48808784913786</c:v>
                </c:pt>
                <c:pt idx="20">
                  <c:v>266.48808784913786</c:v>
                </c:pt>
                <c:pt idx="21">
                  <c:v>266.48808784913786</c:v>
                </c:pt>
                <c:pt idx="22">
                  <c:v>266.48808784913786</c:v>
                </c:pt>
                <c:pt idx="23">
                  <c:v>266.48808784913786</c:v>
                </c:pt>
                <c:pt idx="24">
                  <c:v>266.48808784913786</c:v>
                </c:pt>
                <c:pt idx="25">
                  <c:v>266.48808784913786</c:v>
                </c:pt>
                <c:pt idx="26">
                  <c:v>266.48808784913786</c:v>
                </c:pt>
                <c:pt idx="27">
                  <c:v>266.48808784913786</c:v>
                </c:pt>
                <c:pt idx="28">
                  <c:v>266.48808784913786</c:v>
                </c:pt>
                <c:pt idx="29">
                  <c:v>266.48808784913786</c:v>
                </c:pt>
                <c:pt idx="30">
                  <c:v>266.48808784913786</c:v>
                </c:pt>
                <c:pt idx="31">
                  <c:v>266.48808784913786</c:v>
                </c:pt>
                <c:pt idx="32">
                  <c:v>266.48808784913786</c:v>
                </c:pt>
                <c:pt idx="33">
                  <c:v>266.48808784913786</c:v>
                </c:pt>
                <c:pt idx="34">
                  <c:v>266.48808784913786</c:v>
                </c:pt>
                <c:pt idx="35">
                  <c:v>266.48808784913786</c:v>
                </c:pt>
                <c:pt idx="36">
                  <c:v>266.48808784913786</c:v>
                </c:pt>
                <c:pt idx="37">
                  <c:v>266.48808784913786</c:v>
                </c:pt>
                <c:pt idx="38">
                  <c:v>266.48808784913786</c:v>
                </c:pt>
                <c:pt idx="39">
                  <c:v>266.48808784913786</c:v>
                </c:pt>
                <c:pt idx="40">
                  <c:v>266.48808784913786</c:v>
                </c:pt>
                <c:pt idx="41">
                  <c:v>266.48808784913786</c:v>
                </c:pt>
                <c:pt idx="42">
                  <c:v>266.48808784913786</c:v>
                </c:pt>
                <c:pt idx="43">
                  <c:v>266.48808784913786</c:v>
                </c:pt>
                <c:pt idx="44">
                  <c:v>266.48808784913786</c:v>
                </c:pt>
                <c:pt idx="45">
                  <c:v>266.48808784913786</c:v>
                </c:pt>
                <c:pt idx="46">
                  <c:v>266.48808784913786</c:v>
                </c:pt>
                <c:pt idx="47">
                  <c:v>266.48808784913786</c:v>
                </c:pt>
                <c:pt idx="48">
                  <c:v>266.48808784913786</c:v>
                </c:pt>
                <c:pt idx="49">
                  <c:v>266.48808784913786</c:v>
                </c:pt>
                <c:pt idx="50">
                  <c:v>266.48808784913786</c:v>
                </c:pt>
                <c:pt idx="51">
                  <c:v>266.48808784913786</c:v>
                </c:pt>
                <c:pt idx="52">
                  <c:v>266.48808784913786</c:v>
                </c:pt>
                <c:pt idx="53">
                  <c:v>266.48808784913786</c:v>
                </c:pt>
                <c:pt idx="54">
                  <c:v>266.48808784913786</c:v>
                </c:pt>
                <c:pt idx="55">
                  <c:v>266.48808784913786</c:v>
                </c:pt>
                <c:pt idx="56">
                  <c:v>266.48808784913786</c:v>
                </c:pt>
                <c:pt idx="57">
                  <c:v>266.48808784913786</c:v>
                </c:pt>
                <c:pt idx="58">
                  <c:v>266.48808784913786</c:v>
                </c:pt>
                <c:pt idx="59">
                  <c:v>266.48808784913786</c:v>
                </c:pt>
                <c:pt idx="60">
                  <c:v>266.48808784913786</c:v>
                </c:pt>
                <c:pt idx="61">
                  <c:v>266.48808784913786</c:v>
                </c:pt>
                <c:pt idx="62">
                  <c:v>266.48808784913786</c:v>
                </c:pt>
                <c:pt idx="63">
                  <c:v>266.48808784913786</c:v>
                </c:pt>
                <c:pt idx="64">
                  <c:v>266.48808784913786</c:v>
                </c:pt>
                <c:pt idx="65">
                  <c:v>266.48808784913786</c:v>
                </c:pt>
                <c:pt idx="66">
                  <c:v>266.48808784913786</c:v>
                </c:pt>
                <c:pt idx="67">
                  <c:v>266.48808784913786</c:v>
                </c:pt>
                <c:pt idx="68">
                  <c:v>266.48808784913786</c:v>
                </c:pt>
                <c:pt idx="69">
                  <c:v>266.48808784913786</c:v>
                </c:pt>
                <c:pt idx="70">
                  <c:v>266.48808784913786</c:v>
                </c:pt>
                <c:pt idx="71">
                  <c:v>266.48808784913786</c:v>
                </c:pt>
                <c:pt idx="72">
                  <c:v>266.48808784913786</c:v>
                </c:pt>
                <c:pt idx="73">
                  <c:v>266.48808784913786</c:v>
                </c:pt>
                <c:pt idx="74">
                  <c:v>266.48808784913786</c:v>
                </c:pt>
                <c:pt idx="75">
                  <c:v>266.48808784913786</c:v>
                </c:pt>
                <c:pt idx="76">
                  <c:v>266.48808784913786</c:v>
                </c:pt>
                <c:pt idx="77">
                  <c:v>266.48808784913786</c:v>
                </c:pt>
                <c:pt idx="78">
                  <c:v>266.48808784913786</c:v>
                </c:pt>
                <c:pt idx="79">
                  <c:v>266.48808784913786</c:v>
                </c:pt>
                <c:pt idx="80">
                  <c:v>266.48808784913786</c:v>
                </c:pt>
                <c:pt idx="81">
                  <c:v>266.48808784913786</c:v>
                </c:pt>
                <c:pt idx="82">
                  <c:v>266.48808784913786</c:v>
                </c:pt>
                <c:pt idx="83">
                  <c:v>266.48808784913786</c:v>
                </c:pt>
                <c:pt idx="84">
                  <c:v>266.48808784913786</c:v>
                </c:pt>
                <c:pt idx="85">
                  <c:v>266.48808784913786</c:v>
                </c:pt>
                <c:pt idx="86">
                  <c:v>266.48808784913786</c:v>
                </c:pt>
                <c:pt idx="87">
                  <c:v>266.48808784913786</c:v>
                </c:pt>
                <c:pt idx="88">
                  <c:v>266.48808784913786</c:v>
                </c:pt>
                <c:pt idx="89">
                  <c:v>266.48808784913786</c:v>
                </c:pt>
                <c:pt idx="90">
                  <c:v>266.48808784913786</c:v>
                </c:pt>
                <c:pt idx="91">
                  <c:v>266.48808784913786</c:v>
                </c:pt>
                <c:pt idx="92">
                  <c:v>266.48808784913786</c:v>
                </c:pt>
                <c:pt idx="93">
                  <c:v>266.48808784913786</c:v>
                </c:pt>
                <c:pt idx="94">
                  <c:v>266.48808784913786</c:v>
                </c:pt>
                <c:pt idx="95">
                  <c:v>266.48808784913786</c:v>
                </c:pt>
                <c:pt idx="96">
                  <c:v>266.48808784913786</c:v>
                </c:pt>
                <c:pt idx="97">
                  <c:v>266.48808784913786</c:v>
                </c:pt>
                <c:pt idx="98">
                  <c:v>266.48808784913786</c:v>
                </c:pt>
                <c:pt idx="99">
                  <c:v>266.48808784913786</c:v>
                </c:pt>
                <c:pt idx="100">
                  <c:v>266.48808784913786</c:v>
                </c:pt>
                <c:pt idx="101">
                  <c:v>266.48808784913786</c:v>
                </c:pt>
                <c:pt idx="102">
                  <c:v>266.48808784913786</c:v>
                </c:pt>
                <c:pt idx="103">
                  <c:v>266.48808784913786</c:v>
                </c:pt>
                <c:pt idx="104">
                  <c:v>266.48808784913786</c:v>
                </c:pt>
                <c:pt idx="105">
                  <c:v>266.48808784913786</c:v>
                </c:pt>
              </c:numCache>
            </c:numRef>
          </c:yVal>
          <c:smooth val="1"/>
        </c:ser>
        <c:ser>
          <c:idx val="2"/>
          <c:order val="2"/>
          <c:tx>
            <c:v>vrd inf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Foglio1!$Q$4:$Q$109</c:f>
              <c:numCache>
                <c:formatCode>0.000</c:formatCode>
                <c:ptCount val="106"/>
                <c:pt idx="0">
                  <c:v>0</c:v>
                </c:pt>
                <c:pt idx="1">
                  <c:v>5.4368932038834951E-2</c:v>
                </c:pt>
                <c:pt idx="2">
                  <c:v>0.1087378640776699</c:v>
                </c:pt>
                <c:pt idx="3">
                  <c:v>0.16310679611650486</c:v>
                </c:pt>
                <c:pt idx="4">
                  <c:v>0.2174757281553398</c:v>
                </c:pt>
                <c:pt idx="5">
                  <c:v>0.27184466019417475</c:v>
                </c:pt>
                <c:pt idx="6">
                  <c:v>0.32621359223300972</c:v>
                </c:pt>
                <c:pt idx="7">
                  <c:v>0.38058252427184464</c:v>
                </c:pt>
                <c:pt idx="8">
                  <c:v>0.43495145631067961</c:v>
                </c:pt>
                <c:pt idx="9">
                  <c:v>0.48932038834951458</c:v>
                </c:pt>
                <c:pt idx="10">
                  <c:v>0.5436893203883495</c:v>
                </c:pt>
                <c:pt idx="11">
                  <c:v>0.59805825242718447</c:v>
                </c:pt>
                <c:pt idx="12">
                  <c:v>0.65242718446601944</c:v>
                </c:pt>
                <c:pt idx="13">
                  <c:v>0.70679611650485441</c:v>
                </c:pt>
                <c:pt idx="14">
                  <c:v>0.76116504854368927</c:v>
                </c:pt>
                <c:pt idx="15">
                  <c:v>0.81553398058252424</c:v>
                </c:pt>
                <c:pt idx="16">
                  <c:v>0.86990291262135921</c:v>
                </c:pt>
                <c:pt idx="17">
                  <c:v>0.92427184466019419</c:v>
                </c:pt>
                <c:pt idx="18">
                  <c:v>0.97864077669902916</c:v>
                </c:pt>
                <c:pt idx="19">
                  <c:v>1.033009708737864</c:v>
                </c:pt>
                <c:pt idx="20">
                  <c:v>1.087378640776699</c:v>
                </c:pt>
                <c:pt idx="21">
                  <c:v>1.141747572815534</c:v>
                </c:pt>
                <c:pt idx="22">
                  <c:v>1.1961165048543689</c:v>
                </c:pt>
                <c:pt idx="23">
                  <c:v>1.2504854368932039</c:v>
                </c:pt>
                <c:pt idx="24">
                  <c:v>1.3048543689320389</c:v>
                </c:pt>
                <c:pt idx="25">
                  <c:v>1.3592233009708738</c:v>
                </c:pt>
                <c:pt idx="26">
                  <c:v>1.3592233009708738</c:v>
                </c:pt>
                <c:pt idx="27">
                  <c:v>1.4135922330097088</c:v>
                </c:pt>
                <c:pt idx="28">
                  <c:v>1.4679611650485436</c:v>
                </c:pt>
                <c:pt idx="29">
                  <c:v>1.5223300970873785</c:v>
                </c:pt>
                <c:pt idx="30">
                  <c:v>1.5766990291262135</c:v>
                </c:pt>
                <c:pt idx="31">
                  <c:v>1.6310679611650485</c:v>
                </c:pt>
                <c:pt idx="32">
                  <c:v>1.6854368932038835</c:v>
                </c:pt>
                <c:pt idx="33">
                  <c:v>1.7398058252427184</c:v>
                </c:pt>
                <c:pt idx="34">
                  <c:v>1.7941747572815534</c:v>
                </c:pt>
                <c:pt idx="35">
                  <c:v>1.8485436893203884</c:v>
                </c:pt>
                <c:pt idx="36">
                  <c:v>1.9029126213592233</c:v>
                </c:pt>
                <c:pt idx="37">
                  <c:v>1.9572815533980583</c:v>
                </c:pt>
                <c:pt idx="38">
                  <c:v>2.0116504854368933</c:v>
                </c:pt>
                <c:pt idx="39">
                  <c:v>2.066019417475728</c:v>
                </c:pt>
                <c:pt idx="40">
                  <c:v>2.1203883495145632</c:v>
                </c:pt>
                <c:pt idx="41">
                  <c:v>2.174757281553398</c:v>
                </c:pt>
                <c:pt idx="42">
                  <c:v>2.2291262135922332</c:v>
                </c:pt>
                <c:pt idx="43">
                  <c:v>2.2834951456310679</c:v>
                </c:pt>
                <c:pt idx="44">
                  <c:v>2.3378640776699027</c:v>
                </c:pt>
                <c:pt idx="45">
                  <c:v>2.3922330097087379</c:v>
                </c:pt>
                <c:pt idx="46">
                  <c:v>2.4466019417475726</c:v>
                </c:pt>
                <c:pt idx="47">
                  <c:v>2.5009708737864078</c:v>
                </c:pt>
                <c:pt idx="48">
                  <c:v>2.5553398058252426</c:v>
                </c:pt>
                <c:pt idx="49">
                  <c:v>2.6097087378640778</c:v>
                </c:pt>
                <c:pt idx="50">
                  <c:v>2.6640776699029125</c:v>
                </c:pt>
                <c:pt idx="51">
                  <c:v>2.7184466019417477</c:v>
                </c:pt>
                <c:pt idx="52">
                  <c:v>2.7728155339805824</c:v>
                </c:pt>
                <c:pt idx="53">
                  <c:v>2.7728155339805824</c:v>
                </c:pt>
                <c:pt idx="54">
                  <c:v>2.8271844660194176</c:v>
                </c:pt>
                <c:pt idx="55">
                  <c:v>2.8815533980582524</c:v>
                </c:pt>
                <c:pt idx="56">
                  <c:v>2.9359223300970871</c:v>
                </c:pt>
                <c:pt idx="57">
                  <c:v>2.9902912621359223</c:v>
                </c:pt>
                <c:pt idx="58">
                  <c:v>3.0446601941747571</c:v>
                </c:pt>
                <c:pt idx="59">
                  <c:v>3.0990291262135923</c:v>
                </c:pt>
                <c:pt idx="60">
                  <c:v>3.153398058252427</c:v>
                </c:pt>
                <c:pt idx="61">
                  <c:v>3.2077669902912622</c:v>
                </c:pt>
                <c:pt idx="62">
                  <c:v>3.262135922330097</c:v>
                </c:pt>
                <c:pt idx="63">
                  <c:v>3.3165048543689322</c:v>
                </c:pt>
                <c:pt idx="64">
                  <c:v>3.3708737864077669</c:v>
                </c:pt>
                <c:pt idx="65">
                  <c:v>3.4252427184466021</c:v>
                </c:pt>
                <c:pt idx="66">
                  <c:v>3.4796116504854369</c:v>
                </c:pt>
                <c:pt idx="67">
                  <c:v>3.5339805825242716</c:v>
                </c:pt>
                <c:pt idx="68">
                  <c:v>3.5883495145631068</c:v>
                </c:pt>
                <c:pt idx="69">
                  <c:v>3.6427184466019416</c:v>
                </c:pt>
                <c:pt idx="70">
                  <c:v>3.6970873786407767</c:v>
                </c:pt>
                <c:pt idx="71">
                  <c:v>3.7514563106796115</c:v>
                </c:pt>
                <c:pt idx="72">
                  <c:v>3.8058252427184467</c:v>
                </c:pt>
                <c:pt idx="73">
                  <c:v>3.8601941747572814</c:v>
                </c:pt>
                <c:pt idx="74">
                  <c:v>3.9145631067961166</c:v>
                </c:pt>
                <c:pt idx="75">
                  <c:v>3.9689320388349514</c:v>
                </c:pt>
                <c:pt idx="76">
                  <c:v>4.0233009708737866</c:v>
                </c:pt>
                <c:pt idx="77">
                  <c:v>4.0776699029126213</c:v>
                </c:pt>
                <c:pt idx="78">
                  <c:v>4.1320388349514561</c:v>
                </c:pt>
                <c:pt idx="79">
                  <c:v>4.1864077669902908</c:v>
                </c:pt>
                <c:pt idx="80">
                  <c:v>4.2407766990291265</c:v>
                </c:pt>
                <c:pt idx="81">
                  <c:v>4.2951456310679612</c:v>
                </c:pt>
                <c:pt idx="82">
                  <c:v>4.349514563106796</c:v>
                </c:pt>
                <c:pt idx="83">
                  <c:v>4.4038834951456307</c:v>
                </c:pt>
                <c:pt idx="84">
                  <c:v>4.4582524271844663</c:v>
                </c:pt>
                <c:pt idx="85">
                  <c:v>4.5126213592233011</c:v>
                </c:pt>
                <c:pt idx="86">
                  <c:v>4.5669902912621358</c:v>
                </c:pt>
                <c:pt idx="87">
                  <c:v>4.6213592233009706</c:v>
                </c:pt>
                <c:pt idx="88">
                  <c:v>4.6757281553398053</c:v>
                </c:pt>
                <c:pt idx="89">
                  <c:v>4.730097087378641</c:v>
                </c:pt>
                <c:pt idx="90">
                  <c:v>4.7844660194174757</c:v>
                </c:pt>
                <c:pt idx="91">
                  <c:v>4.8388349514563105</c:v>
                </c:pt>
                <c:pt idx="92">
                  <c:v>4.8932038834951452</c:v>
                </c:pt>
                <c:pt idx="93">
                  <c:v>4.9475728155339809</c:v>
                </c:pt>
                <c:pt idx="94">
                  <c:v>5.0019417475728156</c:v>
                </c:pt>
                <c:pt idx="95">
                  <c:v>5.0563106796116504</c:v>
                </c:pt>
                <c:pt idx="96">
                  <c:v>5.1106796116504851</c:v>
                </c:pt>
                <c:pt idx="97">
                  <c:v>5.1650485436893208</c:v>
                </c:pt>
                <c:pt idx="98">
                  <c:v>5.2194174757281555</c:v>
                </c:pt>
                <c:pt idx="99">
                  <c:v>5.2737864077669903</c:v>
                </c:pt>
                <c:pt idx="100">
                  <c:v>5.328155339805825</c:v>
                </c:pt>
                <c:pt idx="101">
                  <c:v>5.3825242718446598</c:v>
                </c:pt>
                <c:pt idx="102">
                  <c:v>5.4368932038834954</c:v>
                </c:pt>
                <c:pt idx="103">
                  <c:v>5.4912621359223301</c:v>
                </c:pt>
                <c:pt idx="104">
                  <c:v>5.5456310679611649</c:v>
                </c:pt>
                <c:pt idx="105">
                  <c:v>5.6</c:v>
                </c:pt>
              </c:numCache>
            </c:numRef>
          </c:xVal>
          <c:yVal>
            <c:numRef>
              <c:f>Foglio1!$V$4:$V$109</c:f>
              <c:numCache>
                <c:formatCode>0.00</c:formatCode>
                <c:ptCount val="106"/>
                <c:pt idx="0">
                  <c:v>-266.48808784913786</c:v>
                </c:pt>
                <c:pt idx="1">
                  <c:v>-266.48808784913786</c:v>
                </c:pt>
                <c:pt idx="2">
                  <c:v>-266.48808784913786</c:v>
                </c:pt>
                <c:pt idx="3">
                  <c:v>-266.48808784913786</c:v>
                </c:pt>
                <c:pt idx="4">
                  <c:v>-266.48808784913786</c:v>
                </c:pt>
                <c:pt idx="5">
                  <c:v>-266.48808784913786</c:v>
                </c:pt>
                <c:pt idx="6">
                  <c:v>-266.48808784913786</c:v>
                </c:pt>
                <c:pt idx="7">
                  <c:v>-266.48808784913786</c:v>
                </c:pt>
                <c:pt idx="8">
                  <c:v>-266.48808784913786</c:v>
                </c:pt>
                <c:pt idx="9">
                  <c:v>-266.48808784913786</c:v>
                </c:pt>
                <c:pt idx="10">
                  <c:v>-266.48808784913786</c:v>
                </c:pt>
                <c:pt idx="11">
                  <c:v>-266.48808784913786</c:v>
                </c:pt>
                <c:pt idx="12">
                  <c:v>-266.48808784913786</c:v>
                </c:pt>
                <c:pt idx="13">
                  <c:v>-266.48808784913786</c:v>
                </c:pt>
                <c:pt idx="14">
                  <c:v>-266.48808784913786</c:v>
                </c:pt>
                <c:pt idx="15">
                  <c:v>-266.48808784913786</c:v>
                </c:pt>
                <c:pt idx="16">
                  <c:v>-266.48808784913786</c:v>
                </c:pt>
                <c:pt idx="17">
                  <c:v>-266.48808784913786</c:v>
                </c:pt>
                <c:pt idx="18">
                  <c:v>-266.48808784913786</c:v>
                </c:pt>
                <c:pt idx="19">
                  <c:v>-266.48808784913786</c:v>
                </c:pt>
                <c:pt idx="20">
                  <c:v>-266.48808784913786</c:v>
                </c:pt>
                <c:pt idx="21">
                  <c:v>-266.48808784913786</c:v>
                </c:pt>
                <c:pt idx="22">
                  <c:v>-266.48808784913786</c:v>
                </c:pt>
                <c:pt idx="23">
                  <c:v>-266.48808784913786</c:v>
                </c:pt>
                <c:pt idx="24">
                  <c:v>-266.48808784913786</c:v>
                </c:pt>
                <c:pt idx="25">
                  <c:v>-266.48808784913786</c:v>
                </c:pt>
                <c:pt idx="26">
                  <c:v>-266.48808784913786</c:v>
                </c:pt>
                <c:pt idx="27">
                  <c:v>-266.48808784913786</c:v>
                </c:pt>
                <c:pt idx="28">
                  <c:v>-266.48808784913786</c:v>
                </c:pt>
                <c:pt idx="29">
                  <c:v>-266.48808784913786</c:v>
                </c:pt>
                <c:pt idx="30">
                  <c:v>-266.48808784913786</c:v>
                </c:pt>
                <c:pt idx="31">
                  <c:v>-266.48808784913786</c:v>
                </c:pt>
                <c:pt idx="32">
                  <c:v>-266.48808784913786</c:v>
                </c:pt>
                <c:pt idx="33">
                  <c:v>-266.48808784913786</c:v>
                </c:pt>
                <c:pt idx="34">
                  <c:v>-266.48808784913786</c:v>
                </c:pt>
                <c:pt idx="35">
                  <c:v>-266.48808784913786</c:v>
                </c:pt>
                <c:pt idx="36">
                  <c:v>-266.48808784913786</c:v>
                </c:pt>
                <c:pt idx="37">
                  <c:v>-266.48808784913786</c:v>
                </c:pt>
                <c:pt idx="38">
                  <c:v>-266.48808784913786</c:v>
                </c:pt>
                <c:pt idx="39">
                  <c:v>-266.48808784913786</c:v>
                </c:pt>
                <c:pt idx="40">
                  <c:v>-266.48808784913786</c:v>
                </c:pt>
                <c:pt idx="41">
                  <c:v>-266.48808784913786</c:v>
                </c:pt>
                <c:pt idx="42">
                  <c:v>-266.48808784913786</c:v>
                </c:pt>
                <c:pt idx="43">
                  <c:v>-266.48808784913786</c:v>
                </c:pt>
                <c:pt idx="44">
                  <c:v>-266.48808784913786</c:v>
                </c:pt>
                <c:pt idx="45">
                  <c:v>-266.48808784913786</c:v>
                </c:pt>
                <c:pt idx="46">
                  <c:v>-266.48808784913786</c:v>
                </c:pt>
                <c:pt idx="47">
                  <c:v>-266.48808784913786</c:v>
                </c:pt>
                <c:pt idx="48">
                  <c:v>-266.48808784913786</c:v>
                </c:pt>
                <c:pt idx="49">
                  <c:v>-266.48808784913786</c:v>
                </c:pt>
                <c:pt idx="50">
                  <c:v>-266.48808784913786</c:v>
                </c:pt>
                <c:pt idx="51">
                  <c:v>-266.48808784913786</c:v>
                </c:pt>
                <c:pt idx="52">
                  <c:v>-266.48808784913786</c:v>
                </c:pt>
                <c:pt idx="53">
                  <c:v>-266.48808784913786</c:v>
                </c:pt>
                <c:pt idx="54">
                  <c:v>-266.48808784913786</c:v>
                </c:pt>
                <c:pt idx="55">
                  <c:v>-266.48808784913786</c:v>
                </c:pt>
                <c:pt idx="56">
                  <c:v>-266.48808784913786</c:v>
                </c:pt>
                <c:pt idx="57">
                  <c:v>-266.48808784913786</c:v>
                </c:pt>
                <c:pt idx="58">
                  <c:v>-266.48808784913786</c:v>
                </c:pt>
                <c:pt idx="59">
                  <c:v>-266.48808784913786</c:v>
                </c:pt>
                <c:pt idx="60">
                  <c:v>-266.48808784913786</c:v>
                </c:pt>
                <c:pt idx="61">
                  <c:v>-266.48808784913786</c:v>
                </c:pt>
                <c:pt idx="62">
                  <c:v>-266.48808784913786</c:v>
                </c:pt>
                <c:pt idx="63">
                  <c:v>-266.48808784913786</c:v>
                </c:pt>
                <c:pt idx="64">
                  <c:v>-266.48808784913786</c:v>
                </c:pt>
                <c:pt idx="65">
                  <c:v>-266.48808784913786</c:v>
                </c:pt>
                <c:pt idx="66">
                  <c:v>-266.48808784913786</c:v>
                </c:pt>
                <c:pt idx="67">
                  <c:v>-266.48808784913786</c:v>
                </c:pt>
                <c:pt idx="68">
                  <c:v>-266.48808784913786</c:v>
                </c:pt>
                <c:pt idx="69">
                  <c:v>-266.48808784913786</c:v>
                </c:pt>
                <c:pt idx="70">
                  <c:v>-266.48808784913786</c:v>
                </c:pt>
                <c:pt idx="71">
                  <c:v>-266.48808784913786</c:v>
                </c:pt>
                <c:pt idx="72">
                  <c:v>-266.48808784913786</c:v>
                </c:pt>
                <c:pt idx="73">
                  <c:v>-266.48808784913786</c:v>
                </c:pt>
                <c:pt idx="74">
                  <c:v>-266.48808784913786</c:v>
                </c:pt>
                <c:pt idx="75">
                  <c:v>-266.48808784913786</c:v>
                </c:pt>
                <c:pt idx="76">
                  <c:v>-266.48808784913786</c:v>
                </c:pt>
                <c:pt idx="77">
                  <c:v>-266.48808784913786</c:v>
                </c:pt>
                <c:pt idx="78">
                  <c:v>-266.48808784913786</c:v>
                </c:pt>
                <c:pt idx="79">
                  <c:v>-266.48808784913786</c:v>
                </c:pt>
                <c:pt idx="80">
                  <c:v>-266.48808784913786</c:v>
                </c:pt>
                <c:pt idx="81">
                  <c:v>-266.48808784913786</c:v>
                </c:pt>
                <c:pt idx="82">
                  <c:v>-266.48808784913786</c:v>
                </c:pt>
                <c:pt idx="83">
                  <c:v>-266.48808784913786</c:v>
                </c:pt>
                <c:pt idx="84">
                  <c:v>-266.48808784913786</c:v>
                </c:pt>
                <c:pt idx="85">
                  <c:v>-266.48808784913786</c:v>
                </c:pt>
                <c:pt idx="86">
                  <c:v>-266.48808784913786</c:v>
                </c:pt>
                <c:pt idx="87">
                  <c:v>-266.48808784913786</c:v>
                </c:pt>
                <c:pt idx="88">
                  <c:v>-266.48808784913786</c:v>
                </c:pt>
                <c:pt idx="89">
                  <c:v>-266.48808784913786</c:v>
                </c:pt>
                <c:pt idx="90">
                  <c:v>-266.48808784913786</c:v>
                </c:pt>
                <c:pt idx="91">
                  <c:v>-266.48808784913786</c:v>
                </c:pt>
                <c:pt idx="92">
                  <c:v>-266.48808784913786</c:v>
                </c:pt>
                <c:pt idx="93">
                  <c:v>-266.48808784913786</c:v>
                </c:pt>
                <c:pt idx="94">
                  <c:v>-266.48808784913786</c:v>
                </c:pt>
                <c:pt idx="95">
                  <c:v>-266.48808784913786</c:v>
                </c:pt>
                <c:pt idx="96">
                  <c:v>-266.48808784913786</c:v>
                </c:pt>
                <c:pt idx="97">
                  <c:v>-266.48808784913786</c:v>
                </c:pt>
                <c:pt idx="98">
                  <c:v>-266.48808784913786</c:v>
                </c:pt>
                <c:pt idx="99">
                  <c:v>-266.48808784913786</c:v>
                </c:pt>
                <c:pt idx="100">
                  <c:v>-266.48808784913786</c:v>
                </c:pt>
                <c:pt idx="101">
                  <c:v>-266.48808784913786</c:v>
                </c:pt>
                <c:pt idx="102">
                  <c:v>-266.48808784913786</c:v>
                </c:pt>
                <c:pt idx="103">
                  <c:v>-266.48808784913786</c:v>
                </c:pt>
                <c:pt idx="104">
                  <c:v>-266.48808784913786</c:v>
                </c:pt>
                <c:pt idx="105">
                  <c:v>-266.48808784913786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748279984"/>
        <c:axId val="-1748278896"/>
      </c:scatterChart>
      <c:valAx>
        <c:axId val="-17482799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it-IT" sz="1000" b="0" i="0" baseline="0">
                    <a:effectLst/>
                  </a:rPr>
                  <a:t>Lunghezza trave [m]</a:t>
                </a:r>
                <a:endParaRPr lang="it-IT" sz="10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</c:title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-1748278896"/>
        <c:crosses val="autoZero"/>
        <c:crossBetween val="midCat"/>
      </c:valAx>
      <c:valAx>
        <c:axId val="-1748278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it-IT"/>
                  <a:t>Taglio</a:t>
                </a:r>
                <a:r>
                  <a:rPr lang="it-IT" baseline="0"/>
                  <a:t> [kN]</a:t>
                </a:r>
                <a:endParaRPr lang="it-IT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</c:title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-174827998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.xml"/><Relationship Id="rId13" Type="http://schemas.openxmlformats.org/officeDocument/2006/relationships/image" Target="../media/image13.png"/><Relationship Id="rId3" Type="http://schemas.openxmlformats.org/officeDocument/2006/relationships/image" Target="../media/image5.jpg"/><Relationship Id="rId7" Type="http://schemas.openxmlformats.org/officeDocument/2006/relationships/chart" Target="../charts/chart1.xml"/><Relationship Id="rId12" Type="http://schemas.openxmlformats.org/officeDocument/2006/relationships/image" Target="../media/image12.png"/><Relationship Id="rId2" Type="http://schemas.openxmlformats.org/officeDocument/2006/relationships/image" Target="../media/image4.png"/><Relationship Id="rId1" Type="http://schemas.openxmlformats.org/officeDocument/2006/relationships/image" Target="../media/image3.png"/><Relationship Id="rId6" Type="http://schemas.openxmlformats.org/officeDocument/2006/relationships/image" Target="../media/image8.PNG"/><Relationship Id="rId11" Type="http://schemas.openxmlformats.org/officeDocument/2006/relationships/image" Target="../media/image11.png"/><Relationship Id="rId5" Type="http://schemas.openxmlformats.org/officeDocument/2006/relationships/image" Target="../media/image7.PNG"/><Relationship Id="rId10" Type="http://schemas.openxmlformats.org/officeDocument/2006/relationships/image" Target="../media/image10.png"/><Relationship Id="rId4" Type="http://schemas.openxmlformats.org/officeDocument/2006/relationships/image" Target="../media/image6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38100</xdr:colOff>
      <xdr:row>0</xdr:row>
      <xdr:rowOff>152400</xdr:rowOff>
    </xdr:from>
    <xdr:ext cx="5086350" cy="537138"/>
    <xdr:pic>
      <xdr:nvPicPr>
        <xdr:cNvPr id="2" name="Immagine 1" descr="Cattura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42875" y="152400"/>
          <a:ext cx="5086350" cy="537138"/>
        </a:xfrm>
        <a:prstGeom prst="rect">
          <a:avLst/>
        </a:prstGeom>
      </xdr:spPr>
    </xdr:pic>
    <xdr:clientData/>
  </xdr:oneCellAnchor>
  <xdr:twoCellAnchor editAs="oneCell">
    <xdr:from>
      <xdr:col>1</xdr:col>
      <xdr:colOff>142875</xdr:colOff>
      <xdr:row>9</xdr:row>
      <xdr:rowOff>142875</xdr:rowOff>
    </xdr:from>
    <xdr:to>
      <xdr:col>9</xdr:col>
      <xdr:colOff>200025</xdr:colOff>
      <xdr:row>13</xdr:row>
      <xdr:rowOff>95250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" y="1304925"/>
          <a:ext cx="4933950" cy="7524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408</xdr:row>
      <xdr:rowOff>19050</xdr:rowOff>
    </xdr:from>
    <xdr:to>
      <xdr:col>1</xdr:col>
      <xdr:colOff>123825</xdr:colOff>
      <xdr:row>409</xdr:row>
      <xdr:rowOff>38100</xdr:rowOff>
    </xdr:to>
    <xdr:pic>
      <xdr:nvPicPr>
        <xdr:cNvPr id="5" name="Immagin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45072300"/>
          <a:ext cx="95250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1504949</xdr:colOff>
      <xdr:row>415</xdr:row>
      <xdr:rowOff>66675</xdr:rowOff>
    </xdr:from>
    <xdr:to>
      <xdr:col>3</xdr:col>
      <xdr:colOff>476250</xdr:colOff>
      <xdr:row>417</xdr:row>
      <xdr:rowOff>104775</xdr:rowOff>
    </xdr:to>
    <xdr:pic>
      <xdr:nvPicPr>
        <xdr:cNvPr id="6" name="Immagine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6874" y="63750825"/>
          <a:ext cx="1905001" cy="438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276225</xdr:colOff>
      <xdr:row>403</xdr:row>
      <xdr:rowOff>95250</xdr:rowOff>
    </xdr:from>
    <xdr:ext cx="1510242" cy="40100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CasellaDiTesto 6"/>
            <xdr:cNvSpPr txBox="1"/>
          </xdr:nvSpPr>
          <xdr:spPr>
            <a:xfrm>
              <a:off x="438150" y="42433875"/>
              <a:ext cx="1510242" cy="40100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it-IT" sz="12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it-IT" sz="1200" b="0" i="1">
                            <a:latin typeface="Cambria Math" panose="02040503050406030204" pitchFamily="18" charset="0"/>
                          </a:rPr>
                          <m:t>𝑓</m:t>
                        </m:r>
                      </m:e>
                      <m:sub>
                        <m:r>
                          <a:rPr lang="it-IT" sz="1200" b="0" i="1">
                            <a:latin typeface="Cambria Math" panose="02040503050406030204" pitchFamily="18" charset="0"/>
                          </a:rPr>
                          <m:t>1</m:t>
                        </m:r>
                      </m:sub>
                    </m:sSub>
                    <m:r>
                      <a:rPr lang="it-IT" sz="1200" b="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it-IT" sz="12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it-IT" sz="1200" b="0" i="1">
                            <a:latin typeface="Cambria Math" panose="02040503050406030204" pitchFamily="18" charset="0"/>
                          </a:rPr>
                          <m:t>5</m:t>
                        </m:r>
                      </m:num>
                      <m:den>
                        <m:r>
                          <a:rPr lang="it-IT" sz="1200" b="0" i="1">
                            <a:latin typeface="Cambria Math" panose="02040503050406030204" pitchFamily="18" charset="0"/>
                          </a:rPr>
                          <m:t>384</m:t>
                        </m:r>
                      </m:den>
                    </m:f>
                    <m:r>
                      <a:rPr lang="it-IT" sz="1200" b="0" i="1">
                        <a:latin typeface="Cambria Math" panose="02040503050406030204" pitchFamily="18" charset="0"/>
                      </a:rPr>
                      <m:t> </m:t>
                    </m:r>
                    <m:f>
                      <m:fPr>
                        <m:ctrlPr>
                          <a:rPr lang="it-IT" sz="12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it-IT" sz="1200" b="0" i="1">
                            <a:latin typeface="Cambria Math" panose="02040503050406030204" pitchFamily="18" charset="0"/>
                          </a:rPr>
                          <m:t>𝑞</m:t>
                        </m:r>
                        <m:r>
                          <a:rPr lang="it-IT" sz="1200" b="0" i="1">
                            <a:latin typeface="Cambria Math" panose="02040503050406030204" pitchFamily="18" charset="0"/>
                          </a:rPr>
                          <m:t> </m:t>
                        </m:r>
                        <m:sSup>
                          <m:sSupPr>
                            <m:ctrlPr>
                              <a:rPr lang="it-IT" sz="1200" b="0" i="1">
                                <a:latin typeface="Cambria Math" panose="02040503050406030204" pitchFamily="18" charset="0"/>
                              </a:rPr>
                            </m:ctrlPr>
                          </m:sSupPr>
                          <m:e>
                            <m:r>
                              <a:rPr lang="it-IT" sz="1200" b="0" i="1">
                                <a:latin typeface="Cambria Math" panose="02040503050406030204" pitchFamily="18" charset="0"/>
                              </a:rPr>
                              <m:t>𝑙</m:t>
                            </m:r>
                          </m:e>
                          <m:sup>
                            <m:r>
                              <a:rPr lang="it-IT" sz="1200" b="0" i="1">
                                <a:latin typeface="Cambria Math" panose="02040503050406030204" pitchFamily="18" charset="0"/>
                              </a:rPr>
                              <m:t>4</m:t>
                            </m:r>
                          </m:sup>
                        </m:sSup>
                      </m:num>
                      <m:den>
                        <m:sSub>
                          <m:sSubPr>
                            <m:ctrlPr>
                              <a:rPr lang="it-IT" sz="12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it-IT" sz="1200" b="0" i="1">
                                <a:latin typeface="Cambria Math" panose="02040503050406030204" pitchFamily="18" charset="0"/>
                              </a:rPr>
                              <m:t>𝐸</m:t>
                            </m:r>
                          </m:e>
                          <m:sub>
                            <m:r>
                              <a:rPr lang="it-IT" sz="1200" b="0" i="1">
                                <a:latin typeface="Cambria Math" panose="02040503050406030204" pitchFamily="18" charset="0"/>
                              </a:rPr>
                              <m:t>𝑐</m:t>
                            </m:r>
                          </m:sub>
                        </m:sSub>
                        <m:sSub>
                          <m:sSubPr>
                            <m:ctrlPr>
                              <a:rPr lang="it-IT" sz="12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it-IT" sz="1200" b="0" i="1">
                                <a:latin typeface="Cambria Math" panose="02040503050406030204" pitchFamily="18" charset="0"/>
                              </a:rPr>
                              <m:t> </m:t>
                            </m:r>
                            <m:r>
                              <a:rPr lang="it-IT" sz="1200" b="0" i="1">
                                <a:latin typeface="Cambria Math" panose="02040503050406030204" pitchFamily="18" charset="0"/>
                              </a:rPr>
                              <m:t>𝐽</m:t>
                            </m:r>
                          </m:e>
                          <m:sub>
                            <m:r>
                              <a:rPr lang="it-IT" sz="1200" b="0" i="1">
                                <a:latin typeface="Cambria Math" panose="02040503050406030204" pitchFamily="18" charset="0"/>
                              </a:rPr>
                              <m:t>1</m:t>
                            </m:r>
                          </m:sub>
                        </m:sSub>
                      </m:den>
                    </m:f>
                    <m:r>
                      <a:rPr lang="it-IT" sz="12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it-IT" sz="1200" b="0" i="1">
                        <a:latin typeface="Cambria Math" panose="02040503050406030204" pitchFamily="18" charset="0"/>
                      </a:rPr>
                      <m:t> </m:t>
                    </m:r>
                  </m:oMath>
                </m:oMathPara>
              </a14:m>
              <a:endParaRPr lang="it-IT" sz="1200"/>
            </a:p>
          </xdr:txBody>
        </xdr:sp>
      </mc:Choice>
      <mc:Fallback xmlns="">
        <xdr:sp macro="" textlink="">
          <xdr:nvSpPr>
            <xdr:cNvPr id="7" name="CasellaDiTesto 6"/>
            <xdr:cNvSpPr txBox="1"/>
          </xdr:nvSpPr>
          <xdr:spPr>
            <a:xfrm>
              <a:off x="438150" y="42433875"/>
              <a:ext cx="1510242" cy="40100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it-IT" sz="1200" b="0" i="0">
                  <a:latin typeface="Cambria Math" panose="02040503050406030204" pitchFamily="18" charset="0"/>
                </a:rPr>
                <a:t>𝑓_1=5/384   (𝑞 𝑙^4)/(𝐸_𝑐 〖 𝐽〗_1 )</a:t>
              </a:r>
              <a:r>
                <a:rPr lang="it-IT" sz="12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</a:t>
              </a:r>
              <a:r>
                <a:rPr lang="it-IT" sz="1200" b="0" i="0">
                  <a:latin typeface="Cambria Math" panose="02040503050406030204" pitchFamily="18" charset="0"/>
                </a:rPr>
                <a:t> </a:t>
              </a:r>
              <a:endParaRPr lang="it-IT" sz="1200"/>
            </a:p>
          </xdr:txBody>
        </xdr:sp>
      </mc:Fallback>
    </mc:AlternateContent>
    <xdr:clientData/>
  </xdr:oneCellAnchor>
  <xdr:oneCellAnchor>
    <xdr:from>
      <xdr:col>1</xdr:col>
      <xdr:colOff>1790700</xdr:colOff>
      <xdr:row>403</xdr:row>
      <xdr:rowOff>104775</xdr:rowOff>
    </xdr:from>
    <xdr:ext cx="1281642" cy="48577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CasellaDiTesto 7"/>
            <xdr:cNvSpPr txBox="1"/>
          </xdr:nvSpPr>
          <xdr:spPr>
            <a:xfrm>
              <a:off x="1952625" y="42443400"/>
              <a:ext cx="1281642" cy="48577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it-IT" sz="12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it-IT" sz="1200" b="0" i="1">
                            <a:latin typeface="Cambria Math" panose="02040503050406030204" pitchFamily="18" charset="0"/>
                          </a:rPr>
                          <m:t>𝑓</m:t>
                        </m:r>
                      </m:e>
                      <m:sub>
                        <m:r>
                          <a:rPr lang="it-IT" sz="1200" b="0" i="1">
                            <a:latin typeface="Cambria Math" panose="02040503050406030204" pitchFamily="18" charset="0"/>
                          </a:rPr>
                          <m:t>2</m:t>
                        </m:r>
                      </m:sub>
                    </m:sSub>
                    <m:r>
                      <a:rPr lang="it-IT" sz="1200" b="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it-IT" sz="12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it-IT" sz="1200" b="0" i="1">
                            <a:latin typeface="Cambria Math" panose="02040503050406030204" pitchFamily="18" charset="0"/>
                          </a:rPr>
                          <m:t>5</m:t>
                        </m:r>
                      </m:num>
                      <m:den>
                        <m:r>
                          <a:rPr lang="it-IT" sz="1200" b="0" i="1">
                            <a:latin typeface="Cambria Math" panose="02040503050406030204" pitchFamily="18" charset="0"/>
                          </a:rPr>
                          <m:t>384</m:t>
                        </m:r>
                      </m:den>
                    </m:f>
                    <m:r>
                      <a:rPr lang="it-IT" sz="1200" b="0" i="1">
                        <a:latin typeface="Cambria Math" panose="02040503050406030204" pitchFamily="18" charset="0"/>
                      </a:rPr>
                      <m:t> </m:t>
                    </m:r>
                    <m:f>
                      <m:fPr>
                        <m:ctrlPr>
                          <a:rPr lang="it-IT" sz="12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it-IT" sz="1200" b="0" i="1">
                            <a:latin typeface="Cambria Math" panose="02040503050406030204" pitchFamily="18" charset="0"/>
                          </a:rPr>
                          <m:t>𝑞</m:t>
                        </m:r>
                        <m:r>
                          <a:rPr lang="it-IT" sz="1200" b="0" i="1">
                            <a:latin typeface="Cambria Math" panose="02040503050406030204" pitchFamily="18" charset="0"/>
                          </a:rPr>
                          <m:t> </m:t>
                        </m:r>
                        <m:sSup>
                          <m:sSupPr>
                            <m:ctrlPr>
                              <a:rPr lang="it-IT" sz="1200" b="0" i="1">
                                <a:latin typeface="Cambria Math" panose="02040503050406030204" pitchFamily="18" charset="0"/>
                              </a:rPr>
                            </m:ctrlPr>
                          </m:sSupPr>
                          <m:e>
                            <m:r>
                              <a:rPr lang="it-IT" sz="1200" b="0" i="1">
                                <a:latin typeface="Cambria Math" panose="02040503050406030204" pitchFamily="18" charset="0"/>
                              </a:rPr>
                              <m:t>𝑙</m:t>
                            </m:r>
                          </m:e>
                          <m:sup>
                            <m:r>
                              <a:rPr lang="it-IT" sz="1200" b="0" i="1">
                                <a:latin typeface="Cambria Math" panose="02040503050406030204" pitchFamily="18" charset="0"/>
                              </a:rPr>
                              <m:t>4</m:t>
                            </m:r>
                          </m:sup>
                        </m:sSup>
                      </m:num>
                      <m:den>
                        <m:sSub>
                          <m:sSubPr>
                            <m:ctrlPr>
                              <a:rPr lang="it-IT" sz="12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it-IT" sz="1200" b="0" i="1">
                                <a:latin typeface="Cambria Math" panose="02040503050406030204" pitchFamily="18" charset="0"/>
                              </a:rPr>
                              <m:t>𝐸</m:t>
                            </m:r>
                          </m:e>
                          <m:sub>
                            <m:r>
                              <a:rPr lang="it-IT" sz="1200" b="0" i="1">
                                <a:latin typeface="Cambria Math" panose="02040503050406030204" pitchFamily="18" charset="0"/>
                              </a:rPr>
                              <m:t>𝑐</m:t>
                            </m:r>
                          </m:sub>
                        </m:sSub>
                        <m:sSub>
                          <m:sSubPr>
                            <m:ctrlPr>
                              <a:rPr lang="it-IT" sz="12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it-IT" sz="1200" b="0" i="1">
                                <a:latin typeface="Cambria Math" panose="02040503050406030204" pitchFamily="18" charset="0"/>
                              </a:rPr>
                              <m:t> </m:t>
                            </m:r>
                            <m:r>
                              <a:rPr lang="it-IT" sz="1200" b="0" i="1">
                                <a:latin typeface="Cambria Math" panose="02040503050406030204" pitchFamily="18" charset="0"/>
                              </a:rPr>
                              <m:t>𝐽</m:t>
                            </m:r>
                          </m:e>
                          <m:sub>
                            <m:r>
                              <a:rPr lang="it-IT" sz="1200" b="0" i="1">
                                <a:latin typeface="Cambria Math" panose="02040503050406030204" pitchFamily="18" charset="0"/>
                              </a:rPr>
                              <m:t>2</m:t>
                            </m:r>
                          </m:sub>
                        </m:sSub>
                      </m:den>
                    </m:f>
                    <m:r>
                      <a:rPr lang="it-IT" sz="12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it-IT" sz="1200" b="0" i="1">
                        <a:latin typeface="Cambria Math" panose="02040503050406030204" pitchFamily="18" charset="0"/>
                      </a:rPr>
                      <m:t> </m:t>
                    </m:r>
                  </m:oMath>
                </m:oMathPara>
              </a14:m>
              <a:endParaRPr lang="it-IT" sz="1200"/>
            </a:p>
          </xdr:txBody>
        </xdr:sp>
      </mc:Choice>
      <mc:Fallback xmlns="">
        <xdr:sp macro="" textlink="">
          <xdr:nvSpPr>
            <xdr:cNvPr id="8" name="CasellaDiTesto 7"/>
            <xdr:cNvSpPr txBox="1"/>
          </xdr:nvSpPr>
          <xdr:spPr>
            <a:xfrm>
              <a:off x="1952625" y="42443400"/>
              <a:ext cx="1281642" cy="48577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:r>
                <a:rPr lang="it-IT" sz="1200" b="0" i="0">
                  <a:latin typeface="Cambria Math" panose="02040503050406030204" pitchFamily="18" charset="0"/>
                </a:rPr>
                <a:t>𝑓_2=5/384   (𝑞 𝑙^4)/(𝐸_𝑐 〖 𝐽〗_2 )</a:t>
              </a:r>
              <a:r>
                <a:rPr lang="it-IT" sz="12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</a:t>
              </a:r>
              <a:r>
                <a:rPr lang="it-IT" sz="1200" b="0" i="0">
                  <a:latin typeface="Cambria Math" panose="02040503050406030204" pitchFamily="18" charset="0"/>
                </a:rPr>
                <a:t> </a:t>
              </a:r>
              <a:endParaRPr lang="it-IT" sz="1200"/>
            </a:p>
          </xdr:txBody>
        </xdr:sp>
      </mc:Fallback>
    </mc:AlternateContent>
    <xdr:clientData/>
  </xdr:oneCellAnchor>
  <xdr:oneCellAnchor>
    <xdr:from>
      <xdr:col>3</xdr:col>
      <xdr:colOff>57150</xdr:colOff>
      <xdr:row>403</xdr:row>
      <xdr:rowOff>142875</xdr:rowOff>
    </xdr:from>
    <xdr:ext cx="1657350" cy="40957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1" name="CasellaDiTesto 10"/>
            <xdr:cNvSpPr txBox="1"/>
          </xdr:nvSpPr>
          <xdr:spPr>
            <a:xfrm>
              <a:off x="3162300" y="42481500"/>
              <a:ext cx="1657350" cy="40957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it-IT" sz="12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it-IT" sz="12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𝑀</m:t>
                        </m:r>
                      </m:e>
                      <m:sub>
                        <m:r>
                          <a:rPr lang="it-IT" sz="12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𝑐𝑟</m:t>
                        </m:r>
                      </m:sub>
                    </m:sSub>
                    <m:r>
                      <a:rPr lang="it-IT" sz="12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f>
                      <m:fPr>
                        <m:ctrlPr>
                          <a:rPr lang="it-IT" sz="12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r>
                          <a:rPr lang="it-IT" sz="12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1,2 </m:t>
                        </m:r>
                        <m:sSub>
                          <m:sSubPr>
                            <m:ctrlPr>
                              <a:rPr lang="it-IT" sz="12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it-IT" sz="12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𝑓</m:t>
                            </m:r>
                          </m:e>
                          <m:sub>
                            <m:r>
                              <a:rPr lang="it-IT" sz="12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𝑐𝑡𝑚</m:t>
                            </m:r>
                          </m:sub>
                        </m:sSub>
                        <m:r>
                          <a:rPr lang="it-IT" sz="12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 </m:t>
                        </m:r>
                        <m:sSub>
                          <m:sSubPr>
                            <m:ctrlPr>
                              <a:rPr lang="it-IT" sz="12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it-IT" sz="12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 </m:t>
                            </m:r>
                            <m:r>
                              <a:rPr lang="it-IT" sz="12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𝐽</m:t>
                            </m:r>
                          </m:e>
                          <m:sub>
                            <m:r>
                              <a:rPr lang="it-IT" sz="12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1</m:t>
                            </m:r>
                          </m:sub>
                        </m:sSub>
                      </m:num>
                      <m:den>
                        <m:r>
                          <a:rPr lang="it-IT" sz="12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h</m:t>
                        </m:r>
                        <m:r>
                          <a:rPr lang="it-IT" sz="12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−</m:t>
                        </m:r>
                        <m:r>
                          <a:rPr lang="it-IT" sz="12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𝑥</m:t>
                        </m:r>
                      </m:den>
                    </m:f>
                  </m:oMath>
                </m:oMathPara>
              </a14:m>
              <a:endParaRPr lang="it-IT" sz="1200"/>
            </a:p>
          </xdr:txBody>
        </xdr:sp>
      </mc:Choice>
      <mc:Fallback xmlns="">
        <xdr:sp macro="" textlink="">
          <xdr:nvSpPr>
            <xdr:cNvPr id="11" name="CasellaDiTesto 10"/>
            <xdr:cNvSpPr txBox="1"/>
          </xdr:nvSpPr>
          <xdr:spPr>
            <a:xfrm>
              <a:off x="3162300" y="42481500"/>
              <a:ext cx="1657350" cy="40957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:r>
                <a:rPr lang="it-IT" sz="12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𝑀_𝑐𝑟=(1,2 𝑓_𝑐𝑡𝑚  〖 𝐽〗_1)/(ℎ−𝑥)</a:t>
              </a:r>
              <a:endParaRPr lang="it-IT" sz="1200"/>
            </a:p>
          </xdr:txBody>
        </xdr:sp>
      </mc:Fallback>
    </mc:AlternateContent>
    <xdr:clientData/>
  </xdr:oneCellAnchor>
  <xdr:twoCellAnchor editAs="oneCell">
    <xdr:from>
      <xdr:col>1</xdr:col>
      <xdr:colOff>638175</xdr:colOff>
      <xdr:row>140</xdr:row>
      <xdr:rowOff>40208</xdr:rowOff>
    </xdr:from>
    <xdr:to>
      <xdr:col>5</xdr:col>
      <xdr:colOff>488137</xdr:colOff>
      <xdr:row>149</xdr:row>
      <xdr:rowOff>47625</xdr:rowOff>
    </xdr:to>
    <xdr:pic>
      <xdr:nvPicPr>
        <xdr:cNvPr id="14" name="Immagine 1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0100" y="16966133"/>
          <a:ext cx="4479112" cy="1807642"/>
        </a:xfrm>
        <a:prstGeom prst="rect">
          <a:avLst/>
        </a:prstGeom>
      </xdr:spPr>
    </xdr:pic>
    <xdr:clientData/>
  </xdr:twoCellAnchor>
  <xdr:oneCellAnchor>
    <xdr:from>
      <xdr:col>1</xdr:col>
      <xdr:colOff>171450</xdr:colOff>
      <xdr:row>151</xdr:row>
      <xdr:rowOff>95250</xdr:rowOff>
    </xdr:from>
    <xdr:ext cx="3582712" cy="20909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5" name="CasellaDiTesto 14"/>
            <xdr:cNvSpPr txBox="1"/>
          </xdr:nvSpPr>
          <xdr:spPr>
            <a:xfrm>
              <a:off x="390525" y="17487900"/>
              <a:ext cx="3582712" cy="20909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it-IT" sz="1100"/>
                <a:t> </a:t>
              </a:r>
              <a14:m>
                <m:oMath xmlns:m="http://schemas.openxmlformats.org/officeDocument/2006/math">
                  <m:r>
                    <a:rPr lang="it-IT" sz="1100" b="0" i="1">
                      <a:solidFill>
                        <a:schemeClr val="tx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𝐸𝑞𝑢𝑖𝑙𝑖𝑏𝑟𝑖𝑜</m:t>
                  </m:r>
                  <m:r>
                    <a:rPr lang="it-IT" sz="1100" b="0" i="1">
                      <a:solidFill>
                        <a:schemeClr val="tx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 </m:t>
                  </m:r>
                  <m:r>
                    <a:rPr lang="it-IT" sz="1100" b="0" i="1">
                      <a:solidFill>
                        <a:schemeClr val="tx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𝑎𝑙𝑙𝑎</m:t>
                  </m:r>
                  <m:r>
                    <a:rPr lang="it-IT" sz="1100" b="0" i="1">
                      <a:solidFill>
                        <a:schemeClr val="tx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 </m:t>
                  </m:r>
                  <m:r>
                    <a:rPr lang="it-IT" sz="1100" b="0" i="1">
                      <a:solidFill>
                        <a:schemeClr val="tx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𝑡𝑟𝑎𝑠𝑙𝑎𝑧𝑖𝑜𝑛𝑒</m:t>
                  </m:r>
                  <m:r>
                    <a:rPr lang="it-IT" sz="1100" b="0" i="1">
                      <a:solidFill>
                        <a:schemeClr val="tx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   </m:t>
                  </m:r>
                </m:oMath>
              </a14:m>
              <a:r>
                <a:rPr lang="it-IT" sz="1100"/>
                <a:t> </a:t>
              </a:r>
              <a:r>
                <a:rPr lang="it-IT" sz="1100">
                  <a:latin typeface="Cambra math"/>
                </a:rPr>
                <a:t>0,85  </a:t>
              </a:r>
              <a14:m>
                <m:oMath xmlns:m="http://schemas.openxmlformats.org/officeDocument/2006/math">
                  <m:sSub>
                    <m:sSubPr>
                      <m:ctrlPr>
                        <a:rPr lang="it-IT" sz="1100" i="1">
                          <a:latin typeface="Cambria Math" panose="02040503050406030204" pitchFamily="18" charset="0"/>
                        </a:rPr>
                      </m:ctrlPr>
                    </m:sSubPr>
                    <m:e>
                      <m:r>
                        <a:rPr lang="it-IT" sz="1100" b="0" i="1">
                          <a:latin typeface="Cambria Math" panose="02040503050406030204" pitchFamily="18" charset="0"/>
                        </a:rPr>
                        <m:t>𝑓</m:t>
                      </m:r>
                    </m:e>
                    <m:sub>
                      <m:r>
                        <a:rPr lang="it-IT" sz="1100" b="0" i="1">
                          <a:latin typeface="Cambria Math" panose="02040503050406030204" pitchFamily="18" charset="0"/>
                        </a:rPr>
                        <m:t>𝑐𝑑</m:t>
                      </m:r>
                    </m:sub>
                  </m:sSub>
                  <m:r>
                    <a:rPr lang="it-IT" sz="1100" b="0" i="1">
                      <a:latin typeface="Cambria Math" panose="02040503050406030204" pitchFamily="18" charset="0"/>
                    </a:rPr>
                    <m:t> </m:t>
                  </m:r>
                  <m:r>
                    <a:rPr lang="it-IT" sz="1100" b="0" i="1">
                      <a:latin typeface="Cambria Math" panose="02040503050406030204" pitchFamily="18" charset="0"/>
                    </a:rPr>
                    <m:t>𝑏</m:t>
                  </m:r>
                </m:oMath>
              </a14:m>
              <a:r>
                <a:rPr lang="it-IT" sz="1100">
                  <a:latin typeface="Cambra math"/>
                </a:rPr>
                <a:t> d </a:t>
              </a:r>
              <a14:m>
                <m:oMath xmlns:m="http://schemas.openxmlformats.org/officeDocument/2006/math">
                  <m:sSub>
                    <m:sSubPr>
                      <m:ctrlPr>
                        <a:rPr lang="it-IT" sz="1100" i="1">
                          <a:latin typeface="Cambria Math" panose="02040503050406030204" pitchFamily="18" charset="0"/>
                        </a:rPr>
                      </m:ctrlPr>
                    </m:sSubPr>
                    <m:e>
                      <m:r>
                        <a:rPr lang="it-IT" sz="110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𝛽</m:t>
                      </m:r>
                    </m:e>
                    <m:sub>
                      <m:r>
                        <a:rPr lang="it-IT" sz="1100" b="0" i="1">
                          <a:latin typeface="Cambria Math" panose="02040503050406030204" pitchFamily="18" charset="0"/>
                        </a:rPr>
                        <m:t>1</m:t>
                      </m:r>
                    </m:sub>
                  </m:sSub>
                  <m:r>
                    <a:rPr lang="it-IT" sz="1100" b="0" i="1">
                      <a:latin typeface="Cambria Math" panose="02040503050406030204" pitchFamily="18" charset="0"/>
                    </a:rPr>
                    <m:t> </m:t>
                  </m:r>
                  <m:r>
                    <a:rPr lang="it-IT" sz="1100" b="0" i="1">
                      <a:latin typeface="Cambria Math" panose="02040503050406030204" pitchFamily="18" charset="0"/>
                    </a:rPr>
                    <m:t>𝑥</m:t>
                  </m:r>
                </m:oMath>
              </a14:m>
              <a:r>
                <a:rPr lang="it-IT" sz="1100">
                  <a:latin typeface="Cambra math"/>
                </a:rPr>
                <a:t> </a:t>
              </a:r>
              <a14:m>
                <m:oMath xmlns:m="http://schemas.openxmlformats.org/officeDocument/2006/math">
                  <m:sSub>
                    <m:sSubPr>
                      <m:ctrlPr>
                        <a:rPr lang="it-IT" sz="1100" i="1">
                          <a:latin typeface="Cambria Math" panose="02040503050406030204" pitchFamily="18" charset="0"/>
                        </a:rPr>
                      </m:ctrlPr>
                    </m:sSubPr>
                    <m:e>
                      <m:r>
                        <a:rPr lang="it-IT" sz="1100" b="0" i="1">
                          <a:latin typeface="Cambria Math" panose="02040503050406030204" pitchFamily="18" charset="0"/>
                        </a:rPr>
                        <m:t>𝐴</m:t>
                      </m:r>
                    </m:e>
                    <m:sub>
                      <m:r>
                        <a:rPr lang="it-IT" sz="1100" b="0" i="1">
                          <a:latin typeface="Cambria Math" panose="02040503050406030204" pitchFamily="18" charset="0"/>
                        </a:rPr>
                        <m:t>𝑠</m:t>
                      </m:r>
                    </m:sub>
                  </m:sSub>
                  <m:r>
                    <a:rPr lang="it-IT" sz="1100" b="0" i="1">
                      <a:latin typeface="Cambria Math" panose="02040503050406030204" pitchFamily="18" charset="0"/>
                    </a:rPr>
                    <m:t> </m:t>
                  </m:r>
                  <m:sSub>
                    <m:sSubPr>
                      <m:ctrlPr>
                        <a:rPr lang="it-IT" sz="1100" b="0" i="1">
                          <a:latin typeface="Cambria Math" panose="02040503050406030204" pitchFamily="18" charset="0"/>
                        </a:rPr>
                      </m:ctrlPr>
                    </m:sSubPr>
                    <m:e>
                      <m:r>
                        <a:rPr lang="it-IT" sz="1100" b="0" i="1">
                          <a:latin typeface="Cambria Math" panose="02040503050406030204" pitchFamily="18" charset="0"/>
                        </a:rPr>
                        <m:t>𝑓</m:t>
                      </m:r>
                    </m:e>
                    <m:sub>
                      <m:r>
                        <a:rPr lang="it-IT" sz="1100" b="0" i="1">
                          <a:latin typeface="Cambria Math" panose="02040503050406030204" pitchFamily="18" charset="0"/>
                        </a:rPr>
                        <m:t>𝑦𝑑</m:t>
                      </m:r>
                    </m:sub>
                  </m:sSub>
                  <m:r>
                    <a:rPr lang="it-IT" sz="1100" b="0" i="1">
                      <a:latin typeface="Cambria Math" panose="02040503050406030204" pitchFamily="18" charset="0"/>
                    </a:rPr>
                    <m:t>=0</m:t>
                  </m:r>
                </m:oMath>
              </a14:m>
              <a:endParaRPr lang="it-IT" sz="1100">
                <a:latin typeface="Cambra math"/>
              </a:endParaRPr>
            </a:p>
          </xdr:txBody>
        </xdr:sp>
      </mc:Choice>
      <mc:Fallback xmlns="">
        <xdr:sp macro="" textlink="">
          <xdr:nvSpPr>
            <xdr:cNvPr id="15" name="CasellaDiTesto 14"/>
            <xdr:cNvSpPr txBox="1"/>
          </xdr:nvSpPr>
          <xdr:spPr>
            <a:xfrm>
              <a:off x="390525" y="17487900"/>
              <a:ext cx="3582712" cy="20909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it-IT" sz="1100"/>
                <a:t> </a:t>
              </a:r>
              <a:r>
                <a:rPr lang="it-IT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𝐸𝑞𝑢𝑖𝑙𝑖𝑏𝑟𝑖𝑜 𝑎𝑙𝑙𝑎 𝑡𝑟𝑎𝑠𝑙𝑎𝑧𝑖𝑜𝑛𝑒   </a:t>
              </a:r>
              <a:r>
                <a:rPr lang="it-IT" sz="1100"/>
                <a:t> </a:t>
              </a:r>
              <a:r>
                <a:rPr lang="it-IT" sz="1100">
                  <a:latin typeface="Cambra math"/>
                </a:rPr>
                <a:t>0,85  </a:t>
              </a:r>
              <a:r>
                <a:rPr lang="it-IT" sz="1100" b="0" i="0">
                  <a:latin typeface="Cambria Math" panose="02040503050406030204" pitchFamily="18" charset="0"/>
                </a:rPr>
                <a:t>𝑓_𝑐𝑑  𝑏</a:t>
              </a:r>
              <a:r>
                <a:rPr lang="it-IT" sz="1100">
                  <a:latin typeface="Cambra math"/>
                </a:rPr>
                <a:t> d </a:t>
              </a:r>
              <a:r>
                <a:rPr lang="it-IT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𝛽_</a:t>
              </a:r>
              <a:r>
                <a:rPr lang="it-IT" sz="1100" b="0" i="0">
                  <a:latin typeface="Cambria Math" panose="02040503050406030204" pitchFamily="18" charset="0"/>
                </a:rPr>
                <a:t>1  𝑥</a:t>
              </a:r>
              <a:r>
                <a:rPr lang="it-IT" sz="1100">
                  <a:latin typeface="Cambra math"/>
                </a:rPr>
                <a:t> </a:t>
              </a:r>
              <a:r>
                <a:rPr lang="it-IT" sz="1100" b="0" i="0">
                  <a:latin typeface="Cambria Math" panose="02040503050406030204" pitchFamily="18" charset="0"/>
                </a:rPr>
                <a:t>𝐴_𝑠  𝑓_𝑦𝑑=0</a:t>
              </a:r>
              <a:endParaRPr lang="it-IT" sz="1100">
                <a:latin typeface="Cambra math"/>
              </a:endParaRPr>
            </a:p>
          </xdr:txBody>
        </xdr:sp>
      </mc:Fallback>
    </mc:AlternateContent>
    <xdr:clientData/>
  </xdr:oneCellAnchor>
  <xdr:oneCellAnchor>
    <xdr:from>
      <xdr:col>1</xdr:col>
      <xdr:colOff>161925</xdr:colOff>
      <xdr:row>152</xdr:row>
      <xdr:rowOff>190500</xdr:rowOff>
    </xdr:from>
    <xdr:ext cx="3727944" cy="16536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6" name="CasellaDiTesto 15"/>
            <xdr:cNvSpPr txBox="1"/>
          </xdr:nvSpPr>
          <xdr:spPr>
            <a:xfrm>
              <a:off x="323850" y="30270450"/>
              <a:ext cx="3727944" cy="16536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it-IT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𝐸𝑞𝑢𝑖𝑙𝑖𝑏𝑟𝑖𝑜</m:t>
                    </m:r>
                    <m:r>
                      <a:rPr lang="it-IT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it-IT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𝑎𝑙𝑙𝑎</m:t>
                    </m:r>
                    <m:r>
                      <a:rPr lang="it-IT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it-IT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𝑟𝑜𝑡𝑎𝑧𝑖𝑜𝑛𝑒</m:t>
                    </m:r>
                    <m:r>
                      <a:rPr lang="it-IT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 </m:t>
                    </m:r>
                    <m:r>
                      <m:rPr>
                        <m:nor/>
                      </m:rPr>
                      <a:rPr lang="it-IT" sz="1100">
                        <a:solidFill>
                          <a:schemeClr val="tx1"/>
                        </a:solidFill>
                        <a:effectLst/>
                        <a:latin typeface="+mn-lt"/>
                        <a:ea typeface="+mn-ea"/>
                        <a:cs typeface="+mn-cs"/>
                      </a:rPr>
                      <m:t> </m:t>
                    </m:r>
                    <m:r>
                      <m:rPr>
                        <m:nor/>
                      </m:rPr>
                      <a:rPr lang="it-IT" sz="110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0,85  </m:t>
                    </m:r>
                    <m:sSub>
                      <m:sSubPr>
                        <m:ctrlPr>
                          <a:rPr lang="it-IT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</m:ctrlPr>
                      </m:sSubPr>
                      <m:e>
                        <m:r>
                          <a:rPr lang="it-IT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𝑓</m:t>
                        </m:r>
                      </m:e>
                      <m:sub>
                        <m:r>
                          <a:rPr lang="it-IT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𝑐𝑑</m:t>
                        </m:r>
                      </m:sub>
                    </m:sSub>
                    <m:r>
                      <a:rPr lang="it-IT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 </m:t>
                    </m:r>
                    <m:r>
                      <a:rPr lang="it-IT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𝑏</m:t>
                    </m:r>
                    <m:r>
                      <m:rPr>
                        <m:nor/>
                      </m:rPr>
                      <a:rPr lang="it-IT" sz="110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 </m:t>
                    </m:r>
                    <m:sSub>
                      <m:sSubPr>
                        <m:ctrlPr>
                          <a:rPr lang="it-IT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</m:ctrlPr>
                      </m:sSubPr>
                      <m:e>
                        <m:r>
                          <a:rPr lang="it-IT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𝛽</m:t>
                        </m:r>
                      </m:e>
                      <m:sub>
                        <m:r>
                          <a:rPr lang="it-IT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1</m:t>
                        </m:r>
                      </m:sub>
                    </m:sSub>
                    <m:r>
                      <a:rPr lang="it-IT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 </m:t>
                    </m:r>
                    <m:r>
                      <a:rPr lang="it-IT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𝑥</m:t>
                    </m:r>
                    <m:r>
                      <m:rPr>
                        <m:nor/>
                      </m:rPr>
                      <a:rPr lang="it-IT" sz="110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 </m:t>
                    </m:r>
                    <m:d>
                      <m:dPr>
                        <m:ctrlPr>
                          <a:rPr lang="it-IT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</m:ctrlPr>
                      </m:dPr>
                      <m:e>
                        <m:r>
                          <a:rPr lang="it-IT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𝑑</m:t>
                        </m:r>
                        <m:r>
                          <a:rPr lang="it-IT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−</m:t>
                        </m:r>
                        <m:sSub>
                          <m:sSubPr>
                            <m:ctrlPr>
                              <a:rPr lang="it-IT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it-IT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𝛽</m:t>
                            </m:r>
                          </m:e>
                          <m:sub>
                            <m:r>
                              <a:rPr lang="it-IT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2</m:t>
                            </m:r>
                          </m:sub>
                        </m:sSub>
                        <m:r>
                          <a:rPr lang="it-IT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 </m:t>
                        </m:r>
                        <m:r>
                          <a:rPr lang="it-IT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𝑥</m:t>
                        </m:r>
                      </m:e>
                    </m:d>
                    <m:r>
                      <a:rPr lang="it-IT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= </m:t>
                    </m:r>
                    <m:sSub>
                      <m:sSubPr>
                        <m:ctrlPr>
                          <a:rPr lang="it-IT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</m:ctrlPr>
                      </m:sSubPr>
                      <m:e>
                        <m:r>
                          <a:rPr lang="it-IT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𝑀</m:t>
                        </m:r>
                      </m:e>
                      <m:sub>
                        <m:r>
                          <a:rPr lang="it-IT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𝑠𝑑</m:t>
                        </m:r>
                      </m:sub>
                    </m:sSub>
                  </m:oMath>
                </m:oMathPara>
              </a14:m>
              <a:endParaRPr lang="it-IT" sz="1100">
                <a:latin typeface="Cambria Math" panose="02040503050406030204" pitchFamily="18" charset="0"/>
                <a:ea typeface="Cambria Math" panose="02040503050406030204" pitchFamily="18" charset="0"/>
              </a:endParaRPr>
            </a:p>
          </xdr:txBody>
        </xdr:sp>
      </mc:Choice>
      <mc:Fallback xmlns="">
        <xdr:sp macro="" textlink="">
          <xdr:nvSpPr>
            <xdr:cNvPr id="16" name="CasellaDiTesto 15"/>
            <xdr:cNvSpPr txBox="1"/>
          </xdr:nvSpPr>
          <xdr:spPr>
            <a:xfrm>
              <a:off x="323850" y="30270450"/>
              <a:ext cx="3727944" cy="16536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it-IT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𝐸𝑞𝑢𝑖𝑙𝑖𝑏𝑟𝑖𝑜 𝑎𝑙𝑙𝑎 𝑟𝑜𝑡𝑎𝑧𝑖𝑜𝑛𝑒   "</a:t>
              </a:r>
              <a:r>
                <a:rPr lang="it-IT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</a:t>
              </a:r>
              <a:r>
                <a:rPr lang="it-IT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0,85  " </a:t>
              </a:r>
              <a:r>
                <a:rPr lang="it-IT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𝑓_𝑐𝑑  𝑏"</a:t>
              </a:r>
              <a:r>
                <a:rPr lang="it-IT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 " 𝛽_</a:t>
              </a:r>
              <a:r>
                <a:rPr lang="it-IT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1  𝑥"</a:t>
              </a:r>
              <a:r>
                <a:rPr lang="it-IT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 " (</a:t>
              </a:r>
              <a:r>
                <a:rPr lang="it-IT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𝑑−</a:t>
              </a:r>
              <a:r>
                <a:rPr lang="it-IT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𝛽_</a:t>
              </a:r>
              <a:r>
                <a:rPr lang="it-IT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2  𝑥)= 𝑀_𝑠𝑑</a:t>
              </a:r>
              <a:endParaRPr lang="it-IT" sz="1100">
                <a:latin typeface="Cambria Math" panose="02040503050406030204" pitchFamily="18" charset="0"/>
                <a:ea typeface="Cambria Math" panose="02040503050406030204" pitchFamily="18" charset="0"/>
              </a:endParaRPr>
            </a:p>
          </xdr:txBody>
        </xdr:sp>
      </mc:Fallback>
    </mc:AlternateContent>
    <xdr:clientData/>
  </xdr:oneCellAnchor>
  <xdr:oneCellAnchor>
    <xdr:from>
      <xdr:col>1</xdr:col>
      <xdr:colOff>219075</xdr:colOff>
      <xdr:row>154</xdr:row>
      <xdr:rowOff>119062</xdr:rowOff>
    </xdr:from>
    <xdr:ext cx="1406924" cy="1860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7" name="CasellaDiTesto 16"/>
            <xdr:cNvSpPr txBox="1"/>
          </xdr:nvSpPr>
          <xdr:spPr>
            <a:xfrm>
              <a:off x="381000" y="30599062"/>
              <a:ext cx="1406924" cy="1860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sSub>
                    <m:sSubPr>
                      <m:ctrlPr>
                        <a:rPr lang="it-IT" sz="110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sSubPr>
                    <m:e>
                      <m:r>
                        <a:rPr lang="it-IT" sz="110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𝛽</m:t>
                      </m:r>
                    </m:e>
                    <m:sub>
                      <m:r>
                        <a:rPr lang="it-IT" sz="11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1</m:t>
                      </m:r>
                    </m:sub>
                  </m:sSub>
                </m:oMath>
              </a14:m>
              <a:r>
                <a:rPr lang="it-IT" sz="1100"/>
                <a:t>=0,810      </a:t>
              </a:r>
              <a14:m>
                <m:oMath xmlns:m="http://schemas.openxmlformats.org/officeDocument/2006/math">
                  <m:sSub>
                    <m:sSubPr>
                      <m:ctrlPr>
                        <a:rPr lang="it-IT" sz="110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sSubPr>
                    <m:e>
                      <m:r>
                        <a:rPr lang="it-IT" sz="110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𝛽</m:t>
                      </m:r>
                    </m:e>
                    <m:sub>
                      <m:r>
                        <a:rPr lang="it-IT" sz="11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2</m:t>
                      </m:r>
                    </m:sub>
                  </m:sSub>
                  <m:r>
                    <a:rPr lang="it-IT" sz="1100" b="0" i="1">
                      <a:solidFill>
                        <a:schemeClr val="tx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=0,416</m:t>
                  </m:r>
                </m:oMath>
              </a14:m>
              <a:endParaRPr lang="it-IT" sz="1100"/>
            </a:p>
          </xdr:txBody>
        </xdr:sp>
      </mc:Choice>
      <mc:Fallback xmlns="">
        <xdr:sp macro="" textlink="">
          <xdr:nvSpPr>
            <xdr:cNvPr id="17" name="CasellaDiTesto 16"/>
            <xdr:cNvSpPr txBox="1"/>
          </xdr:nvSpPr>
          <xdr:spPr>
            <a:xfrm>
              <a:off x="381000" y="30599062"/>
              <a:ext cx="1406924" cy="1860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it-IT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𝛽_</a:t>
              </a:r>
              <a:r>
                <a:rPr lang="it-IT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1</a:t>
              </a:r>
              <a:r>
                <a:rPr lang="it-IT" sz="1100"/>
                <a:t>=0,810      </a:t>
              </a:r>
              <a:r>
                <a:rPr lang="it-IT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𝛽_</a:t>
              </a:r>
              <a:r>
                <a:rPr lang="it-IT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2=0,416</a:t>
              </a:r>
              <a:endParaRPr lang="it-IT" sz="1100"/>
            </a:p>
          </xdr:txBody>
        </xdr:sp>
      </mc:Fallback>
    </mc:AlternateContent>
    <xdr:clientData/>
  </xdr:oneCellAnchor>
  <xdr:oneCellAnchor>
    <xdr:from>
      <xdr:col>1</xdr:col>
      <xdr:colOff>208189</xdr:colOff>
      <xdr:row>157</xdr:row>
      <xdr:rowOff>9525</xdr:rowOff>
    </xdr:from>
    <xdr:ext cx="2742802" cy="83240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8" name="CasellaDiTesto 17"/>
            <xdr:cNvSpPr txBox="1"/>
          </xdr:nvSpPr>
          <xdr:spPr>
            <a:xfrm>
              <a:off x="370114" y="19735800"/>
              <a:ext cx="2742802" cy="83240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d>
                      <m:dPr>
                        <m:begChr m:val="{"/>
                        <m:endChr m:val=""/>
                        <m:ctrlPr>
                          <a:rPr lang="it-IT" sz="12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dPr>
                      <m:e>
                        <m:eqArr>
                          <m:eqArrPr>
                            <m:ctrlPr>
                              <a:rPr lang="it-IT" sz="12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eqArrPr>
                          <m:e>
                            <m:sSub>
                              <m:sSubPr>
                                <m:ctrlPr>
                                  <a:rPr lang="it-IT" sz="12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it-IT" sz="12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𝑀</m:t>
                                </m:r>
                              </m:e>
                              <m:sub>
                                <m:r>
                                  <a:rPr lang="it-IT" sz="12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𝑠𝑑</m:t>
                                </m:r>
                              </m:sub>
                            </m:sSub>
                            <m:r>
                              <a:rPr lang="it-IT" sz="12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−</m:t>
                            </m:r>
                            <m:sSub>
                              <m:sSubPr>
                                <m:ctrlPr>
                                  <a:rPr lang="it-IT" sz="12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it-IT" sz="12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𝑓</m:t>
                                </m:r>
                              </m:e>
                              <m:sub>
                                <m:r>
                                  <a:rPr lang="it-IT" sz="12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𝑦𝑑</m:t>
                                </m:r>
                              </m:sub>
                            </m:sSub>
                            <m:r>
                              <a:rPr lang="it-IT" sz="12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 </m:t>
                            </m:r>
                            <m:sSub>
                              <m:sSubPr>
                                <m:ctrlPr>
                                  <a:rPr lang="it-IT" sz="12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it-IT" sz="12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𝐴</m:t>
                                </m:r>
                              </m:e>
                              <m:sub>
                                <m:r>
                                  <a:rPr lang="it-IT" sz="12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𝑠</m:t>
                                </m:r>
                                <m:r>
                                  <a:rPr lang="it-IT" sz="12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,</m:t>
                                </m:r>
                                <m:r>
                                  <a:rPr lang="it-IT" sz="12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𝑚𝑖𝑛</m:t>
                                </m:r>
                              </m:sub>
                            </m:sSub>
                            <m:r>
                              <a:rPr lang="it-IT" sz="12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𝑑</m:t>
                            </m:r>
                            <m:r>
                              <a:rPr lang="it-IT" sz="12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 −</m:t>
                            </m:r>
                            <m:sSub>
                              <m:sSubPr>
                                <m:ctrlPr>
                                  <a:rPr lang="it-IT" sz="12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it-IT" sz="12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𝑓</m:t>
                                </m:r>
                              </m:e>
                              <m:sub>
                                <m:r>
                                  <a:rPr lang="it-IT" sz="12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𝑦𝑑</m:t>
                                </m:r>
                              </m:sub>
                            </m:sSub>
                            <m:r>
                              <a:rPr lang="it-IT" sz="12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 </m:t>
                            </m:r>
                            <m:sSub>
                              <m:sSubPr>
                                <m:ctrlPr>
                                  <a:rPr lang="it-IT" sz="12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it-IT" sz="12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𝐴</m:t>
                                </m:r>
                              </m:e>
                              <m:sub>
                                <m:r>
                                  <a:rPr lang="it-IT" sz="12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𝑠</m:t>
                                </m:r>
                                <m:r>
                                  <a:rPr lang="it-IT" sz="12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,</m:t>
                                </m:r>
                                <m:r>
                                  <a:rPr lang="it-IT" sz="12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𝑚𝑖𝑛</m:t>
                                </m:r>
                                <m:r>
                                  <a:rPr lang="it-IT" sz="12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 </m:t>
                                </m:r>
                              </m:sub>
                            </m:sSub>
                            <m:r>
                              <m:rPr>
                                <m:nor/>
                              </m:rPr>
                              <a:rPr lang="it-IT" sz="1200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  <m:t> </m:t>
                            </m:r>
                            <m:sSub>
                              <m:sSubPr>
                                <m:ctrlPr>
                                  <a:rPr lang="it-IT" sz="12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it-IT" sz="12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𝛽</m:t>
                                </m:r>
                              </m:e>
                              <m:sub>
                                <m:r>
                                  <a:rPr lang="it-IT" sz="12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2</m:t>
                                </m:r>
                              </m:sub>
                            </m:sSub>
                            <m:r>
                              <a:rPr lang="it-IT" sz="12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 </m:t>
                            </m:r>
                            <m:r>
                              <a:rPr lang="it-IT" sz="12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𝑥</m:t>
                            </m:r>
                            <m:r>
                              <m:rPr>
                                <m:nor/>
                              </m:rPr>
                              <a:rPr lang="it-IT" sz="1200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  <m:t> </m:t>
                            </m:r>
                            <m:r>
                              <m:rPr>
                                <m:nor/>
                              </m:rPr>
                              <a:rPr lang="it-IT" sz="1200" b="0" i="0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  <m:t>=</m:t>
                            </m:r>
                            <m:r>
                              <a:rPr lang="it-IT" sz="12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0</m:t>
                            </m:r>
                          </m:e>
                          <m:e>
                            <m:r>
                              <a:rPr lang="it-IT" sz="12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 </m:t>
                            </m:r>
                          </m:e>
                          <m:e>
                            <m:sSub>
                              <m:sSubPr>
                                <m:ctrlPr>
                                  <a:rPr lang="it-IT" sz="12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it-IT" sz="12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𝐴</m:t>
                                </m:r>
                              </m:e>
                              <m:sub>
                                <m:r>
                                  <a:rPr lang="it-IT" sz="12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𝑠</m:t>
                                </m:r>
                                <m:r>
                                  <a:rPr lang="it-IT" sz="12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,</m:t>
                                </m:r>
                                <m:r>
                                  <a:rPr lang="it-IT" sz="12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𝑚𝑖𝑛</m:t>
                                </m:r>
                              </m:sub>
                            </m:sSub>
                            <m:r>
                              <a:rPr lang="it-IT" sz="12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=</m:t>
                            </m:r>
                            <m:f>
                              <m:fPr>
                                <m:ctrlPr>
                                  <a:rPr lang="it-IT" sz="12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  <a:cs typeface="+mn-cs"/>
                                  </a:rPr>
                                </m:ctrlPr>
                              </m:fPr>
                              <m:num>
                                <m:r>
                                  <m:rPr>
                                    <m:nor/>
                                  </m:rPr>
                                  <a:rPr lang="it-IT" sz="1200" b="0" i="0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  <a:cs typeface="+mn-cs"/>
                                  </a:rPr>
                                  <m:t>0,85</m:t>
                                </m:r>
                                <m:r>
                                  <m:rPr>
                                    <m:nor/>
                                  </m:rPr>
                                  <a:rPr lang="it-IT" sz="1200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  <a:cs typeface="+mn-cs"/>
                                  </a:rPr>
                                  <m:t> </m:t>
                                </m:r>
                                <m:sSub>
                                  <m:sSubPr>
                                    <m:ctrlPr>
                                      <a:rPr lang="it-IT" sz="12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Cambria Math" panose="02040503050406030204" pitchFamily="18" charset="0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it-IT" sz="12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Cambria Math" panose="02040503050406030204" pitchFamily="18" charset="0"/>
                                        <a:cs typeface="+mn-cs"/>
                                      </a:rPr>
                                      <m:t>𝑓</m:t>
                                    </m:r>
                                  </m:e>
                                  <m:sub>
                                    <m:r>
                                      <a:rPr lang="it-IT" sz="12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Cambria Math" panose="02040503050406030204" pitchFamily="18" charset="0"/>
                                        <a:cs typeface="+mn-cs"/>
                                      </a:rPr>
                                      <m:t>𝑐𝑑</m:t>
                                    </m:r>
                                  </m:sub>
                                </m:sSub>
                                <m:r>
                                  <a:rPr lang="it-IT" sz="12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  <a:cs typeface="+mn-cs"/>
                                  </a:rPr>
                                  <m:t> </m:t>
                                </m:r>
                                <m:r>
                                  <a:rPr lang="it-IT" sz="12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  <a:cs typeface="+mn-cs"/>
                                  </a:rPr>
                                  <m:t>𝑏</m:t>
                                </m:r>
                                <m:r>
                                  <m:rPr>
                                    <m:nor/>
                                  </m:rPr>
                                  <a:rPr lang="it-IT" sz="1200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  <a:cs typeface="+mn-cs"/>
                                  </a:rPr>
                                  <m:t>  </m:t>
                                </m:r>
                                <m:sSub>
                                  <m:sSubPr>
                                    <m:ctrlPr>
                                      <a:rPr lang="it-IT" sz="12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Cambria Math" panose="02040503050406030204" pitchFamily="18" charset="0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it-IT" sz="12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Cambria Math" panose="02040503050406030204" pitchFamily="18" charset="0"/>
                                        <a:cs typeface="+mn-cs"/>
                                      </a:rPr>
                                      <m:t>𝛽</m:t>
                                    </m:r>
                                  </m:e>
                                  <m:sub>
                                    <m:r>
                                      <a:rPr lang="it-IT" sz="12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Cambria Math" panose="02040503050406030204" pitchFamily="18" charset="0"/>
                                        <a:cs typeface="+mn-cs"/>
                                      </a:rPr>
                                      <m:t>1</m:t>
                                    </m:r>
                                  </m:sub>
                                </m:sSub>
                                <m:r>
                                  <a:rPr lang="it-IT" sz="12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  <a:cs typeface="+mn-cs"/>
                                  </a:rPr>
                                  <m:t> </m:t>
                                </m:r>
                                <m:r>
                                  <a:rPr lang="it-IT" sz="12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  <a:cs typeface="+mn-cs"/>
                                  </a:rPr>
                                  <m:t>𝑥</m:t>
                                </m:r>
                                <m:r>
                                  <m:rPr>
                                    <m:nor/>
                                  </m:rPr>
                                  <a:rPr lang="it-IT" sz="1200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  <a:cs typeface="+mn-cs"/>
                                  </a:rPr>
                                  <m:t> </m:t>
                                </m:r>
                              </m:num>
                              <m:den>
                                <m:sSub>
                                  <m:sSubPr>
                                    <m:ctrlPr>
                                      <a:rPr lang="it-IT" sz="12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Cambria Math" panose="02040503050406030204" pitchFamily="18" charset="0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it-IT" sz="12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Cambria Math" panose="02040503050406030204" pitchFamily="18" charset="0"/>
                                        <a:cs typeface="+mn-cs"/>
                                      </a:rPr>
                                      <m:t>𝑓</m:t>
                                    </m:r>
                                  </m:e>
                                  <m:sub>
                                    <m:r>
                                      <a:rPr lang="it-IT" sz="12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Cambria Math" panose="02040503050406030204" pitchFamily="18" charset="0"/>
                                        <a:cs typeface="+mn-cs"/>
                                      </a:rPr>
                                      <m:t>𝑦𝑑</m:t>
                                    </m:r>
                                  </m:sub>
                                </m:sSub>
                              </m:den>
                            </m:f>
                          </m:e>
                        </m:eqArr>
                      </m:e>
                    </m:d>
                  </m:oMath>
                </m:oMathPara>
              </a14:m>
              <a:endParaRPr lang="it-IT" sz="1100"/>
            </a:p>
          </xdr:txBody>
        </xdr:sp>
      </mc:Choice>
      <mc:Fallback xmlns="">
        <xdr:sp macro="" textlink="">
          <xdr:nvSpPr>
            <xdr:cNvPr id="18" name="CasellaDiTesto 17"/>
            <xdr:cNvSpPr txBox="1"/>
          </xdr:nvSpPr>
          <xdr:spPr>
            <a:xfrm>
              <a:off x="370114" y="19735800"/>
              <a:ext cx="2742802" cy="83240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it-IT" sz="12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{█(𝑀_𝑠𝑑−𝑓_𝑦𝑑  𝐴_(𝑠,𝑚𝑖𝑛) 𝑑 −𝑓_𝑦𝑑  𝐴_(𝑠,𝑚𝑖𝑛 )</a:t>
              </a:r>
              <a:r>
                <a:rPr lang="it-IT" sz="12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"</a:t>
              </a:r>
              <a:r>
                <a:rPr lang="it-IT" sz="12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</a:t>
              </a:r>
              <a:r>
                <a:rPr lang="it-IT" sz="12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" 𝛽_</a:t>
              </a:r>
              <a:r>
                <a:rPr lang="it-IT" sz="12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2  𝑥</a:t>
              </a:r>
              <a:r>
                <a:rPr lang="it-IT" sz="12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"</a:t>
              </a:r>
              <a:r>
                <a:rPr lang="it-IT" sz="12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</a:t>
              </a:r>
              <a:r>
                <a:rPr lang="it-IT" sz="12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=</a:t>
              </a:r>
              <a:r>
                <a:rPr lang="it-IT" sz="12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" 0@ @𝐴_(𝑠,𝑚𝑖𝑛)=</a:t>
              </a:r>
              <a:r>
                <a:rPr lang="it-IT" sz="12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("0,85</a:t>
              </a:r>
              <a:r>
                <a:rPr lang="it-IT" sz="12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 " </a:t>
              </a:r>
              <a:r>
                <a:rPr lang="it-IT" sz="12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𝑓_𝑐𝑑  𝑏"</a:t>
              </a:r>
              <a:r>
                <a:rPr lang="it-IT" sz="12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  " 𝛽_</a:t>
              </a:r>
              <a:r>
                <a:rPr lang="it-IT" sz="12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1  𝑥"</a:t>
              </a:r>
              <a:r>
                <a:rPr lang="it-IT" sz="12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 " </a:t>
              </a:r>
              <a:r>
                <a:rPr lang="it-IT" sz="12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)/𝑓_𝑦𝑑 )┤</a:t>
              </a:r>
              <a:endParaRPr lang="it-IT" sz="1100"/>
            </a:p>
          </xdr:txBody>
        </xdr:sp>
      </mc:Fallback>
    </mc:AlternateContent>
    <xdr:clientData/>
  </xdr:oneCellAnchor>
  <xdr:oneCellAnchor>
    <xdr:from>
      <xdr:col>1</xdr:col>
      <xdr:colOff>353786</xdr:colOff>
      <xdr:row>163</xdr:row>
      <xdr:rowOff>62592</xdr:rowOff>
    </xdr:from>
    <xdr:ext cx="1898340" cy="58689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9" name="CasellaDiTesto 18"/>
            <xdr:cNvSpPr txBox="1"/>
          </xdr:nvSpPr>
          <xdr:spPr>
            <a:xfrm>
              <a:off x="515711" y="21836742"/>
              <a:ext cx="1898340" cy="58689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it-IT" sz="1600" b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x =</a:t>
              </a:r>
              <a14:m>
                <m:oMath xmlns:m="http://schemas.openxmlformats.org/officeDocument/2006/math">
                  <m:r>
                    <a:rPr lang="it-IT" sz="1600" b="0" i="1">
                      <a:solidFill>
                        <a:schemeClr val="tx1"/>
                      </a:solidFill>
                      <a:effectLst/>
                      <a:latin typeface="Cambria Math" panose="02040503050406030204" pitchFamily="18" charset="0"/>
                      <a:ea typeface="Cambria Math" panose="02040503050406030204" pitchFamily="18" charset="0"/>
                      <a:cs typeface="+mn-cs"/>
                    </a:rPr>
                    <m:t> </m:t>
                  </m:r>
                  <m:f>
                    <m:fPr>
                      <m:ctrlPr>
                        <a:rPr lang="it-IT" sz="16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Cambria Math" panose="02040503050406030204" pitchFamily="18" charset="0"/>
                          <a:cs typeface="+mn-cs"/>
                        </a:rPr>
                      </m:ctrlPr>
                    </m:fPr>
                    <m:num>
                      <m:r>
                        <a:rPr lang="it-IT" sz="16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Cambria Math" panose="02040503050406030204" pitchFamily="18" charset="0"/>
                          <a:cs typeface="+mn-cs"/>
                        </a:rPr>
                        <m:t>𝑑</m:t>
                      </m:r>
                      <m:r>
                        <a:rPr lang="it-IT" sz="16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Cambria Math" panose="02040503050406030204" pitchFamily="18" charset="0"/>
                          <a:cs typeface="+mn-cs"/>
                        </a:rPr>
                        <m:t>−</m:t>
                      </m:r>
                      <m:rad>
                        <m:radPr>
                          <m:degHide m:val="on"/>
                          <m:ctrlPr>
                            <a:rPr lang="it-IT" sz="1600" b="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Cambria Math" panose="02040503050406030204" pitchFamily="18" charset="0"/>
                              <a:cs typeface="+mn-cs"/>
                            </a:rPr>
                          </m:ctrlPr>
                        </m:radPr>
                        <m:deg/>
                        <m:e>
                          <m:sSup>
                            <m:sSupPr>
                              <m:ctrlPr>
                                <a:rPr lang="it-IT" sz="16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  <a:cs typeface="+mn-cs"/>
                                </a:rPr>
                              </m:ctrlPr>
                            </m:sSupPr>
                            <m:e>
                              <m:r>
                                <a:rPr lang="it-IT" sz="16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  <a:cs typeface="+mn-cs"/>
                                </a:rPr>
                                <m:t>𝑑</m:t>
                              </m:r>
                            </m:e>
                            <m:sup>
                              <m:r>
                                <a:rPr lang="it-IT" sz="16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  <a:cs typeface="+mn-cs"/>
                                </a:rPr>
                                <m:t>2</m:t>
                              </m:r>
                            </m:sup>
                          </m:sSup>
                          <m:r>
                            <a:rPr lang="it-IT" sz="1600" b="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Cambria Math" panose="02040503050406030204" pitchFamily="18" charset="0"/>
                              <a:cs typeface="+mn-cs"/>
                            </a:rPr>
                            <m:t>−</m:t>
                          </m:r>
                          <m:f>
                            <m:fPr>
                              <m:ctrlPr>
                                <a:rPr lang="it-IT" sz="16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  <a:cs typeface="+mn-cs"/>
                                </a:rPr>
                              </m:ctrlPr>
                            </m:fPr>
                            <m:num>
                              <m:r>
                                <a:rPr lang="it-IT" sz="16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  <a:cs typeface="+mn-cs"/>
                                </a:rPr>
                                <m:t>4  </m:t>
                              </m:r>
                              <m:sSub>
                                <m:sSubPr>
                                  <m:ctrlPr>
                                    <a:rPr lang="it-IT" sz="16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Cambria Math" panose="02040503050406030204" pitchFamily="18" charset="0"/>
                                      <a:cs typeface="+mn-cs"/>
                                    </a:rPr>
                                  </m:ctrlPr>
                                </m:sSubPr>
                                <m:e>
                                  <m:r>
                                    <a:rPr lang="it-IT" sz="16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Cambria Math" panose="02040503050406030204" pitchFamily="18" charset="0"/>
                                      <a:cs typeface="+mn-cs"/>
                                    </a:rPr>
                                    <m:t>𝑀</m:t>
                                  </m:r>
                                </m:e>
                                <m:sub>
                                  <m:r>
                                    <a:rPr lang="it-IT" sz="16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Cambria Math" panose="02040503050406030204" pitchFamily="18" charset="0"/>
                                      <a:cs typeface="+mn-cs"/>
                                    </a:rPr>
                                    <m:t>𝑠𝑑</m:t>
                                  </m:r>
                                </m:sub>
                              </m:sSub>
                              <m:r>
                                <a:rPr lang="it-IT" sz="16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  <a:cs typeface="+mn-cs"/>
                                </a:rPr>
                                <m:t> </m:t>
                              </m:r>
                              <m:sSub>
                                <m:sSubPr>
                                  <m:ctrlPr>
                                    <a:rPr lang="it-IT" sz="160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Cambria Math" panose="02040503050406030204" pitchFamily="18" charset="0"/>
                                      <a:cs typeface="+mn-cs"/>
                                    </a:rPr>
                                  </m:ctrlPr>
                                </m:sSubPr>
                                <m:e>
                                  <m:r>
                                    <a:rPr lang="it-IT" sz="160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Cambria Math" panose="02040503050406030204" pitchFamily="18" charset="0"/>
                                      <a:cs typeface="+mn-cs"/>
                                    </a:rPr>
                                    <m:t>𝛽</m:t>
                                  </m:r>
                                </m:e>
                                <m:sub>
                                  <m:r>
                                    <a:rPr lang="it-IT" sz="16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Cambria Math" panose="02040503050406030204" pitchFamily="18" charset="0"/>
                                      <a:cs typeface="+mn-cs"/>
                                    </a:rPr>
                                    <m:t>2</m:t>
                                  </m:r>
                                </m:sub>
                              </m:sSub>
                              <m:r>
                                <a:rPr lang="it-IT" sz="16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  <a:cs typeface="+mn-cs"/>
                                </a:rPr>
                                <m:t> </m:t>
                              </m:r>
                            </m:num>
                            <m:den>
                              <m:r>
                                <a:rPr lang="it-IT" sz="16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  <a:cs typeface="+mn-cs"/>
                                </a:rPr>
                                <m:t>0,85 </m:t>
                              </m:r>
                              <m:sSub>
                                <m:sSubPr>
                                  <m:ctrlPr>
                                    <a:rPr lang="it-IT" sz="160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Cambria Math" panose="02040503050406030204" pitchFamily="18" charset="0"/>
                                      <a:cs typeface="+mn-cs"/>
                                    </a:rPr>
                                  </m:ctrlPr>
                                </m:sSubPr>
                                <m:e>
                                  <m:r>
                                    <a:rPr lang="it-IT" sz="16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Cambria Math" panose="02040503050406030204" pitchFamily="18" charset="0"/>
                                      <a:cs typeface="+mn-cs"/>
                                    </a:rPr>
                                    <m:t>𝑓</m:t>
                                  </m:r>
                                </m:e>
                                <m:sub>
                                  <m:r>
                                    <a:rPr lang="it-IT" sz="16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Cambria Math" panose="02040503050406030204" pitchFamily="18" charset="0"/>
                                      <a:cs typeface="+mn-cs"/>
                                    </a:rPr>
                                    <m:t>𝑐𝑑</m:t>
                                  </m:r>
                                </m:sub>
                              </m:sSub>
                              <m:r>
                                <a:rPr lang="it-IT" sz="16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  <a:cs typeface="+mn-cs"/>
                                </a:rPr>
                                <m:t> </m:t>
                              </m:r>
                              <m:r>
                                <a:rPr lang="it-IT" sz="16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  <a:cs typeface="+mn-cs"/>
                                </a:rPr>
                                <m:t>𝑏</m:t>
                              </m:r>
                              <m:r>
                                <m:rPr>
                                  <m:nor/>
                                </m:rPr>
                                <a:rPr lang="it-IT" sz="160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  <a:cs typeface="+mn-cs"/>
                                </a:rPr>
                                <m:t> </m:t>
                              </m:r>
                              <m:sSub>
                                <m:sSubPr>
                                  <m:ctrlPr>
                                    <a:rPr lang="it-IT" sz="160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Cambria Math" panose="02040503050406030204" pitchFamily="18" charset="0"/>
                                      <a:cs typeface="+mn-cs"/>
                                    </a:rPr>
                                  </m:ctrlPr>
                                </m:sSubPr>
                                <m:e>
                                  <m:r>
                                    <a:rPr lang="it-IT" sz="160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Cambria Math" panose="02040503050406030204" pitchFamily="18" charset="0"/>
                                      <a:cs typeface="+mn-cs"/>
                                    </a:rPr>
                                    <m:t>𝛽</m:t>
                                  </m:r>
                                </m:e>
                                <m:sub>
                                  <m:r>
                                    <a:rPr lang="it-IT" sz="16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Cambria Math" panose="02040503050406030204" pitchFamily="18" charset="0"/>
                                      <a:cs typeface="+mn-cs"/>
                                    </a:rPr>
                                    <m:t>1</m:t>
                                  </m:r>
                                </m:sub>
                              </m:sSub>
                              <m:r>
                                <a:rPr lang="it-IT" sz="16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  <a:cs typeface="+mn-cs"/>
                                </a:rPr>
                                <m:t> </m:t>
                              </m:r>
                              <m:r>
                                <m:rPr>
                                  <m:nor/>
                                </m:rPr>
                                <a:rPr lang="it-IT" sz="160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  <a:cs typeface="+mn-cs"/>
                                </a:rPr>
                                <m:t> </m:t>
                              </m:r>
                            </m:den>
                          </m:f>
                        </m:e>
                      </m:rad>
                    </m:num>
                    <m:den>
                      <m:r>
                        <a:rPr lang="it-IT" sz="16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Cambria Math" panose="02040503050406030204" pitchFamily="18" charset="0"/>
                          <a:cs typeface="+mn-cs"/>
                        </a:rPr>
                        <m:t>2 </m:t>
                      </m:r>
                      <m:sSub>
                        <m:sSubPr>
                          <m:ctrlPr>
                            <a:rPr lang="it-IT" sz="160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Cambria Math" panose="02040503050406030204" pitchFamily="18" charset="0"/>
                              <a:cs typeface="+mn-cs"/>
                            </a:rPr>
                          </m:ctrlPr>
                        </m:sSubPr>
                        <m:e>
                          <m:r>
                            <a:rPr lang="it-IT" sz="160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Cambria Math" panose="02040503050406030204" pitchFamily="18" charset="0"/>
                              <a:cs typeface="+mn-cs"/>
                            </a:rPr>
                            <m:t>𝛽</m:t>
                          </m:r>
                        </m:e>
                        <m:sub>
                          <m:r>
                            <a:rPr lang="it-IT" sz="1600" b="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Cambria Math" panose="02040503050406030204" pitchFamily="18" charset="0"/>
                              <a:cs typeface="+mn-cs"/>
                            </a:rPr>
                            <m:t>2</m:t>
                          </m:r>
                        </m:sub>
                      </m:sSub>
                    </m:den>
                  </m:f>
                  <m:r>
                    <a:rPr lang="it-IT" sz="1600" b="0" i="1">
                      <a:solidFill>
                        <a:schemeClr val="tx1"/>
                      </a:solidFill>
                      <a:effectLst/>
                      <a:latin typeface="Cambria Math" panose="02040503050406030204" pitchFamily="18" charset="0"/>
                      <a:ea typeface="Cambria Math" panose="02040503050406030204" pitchFamily="18" charset="0"/>
                      <a:cs typeface="+mn-cs"/>
                    </a:rPr>
                    <m:t> </m:t>
                  </m:r>
                </m:oMath>
              </a14:m>
              <a:endParaRPr lang="it-IT" sz="1400">
                <a:latin typeface="Cambria Math" panose="02040503050406030204" pitchFamily="18" charset="0"/>
                <a:ea typeface="Cambria Math" panose="02040503050406030204" pitchFamily="18" charset="0"/>
              </a:endParaRPr>
            </a:p>
          </xdr:txBody>
        </xdr:sp>
      </mc:Choice>
      <mc:Fallback xmlns="">
        <xdr:sp macro="" textlink="">
          <xdr:nvSpPr>
            <xdr:cNvPr id="19" name="CasellaDiTesto 18"/>
            <xdr:cNvSpPr txBox="1"/>
          </xdr:nvSpPr>
          <xdr:spPr>
            <a:xfrm>
              <a:off x="515711" y="21836742"/>
              <a:ext cx="1898340" cy="58689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it-IT" sz="1600" b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x =</a:t>
              </a:r>
              <a:r>
                <a:rPr lang="it-IT" sz="16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  (𝑑−√(𝑑^2−(4  𝑀_𝑠𝑑  </a:t>
              </a:r>
              <a:r>
                <a:rPr lang="it-IT" sz="16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𝛽_</a:t>
              </a:r>
              <a:r>
                <a:rPr lang="it-IT" sz="16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2  )/(0,85 𝑓_𝑐𝑑  𝑏"</a:t>
              </a:r>
              <a:r>
                <a:rPr lang="it-IT" sz="16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 " 𝛽_</a:t>
              </a:r>
              <a:r>
                <a:rPr lang="it-IT" sz="16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1  "</a:t>
              </a:r>
              <a:r>
                <a:rPr lang="it-IT" sz="16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 " </a:t>
              </a:r>
              <a:r>
                <a:rPr lang="it-IT" sz="16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)))/(2 </a:t>
              </a:r>
              <a:r>
                <a:rPr lang="it-IT" sz="16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𝛽_</a:t>
              </a:r>
              <a:r>
                <a:rPr lang="it-IT" sz="16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2 )  </a:t>
              </a:r>
              <a:endParaRPr lang="it-IT" sz="1400">
                <a:latin typeface="Cambria Math" panose="02040503050406030204" pitchFamily="18" charset="0"/>
                <a:ea typeface="Cambria Math" panose="02040503050406030204" pitchFamily="18" charset="0"/>
              </a:endParaRPr>
            </a:p>
          </xdr:txBody>
        </xdr:sp>
      </mc:Fallback>
    </mc:AlternateContent>
    <xdr:clientData/>
  </xdr:oneCellAnchor>
  <xdr:twoCellAnchor editAs="oneCell">
    <xdr:from>
      <xdr:col>1</xdr:col>
      <xdr:colOff>9525</xdr:colOff>
      <xdr:row>441</xdr:row>
      <xdr:rowOff>65511</xdr:rowOff>
    </xdr:from>
    <xdr:to>
      <xdr:col>5</xdr:col>
      <xdr:colOff>457200</xdr:colOff>
      <xdr:row>448</xdr:row>
      <xdr:rowOff>152762</xdr:rowOff>
    </xdr:to>
    <xdr:pic>
      <xdr:nvPicPr>
        <xdr:cNvPr id="2" name="Immagine 1"/>
        <xdr:cNvPicPr>
          <a:picLocks noChangeAspect="1"/>
        </xdr:cNvPicPr>
      </xdr:nvPicPr>
      <xdr:blipFill rotWithShape="1"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56"/>
        <a:stretch/>
      </xdr:blipFill>
      <xdr:spPr>
        <a:xfrm>
          <a:off x="171450" y="86628711"/>
          <a:ext cx="5076825" cy="1363601"/>
        </a:xfrm>
        <a:prstGeom prst="rect">
          <a:avLst/>
        </a:prstGeom>
      </xdr:spPr>
    </xdr:pic>
    <xdr:clientData/>
  </xdr:twoCellAnchor>
  <xdr:twoCellAnchor editAs="oneCell">
    <xdr:from>
      <xdr:col>1</xdr:col>
      <xdr:colOff>38099</xdr:colOff>
      <xdr:row>448</xdr:row>
      <xdr:rowOff>132225</xdr:rowOff>
    </xdr:from>
    <xdr:to>
      <xdr:col>5</xdr:col>
      <xdr:colOff>438150</xdr:colOff>
      <xdr:row>459</xdr:row>
      <xdr:rowOff>114301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4" y="87971775"/>
          <a:ext cx="5029201" cy="2077576"/>
        </a:xfrm>
        <a:prstGeom prst="rect">
          <a:avLst/>
        </a:prstGeom>
      </xdr:spPr>
    </xdr:pic>
    <xdr:clientData/>
  </xdr:twoCellAnchor>
  <xdr:twoCellAnchor editAs="oneCell">
    <xdr:from>
      <xdr:col>1</xdr:col>
      <xdr:colOff>66674</xdr:colOff>
      <xdr:row>459</xdr:row>
      <xdr:rowOff>134627</xdr:rowOff>
    </xdr:from>
    <xdr:to>
      <xdr:col>5</xdr:col>
      <xdr:colOff>428625</xdr:colOff>
      <xdr:row>470</xdr:row>
      <xdr:rowOff>95093</xdr:rowOff>
    </xdr:to>
    <xdr:pic>
      <xdr:nvPicPr>
        <xdr:cNvPr id="12" name="Immagine 11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599" y="90069677"/>
          <a:ext cx="4991101" cy="2055966"/>
        </a:xfrm>
        <a:prstGeom prst="rect">
          <a:avLst/>
        </a:prstGeom>
      </xdr:spPr>
    </xdr:pic>
    <xdr:clientData/>
  </xdr:twoCellAnchor>
  <xdr:oneCellAnchor>
    <xdr:from>
      <xdr:col>1</xdr:col>
      <xdr:colOff>1323976</xdr:colOff>
      <xdr:row>396</xdr:row>
      <xdr:rowOff>66675</xdr:rowOff>
    </xdr:from>
    <xdr:ext cx="2590800" cy="44319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0" name="CasellaDiTesto 19"/>
            <xdr:cNvSpPr txBox="1"/>
          </xdr:nvSpPr>
          <xdr:spPr>
            <a:xfrm>
              <a:off x="1485901" y="40414575"/>
              <a:ext cx="2590800" cy="44319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it-IT" sz="1100" b="0" i="1">
                        <a:latin typeface="Cambria Math" panose="02040503050406030204" pitchFamily="18" charset="0"/>
                      </a:rPr>
                      <m:t>𝑓</m:t>
                    </m:r>
                    <m:r>
                      <a:rPr lang="it-IT" sz="1100" b="0" i="1">
                        <a:latin typeface="Cambria Math" panose="02040503050406030204" pitchFamily="18" charset="0"/>
                      </a:rPr>
                      <m:t>= </m:t>
                    </m:r>
                    <m:sSub>
                      <m:sSubPr>
                        <m:ctrlPr>
                          <a:rPr lang="it-IT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it-IT" sz="1100" b="0" i="1">
                            <a:latin typeface="Cambria Math" panose="02040503050406030204" pitchFamily="18" charset="0"/>
                          </a:rPr>
                          <m:t>𝑓</m:t>
                        </m:r>
                      </m:e>
                      <m:sub>
                        <m:r>
                          <a:rPr lang="it-IT" sz="1100" b="0" i="1">
                            <a:latin typeface="Cambria Math" panose="02040503050406030204" pitchFamily="18" charset="0"/>
                          </a:rPr>
                          <m:t>1</m:t>
                        </m:r>
                      </m:sub>
                    </m:sSub>
                    <m:r>
                      <a:rPr lang="it-IT" sz="1100" b="0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it-IT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𝛽</m:t>
                    </m:r>
                    <m:r>
                      <a:rPr lang="it-IT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sSup>
                      <m:sSupPr>
                        <m:ctrlPr>
                          <a:rPr lang="it-IT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pPr>
                      <m:e>
                        <m:d>
                          <m:dPr>
                            <m:ctrlPr>
                              <a:rPr lang="it-IT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f>
                              <m:fPr>
                                <m:ctrlPr>
                                  <a:rPr lang="it-IT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fPr>
                              <m:num>
                                <m:sSub>
                                  <m:sSubPr>
                                    <m:ctrlPr>
                                      <a:rPr lang="it-IT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it-IT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𝑀</m:t>
                                    </m:r>
                                  </m:e>
                                  <m:sub>
                                    <m:r>
                                      <a:rPr lang="it-IT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𝑐𝑟</m:t>
                                    </m:r>
                                  </m:sub>
                                </m:sSub>
                              </m:num>
                              <m:den>
                                <m:sSub>
                                  <m:sSubPr>
                                    <m:ctrlPr>
                                      <a:rPr lang="it-IT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it-IT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𝑀</m:t>
                                    </m:r>
                                  </m:e>
                                  <m:sub>
                                    <m:r>
                                      <a:rPr lang="it-IT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𝑠𝑑</m:t>
                                    </m:r>
                                  </m:sub>
                                </m:sSub>
                              </m:den>
                            </m:f>
                          </m:e>
                        </m:d>
                      </m:e>
                      <m:sup>
                        <m:r>
                          <a:rPr lang="it-IT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2</m:t>
                        </m:r>
                      </m:sup>
                    </m:sSup>
                    <m:r>
                      <a:rPr lang="it-IT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+</m:t>
                    </m:r>
                    <m:sSub>
                      <m:sSubPr>
                        <m:ctrlPr>
                          <a:rPr lang="it-IT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it-IT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𝑓</m:t>
                        </m:r>
                      </m:e>
                      <m:sub>
                        <m:r>
                          <a:rPr lang="it-IT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2</m:t>
                        </m:r>
                      </m:sub>
                    </m:sSub>
                    <m:r>
                      <a:rPr lang="it-IT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d>
                      <m:dPr>
                        <m:begChr m:val="["/>
                        <m:endChr m:val="]"/>
                        <m:ctrlPr>
                          <a:rPr lang="it-IT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dPr>
                      <m:e>
                        <m:r>
                          <a:rPr lang="it-IT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1−</m:t>
                        </m:r>
                        <m:r>
                          <a:rPr lang="it-IT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𝛽</m:t>
                        </m:r>
                        <m:r>
                          <a:rPr lang="it-IT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 </m:t>
                        </m:r>
                        <m:sSup>
                          <m:sSupPr>
                            <m:ctrlPr>
                              <a:rPr lang="it-IT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pPr>
                          <m:e>
                            <m:d>
                              <m:dPr>
                                <m:ctrlPr>
                                  <a:rPr lang="it-IT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dPr>
                              <m:e>
                                <m:f>
                                  <m:fPr>
                                    <m:ctrlPr>
                                      <a:rPr lang="it-IT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fPr>
                                  <m:num>
                                    <m:sSub>
                                      <m:sSubPr>
                                        <m:ctrlPr>
                                          <a:rPr lang="it-IT" sz="1100" b="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</m:ctrlPr>
                                      </m:sSubPr>
                                      <m:e>
                                        <m:r>
                                          <a:rPr lang="it-IT" sz="1100" b="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  <m:t>𝑀</m:t>
                                        </m:r>
                                      </m:e>
                                      <m:sub>
                                        <m:r>
                                          <a:rPr lang="it-IT" sz="1100" b="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  <m:t>𝑐𝑟</m:t>
                                        </m:r>
                                      </m:sub>
                                    </m:sSub>
                                  </m:num>
                                  <m:den>
                                    <m:sSub>
                                      <m:sSubPr>
                                        <m:ctrlPr>
                                          <a:rPr lang="it-IT" sz="1100" b="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</m:ctrlPr>
                                      </m:sSubPr>
                                      <m:e>
                                        <m:r>
                                          <a:rPr lang="it-IT" sz="1100" b="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  <m:t>𝑀</m:t>
                                        </m:r>
                                      </m:e>
                                      <m:sub>
                                        <m:r>
                                          <a:rPr lang="it-IT" sz="1100" b="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  <m:t>𝑠𝑑</m:t>
                                        </m:r>
                                      </m:sub>
                                    </m:sSub>
                                  </m:den>
                                </m:f>
                              </m:e>
                            </m:d>
                          </m:e>
                          <m:sup>
                            <m:r>
                              <a:rPr lang="it-IT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2</m:t>
                            </m:r>
                          </m:sup>
                        </m:sSup>
                      </m:e>
                    </m:d>
                    <m:r>
                      <a:rPr lang="it-IT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it-IT" sz="1100" b="0" i="1">
                        <a:latin typeface="Cambria Math" panose="02040503050406030204" pitchFamily="18" charset="0"/>
                      </a:rPr>
                      <m:t> </m:t>
                    </m:r>
                  </m:oMath>
                </m:oMathPara>
              </a14:m>
              <a:endParaRPr lang="it-IT" sz="1200"/>
            </a:p>
          </xdr:txBody>
        </xdr:sp>
      </mc:Choice>
      <mc:Fallback xmlns="">
        <xdr:sp macro="" textlink="">
          <xdr:nvSpPr>
            <xdr:cNvPr id="20" name="CasellaDiTesto 19"/>
            <xdr:cNvSpPr txBox="1"/>
          </xdr:nvSpPr>
          <xdr:spPr>
            <a:xfrm>
              <a:off x="1485901" y="40414575"/>
              <a:ext cx="2590800" cy="44319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it-IT" sz="1100" b="0" i="0">
                  <a:latin typeface="Cambria Math" panose="02040503050406030204" pitchFamily="18" charset="0"/>
                </a:rPr>
                <a:t>𝑓= 𝑓_1  </a:t>
              </a:r>
              <a:r>
                <a:rPr lang="it-IT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𝛽</a:t>
              </a:r>
              <a:r>
                <a:rPr lang="it-IT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(𝑀_𝑐𝑟/𝑀_𝑠𝑑 )^2+𝑓_2  [1−</a:t>
              </a:r>
              <a:r>
                <a:rPr lang="it-IT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𝛽</a:t>
              </a:r>
              <a:r>
                <a:rPr lang="it-IT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(𝑀_𝑐𝑟/𝑀_𝑠𝑑 )^2 ]  </a:t>
              </a:r>
              <a:r>
                <a:rPr lang="it-IT" sz="1100" b="0" i="0">
                  <a:latin typeface="Cambria Math" panose="02040503050406030204" pitchFamily="18" charset="0"/>
                </a:rPr>
                <a:t> </a:t>
              </a:r>
              <a:endParaRPr lang="it-IT" sz="1200"/>
            </a:p>
          </xdr:txBody>
        </xdr:sp>
      </mc:Fallback>
    </mc:AlternateContent>
    <xdr:clientData/>
  </xdr:oneCellAnchor>
  <xdr:oneCellAnchor>
    <xdr:from>
      <xdr:col>0</xdr:col>
      <xdr:colOff>152400</xdr:colOff>
      <xdr:row>215</xdr:row>
      <xdr:rowOff>114300</xdr:rowOff>
    </xdr:from>
    <xdr:ext cx="4476750" cy="61893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6" name="CasellaDiTesto 25"/>
            <xdr:cNvSpPr txBox="1"/>
          </xdr:nvSpPr>
          <xdr:spPr>
            <a:xfrm>
              <a:off x="152400" y="26279475"/>
              <a:ext cx="4476750" cy="61893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it-IT" sz="1100" i="1">
                        <a:latin typeface="Cambria Math" panose="02040503050406030204" pitchFamily="18" charset="0"/>
                      </a:rPr>
                      <m:t>𝑉𝑅𝑑</m:t>
                    </m:r>
                    <m:r>
                      <a:rPr lang="it-IT" sz="1100" i="1">
                        <a:latin typeface="Cambria Math" panose="02040503050406030204" pitchFamily="18" charset="0"/>
                      </a:rPr>
                      <m:t>=</m:t>
                    </m:r>
                    <m:d>
                      <m:dPr>
                        <m:begChr m:val="["/>
                        <m:endChr m:val="]"/>
                        <m:ctrlPr>
                          <a:rPr lang="it-IT" sz="110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f>
                          <m:fPr>
                            <m:ctrlPr>
                              <a:rPr lang="it-IT" sz="1100" i="1">
                                <a:latin typeface="Cambria Math" panose="02040503050406030204" pitchFamily="18" charset="0"/>
                              </a:rPr>
                            </m:ctrlPr>
                          </m:fPr>
                          <m:num>
                            <m:sSup>
                              <m:sSupPr>
                                <m:ctrlPr>
                                  <a:rPr lang="it-IT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pPr>
                              <m:e>
                                <m:r>
                                  <a:rPr lang="it-IT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0,18</m:t>
                                </m:r>
                                <m:r>
                                  <a:rPr lang="it-IT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 </m:t>
                                </m:r>
                                <m:r>
                                  <a:rPr lang="it-IT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𝑘</m:t>
                                </m:r>
                                <m:r>
                                  <a:rPr lang="it-IT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 </m:t>
                                </m:r>
                                <m:d>
                                  <m:dPr>
                                    <m:ctrlPr>
                                      <a:rPr lang="it-IT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dPr>
                                  <m:e>
                                    <m:r>
                                      <a:rPr lang="it-IT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100</m:t>
                                    </m:r>
                                    <m:r>
                                      <a:rPr lang="it-IT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 </m:t>
                                    </m:r>
                                    <m:sSub>
                                      <m:sSubPr>
                                        <m:ctrlPr>
                                          <a:rPr lang="it-IT" sz="1100" b="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</m:ctrlPr>
                                      </m:sSubPr>
                                      <m:e>
                                        <m:r>
                                          <a:rPr lang="el-GR" sz="110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  <m:t>𝜌</m:t>
                                        </m:r>
                                      </m:e>
                                      <m:sub>
                                        <m:r>
                                          <a:rPr lang="it-IT" sz="1100" b="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  <m:t>𝑙</m:t>
                                        </m:r>
                                      </m:sub>
                                    </m:sSub>
                                    <m:r>
                                      <a:rPr lang="it-IT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 </m:t>
                                    </m:r>
                                    <m:sSub>
                                      <m:sSubPr>
                                        <m:ctrlPr>
                                          <a:rPr lang="it-IT" sz="1100" b="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</m:ctrlPr>
                                      </m:sSubPr>
                                      <m:e>
                                        <m:r>
                                          <a:rPr lang="it-IT" sz="1100" b="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  <m:t>𝑓</m:t>
                                        </m:r>
                                      </m:e>
                                      <m:sub>
                                        <m:r>
                                          <a:rPr lang="it-IT" sz="1100" b="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  <m:t>𝑐𝑘</m:t>
                                        </m:r>
                                      </m:sub>
                                    </m:sSub>
                                  </m:e>
                                </m:d>
                              </m:e>
                              <m:sup>
                                <m:f>
                                  <m:fPr>
                                    <m:ctrlPr>
                                      <a:rPr lang="it-IT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fPr>
                                  <m:num>
                                    <m:r>
                                      <a:rPr lang="it-IT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1</m:t>
                                    </m:r>
                                  </m:num>
                                  <m:den>
                                    <m:r>
                                      <a:rPr lang="it-IT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3</m:t>
                                    </m:r>
                                  </m:den>
                                </m:f>
                              </m:sup>
                            </m:sSup>
                          </m:num>
                          <m:den>
                            <m:sSub>
                              <m:sSubPr>
                                <m:ctrlPr>
                                  <a:rPr lang="it-IT" sz="1100" i="1"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el-GR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𝛾</m:t>
                                </m:r>
                              </m:e>
                              <m:sub>
                                <m:r>
                                  <a:rPr lang="it-IT" sz="1100" b="0" i="1">
                                    <a:latin typeface="Cambria Math" panose="02040503050406030204" pitchFamily="18" charset="0"/>
                                  </a:rPr>
                                  <m:t>𝑐</m:t>
                                </m:r>
                              </m:sub>
                            </m:sSub>
                          </m:den>
                        </m:f>
                        <m:r>
                          <a:rPr lang="it-IT" sz="1100" i="1">
                            <a:latin typeface="Cambria Math" panose="02040503050406030204" pitchFamily="18" charset="0"/>
                          </a:rPr>
                          <m:t>+0,15</m:t>
                        </m:r>
                        <m:r>
                          <a:rPr lang="it-IT" sz="1100" b="0" i="1">
                            <a:latin typeface="Cambria Math" panose="02040503050406030204" pitchFamily="18" charset="0"/>
                          </a:rPr>
                          <m:t> </m:t>
                        </m:r>
                        <m:sSub>
                          <m:sSubPr>
                            <m:ctrlPr>
                              <a:rPr lang="it-IT" sz="110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l-GR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𝜎</m:t>
                            </m:r>
                          </m:e>
                          <m:sub>
                            <m:r>
                              <a:rPr lang="it-IT" sz="1100" b="0" i="1">
                                <a:latin typeface="Cambria Math" panose="02040503050406030204" pitchFamily="18" charset="0"/>
                              </a:rPr>
                              <m:t>𝑐𝑝</m:t>
                            </m:r>
                          </m:sub>
                        </m:sSub>
                      </m:e>
                    </m:d>
                    <m:sSub>
                      <m:sSubPr>
                        <m:ctrlPr>
                          <a:rPr lang="it-IT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it-IT" sz="1100" b="0" i="1">
                            <a:latin typeface="Cambria Math" panose="02040503050406030204" pitchFamily="18" charset="0"/>
                          </a:rPr>
                          <m:t>𝑏</m:t>
                        </m:r>
                      </m:e>
                      <m:sub>
                        <m:r>
                          <a:rPr lang="it-IT" sz="1100" b="0" i="1">
                            <a:latin typeface="Cambria Math" panose="02040503050406030204" pitchFamily="18" charset="0"/>
                          </a:rPr>
                          <m:t>𝑤</m:t>
                        </m:r>
                      </m:sub>
                    </m:sSub>
                    <m:r>
                      <a:rPr lang="it-IT" sz="1100" i="1">
                        <a:latin typeface="Cambria Math" panose="02040503050406030204" pitchFamily="18" charset="0"/>
                      </a:rPr>
                      <m:t>𝑑</m:t>
                    </m:r>
                    <m:r>
                      <a:rPr lang="it-IT" sz="1100" i="1">
                        <a:latin typeface="Cambria Math" panose="02040503050406030204" pitchFamily="18" charset="0"/>
                      </a:rPr>
                      <m:t>≥</m:t>
                    </m:r>
                    <m:d>
                      <m:dPr>
                        <m:ctrlPr>
                          <a:rPr lang="it-IT" sz="110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sSub>
                          <m:sSubPr>
                            <m:ctrlPr>
                              <a:rPr lang="it-IT" sz="110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it-IT" sz="1100" b="0" i="1">
                                <a:latin typeface="Cambria Math" panose="02040503050406030204" pitchFamily="18" charset="0"/>
                              </a:rPr>
                              <m:t>𝑣</m:t>
                            </m:r>
                          </m:e>
                          <m:sub>
                            <m:r>
                              <a:rPr lang="it-IT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𝑚𝑖𝑛</m:t>
                            </m:r>
                          </m:sub>
                        </m:sSub>
                        <m:r>
                          <a:rPr lang="it-IT" sz="1100" i="1">
                            <a:latin typeface="Cambria Math" panose="02040503050406030204" pitchFamily="18" charset="0"/>
                          </a:rPr>
                          <m:t>+</m:t>
                        </m:r>
                        <m:r>
                          <a:rPr lang="it-IT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0,15</m:t>
                        </m:r>
                        <m:r>
                          <a:rPr lang="it-IT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 </m:t>
                        </m:r>
                        <m:sSub>
                          <m:sSubPr>
                            <m:ctrlPr>
                              <a:rPr lang="it-IT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l-GR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𝜎</m:t>
                            </m:r>
                          </m:e>
                          <m:sub>
                            <m:r>
                              <a:rPr lang="it-IT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𝑐𝑝</m:t>
                            </m:r>
                          </m:sub>
                        </m:sSub>
                      </m:e>
                    </m:d>
                    <m:sSub>
                      <m:sSubPr>
                        <m:ctrlPr>
                          <a:rPr lang="it-IT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it-IT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 </m:t>
                        </m:r>
                        <m:r>
                          <a:rPr lang="it-IT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𝑏</m:t>
                        </m:r>
                      </m:e>
                      <m:sub>
                        <m:r>
                          <a:rPr lang="it-IT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𝑤</m:t>
                        </m:r>
                      </m:sub>
                    </m:sSub>
                    <m:r>
                      <a:rPr lang="it-IT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it-IT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𝑑</m:t>
                    </m:r>
                    <m:r>
                      <a:rPr lang="it-IT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</m:oMath>
                </m:oMathPara>
              </a14:m>
              <a:endParaRPr lang="it-IT" sz="1100"/>
            </a:p>
          </xdr:txBody>
        </xdr:sp>
      </mc:Choice>
      <mc:Fallback xmlns="">
        <xdr:sp macro="" textlink="">
          <xdr:nvSpPr>
            <xdr:cNvPr id="26" name="CasellaDiTesto 25"/>
            <xdr:cNvSpPr txBox="1"/>
          </xdr:nvSpPr>
          <xdr:spPr>
            <a:xfrm>
              <a:off x="152400" y="26279475"/>
              <a:ext cx="4476750" cy="61893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:r>
                <a:rPr lang="it-IT" sz="1100" i="0">
                  <a:latin typeface="Cambria Math" panose="02040503050406030204" pitchFamily="18" charset="0"/>
                </a:rPr>
                <a:t>𝑉𝑅𝑑=[</a:t>
              </a:r>
              <a:r>
                <a:rPr lang="it-IT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〖0,18</a:t>
              </a:r>
              <a:r>
                <a:rPr lang="it-IT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</a:t>
              </a:r>
              <a:r>
                <a:rPr lang="it-IT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𝑘</a:t>
              </a:r>
              <a:r>
                <a:rPr lang="it-IT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(</a:t>
              </a:r>
              <a:r>
                <a:rPr lang="it-IT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100</a:t>
              </a:r>
              <a:r>
                <a:rPr lang="it-IT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</a:t>
              </a:r>
              <a:r>
                <a:rPr lang="el-GR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𝜌</a:t>
              </a:r>
              <a:r>
                <a:rPr lang="it-IT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_𝑙  𝑓_𝑐𝑘 )〗^(1/3)/</a:t>
              </a:r>
              <a:r>
                <a:rPr lang="el-GR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𝛾</a:t>
              </a:r>
              <a:r>
                <a:rPr lang="it-IT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_</a:t>
              </a:r>
              <a:r>
                <a:rPr lang="it-IT" sz="1100" b="0" i="0">
                  <a:latin typeface="Cambria Math" panose="02040503050406030204" pitchFamily="18" charset="0"/>
                </a:rPr>
                <a:t>𝑐 </a:t>
              </a:r>
              <a:r>
                <a:rPr lang="it-IT" sz="1100" i="0">
                  <a:latin typeface="Cambria Math" panose="02040503050406030204" pitchFamily="18" charset="0"/>
                </a:rPr>
                <a:t>+0,15</a:t>
              </a:r>
              <a:r>
                <a:rPr lang="it-IT" sz="1100" b="0" i="0">
                  <a:latin typeface="Cambria Math" panose="02040503050406030204" pitchFamily="18" charset="0"/>
                </a:rPr>
                <a:t> </a:t>
              </a:r>
              <a:r>
                <a:rPr lang="el-GR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𝜎</a:t>
              </a:r>
              <a:r>
                <a:rPr lang="it-IT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_</a:t>
              </a:r>
              <a:r>
                <a:rPr lang="it-IT" sz="1100" b="0" i="0">
                  <a:latin typeface="Cambria Math" panose="02040503050406030204" pitchFamily="18" charset="0"/>
                </a:rPr>
                <a:t>𝑐𝑝 ] 𝑏_𝑤 </a:t>
              </a:r>
              <a:r>
                <a:rPr lang="it-IT" sz="1100" i="0">
                  <a:latin typeface="Cambria Math" panose="02040503050406030204" pitchFamily="18" charset="0"/>
                </a:rPr>
                <a:t>𝑑≥(</a:t>
              </a:r>
              <a:r>
                <a:rPr lang="it-IT" sz="1100" b="0" i="0">
                  <a:latin typeface="Cambria Math" panose="02040503050406030204" pitchFamily="18" charset="0"/>
                </a:rPr>
                <a:t>𝑣_</a:t>
              </a:r>
              <a:r>
                <a:rPr lang="it-IT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𝑚𝑖𝑛</a:t>
              </a:r>
              <a:r>
                <a:rPr lang="it-IT" sz="1100" i="0">
                  <a:latin typeface="Cambria Math" panose="02040503050406030204" pitchFamily="18" charset="0"/>
                </a:rPr>
                <a:t>+</a:t>
              </a:r>
              <a:r>
                <a:rPr lang="it-IT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0,15</a:t>
              </a:r>
              <a:r>
                <a:rPr lang="it-IT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</a:t>
              </a:r>
              <a:r>
                <a:rPr lang="el-GR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𝜎</a:t>
              </a:r>
              <a:r>
                <a:rPr lang="it-IT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_</a:t>
              </a:r>
              <a:r>
                <a:rPr lang="it-IT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𝑐𝑝 ) </a:t>
              </a:r>
              <a:r>
                <a:rPr lang="it-IT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〖</a:t>
              </a:r>
              <a:r>
                <a:rPr lang="it-IT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𝑏〗_𝑤  </a:t>
              </a:r>
              <a:r>
                <a:rPr lang="it-IT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𝑑</a:t>
              </a:r>
              <a:r>
                <a:rPr lang="it-IT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</a:t>
              </a:r>
              <a:endParaRPr lang="it-IT" sz="1100"/>
            </a:p>
          </xdr:txBody>
        </xdr:sp>
      </mc:Fallback>
    </mc:AlternateContent>
    <xdr:clientData/>
  </xdr:oneCellAnchor>
  <xdr:oneCellAnchor>
    <xdr:from>
      <xdr:col>7</xdr:col>
      <xdr:colOff>0</xdr:colOff>
      <xdr:row>197</xdr:row>
      <xdr:rowOff>0</xdr:rowOff>
    </xdr:from>
    <xdr:ext cx="65" cy="172227"/>
    <xdr:sp macro="" textlink="">
      <xdr:nvSpPr>
        <xdr:cNvPr id="27" name="CasellaDiTesto 26"/>
        <xdr:cNvSpPr txBox="1"/>
      </xdr:nvSpPr>
      <xdr:spPr>
        <a:xfrm>
          <a:off x="6746875" y="10525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</xdr:col>
      <xdr:colOff>74083</xdr:colOff>
      <xdr:row>219</xdr:row>
      <xdr:rowOff>125942</xdr:rowOff>
    </xdr:from>
    <xdr:ext cx="1471083" cy="28575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8" name="CasellaDiTesto 27"/>
            <xdr:cNvSpPr txBox="1"/>
          </xdr:nvSpPr>
          <xdr:spPr>
            <a:xfrm>
              <a:off x="236008" y="42359792"/>
              <a:ext cx="1471083" cy="2857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it-IT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it-IT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𝑣</m:t>
                        </m:r>
                      </m:e>
                      <m:sub>
                        <m:r>
                          <a:rPr lang="it-IT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𝑚𝑖𝑛</m:t>
                        </m:r>
                      </m:sub>
                    </m:sSub>
                    <m:r>
                      <a:rPr lang="it-IT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=0,035</m:t>
                    </m:r>
                    <m:sSup>
                      <m:sSupPr>
                        <m:ctrlPr>
                          <a:rPr lang="it-IT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pPr>
                      <m:e>
                        <m:r>
                          <a:rPr lang="it-IT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𝑘</m:t>
                        </m:r>
                      </m:e>
                      <m:sup>
                        <m:r>
                          <a:rPr lang="it-IT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3/2</m:t>
                        </m:r>
                      </m:sup>
                    </m:sSup>
                    <m:sSubSup>
                      <m:sSubSupPr>
                        <m:ctrlPr>
                          <a:rPr lang="it-IT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SupPr>
                      <m:e>
                        <m:r>
                          <a:rPr lang="it-IT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𝑓</m:t>
                        </m:r>
                      </m:e>
                      <m:sub>
                        <m:r>
                          <a:rPr lang="it-IT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𝑐𝑘</m:t>
                        </m:r>
                      </m:sub>
                      <m:sup>
                        <m:r>
                          <a:rPr lang="it-IT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1/2</m:t>
                        </m:r>
                      </m:sup>
                    </m:sSubSup>
                  </m:oMath>
                </m:oMathPara>
              </a14:m>
              <a:endParaRPr lang="it-IT" sz="1100"/>
            </a:p>
          </xdr:txBody>
        </xdr:sp>
      </mc:Choice>
      <mc:Fallback xmlns="">
        <xdr:sp macro="" textlink="">
          <xdr:nvSpPr>
            <xdr:cNvPr id="28" name="CasellaDiTesto 27"/>
            <xdr:cNvSpPr txBox="1"/>
          </xdr:nvSpPr>
          <xdr:spPr>
            <a:xfrm>
              <a:off x="236008" y="42359792"/>
              <a:ext cx="1471083" cy="2857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:r>
                <a:rPr lang="it-IT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𝑣_</a:t>
              </a:r>
              <a:r>
                <a:rPr lang="it-IT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𝑚𝑖𝑛</a:t>
              </a:r>
              <a:r>
                <a:rPr lang="it-IT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=0,035𝑘^(3/2) 𝑓_𝑐𝑘^(1/2)</a:t>
              </a:r>
              <a:endParaRPr lang="it-IT" sz="1100"/>
            </a:p>
          </xdr:txBody>
        </xdr:sp>
      </mc:Fallback>
    </mc:AlternateContent>
    <xdr:clientData/>
  </xdr:oneCellAnchor>
  <xdr:oneCellAnchor>
    <xdr:from>
      <xdr:col>0</xdr:col>
      <xdr:colOff>123824</xdr:colOff>
      <xdr:row>221</xdr:row>
      <xdr:rowOff>157692</xdr:rowOff>
    </xdr:from>
    <xdr:ext cx="1809750" cy="28575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9" name="CasellaDiTesto 28"/>
            <xdr:cNvSpPr txBox="1"/>
          </xdr:nvSpPr>
          <xdr:spPr>
            <a:xfrm>
              <a:off x="123824" y="42867792"/>
              <a:ext cx="1809750" cy="2857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it-IT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𝑘</m:t>
                    </m:r>
                    <m:r>
                      <a:rPr lang="it-IT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=1+</m:t>
                    </m:r>
                    <m:sSup>
                      <m:sSupPr>
                        <m:ctrlPr>
                          <a:rPr lang="it-IT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pPr>
                      <m:e>
                        <m:d>
                          <m:dPr>
                            <m:ctrlPr>
                              <a:rPr lang="it-IT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f>
                              <m:fPr>
                                <m:type m:val="lin"/>
                                <m:ctrlPr>
                                  <a:rPr lang="it-IT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fPr>
                              <m:num>
                                <m:r>
                                  <a:rPr lang="it-IT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200</m:t>
                                </m:r>
                              </m:num>
                              <m:den>
                                <m:r>
                                  <a:rPr lang="it-IT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𝑑</m:t>
                                </m:r>
                              </m:den>
                            </m:f>
                          </m:e>
                        </m:d>
                      </m:e>
                      <m:sup>
                        <m:r>
                          <a:rPr lang="it-IT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1/2</m:t>
                        </m:r>
                      </m:sup>
                    </m:sSup>
                    <m:r>
                      <a:rPr lang="it-IT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≤2</m:t>
                    </m:r>
                  </m:oMath>
                </m:oMathPara>
              </a14:m>
              <a:endParaRPr lang="it-IT" sz="1100"/>
            </a:p>
          </xdr:txBody>
        </xdr:sp>
      </mc:Choice>
      <mc:Fallback xmlns="">
        <xdr:sp macro="" textlink="">
          <xdr:nvSpPr>
            <xdr:cNvPr id="29" name="CasellaDiTesto 28"/>
            <xdr:cNvSpPr txBox="1"/>
          </xdr:nvSpPr>
          <xdr:spPr>
            <a:xfrm>
              <a:off x="123824" y="42867792"/>
              <a:ext cx="1809750" cy="2857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:r>
                <a:rPr lang="it-IT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𝑘</a:t>
              </a:r>
              <a:r>
                <a:rPr lang="it-IT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=1+(200∕𝑑)^(1/2)</a:t>
              </a:r>
              <a:r>
                <a:rPr lang="it-IT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≤2</a:t>
              </a:r>
              <a:endParaRPr lang="it-IT" sz="1100"/>
            </a:p>
          </xdr:txBody>
        </xdr:sp>
      </mc:Fallback>
    </mc:AlternateContent>
    <xdr:clientData/>
  </xdr:oneCellAnchor>
  <xdr:oneCellAnchor>
    <xdr:from>
      <xdr:col>1</xdr:col>
      <xdr:colOff>57149</xdr:colOff>
      <xdr:row>223</xdr:row>
      <xdr:rowOff>125941</xdr:rowOff>
    </xdr:from>
    <xdr:ext cx="1209675" cy="28575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0" name="CasellaDiTesto 29"/>
            <xdr:cNvSpPr txBox="1"/>
          </xdr:nvSpPr>
          <xdr:spPr>
            <a:xfrm>
              <a:off x="219074" y="43217041"/>
              <a:ext cx="1209675" cy="2857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it-IT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l-GR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ρ</m:t>
                        </m:r>
                      </m:e>
                      <m:sub>
                        <m:r>
                          <a:rPr lang="it-IT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𝑙</m:t>
                        </m:r>
                      </m:sub>
                    </m:sSub>
                    <m:r>
                      <a:rPr lang="it-IT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sSub>
                      <m:sSubPr>
                        <m:ctrlPr>
                          <a:rPr lang="it-IT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it-IT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𝐴</m:t>
                        </m:r>
                      </m:e>
                      <m:sub>
                        <m:r>
                          <a:rPr lang="it-IT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𝑠𝑙</m:t>
                        </m:r>
                      </m:sub>
                    </m:sSub>
                    <m:r>
                      <a:rPr lang="it-IT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/(</m:t>
                    </m:r>
                    <m:sSub>
                      <m:sSubPr>
                        <m:ctrlPr>
                          <a:rPr lang="it-IT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it-IT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𝑏</m:t>
                        </m:r>
                      </m:e>
                      <m:sub>
                        <m:r>
                          <a:rPr lang="it-IT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𝑤</m:t>
                        </m:r>
                      </m:sub>
                    </m:sSub>
                    <m:r>
                      <a:rPr lang="it-IT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∙</m:t>
                    </m:r>
                    <m:r>
                      <a:rPr lang="it-IT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𝑑</m:t>
                    </m:r>
                    <m:r>
                      <a:rPr lang="it-IT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)</m:t>
                    </m:r>
                  </m:oMath>
                </m:oMathPara>
              </a14:m>
              <a:endParaRPr lang="it-IT" sz="1100"/>
            </a:p>
          </xdr:txBody>
        </xdr:sp>
      </mc:Choice>
      <mc:Fallback xmlns="">
        <xdr:sp macro="" textlink="">
          <xdr:nvSpPr>
            <xdr:cNvPr id="30" name="CasellaDiTesto 29"/>
            <xdr:cNvSpPr txBox="1"/>
          </xdr:nvSpPr>
          <xdr:spPr>
            <a:xfrm>
              <a:off x="219074" y="43217041"/>
              <a:ext cx="1209675" cy="2857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:r>
                <a:rPr lang="el-GR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ρ</a:t>
              </a:r>
              <a:r>
                <a:rPr lang="it-IT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_𝑙=𝐴_𝑠𝑙/(𝑏_𝑤</a:t>
              </a:r>
              <a:r>
                <a:rPr lang="it-IT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∙𝑑)</a:t>
              </a:r>
              <a:endParaRPr lang="it-IT" sz="1100"/>
            </a:p>
          </xdr:txBody>
        </xdr:sp>
      </mc:Fallback>
    </mc:AlternateContent>
    <xdr:clientData/>
  </xdr:oneCellAnchor>
  <xdr:oneCellAnchor>
    <xdr:from>
      <xdr:col>1</xdr:col>
      <xdr:colOff>933450</xdr:colOff>
      <xdr:row>110</xdr:row>
      <xdr:rowOff>28575</xdr:rowOff>
    </xdr:from>
    <xdr:ext cx="2114550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4" name="CasellaDiTesto 23"/>
            <xdr:cNvSpPr txBox="1"/>
          </xdr:nvSpPr>
          <xdr:spPr>
            <a:xfrm>
              <a:off x="1095375" y="22145625"/>
              <a:ext cx="211455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it-IT" sz="1100" b="0" i="1">
                        <a:latin typeface="Cambria Math" panose="02040503050406030204" pitchFamily="18" charset="0"/>
                      </a:rPr>
                      <m:t>𝑇𝑟𝑎𝑠𝑙𝑎𝑧𝑖𝑜𝑛𝑒</m:t>
                    </m:r>
                    <m:r>
                      <a:rPr lang="it-IT" sz="1100" b="0" i="1">
                        <a:latin typeface="Cambria Math" panose="02040503050406030204" pitchFamily="18" charset="0"/>
                      </a:rPr>
                      <m:t>=0,45 </m:t>
                    </m:r>
                    <m:r>
                      <a:rPr lang="it-IT" sz="1100" b="0" i="1">
                        <a:latin typeface="Cambria Math" panose="02040503050406030204" pitchFamily="18" charset="0"/>
                      </a:rPr>
                      <m:t>𝑑</m:t>
                    </m:r>
                    <m:r>
                      <a:rPr lang="it-IT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</m:oMath>
                </m:oMathPara>
              </a14:m>
              <a:endParaRPr lang="it-IT" sz="1100"/>
            </a:p>
          </xdr:txBody>
        </xdr:sp>
      </mc:Choice>
      <mc:Fallback xmlns="">
        <xdr:sp macro="" textlink="">
          <xdr:nvSpPr>
            <xdr:cNvPr id="24" name="CasellaDiTesto 23"/>
            <xdr:cNvSpPr txBox="1"/>
          </xdr:nvSpPr>
          <xdr:spPr>
            <a:xfrm>
              <a:off x="1095375" y="22145625"/>
              <a:ext cx="211455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it-IT" sz="1100" b="0" i="0">
                  <a:latin typeface="Cambria Math" panose="02040503050406030204" pitchFamily="18" charset="0"/>
                </a:rPr>
                <a:t>𝑇𝑟𝑎𝑠𝑙𝑎𝑧𝑖𝑜𝑛𝑒=0,45 𝑑</a:t>
              </a:r>
              <a:r>
                <a:rPr lang="it-IT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=</a:t>
              </a:r>
              <a:endParaRPr lang="it-IT" sz="1100"/>
            </a:p>
          </xdr:txBody>
        </xdr:sp>
      </mc:Fallback>
    </mc:AlternateContent>
    <xdr:clientData/>
  </xdr:oneCellAnchor>
  <xdr:twoCellAnchor>
    <xdr:from>
      <xdr:col>1</xdr:col>
      <xdr:colOff>57149</xdr:colOff>
      <xdr:row>114</xdr:row>
      <xdr:rowOff>104775</xdr:rowOff>
    </xdr:from>
    <xdr:to>
      <xdr:col>6</xdr:col>
      <xdr:colOff>695325</xdr:colOff>
      <xdr:row>132</xdr:row>
      <xdr:rowOff>95250</xdr:rowOff>
    </xdr:to>
    <xdr:graphicFrame macro="">
      <xdr:nvGraphicFramePr>
        <xdr:cNvPr id="31" name="Grafico 3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152400</xdr:colOff>
      <xdr:row>191</xdr:row>
      <xdr:rowOff>152400</xdr:rowOff>
    </xdr:from>
    <xdr:to>
      <xdr:col>5</xdr:col>
      <xdr:colOff>762000</xdr:colOff>
      <xdr:row>209</xdr:row>
      <xdr:rowOff>76200</xdr:rowOff>
    </xdr:to>
    <xdr:graphicFrame macro="">
      <xdr:nvGraphicFramePr>
        <xdr:cNvPr id="32" name="Grafico 3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48683</xdr:colOff>
      <xdr:row>357</xdr:row>
      <xdr:rowOff>166246</xdr:rowOff>
    </xdr:from>
    <xdr:to>
      <xdr:col>2</xdr:col>
      <xdr:colOff>508000</xdr:colOff>
      <xdr:row>359</xdr:row>
      <xdr:rowOff>0</xdr:rowOff>
    </xdr:to>
    <xdr:pic>
      <xdr:nvPicPr>
        <xdr:cNvPr id="39" name="Immagine 38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608" y="36246946"/>
          <a:ext cx="2592917" cy="2338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27517</xdr:colOff>
      <xdr:row>359</xdr:row>
      <xdr:rowOff>82832</xdr:rowOff>
    </xdr:from>
    <xdr:to>
      <xdr:col>3</xdr:col>
      <xdr:colOff>127000</xdr:colOff>
      <xdr:row>360</xdr:row>
      <xdr:rowOff>127001</xdr:rowOff>
    </xdr:to>
    <xdr:pic>
      <xdr:nvPicPr>
        <xdr:cNvPr id="40" name="Immagine 39"/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9442" y="36563582"/>
          <a:ext cx="3261783" cy="2441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51859</xdr:colOff>
      <xdr:row>362</xdr:row>
      <xdr:rowOff>116416</xdr:rowOff>
    </xdr:from>
    <xdr:to>
      <xdr:col>1</xdr:col>
      <xdr:colOff>1005417</xdr:colOff>
      <xdr:row>363</xdr:row>
      <xdr:rowOff>190500</xdr:rowOff>
    </xdr:to>
    <xdr:pic>
      <xdr:nvPicPr>
        <xdr:cNvPr id="41" name="Immagine 40"/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3784" y="37197241"/>
          <a:ext cx="953558" cy="2741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78316</xdr:colOff>
      <xdr:row>369</xdr:row>
      <xdr:rowOff>42333</xdr:rowOff>
    </xdr:from>
    <xdr:to>
      <xdr:col>1</xdr:col>
      <xdr:colOff>1407583</xdr:colOff>
      <xdr:row>370</xdr:row>
      <xdr:rowOff>90970</xdr:rowOff>
    </xdr:to>
    <xdr:pic>
      <xdr:nvPicPr>
        <xdr:cNvPr id="42" name="Immagine 41"/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241" y="38523333"/>
          <a:ext cx="1329267" cy="2391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65617</xdr:colOff>
      <xdr:row>371</xdr:row>
      <xdr:rowOff>10583</xdr:rowOff>
    </xdr:from>
    <xdr:to>
      <xdr:col>2</xdr:col>
      <xdr:colOff>897467</xdr:colOff>
      <xdr:row>374</xdr:row>
      <xdr:rowOff>84666</xdr:rowOff>
    </xdr:to>
    <xdr:pic>
      <xdr:nvPicPr>
        <xdr:cNvPr id="43" name="Immagine 42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542" y="38872583"/>
          <a:ext cx="2965450" cy="6455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123824</xdr:colOff>
      <xdr:row>378</xdr:row>
      <xdr:rowOff>28575</xdr:rowOff>
    </xdr:from>
    <xdr:to>
      <xdr:col>2</xdr:col>
      <xdr:colOff>42334</xdr:colOff>
      <xdr:row>380</xdr:row>
      <xdr:rowOff>95250</xdr:rowOff>
    </xdr:to>
    <xdr:pic>
      <xdr:nvPicPr>
        <xdr:cNvPr id="44" name="Immagine 43"/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49" y="40252650"/>
          <a:ext cx="2052110" cy="447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381</xdr:row>
      <xdr:rowOff>0</xdr:rowOff>
    </xdr:from>
    <xdr:ext cx="6237324" cy="1672166"/>
    <xdr:pic>
      <xdr:nvPicPr>
        <xdr:cNvPr id="45" name="Immagine 44"/>
        <xdr:cNvPicPr>
          <a:picLocks noChangeAspect="1"/>
        </xdr:cNvPicPr>
      </xdr:nvPicPr>
      <xdr:blipFill rotWithShape="1"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56"/>
        <a:stretch/>
      </xdr:blipFill>
      <xdr:spPr>
        <a:xfrm>
          <a:off x="161925" y="40795575"/>
          <a:ext cx="6237324" cy="1672166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tecnico\f\Users\Nicla\Documents\6.VARIE%20PER%20LA%20PROFESSIONE\PROGRAMMI%20UTILI\PROGETTO%20SOLAIO%20BAUSTA\CALCOLO%20SOLAIO%20SLU+S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gica e caratt (4)"/>
      <sheetName val="Comb. 1 (4)"/>
      <sheetName val="Comb. 2 (4)"/>
      <sheetName val="Comb. 3 (4)"/>
      <sheetName val="Comb. 4 (4)"/>
      <sheetName val="Comb. 5  (4)"/>
      <sheetName val="Comb. 6 (4)"/>
      <sheetName val="Comb. 7 (4)"/>
      <sheetName val="Comb. 8 (4)"/>
      <sheetName val="Comb. 9 (4)"/>
      <sheetName val="Comb. 10 (4)"/>
      <sheetName val="TABULATI (4)"/>
      <sheetName val="Manuale"/>
      <sheetName val="riepilogo carichi"/>
      <sheetName val="Inviluppo taglio (4)"/>
      <sheetName val="Inviluppo momento (4)"/>
      <sheetName val="DATI NASCOSTI"/>
      <sheetName val="1-Definizione Carichi"/>
      <sheetName val="Definizione Carichi (2)"/>
      <sheetName val="Definizione Carichi (3)"/>
      <sheetName val="logica e caratt (3)"/>
      <sheetName val="Definizione Carichi (4)"/>
      <sheetName val="OUTPUT SOLLECITAZIONE"/>
      <sheetName val="Comb. 1 (3)"/>
      <sheetName val="Comb. 2 (3)"/>
      <sheetName val="Comb. 3 (3)"/>
      <sheetName val="Comb. 4 (3)"/>
      <sheetName val="Comb. 5  (3)"/>
      <sheetName val="Comb. 6 (3)"/>
      <sheetName val="Comb. 7 (3)"/>
      <sheetName val="Comb. 8 (3)"/>
      <sheetName val="Comb. 9 (3)"/>
      <sheetName val="Comb. 10 (3)"/>
      <sheetName val="TABULATI (3)"/>
      <sheetName val="M TRASLATO"/>
      <sheetName val="2-Progetto Solaio"/>
      <sheetName val="INPUT SOLLEC. ARMATURE"/>
      <sheetName val="Diagramma Mrd"/>
      <sheetName val="DATI NASCOSTI ARMATURA"/>
      <sheetName val="OUTPUT PROGETTO SOLAIO"/>
      <sheetName val="Sollecitazioni SLE"/>
      <sheetName val="OUTPUT VERIFICHE SLE"/>
      <sheetName val="Verifiche COMB RARA"/>
      <sheetName val="Verifiche COMB FREQ"/>
      <sheetName val="Verifiche COMB QUAS PERM"/>
      <sheetName val="M TRASLATO (2)"/>
      <sheetName val="M TRASLATO (3)"/>
      <sheetName val="Inviluppo taglio (3)"/>
      <sheetName val="Inviluppo momento (3)"/>
      <sheetName val="logica e caratt (2)"/>
      <sheetName val="Comb. 1 (2)"/>
      <sheetName val="Comb. 2 (2)"/>
      <sheetName val="Comb. 3 (2)"/>
      <sheetName val="Comb. 4 (2)"/>
      <sheetName val="Comb. 5  (2)"/>
      <sheetName val="Comb. 6 (2)"/>
      <sheetName val="Comb. 7 (2)"/>
      <sheetName val="Comb. 8 (2)"/>
      <sheetName val="Comb. 9 (2)"/>
      <sheetName val="Comb. 10 (2)"/>
      <sheetName val="TABULATI (2)"/>
      <sheetName val="Inviluppo taglio (2)"/>
      <sheetName val="Inviluppo momento (2)"/>
      <sheetName val="M TRASLATO (4)"/>
      <sheetName val="logica e caratt"/>
      <sheetName val="Comb. 1"/>
      <sheetName val="Comb. 2"/>
      <sheetName val="Comb. 3"/>
      <sheetName val="Comb. 4"/>
      <sheetName val="Comb. 5 "/>
      <sheetName val="Comb. 6"/>
      <sheetName val="Comb. 7"/>
      <sheetName val="Comb. 8"/>
      <sheetName val="Comb. 9"/>
      <sheetName val="Comb. 10"/>
      <sheetName val="TABULATI"/>
      <sheetName val="Inviluppo taglio"/>
      <sheetName val="Inviluppo momen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105">
          <cell r="B105" t="str">
            <v>si</v>
          </cell>
          <cell r="C105">
            <v>0.2</v>
          </cell>
        </row>
        <row r="106">
          <cell r="C106">
            <v>0.3</v>
          </cell>
        </row>
        <row r="107">
          <cell r="C107">
            <v>0.4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davidecicchini.it/" TargetMode="External"/><Relationship Id="rId1" Type="http://schemas.openxmlformats.org/officeDocument/2006/relationships/hyperlink" Target="http://www.davidecicchini.it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J18"/>
  <sheetViews>
    <sheetView showGridLines="0" showRowColHeaders="0" tabSelected="1" workbookViewId="0">
      <selection activeCell="H17" sqref="H17:J17"/>
    </sheetView>
  </sheetViews>
  <sheetFormatPr defaultRowHeight="15"/>
  <cols>
    <col min="1" max="1" width="1.5703125" customWidth="1"/>
  </cols>
  <sheetData>
    <row r="5" spans="2:10" ht="15.75">
      <c r="B5" s="250" t="s">
        <v>316</v>
      </c>
      <c r="C5" s="6"/>
      <c r="D5" s="6"/>
      <c r="E5" s="6"/>
      <c r="F5" s="6"/>
      <c r="G5" s="6"/>
      <c r="H5" s="6"/>
      <c r="I5" s="6"/>
    </row>
    <row r="6" spans="2:10" ht="15.75">
      <c r="B6" s="250" t="s">
        <v>317</v>
      </c>
      <c r="C6" s="6"/>
      <c r="D6" s="6"/>
      <c r="E6" s="6"/>
      <c r="F6" s="6"/>
      <c r="G6" s="6"/>
      <c r="H6" s="6"/>
      <c r="I6" s="6"/>
    </row>
    <row r="7" spans="2:10" ht="15.75">
      <c r="B7" s="250" t="s">
        <v>318</v>
      </c>
      <c r="C7" s="6"/>
      <c r="D7" s="6"/>
      <c r="E7" s="6"/>
      <c r="F7" s="6"/>
      <c r="G7" s="6"/>
      <c r="H7" s="6"/>
      <c r="I7" s="6"/>
    </row>
    <row r="8" spans="2:10" ht="15.75">
      <c r="B8" s="250" t="s">
        <v>320</v>
      </c>
      <c r="C8" s="6"/>
      <c r="D8" s="6"/>
      <c r="E8" s="6"/>
      <c r="F8" s="6"/>
      <c r="G8" s="6"/>
      <c r="H8" s="6"/>
      <c r="I8" s="6"/>
    </row>
    <row r="9" spans="2:10" ht="15.75">
      <c r="B9" s="250" t="s">
        <v>319</v>
      </c>
      <c r="C9" s="6"/>
      <c r="D9" s="6"/>
      <c r="E9" s="6"/>
      <c r="F9" s="6"/>
      <c r="G9" s="6"/>
      <c r="H9" s="6"/>
      <c r="I9" s="6"/>
    </row>
    <row r="10" spans="2:10" ht="15.75">
      <c r="B10" s="250"/>
      <c r="C10" s="6"/>
      <c r="D10" s="6"/>
      <c r="E10" s="6"/>
      <c r="F10" s="6"/>
      <c r="G10" s="6"/>
      <c r="H10" s="6"/>
      <c r="I10" s="6"/>
    </row>
    <row r="11" spans="2:10" ht="15.75">
      <c r="B11" s="250"/>
      <c r="C11" s="6"/>
      <c r="D11" s="6"/>
      <c r="E11" s="6"/>
      <c r="F11" s="6"/>
      <c r="G11" s="6"/>
      <c r="H11" s="6"/>
      <c r="I11" s="6"/>
    </row>
    <row r="12" spans="2:10" ht="15.75">
      <c r="B12" s="250"/>
      <c r="C12" s="6"/>
      <c r="D12" s="6"/>
      <c r="E12" s="6"/>
      <c r="F12" s="6"/>
      <c r="G12" s="6"/>
      <c r="H12" s="6"/>
      <c r="I12" s="6"/>
    </row>
    <row r="13" spans="2:10" ht="15.75">
      <c r="B13" s="250"/>
      <c r="C13" s="6"/>
      <c r="D13" s="6"/>
      <c r="E13" s="6"/>
      <c r="F13" s="6"/>
      <c r="G13" s="6"/>
      <c r="H13" s="6"/>
      <c r="I13" s="6"/>
    </row>
    <row r="14" spans="2:10" ht="15.75">
      <c r="B14" s="250"/>
      <c r="C14" s="6"/>
      <c r="D14" s="6"/>
      <c r="E14" s="6"/>
      <c r="F14" s="6"/>
      <c r="G14" s="6"/>
      <c r="H14" s="6"/>
      <c r="I14" s="6"/>
    </row>
    <row r="15" spans="2:10">
      <c r="B15" s="284" t="s">
        <v>313</v>
      </c>
      <c r="C15" s="284"/>
      <c r="D15" s="284"/>
      <c r="E15" s="6"/>
      <c r="F15" s="6"/>
    </row>
    <row r="16" spans="2:10">
      <c r="B16" s="286" t="s">
        <v>315</v>
      </c>
      <c r="C16" s="286"/>
      <c r="D16" s="286"/>
      <c r="E16" s="6"/>
      <c r="F16" s="6"/>
      <c r="H16" s="285" t="s">
        <v>314</v>
      </c>
      <c r="I16" s="285"/>
      <c r="J16" s="285"/>
    </row>
    <row r="17" spans="2:10" ht="15.75">
      <c r="B17" s="250"/>
      <c r="C17" s="6"/>
      <c r="D17" s="6"/>
      <c r="E17" s="6"/>
      <c r="F17" s="6"/>
      <c r="H17" s="287" t="s">
        <v>315</v>
      </c>
      <c r="I17" s="287"/>
      <c r="J17" s="287"/>
    </row>
    <row r="18" spans="2:10" ht="15.75">
      <c r="B18" s="250"/>
      <c r="C18" s="6"/>
      <c r="D18" s="6"/>
      <c r="E18" s="6"/>
      <c r="F18" s="6"/>
      <c r="G18" s="6"/>
    </row>
  </sheetData>
  <sheetProtection password="C2CA" sheet="1" objects="1" scenarios="1" selectLockedCells="1"/>
  <mergeCells count="4">
    <mergeCell ref="B15:D15"/>
    <mergeCell ref="H16:J16"/>
    <mergeCell ref="B16:D16"/>
    <mergeCell ref="H17:J17"/>
  </mergeCells>
  <hyperlinks>
    <hyperlink ref="H17" r:id="rId1"/>
    <hyperlink ref="B16" r:id="rId2"/>
  </hyperlinks>
  <pageMargins left="0.7" right="0.7" top="0.75" bottom="0.75" header="0.3" footer="0.3"/>
  <pageSetup paperSize="9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G475"/>
  <sheetViews>
    <sheetView showGridLines="0" showRowColHeaders="0" zoomScaleNormal="100" workbookViewId="0">
      <selection activeCell="E27" sqref="E27"/>
    </sheetView>
  </sheetViews>
  <sheetFormatPr defaultRowHeight="15"/>
  <cols>
    <col min="1" max="1" width="2.42578125" customWidth="1"/>
    <col min="2" max="2" width="32" customWidth="1"/>
    <col min="3" max="4" width="12" customWidth="1"/>
    <col min="5" max="5" width="13.42578125" customWidth="1"/>
    <col min="6" max="7" width="12" customWidth="1"/>
    <col min="11" max="12" width="14.140625" customWidth="1"/>
    <col min="13" max="13" width="11" customWidth="1"/>
    <col min="14" max="14" width="25.28515625" customWidth="1"/>
    <col min="15" max="20" width="11" customWidth="1"/>
  </cols>
  <sheetData>
    <row r="1" spans="2:7" ht="21">
      <c r="B1" s="299" t="s">
        <v>174</v>
      </c>
      <c r="C1" s="299"/>
      <c r="D1" s="299"/>
      <c r="E1" s="299"/>
      <c r="F1" s="299"/>
      <c r="G1" s="299"/>
    </row>
    <row r="3" spans="2:7" ht="18">
      <c r="B3" s="146" t="s">
        <v>173</v>
      </c>
      <c r="C3" s="136"/>
      <c r="D3" s="136"/>
      <c r="E3" s="137"/>
    </row>
    <row r="4" spans="2:7" ht="22.5" customHeight="1" thickBot="1">
      <c r="C4" s="13"/>
      <c r="D4" s="13"/>
      <c r="E4" s="7" t="s">
        <v>10</v>
      </c>
    </row>
    <row r="5" spans="2:7" ht="18.75" customHeight="1" thickTop="1">
      <c r="B5" s="76" t="s">
        <v>7</v>
      </c>
      <c r="C5" s="77"/>
      <c r="D5" s="78" t="s">
        <v>48</v>
      </c>
      <c r="E5" s="87">
        <v>2</v>
      </c>
      <c r="F5" s="3" t="s">
        <v>66</v>
      </c>
    </row>
    <row r="6" spans="2:7" ht="18.75" customHeight="1">
      <c r="B6" s="79" t="s">
        <v>8</v>
      </c>
      <c r="C6" s="80"/>
      <c r="D6" s="81" t="s">
        <v>49</v>
      </c>
      <c r="E6" s="88">
        <v>2</v>
      </c>
      <c r="F6" s="3" t="s">
        <v>66</v>
      </c>
    </row>
    <row r="7" spans="2:7" ht="18.75" customHeight="1">
      <c r="B7" s="79" t="s">
        <v>23</v>
      </c>
      <c r="C7" s="80"/>
      <c r="D7" s="81" t="s">
        <v>50</v>
      </c>
      <c r="E7" s="88">
        <v>200</v>
      </c>
      <c r="F7" s="49" t="s">
        <v>4</v>
      </c>
    </row>
    <row r="8" spans="2:7" ht="18.75" customHeight="1">
      <c r="B8" s="79" t="s">
        <v>24</v>
      </c>
      <c r="C8" s="80"/>
      <c r="D8" s="81" t="s">
        <v>51</v>
      </c>
      <c r="E8" s="88">
        <v>150</v>
      </c>
      <c r="F8" s="49" t="s">
        <v>4</v>
      </c>
    </row>
    <row r="9" spans="2:7" ht="18.75" customHeight="1">
      <c r="B9" s="79" t="s">
        <v>29</v>
      </c>
      <c r="C9" s="80"/>
      <c r="D9" s="82" t="s">
        <v>52</v>
      </c>
      <c r="E9" s="89">
        <v>2500</v>
      </c>
      <c r="F9" s="49" t="s">
        <v>4</v>
      </c>
    </row>
    <row r="10" spans="2:7" ht="18.75" customHeight="1">
      <c r="B10" s="79" t="s">
        <v>30</v>
      </c>
      <c r="C10" s="83"/>
      <c r="D10" s="82" t="s">
        <v>53</v>
      </c>
      <c r="E10" s="89">
        <v>200</v>
      </c>
      <c r="F10" s="49" t="s">
        <v>4</v>
      </c>
    </row>
    <row r="11" spans="2:7" ht="18.75" customHeight="1">
      <c r="B11" s="79" t="s">
        <v>31</v>
      </c>
      <c r="C11" s="80"/>
      <c r="D11" s="82" t="s">
        <v>54</v>
      </c>
      <c r="E11" s="89">
        <v>20</v>
      </c>
      <c r="F11" s="49" t="s">
        <v>4</v>
      </c>
    </row>
    <row r="12" spans="2:7" ht="18.75" customHeight="1" thickBot="1">
      <c r="B12" s="79" t="s">
        <v>67</v>
      </c>
      <c r="C12" s="84"/>
      <c r="D12" s="82" t="s">
        <v>68</v>
      </c>
      <c r="E12" s="90">
        <v>50</v>
      </c>
      <c r="F12" s="49" t="s">
        <v>4</v>
      </c>
    </row>
    <row r="13" spans="2:7" ht="11.25" customHeight="1" thickTop="1" thickBot="1">
      <c r="B13" s="79"/>
      <c r="C13" s="84"/>
      <c r="D13" s="248"/>
      <c r="E13" s="16"/>
      <c r="F13" s="49"/>
    </row>
    <row r="14" spans="2:7" ht="18.75" customHeight="1" thickTop="1">
      <c r="B14" s="79" t="s">
        <v>246</v>
      </c>
      <c r="C14" s="80"/>
      <c r="D14" s="82"/>
      <c r="E14" s="87" t="s">
        <v>239</v>
      </c>
      <c r="F14" s="49" t="s">
        <v>12</v>
      </c>
    </row>
    <row r="15" spans="2:7" ht="18.75" customHeight="1">
      <c r="B15" s="79" t="s">
        <v>247</v>
      </c>
      <c r="C15" s="80"/>
      <c r="D15" s="82"/>
      <c r="E15" s="89" t="s">
        <v>245</v>
      </c>
      <c r="F15" s="49" t="s">
        <v>12</v>
      </c>
    </row>
    <row r="16" spans="2:7" ht="18.75" customHeight="1" thickBot="1">
      <c r="B16" s="79" t="s">
        <v>249</v>
      </c>
      <c r="C16" s="244"/>
      <c r="D16" s="245" t="s">
        <v>250</v>
      </c>
      <c r="E16" s="90">
        <v>210000</v>
      </c>
      <c r="F16" s="246" t="s">
        <v>3</v>
      </c>
    </row>
    <row r="17" spans="2:6" ht="12.75" customHeight="1" thickTop="1" thickBot="1">
      <c r="B17" s="79"/>
      <c r="C17" s="244"/>
      <c r="D17" s="247"/>
      <c r="E17" s="16"/>
      <c r="F17" s="246"/>
    </row>
    <row r="18" spans="2:6" ht="18.75" customHeight="1" thickTop="1" thickBot="1">
      <c r="B18" s="79" t="s">
        <v>9</v>
      </c>
      <c r="C18" s="80"/>
      <c r="D18" s="82" t="s">
        <v>55</v>
      </c>
      <c r="E18" s="87">
        <v>60</v>
      </c>
      <c r="F18" s="49" t="s">
        <v>4</v>
      </c>
    </row>
    <row r="19" spans="2:6" ht="18.75" customHeight="1" thickTop="1">
      <c r="B19" s="79" t="s">
        <v>274</v>
      </c>
      <c r="C19" s="80"/>
      <c r="D19" s="82"/>
      <c r="E19" s="87" t="s">
        <v>234</v>
      </c>
      <c r="F19" s="49"/>
    </row>
    <row r="20" spans="2:6" ht="18.75" customHeight="1">
      <c r="B20" s="79" t="s">
        <v>26</v>
      </c>
      <c r="C20" s="80"/>
      <c r="D20" s="82" t="s">
        <v>56</v>
      </c>
      <c r="E20" s="89">
        <v>0</v>
      </c>
      <c r="F20" s="49" t="s">
        <v>4</v>
      </c>
    </row>
    <row r="21" spans="2:6" ht="18.75" customHeight="1">
      <c r="B21" s="79" t="s">
        <v>141</v>
      </c>
      <c r="C21" s="80"/>
      <c r="D21" s="111" t="s">
        <v>142</v>
      </c>
      <c r="E21" s="89">
        <v>20</v>
      </c>
      <c r="F21" s="49" t="s">
        <v>143</v>
      </c>
    </row>
    <row r="22" spans="2:6" ht="18.75" customHeight="1">
      <c r="B22" s="85" t="s">
        <v>25</v>
      </c>
      <c r="C22" s="85"/>
      <c r="D22" s="86" t="s">
        <v>0</v>
      </c>
      <c r="E22" s="89">
        <v>5.6</v>
      </c>
      <c r="F22" s="49" t="s">
        <v>1</v>
      </c>
    </row>
    <row r="23" spans="2:6" ht="18.75" customHeight="1" thickBot="1">
      <c r="B23" s="85" t="s">
        <v>32</v>
      </c>
      <c r="C23" s="85"/>
      <c r="D23" s="86" t="s">
        <v>57</v>
      </c>
      <c r="E23" s="90">
        <v>4</v>
      </c>
      <c r="F23" s="49" t="s">
        <v>28</v>
      </c>
    </row>
    <row r="24" spans="2:6" ht="12.75" customHeight="1" thickTop="1" thickBot="1">
      <c r="B24" s="218"/>
      <c r="C24" s="278"/>
      <c r="D24" s="279"/>
      <c r="E24" s="280"/>
      <c r="F24" s="49"/>
    </row>
    <row r="25" spans="2:6" ht="18.75" customHeight="1" thickTop="1" thickBot="1">
      <c r="B25" s="32" t="s">
        <v>122</v>
      </c>
      <c r="C25" s="305" t="s">
        <v>123</v>
      </c>
      <c r="D25" s="306"/>
      <c r="E25" s="307"/>
      <c r="F25" s="49"/>
    </row>
    <row r="26" spans="2:6" ht="11.25" customHeight="1" thickTop="1" thickBot="1">
      <c r="B26" s="32"/>
      <c r="C26" s="281"/>
      <c r="D26" s="281"/>
      <c r="E26" s="281"/>
      <c r="F26" s="49"/>
    </row>
    <row r="27" spans="2:6" ht="16.5" thickTop="1" thickBot="1">
      <c r="B27" s="303" t="s">
        <v>312</v>
      </c>
      <c r="C27" s="303"/>
      <c r="D27" s="304"/>
      <c r="E27" s="277" t="s">
        <v>80</v>
      </c>
    </row>
    <row r="28" spans="2:6" ht="15.75" customHeight="1" thickTop="1"/>
    <row r="29" spans="2:6" ht="18.75" customHeight="1">
      <c r="B29" s="31" t="s">
        <v>33</v>
      </c>
      <c r="D29" s="15" t="s">
        <v>58</v>
      </c>
      <c r="E29" s="17">
        <f>F47*10</f>
        <v>700</v>
      </c>
      <c r="F29" s="49" t="s">
        <v>4</v>
      </c>
    </row>
    <row r="30" spans="2:6" ht="18.75" customHeight="1">
      <c r="B30" s="32" t="s">
        <v>34</v>
      </c>
      <c r="D30" s="8" t="s">
        <v>19</v>
      </c>
      <c r="E30" s="16">
        <f>E10-E11</f>
        <v>180</v>
      </c>
      <c r="F30" s="49" t="s">
        <v>4</v>
      </c>
    </row>
    <row r="31" spans="2:6" ht="14.25" customHeight="1">
      <c r="B31" s="32"/>
      <c r="D31" s="122"/>
      <c r="E31" s="16"/>
      <c r="F31" s="49"/>
    </row>
    <row r="32" spans="2:6" ht="18.75" customHeight="1">
      <c r="B32" s="221" t="s">
        <v>227</v>
      </c>
      <c r="D32" s="122"/>
      <c r="E32" s="16"/>
      <c r="F32" s="49"/>
    </row>
    <row r="33" spans="2:7">
      <c r="C33" s="197"/>
      <c r="D33" s="198" t="s">
        <v>59</v>
      </c>
      <c r="E33" s="199">
        <f>E23*E9*10^-3</f>
        <v>10</v>
      </c>
      <c r="F33" s="200" t="s">
        <v>2</v>
      </c>
      <c r="G33" s="201"/>
    </row>
    <row r="34" spans="2:7">
      <c r="C34" s="202" t="s">
        <v>27</v>
      </c>
      <c r="D34" s="203" t="s">
        <v>27</v>
      </c>
      <c r="E34" s="203" t="s">
        <v>27</v>
      </c>
      <c r="F34" s="203" t="s">
        <v>27</v>
      </c>
      <c r="G34" s="204" t="s">
        <v>27</v>
      </c>
    </row>
    <row r="36" spans="2:7">
      <c r="C36" s="197"/>
      <c r="D36" s="198" t="s">
        <v>43</v>
      </c>
      <c r="E36" s="205">
        <f>E18*E9*25*10^-6+E20*E9*21*10^-6</f>
        <v>3.75</v>
      </c>
      <c r="F36" s="200" t="s">
        <v>2</v>
      </c>
      <c r="G36" s="201"/>
    </row>
    <row r="37" spans="2:7">
      <c r="C37" s="202" t="s">
        <v>27</v>
      </c>
      <c r="D37" s="203" t="s">
        <v>27</v>
      </c>
      <c r="E37" s="203" t="s">
        <v>27</v>
      </c>
      <c r="F37" s="203" t="s">
        <v>27</v>
      </c>
      <c r="G37" s="204" t="s">
        <v>27</v>
      </c>
    </row>
    <row r="39" spans="2:7">
      <c r="C39" s="197"/>
      <c r="D39" s="198" t="s">
        <v>60</v>
      </c>
      <c r="E39" s="205">
        <f>E45*10^-4*25</f>
        <v>8</v>
      </c>
      <c r="F39" s="200" t="s">
        <v>2</v>
      </c>
      <c r="G39" s="201"/>
    </row>
    <row r="40" spans="2:7">
      <c r="C40" s="202" t="s">
        <v>27</v>
      </c>
      <c r="D40" s="203" t="s">
        <v>27</v>
      </c>
      <c r="E40" s="203" t="s">
        <v>27</v>
      </c>
      <c r="F40" s="203" t="s">
        <v>27</v>
      </c>
      <c r="G40" s="204" t="s">
        <v>27</v>
      </c>
    </row>
    <row r="42" spans="2:7" ht="15.75" thickBot="1">
      <c r="E42" s="4">
        <f>E9/10</f>
        <v>250</v>
      </c>
    </row>
    <row r="43" spans="2:7" ht="15.75" thickBot="1">
      <c r="B43" s="123">
        <f>C91</f>
        <v>20.915124829772132</v>
      </c>
      <c r="C43" s="26"/>
      <c r="D43" s="27"/>
      <c r="E43" s="27"/>
      <c r="F43" s="27"/>
      <c r="G43" s="208">
        <f>E12/10</f>
        <v>5</v>
      </c>
    </row>
    <row r="44" spans="2:7">
      <c r="B44" s="127">
        <f>D322</f>
        <v>63.126637737896523</v>
      </c>
      <c r="C44" s="124"/>
      <c r="D44" s="125"/>
      <c r="E44" s="28"/>
      <c r="F44" s="18"/>
      <c r="G44" s="209"/>
    </row>
    <row r="45" spans="2:7">
      <c r="C45" s="48"/>
      <c r="E45" s="241">
        <f>G43*E42*2+G46*F47</f>
        <v>3200</v>
      </c>
      <c r="G45" s="210"/>
    </row>
    <row r="46" spans="2:7">
      <c r="B46" s="128">
        <f>IF(C255="LA SEZIONE SI FESSURA (STADIO 2)",D269,D241)</f>
        <v>100</v>
      </c>
      <c r="C46" s="108"/>
      <c r="D46" s="107"/>
      <c r="E46" s="109"/>
      <c r="G46" s="211">
        <f>(E10-E12-G49*10)/10</f>
        <v>10</v>
      </c>
    </row>
    <row r="47" spans="2:7">
      <c r="E47" s="110"/>
      <c r="F47" s="5">
        <f>(E7*E5+E8*E6)/10</f>
        <v>70</v>
      </c>
      <c r="G47" s="212"/>
    </row>
    <row r="48" spans="2:7" ht="15.75" thickBot="1">
      <c r="C48" s="24"/>
      <c r="D48" s="25"/>
      <c r="E48" s="28"/>
      <c r="F48" s="23"/>
      <c r="G48" s="213"/>
    </row>
    <row r="49" spans="2:7" ht="15.75" thickBot="1">
      <c r="C49" s="29"/>
      <c r="D49" s="308" t="s">
        <v>226</v>
      </c>
      <c r="E49" s="308"/>
      <c r="F49" s="219">
        <f>(E45*25*Foglio1!E134*10^-4)*100</f>
        <v>4480</v>
      </c>
      <c r="G49" s="208">
        <f>G43</f>
        <v>5</v>
      </c>
    </row>
    <row r="51" spans="2:7" ht="18">
      <c r="D51" s="61" t="s">
        <v>78</v>
      </c>
      <c r="E51" s="62">
        <f>Foglio1!H141</f>
        <v>40</v>
      </c>
      <c r="F51" s="63" t="s">
        <v>79</v>
      </c>
    </row>
    <row r="52" spans="2:7" ht="15.75" customHeight="1">
      <c r="D52" s="95" t="s">
        <v>38</v>
      </c>
      <c r="E52" s="10">
        <f>0.3*E55^(2/3)</f>
        <v>3.098941018792384</v>
      </c>
      <c r="F52" s="11" t="s">
        <v>11</v>
      </c>
    </row>
    <row r="53" spans="2:7" ht="15.75" customHeight="1">
      <c r="D53" s="9" t="s">
        <v>61</v>
      </c>
      <c r="E53" s="10">
        <f>0.7*E52</f>
        <v>2.1692587131546688</v>
      </c>
      <c r="F53" s="11" t="s">
        <v>11</v>
      </c>
    </row>
    <row r="54" spans="2:7" ht="15.75" customHeight="1">
      <c r="D54" s="9" t="s">
        <v>62</v>
      </c>
      <c r="E54" s="10">
        <f>(2.25*E53)/1.5</f>
        <v>3.2538880697320032</v>
      </c>
      <c r="F54" s="11" t="s">
        <v>11</v>
      </c>
    </row>
    <row r="55" spans="2:7" ht="15.75" customHeight="1">
      <c r="D55" s="9" t="s">
        <v>63</v>
      </c>
      <c r="E55" s="10">
        <f>Foglio1!H141*0.83</f>
        <v>33.199999999999996</v>
      </c>
      <c r="F55" s="11" t="s">
        <v>11</v>
      </c>
    </row>
    <row r="56" spans="2:7" ht="15.75" customHeight="1">
      <c r="D56" s="9" t="s">
        <v>64</v>
      </c>
      <c r="E56" s="10">
        <f>(0.83*Foglio1!H141)/1.5</f>
        <v>22.133333333333329</v>
      </c>
      <c r="F56" s="11" t="s">
        <v>11</v>
      </c>
    </row>
    <row r="57" spans="2:7" ht="15.75" customHeight="1">
      <c r="D57" s="9" t="s">
        <v>65</v>
      </c>
      <c r="E57" s="10">
        <f>Foglio1!I141/1.15</f>
        <v>391.304347826087</v>
      </c>
      <c r="F57" s="11" t="s">
        <v>11</v>
      </c>
    </row>
    <row r="58" spans="2:7">
      <c r="E58" s="73"/>
      <c r="F58" s="74"/>
      <c r="G58" s="75"/>
    </row>
    <row r="59" spans="2:7" ht="18">
      <c r="B59" s="147" t="s">
        <v>13</v>
      </c>
      <c r="C59" s="45"/>
      <c r="D59" s="45"/>
      <c r="E59" s="45"/>
      <c r="F59" s="45"/>
      <c r="G59" s="45"/>
    </row>
    <row r="60" spans="2:7">
      <c r="B60" s="134"/>
      <c r="C60" s="134"/>
      <c r="D60" s="134"/>
      <c r="E60" s="134"/>
      <c r="F60" s="134"/>
      <c r="G60" s="134"/>
    </row>
    <row r="61" spans="2:7">
      <c r="B61" s="175" t="s">
        <v>201</v>
      </c>
    </row>
    <row r="62" spans="2:7">
      <c r="B62" s="134"/>
      <c r="C62" s="134"/>
      <c r="D62" s="134"/>
      <c r="E62" s="134"/>
      <c r="F62" s="134"/>
      <c r="G62" s="134"/>
    </row>
    <row r="63" spans="2:7" ht="15.75">
      <c r="B63" s="152" t="s">
        <v>204</v>
      </c>
      <c r="C63" s="153">
        <f>1.3*D245+1.5*(D263+D264)</f>
        <v>31.024999999999999</v>
      </c>
      <c r="D63" s="154" t="s">
        <v>2</v>
      </c>
      <c r="E63" s="122"/>
      <c r="F63" s="122"/>
      <c r="G63" s="149"/>
    </row>
    <row r="64" spans="2:7">
      <c r="B64" s="6"/>
      <c r="C64" s="6"/>
      <c r="D64" s="6"/>
      <c r="E64" s="6"/>
    </row>
    <row r="65" spans="2:6" ht="18">
      <c r="B65" s="226" t="s">
        <v>14</v>
      </c>
      <c r="C65" s="224" t="s">
        <v>15</v>
      </c>
      <c r="D65" s="224" t="s">
        <v>16</v>
      </c>
      <c r="E65" s="224" t="s">
        <v>175</v>
      </c>
    </row>
    <row r="66" spans="2:6">
      <c r="B66" s="189" t="s">
        <v>189</v>
      </c>
      <c r="C66" s="190">
        <f>(C63*E22^2)/8*10^6</f>
        <v>121617999.99999999</v>
      </c>
      <c r="D66" s="191">
        <f>((0.85*$E$56*'Pred. solaio a pannello '!C100*'Pred. solaio a pannello '!E100*'Pred. solaio a pannello '!D100-SQRT((0.85*$E$56*'Pred. solaio a pannello '!C100*'Pred. solaio a pannello '!E100*'Pred. solaio a pannello '!D100)^2-4*(0.85*$E$56*'Pred. solaio a pannello '!C100*'Pred. solaio a pannello '!E100*'Pred. solaio a pannello '!F100)*C66))/(2*(0.85*$E$56*'Pred. solaio a pannello '!C100*'Pred. solaio a pannello '!F100*'Pred. solaio a pannello '!E100)))</f>
        <v>18.528559938120914</v>
      </c>
      <c r="E66" s="222">
        <f>(0.85*$E$56*'Pred. solaio a pannello '!C100*'Pred. solaio a pannello '!E100*D66)/$E$57</f>
        <v>1803.9220670155134</v>
      </c>
    </row>
    <row r="67" spans="2:6">
      <c r="B67" s="16"/>
      <c r="C67" s="17"/>
      <c r="D67" s="14"/>
      <c r="E67" s="162"/>
    </row>
    <row r="68" spans="2:6" ht="18">
      <c r="B68" s="227" t="s">
        <v>14</v>
      </c>
      <c r="C68" s="225" t="s">
        <v>15</v>
      </c>
      <c r="D68" s="225" t="s">
        <v>16</v>
      </c>
      <c r="E68" s="225" t="s">
        <v>175</v>
      </c>
    </row>
    <row r="69" spans="2:6">
      <c r="B69" s="189" t="s">
        <v>190</v>
      </c>
      <c r="C69" s="190">
        <f>Foglio1!R29*10^6</f>
        <v>89416570.836082578</v>
      </c>
      <c r="D69" s="191">
        <f>((0.85*$E$56*'Pred. solaio a pannello '!C100*'Pred. solaio a pannello '!E100*'Pred. solaio a pannello '!D100-SQRT((0.85*$E$56*'Pred. solaio a pannello '!C100*'Pred. solaio a pannello '!E100*'Pred. solaio a pannello '!D100)^2-4*(0.85*$E$56*'Pred. solaio a pannello '!C100*'Pred. solaio a pannello '!E100*'Pred. solaio a pannello '!F100)*C69))/(2*(0.85*$E$56*'Pred. solaio a pannello '!C100*'Pred. solaio a pannello '!F100*'Pred. solaio a pannello '!E100)))</f>
        <v>13.457889942625759</v>
      </c>
      <c r="E69" s="222">
        <f>(0.85*$E$56*'Pred. solaio a pannello '!C100*'Pred. solaio a pannello '!E100*D69)/$E$57</f>
        <v>1310.2467069241009</v>
      </c>
    </row>
    <row r="70" spans="2:6">
      <c r="B70" s="16"/>
      <c r="C70" s="17"/>
      <c r="D70" s="14"/>
      <c r="E70" s="162"/>
    </row>
    <row r="71" spans="2:6" ht="18">
      <c r="B71" s="227" t="s">
        <v>14</v>
      </c>
      <c r="C71" s="225" t="s">
        <v>15</v>
      </c>
      <c r="D71" s="225" t="s">
        <v>16</v>
      </c>
      <c r="E71" s="225" t="s">
        <v>175</v>
      </c>
    </row>
    <row r="72" spans="2:6">
      <c r="B72" s="189" t="s">
        <v>200</v>
      </c>
      <c r="C72" s="190">
        <f>VLOOKUP(Foglio1!AA11,Foglio1!Q4:R109,2,TRUE)*10^6</f>
        <v>46404907.531341307</v>
      </c>
      <c r="D72" s="191">
        <f>((0.85*$E$56*'Pred. solaio a pannello '!C100*'Pred. solaio a pannello '!E100*'Pred. solaio a pannello '!D100-SQRT((0.85*$E$56*'Pred. solaio a pannello '!C100*'Pred. solaio a pannello '!E100*'Pred. solaio a pannello '!D100)^2-4*(0.85*$E$56*'Pred. solaio a pannello '!C100*'Pred. solaio a pannello '!E100*'Pred. solaio a pannello '!F100)*C72))/(2*(0.85*$E$56*'Pred. solaio a pannello '!C100*'Pred. solaio a pannello '!F100*'Pred. solaio a pannello '!E100)))</f>
        <v>6.8763483337243736</v>
      </c>
      <c r="E72" s="222">
        <f>(0.85*$E$56*'Pred. solaio a pannello '!C100*'Pred. solaio a pannello '!E100*D72)/$E$57</f>
        <v>669.47439742307108</v>
      </c>
    </row>
    <row r="73" spans="2:6">
      <c r="B73" s="16"/>
      <c r="C73" s="17"/>
      <c r="D73" s="14"/>
      <c r="E73" s="162"/>
    </row>
    <row r="74" spans="2:6">
      <c r="B74" s="175" t="s">
        <v>202</v>
      </c>
      <c r="C74" s="17"/>
      <c r="D74" s="14"/>
      <c r="E74" s="162"/>
    </row>
    <row r="75" spans="2:6" ht="15.75" thickBot="1">
      <c r="D75" s="91"/>
      <c r="E75" s="91"/>
      <c r="F75" s="44"/>
    </row>
    <row r="76" spans="2:6" ht="16.5" thickTop="1" thickBot="1">
      <c r="B76" s="297" t="s">
        <v>206</v>
      </c>
      <c r="C76" s="72">
        <v>10</v>
      </c>
      <c r="D76" s="72">
        <v>12</v>
      </c>
      <c r="E76" s="72">
        <v>16</v>
      </c>
      <c r="F76" s="43"/>
    </row>
    <row r="77" spans="2:6" ht="16.5" thickTop="1" thickBot="1">
      <c r="B77" s="297"/>
      <c r="C77" s="196"/>
      <c r="D77" s="196">
        <v>8</v>
      </c>
      <c r="E77" s="196">
        <v>4</v>
      </c>
      <c r="F77" s="20"/>
    </row>
    <row r="78" spans="2:6" ht="16.5" thickTop="1" thickBot="1">
      <c r="B78" s="19"/>
      <c r="C78" s="20"/>
      <c r="D78" s="20"/>
      <c r="E78" s="20"/>
      <c r="F78" s="20"/>
    </row>
    <row r="79" spans="2:6" ht="16.5" thickTop="1" thickBot="1">
      <c r="B79" s="297" t="s">
        <v>208</v>
      </c>
      <c r="C79" s="72">
        <v>10</v>
      </c>
      <c r="D79" s="72">
        <v>12</v>
      </c>
      <c r="E79" s="72">
        <v>16</v>
      </c>
      <c r="F79" s="20"/>
    </row>
    <row r="80" spans="2:6" ht="16.5" thickTop="1" thickBot="1">
      <c r="B80" s="297"/>
      <c r="C80" s="196"/>
      <c r="D80" s="196">
        <v>8</v>
      </c>
      <c r="E80" s="196">
        <v>4</v>
      </c>
      <c r="F80" s="20"/>
    </row>
    <row r="81" spans="2:7" ht="16.5" thickTop="1" thickBot="1">
      <c r="B81" s="177"/>
      <c r="C81" s="20"/>
      <c r="D81" s="20"/>
      <c r="E81" s="20"/>
      <c r="F81" s="20"/>
    </row>
    <row r="82" spans="2:7" ht="16.5" customHeight="1" thickTop="1" thickBot="1">
      <c r="B82" s="297" t="s">
        <v>205</v>
      </c>
      <c r="C82" s="72">
        <v>10</v>
      </c>
      <c r="D82" s="72">
        <v>12</v>
      </c>
      <c r="E82" s="72">
        <v>16</v>
      </c>
      <c r="F82" s="20"/>
    </row>
    <row r="83" spans="2:7" ht="16.5" thickTop="1" thickBot="1">
      <c r="B83" s="297"/>
      <c r="C83" s="196"/>
      <c r="D83" s="196">
        <v>8</v>
      </c>
      <c r="E83" s="196"/>
    </row>
    <row r="84" spans="2:7" ht="16.5" thickTop="1" thickBot="1"/>
    <row r="85" spans="2:7" ht="16.5" thickTop="1" thickBot="1">
      <c r="B85" s="300" t="s">
        <v>85</v>
      </c>
      <c r="C85" s="301"/>
      <c r="D85" s="195">
        <v>5</v>
      </c>
      <c r="E85" s="105">
        <v>20</v>
      </c>
    </row>
    <row r="86" spans="2:7" ht="16.5" thickTop="1" thickBot="1">
      <c r="B86" s="300" t="s">
        <v>86</v>
      </c>
      <c r="C86" s="301"/>
      <c r="D86" s="195">
        <v>5</v>
      </c>
      <c r="E86" s="105">
        <v>15</v>
      </c>
    </row>
    <row r="87" spans="2:7" ht="15.75" thickTop="1">
      <c r="B87" s="214"/>
      <c r="C87" s="214"/>
      <c r="D87" s="215"/>
      <c r="E87" s="216"/>
      <c r="F87" s="6"/>
    </row>
    <row r="88" spans="2:7">
      <c r="B88" s="175" t="s">
        <v>203</v>
      </c>
      <c r="C88" s="176"/>
      <c r="D88" s="215"/>
      <c r="E88" s="216"/>
      <c r="F88" s="6"/>
    </row>
    <row r="90" spans="2:7" ht="18">
      <c r="B90" s="226" t="s">
        <v>14</v>
      </c>
      <c r="C90" s="229" t="s">
        <v>16</v>
      </c>
      <c r="D90" s="229" t="s">
        <v>176</v>
      </c>
      <c r="E90" s="230" t="s">
        <v>35</v>
      </c>
      <c r="F90" s="231" t="s">
        <v>192</v>
      </c>
      <c r="G90" s="230" t="s">
        <v>18</v>
      </c>
    </row>
    <row r="91" spans="2:7">
      <c r="B91" s="189" t="s">
        <v>189</v>
      </c>
      <c r="C91" s="191">
        <f>D91*$E$57/(0.85*$E$56*'Pred. solaio a pannello '!C100*'Pred. solaio a pannello '!E100)</f>
        <v>20.915124829772132</v>
      </c>
      <c r="D91" s="222">
        <f>C77*(C76/2)^2*PI()+D77*(D76/2)^2*PI()+E77*(E76/2)^2*PI()+(D86/2)^2*PI()*E9/(E86*10)</f>
        <v>2036.2756383017845</v>
      </c>
      <c r="E91" s="33">
        <f>C66*10^-6</f>
        <v>121.61799999999998</v>
      </c>
      <c r="F91" s="228" t="str">
        <f>IF(Foglio1!B132&gt;C66,"VERIFICATO","N. V.")</f>
        <v>VERIFICATO</v>
      </c>
      <c r="G91" s="169">
        <f>Foglio1!B132*10^-6</f>
        <v>129.08216872365227</v>
      </c>
    </row>
    <row r="92" spans="2:7">
      <c r="B92" s="16"/>
      <c r="C92" s="14"/>
      <c r="D92" s="162"/>
    </row>
    <row r="93" spans="2:7" ht="18">
      <c r="B93" s="227" t="s">
        <v>14</v>
      </c>
      <c r="C93" s="229" t="s">
        <v>16</v>
      </c>
      <c r="D93" s="229" t="s">
        <v>176</v>
      </c>
      <c r="E93" s="230" t="s">
        <v>35</v>
      </c>
      <c r="F93" s="231" t="s">
        <v>192</v>
      </c>
      <c r="G93" s="230" t="s">
        <v>18</v>
      </c>
    </row>
    <row r="94" spans="2:7">
      <c r="B94" s="189" t="s">
        <v>190</v>
      </c>
      <c r="C94" s="191">
        <f>D94*$E$57/(0.85*$E$56*'Pred. solaio a pannello '!C100*'Pred. solaio a pannello '!E100)</f>
        <v>20.915124829772132</v>
      </c>
      <c r="D94" s="222">
        <f>C80*(C79/2)^2*PI()+D80*(D79/2)^2*PI()+E80*(E79/2)^2*PI()+(D86/2)^2*PI()*E9/(E86*10)</f>
        <v>2036.2756383017845</v>
      </c>
      <c r="E94" s="33">
        <f>C69*10^-6</f>
        <v>89.41657083608257</v>
      </c>
      <c r="F94" s="228" t="str">
        <f>IF(Foglio1!B135&gt;C69,"VERIFICATO","N. V.")</f>
        <v>VERIFICATO</v>
      </c>
      <c r="G94" s="169">
        <f>Foglio1!B135*10^-6</f>
        <v>129.08216872365227</v>
      </c>
    </row>
    <row r="95" spans="2:7">
      <c r="B95" s="38"/>
      <c r="C95" s="14"/>
      <c r="D95" s="12"/>
    </row>
    <row r="96" spans="2:7" ht="15.75" customHeight="1">
      <c r="B96" s="227" t="s">
        <v>14</v>
      </c>
      <c r="C96" s="229" t="s">
        <v>16</v>
      </c>
      <c r="D96" s="229" t="s">
        <v>176</v>
      </c>
      <c r="E96" s="230" t="s">
        <v>35</v>
      </c>
      <c r="F96" s="231" t="s">
        <v>192</v>
      </c>
      <c r="G96" s="230" t="s">
        <v>18</v>
      </c>
    </row>
    <row r="97" spans="2:7" ht="15.75" customHeight="1">
      <c r="B97" s="189" t="s">
        <v>200</v>
      </c>
      <c r="C97" s="191">
        <f>D97*$E$57/(0.85*$E$56*'Pred. solaio a pannello '!C100*'Pred. solaio a pannello '!E100)</f>
        <v>12.654484115313403</v>
      </c>
      <c r="D97" s="222">
        <f>C83*(C82/2)^2*PI()+D83*(D82/2)^2*PI()+E83*(E82/2)^2*PI()+(D86/2)^2*PI()*E9/(E86*10)</f>
        <v>1232.0279189827972</v>
      </c>
      <c r="E97" s="33">
        <f>C72*10^-6</f>
        <v>46.404907531341301</v>
      </c>
      <c r="F97" s="228" t="str">
        <f>IF(Foglio1!B138&gt;C72,"VERIFICATO","N. V.")</f>
        <v>VERIFICATO</v>
      </c>
      <c r="G97" s="169">
        <f>Foglio1!B138*10^-6</f>
        <v>78.09985677725733</v>
      </c>
    </row>
    <row r="98" spans="2:7" ht="15.75" customHeight="1">
      <c r="B98" s="38"/>
      <c r="C98" s="17"/>
      <c r="D98" s="14"/>
      <c r="E98" s="12"/>
    </row>
    <row r="99" spans="2:7" ht="15.75" customHeight="1">
      <c r="B99" s="227" t="s">
        <v>228</v>
      </c>
      <c r="C99" s="234" t="s">
        <v>22</v>
      </c>
      <c r="D99" s="233" t="s">
        <v>19</v>
      </c>
      <c r="E99" s="232" t="s">
        <v>21</v>
      </c>
      <c r="F99" s="233" t="s">
        <v>20</v>
      </c>
    </row>
    <row r="100" spans="2:7" ht="15.75" customHeight="1">
      <c r="B100" s="189" t="s">
        <v>229</v>
      </c>
      <c r="C100" s="192">
        <f>'Pred. solaio a pannello '!E9</f>
        <v>2500</v>
      </c>
      <c r="D100" s="194">
        <f>'Pred. solaio a pannello '!$E$30</f>
        <v>180</v>
      </c>
      <c r="E100" s="193">
        <v>0.81</v>
      </c>
      <c r="F100" s="193">
        <v>0.41599999999999998</v>
      </c>
    </row>
    <row r="101" spans="2:7" ht="15.75" customHeight="1">
      <c r="B101" s="182"/>
      <c r="C101" s="182"/>
      <c r="D101" s="182"/>
      <c r="E101" s="47"/>
    </row>
    <row r="102" spans="2:7" ht="15.75" customHeight="1">
      <c r="B102" s="182"/>
      <c r="C102" s="182"/>
      <c r="D102" s="182"/>
      <c r="E102" s="47"/>
    </row>
    <row r="103" spans="2:7" ht="15.75" customHeight="1">
      <c r="B103" s="315" t="s">
        <v>177</v>
      </c>
      <c r="C103" s="315"/>
      <c r="D103" s="315"/>
      <c r="E103" s="150">
        <f>0.26*E52/(E57*1.15)*E29*E30</f>
        <v>225.60290616808555</v>
      </c>
      <c r="F103" s="150">
        <f>0.0013*E29*E30</f>
        <v>163.79999999999998</v>
      </c>
      <c r="G103" s="173" t="str">
        <f>IF(E103&gt;=F103,IF(MINA(D91,D94,D97)&gt;E103,"verificato","N.V.!"),"N.V.!")</f>
        <v>verificato</v>
      </c>
    </row>
    <row r="104" spans="2:7" ht="15.75" customHeight="1">
      <c r="B104" s="185"/>
      <c r="C104" s="185"/>
      <c r="D104" s="185"/>
      <c r="E104" s="150"/>
      <c r="F104" s="150"/>
      <c r="G104" s="181"/>
    </row>
    <row r="105" spans="2:7" ht="15.75" customHeight="1">
      <c r="B105" s="184"/>
      <c r="C105" s="184"/>
      <c r="D105" s="184"/>
      <c r="E105" s="150"/>
      <c r="F105" s="150"/>
      <c r="G105" s="183"/>
    </row>
    <row r="106" spans="2:7" ht="15.75" customHeight="1">
      <c r="B106" s="175" t="s">
        <v>214</v>
      </c>
      <c r="C106" s="184"/>
      <c r="D106" s="184"/>
      <c r="E106" s="150"/>
      <c r="F106" s="150"/>
      <c r="G106" s="183"/>
    </row>
    <row r="107" spans="2:7" ht="15.75" customHeight="1">
      <c r="B107" s="184"/>
      <c r="C107" s="184"/>
      <c r="D107" s="184"/>
      <c r="E107" s="150"/>
      <c r="F107" s="150"/>
      <c r="G107" s="183"/>
    </row>
    <row r="108" spans="2:7" ht="15.75" customHeight="1">
      <c r="B108" s="92" t="s">
        <v>224</v>
      </c>
      <c r="C108" s="184"/>
      <c r="D108" s="184"/>
      <c r="E108" s="150"/>
      <c r="F108" s="150"/>
      <c r="G108" s="183"/>
    </row>
    <row r="109" spans="2:7" ht="15.75" customHeight="1">
      <c r="B109" s="92" t="s">
        <v>225</v>
      </c>
      <c r="C109" s="184"/>
      <c r="D109" s="184"/>
      <c r="E109" s="150"/>
      <c r="F109" s="150"/>
      <c r="G109" s="183"/>
    </row>
    <row r="110" spans="2:7" ht="15.75" customHeight="1">
      <c r="B110" s="184"/>
      <c r="C110" s="184"/>
      <c r="D110" s="184"/>
      <c r="E110" s="150"/>
      <c r="F110" s="150"/>
      <c r="G110" s="183"/>
    </row>
    <row r="111" spans="2:7" ht="15.75" customHeight="1">
      <c r="B111" s="184"/>
      <c r="C111" s="145">
        <f>0.45*E30</f>
        <v>81</v>
      </c>
      <c r="D111" s="134" t="s">
        <v>4</v>
      </c>
      <c r="E111" s="150"/>
      <c r="F111" s="150"/>
      <c r="G111" s="183"/>
    </row>
    <row r="112" spans="2:7" ht="9" customHeight="1">
      <c r="B112" s="184"/>
      <c r="C112" s="184"/>
      <c r="D112" s="184"/>
      <c r="E112" s="150"/>
      <c r="F112" s="150"/>
      <c r="G112" s="183"/>
    </row>
    <row r="113" spans="2:5" ht="15.75" customHeight="1">
      <c r="B113" s="175" t="s">
        <v>215</v>
      </c>
    </row>
    <row r="114" spans="2:5" ht="15.75" customHeight="1">
      <c r="B114" s="175"/>
    </row>
    <row r="115" spans="2:5" ht="15.75" customHeight="1">
      <c r="C115" s="17"/>
      <c r="D115" s="14"/>
      <c r="E115" s="12"/>
    </row>
    <row r="116" spans="2:5" ht="15.75" customHeight="1">
      <c r="C116" s="17"/>
      <c r="D116" s="14"/>
      <c r="E116" s="12"/>
    </row>
    <row r="117" spans="2:5" ht="15.75" customHeight="1">
      <c r="C117" s="17"/>
      <c r="D117" s="14"/>
      <c r="E117" s="12"/>
    </row>
    <row r="118" spans="2:5" ht="15.75" customHeight="1">
      <c r="C118" s="17"/>
      <c r="D118" s="14"/>
      <c r="E118" s="12"/>
    </row>
    <row r="119" spans="2:5" ht="15.75" customHeight="1">
      <c r="C119" s="17"/>
      <c r="D119" s="14"/>
      <c r="E119" s="12"/>
    </row>
    <row r="120" spans="2:5" ht="15.75" customHeight="1">
      <c r="C120" s="17"/>
      <c r="D120" s="14"/>
      <c r="E120" s="12"/>
    </row>
    <row r="121" spans="2:5" ht="15.75" customHeight="1">
      <c r="C121" s="17"/>
      <c r="D121" s="14"/>
      <c r="E121" s="12"/>
    </row>
    <row r="122" spans="2:5" ht="15.75" customHeight="1">
      <c r="C122" s="17"/>
      <c r="D122" s="14"/>
      <c r="E122" s="12"/>
    </row>
    <row r="123" spans="2:5" ht="15.75" customHeight="1">
      <c r="C123" s="17"/>
      <c r="D123" s="14"/>
      <c r="E123" s="12"/>
    </row>
    <row r="124" spans="2:5" ht="15.75" customHeight="1">
      <c r="C124" s="17"/>
      <c r="D124" s="14"/>
      <c r="E124" s="12"/>
    </row>
    <row r="125" spans="2:5" ht="15.75" customHeight="1">
      <c r="C125" s="17"/>
      <c r="D125" s="14"/>
      <c r="E125" s="12"/>
    </row>
    <row r="126" spans="2:5" ht="15.75" customHeight="1">
      <c r="C126" s="17"/>
      <c r="D126" s="14"/>
      <c r="E126" s="12"/>
    </row>
    <row r="127" spans="2:5" ht="15.75" customHeight="1">
      <c r="C127" s="17"/>
      <c r="D127" s="14"/>
      <c r="E127" s="12"/>
    </row>
    <row r="128" spans="2:5" ht="15.75" customHeight="1">
      <c r="C128" s="17"/>
      <c r="D128" s="14"/>
      <c r="E128" s="12"/>
    </row>
    <row r="129" spans="2:6" ht="15.75" customHeight="1">
      <c r="C129" s="17"/>
      <c r="D129" s="14"/>
      <c r="E129" s="12"/>
    </row>
    <row r="130" spans="2:6" ht="15.75" customHeight="1">
      <c r="C130" s="17"/>
      <c r="D130" s="14"/>
      <c r="E130" s="12"/>
    </row>
    <row r="131" spans="2:6" ht="15.75" customHeight="1">
      <c r="C131" s="17"/>
      <c r="D131" s="14"/>
      <c r="E131" s="12"/>
    </row>
    <row r="132" spans="2:6" ht="15.75" customHeight="1">
      <c r="C132" s="17"/>
      <c r="D132" s="14"/>
      <c r="E132" s="12"/>
    </row>
    <row r="133" spans="2:6">
      <c r="D133" s="168"/>
    </row>
    <row r="134" spans="2:6">
      <c r="D134" s="168"/>
    </row>
    <row r="135" spans="2:6">
      <c r="B135" s="175" t="s">
        <v>216</v>
      </c>
      <c r="D135" s="168"/>
    </row>
    <row r="136" spans="2:6">
      <c r="B136" s="34"/>
      <c r="C136" s="57"/>
      <c r="D136" s="57"/>
      <c r="E136" s="34"/>
    </row>
    <row r="137" spans="2:6" ht="15.75">
      <c r="B137" s="302" t="s">
        <v>117</v>
      </c>
      <c r="C137" s="302"/>
      <c r="D137" s="302"/>
      <c r="E137" s="302"/>
      <c r="F137" s="302"/>
    </row>
    <row r="138" spans="2:6" ht="15.75">
      <c r="B138" s="302" t="s">
        <v>127</v>
      </c>
      <c r="C138" s="302"/>
      <c r="D138" s="302"/>
      <c r="E138" s="302"/>
      <c r="F138" s="302"/>
    </row>
    <row r="139" spans="2:6" ht="15.75">
      <c r="B139" s="101" t="s">
        <v>126</v>
      </c>
      <c r="C139" s="101"/>
      <c r="D139" s="101"/>
      <c r="E139" s="101"/>
      <c r="F139" s="101"/>
    </row>
    <row r="140" spans="2:6" ht="15.75">
      <c r="B140" s="217"/>
      <c r="C140" s="217"/>
      <c r="D140" s="217"/>
      <c r="E140" s="217"/>
      <c r="F140" s="217"/>
    </row>
    <row r="141" spans="2:6" ht="15.75">
      <c r="B141" s="92"/>
      <c r="C141" s="57"/>
      <c r="D141" s="57"/>
      <c r="E141" s="34"/>
    </row>
    <row r="142" spans="2:6" ht="15.75">
      <c r="B142" s="92"/>
      <c r="C142" s="57"/>
      <c r="D142" s="57"/>
      <c r="E142" s="34"/>
    </row>
    <row r="143" spans="2:6" ht="15.75">
      <c r="B143" s="92"/>
      <c r="C143" s="57"/>
      <c r="D143" s="57"/>
      <c r="E143" s="34"/>
    </row>
    <row r="144" spans="2:6" ht="15.75">
      <c r="B144" s="92"/>
      <c r="C144" s="57"/>
      <c r="D144" s="57"/>
      <c r="E144" s="34"/>
    </row>
    <row r="145" spans="2:6" ht="15.75">
      <c r="B145" s="92"/>
      <c r="C145" s="57"/>
      <c r="D145" s="57"/>
      <c r="E145" s="34"/>
    </row>
    <row r="146" spans="2:6" ht="15.75">
      <c r="B146" s="92"/>
      <c r="C146" s="57"/>
      <c r="D146" s="57"/>
      <c r="E146" s="34"/>
    </row>
    <row r="147" spans="2:6" ht="15.75">
      <c r="B147" s="92"/>
      <c r="C147" s="57"/>
      <c r="D147" s="57"/>
      <c r="E147" s="34"/>
    </row>
    <row r="148" spans="2:6" ht="15.75">
      <c r="B148" s="92"/>
      <c r="C148" s="57"/>
      <c r="D148" s="57"/>
      <c r="E148" s="34"/>
    </row>
    <row r="149" spans="2:6" ht="15.75">
      <c r="B149" s="92"/>
      <c r="C149" s="57"/>
      <c r="D149" s="57"/>
      <c r="E149" s="34"/>
    </row>
    <row r="150" spans="2:6" ht="15.75">
      <c r="B150" s="92"/>
      <c r="C150" s="57"/>
      <c r="D150" s="57"/>
      <c r="E150" s="34"/>
    </row>
    <row r="151" spans="2:6" ht="15.75">
      <c r="B151" s="92"/>
      <c r="C151" s="57"/>
      <c r="D151" s="57"/>
      <c r="E151" s="34"/>
    </row>
    <row r="152" spans="2:6" ht="15.75">
      <c r="B152" s="92"/>
      <c r="C152" s="93"/>
      <c r="D152" s="93"/>
      <c r="E152" s="93"/>
      <c r="F152" s="93"/>
    </row>
    <row r="153" spans="2:6" ht="15.75">
      <c r="B153" s="92"/>
      <c r="C153" s="93"/>
      <c r="D153" s="93"/>
      <c r="E153" s="93"/>
      <c r="F153" s="93"/>
    </row>
    <row r="154" spans="2:6" ht="15.75">
      <c r="B154" s="92"/>
      <c r="C154" s="93"/>
      <c r="D154" s="93"/>
      <c r="E154" s="93"/>
      <c r="F154" s="93"/>
    </row>
    <row r="155" spans="2:6" ht="15.75">
      <c r="B155" s="92"/>
      <c r="C155" s="93"/>
      <c r="D155" s="93"/>
      <c r="E155" s="93"/>
      <c r="F155" s="93"/>
    </row>
    <row r="156" spans="2:6" ht="15.75">
      <c r="B156" s="92"/>
      <c r="C156" s="93"/>
      <c r="D156" s="93"/>
      <c r="E156" s="93"/>
      <c r="F156" s="93"/>
    </row>
    <row r="157" spans="2:6" ht="15.75">
      <c r="B157" s="92"/>
      <c r="C157" s="93"/>
      <c r="D157" s="93"/>
      <c r="E157" s="93"/>
      <c r="F157" s="93"/>
    </row>
    <row r="158" spans="2:6" ht="15.75">
      <c r="B158" s="92"/>
      <c r="C158" s="93"/>
      <c r="D158" s="93"/>
      <c r="E158" s="93"/>
      <c r="F158" s="93"/>
    </row>
    <row r="159" spans="2:6" ht="15.75">
      <c r="B159" s="92"/>
      <c r="C159" s="93"/>
      <c r="D159" s="93"/>
      <c r="E159" s="93"/>
      <c r="F159" s="93"/>
    </row>
    <row r="160" spans="2:6" ht="15.75">
      <c r="B160" s="92"/>
      <c r="C160" s="93"/>
      <c r="D160" s="93"/>
      <c r="E160" s="93"/>
      <c r="F160" s="93"/>
    </row>
    <row r="161" spans="2:6" ht="15.75">
      <c r="B161" s="92"/>
      <c r="C161" s="93"/>
      <c r="D161" s="93"/>
      <c r="E161" s="93"/>
      <c r="F161" s="93"/>
    </row>
    <row r="162" spans="2:6" ht="15.75">
      <c r="B162" s="92"/>
      <c r="C162" s="93"/>
      <c r="D162" s="93"/>
      <c r="E162" s="93"/>
      <c r="F162" s="93"/>
    </row>
    <row r="163" spans="2:6" ht="15.75">
      <c r="B163" s="92"/>
      <c r="C163" s="93"/>
      <c r="D163" s="93"/>
      <c r="E163" s="93"/>
      <c r="F163" s="93"/>
    </row>
    <row r="164" spans="2:6" ht="15.75">
      <c r="B164" s="92"/>
      <c r="C164" s="93"/>
      <c r="D164" s="93"/>
      <c r="E164" s="93"/>
      <c r="F164" s="93"/>
    </row>
    <row r="165" spans="2:6" ht="15.75">
      <c r="B165" s="92"/>
      <c r="C165" s="93"/>
      <c r="D165" s="93"/>
      <c r="E165" s="93"/>
      <c r="F165" s="93"/>
    </row>
    <row r="166" spans="2:6" ht="15.75">
      <c r="B166" s="92"/>
      <c r="C166" s="93"/>
      <c r="D166" s="93"/>
      <c r="E166" s="93"/>
      <c r="F166" s="93"/>
    </row>
    <row r="167" spans="2:6" ht="15.75">
      <c r="B167" s="92"/>
      <c r="C167" s="93"/>
      <c r="D167" s="93"/>
      <c r="E167" s="93"/>
      <c r="F167" s="93"/>
    </row>
    <row r="168" spans="2:6" ht="15.75">
      <c r="B168" s="92"/>
      <c r="C168" s="93"/>
      <c r="D168" s="93"/>
      <c r="E168" s="93"/>
      <c r="F168" s="93"/>
    </row>
    <row r="169" spans="2:6" ht="15.75">
      <c r="B169" s="94" t="s">
        <v>119</v>
      </c>
      <c r="C169" s="57"/>
      <c r="D169" s="57"/>
      <c r="E169" s="34"/>
    </row>
    <row r="170" spans="2:6" ht="15.75">
      <c r="B170" s="94" t="s">
        <v>118</v>
      </c>
      <c r="C170" s="57"/>
      <c r="D170" s="57"/>
      <c r="E170" s="34"/>
    </row>
    <row r="171" spans="2:6" ht="15.75">
      <c r="B171" s="94" t="s">
        <v>100</v>
      </c>
      <c r="C171" s="57"/>
      <c r="D171" s="57"/>
      <c r="E171" s="34"/>
    </row>
    <row r="172" spans="2:6" ht="15.75">
      <c r="B172" s="94"/>
      <c r="C172" s="57"/>
      <c r="D172" s="57"/>
      <c r="E172" s="34"/>
    </row>
    <row r="173" spans="2:6" ht="15.75">
      <c r="B173" s="147" t="s">
        <v>218</v>
      </c>
      <c r="C173" s="57"/>
      <c r="D173" s="57"/>
      <c r="E173" s="34"/>
    </row>
    <row r="174" spans="2:6" ht="15.75">
      <c r="B174" s="147"/>
      <c r="C174" s="57"/>
      <c r="D174" s="57"/>
      <c r="E174" s="34"/>
    </row>
    <row r="175" spans="2:6">
      <c r="B175" s="175" t="s">
        <v>209</v>
      </c>
    </row>
    <row r="176" spans="2:6">
      <c r="B176" s="175"/>
    </row>
    <row r="177" spans="2:7" ht="15.75">
      <c r="B177" s="92" t="s">
        <v>220</v>
      </c>
      <c r="C177" s="134"/>
      <c r="D177" s="134"/>
      <c r="E177" s="134"/>
      <c r="F177" s="134"/>
      <c r="G177" s="134"/>
    </row>
    <row r="178" spans="2:7" ht="15.75">
      <c r="B178" s="92" t="s">
        <v>219</v>
      </c>
      <c r="C178" s="174">
        <v>60</v>
      </c>
      <c r="D178" s="180" t="str">
        <f>IF(C178&gt;E22*100/4,"ERROR!! DEVE ESSERE MINORE DI L/4","")</f>
        <v/>
      </c>
      <c r="E178" s="134"/>
      <c r="F178" s="134"/>
      <c r="G178" s="134"/>
    </row>
    <row r="180" spans="2:7" ht="15.75">
      <c r="B180" s="298" t="s">
        <v>221</v>
      </c>
      <c r="C180" s="298"/>
      <c r="D180" s="143" t="s">
        <v>172</v>
      </c>
      <c r="E180" s="144">
        <f>(C63*E22/2)</f>
        <v>86.86999999999999</v>
      </c>
      <c r="F180" s="142" t="s">
        <v>171</v>
      </c>
    </row>
    <row r="181" spans="2:7" ht="15.75">
      <c r="B181" s="94"/>
      <c r="C181" s="57"/>
      <c r="D181" s="57"/>
      <c r="E181" s="34"/>
    </row>
    <row r="182" spans="2:7" ht="18">
      <c r="B182" s="223" t="s">
        <v>14</v>
      </c>
      <c r="C182" s="223" t="s">
        <v>162</v>
      </c>
      <c r="D182" s="223" t="s">
        <v>163</v>
      </c>
      <c r="E182" s="229" t="s">
        <v>167</v>
      </c>
      <c r="F182" s="230" t="s">
        <v>165</v>
      </c>
    </row>
    <row r="183" spans="2:7">
      <c r="B183" s="223" t="s">
        <v>169</v>
      </c>
      <c r="C183" s="235">
        <f>D94</f>
        <v>2036.2756383017845</v>
      </c>
      <c r="D183" s="236">
        <f>IF((1+(200/Foglio1!B127)^(1/2))&gt;2,2,(1+(200/Foglio1!B127)^(1/2)))</f>
        <v>2</v>
      </c>
      <c r="E183" s="237">
        <f>((Foglio1!C127+0.15*0)*$E$29*Foglio1!B127*10^-3)</f>
        <v>71.870824122170745</v>
      </c>
      <c r="F183" s="238">
        <f>IF(C183/($E$9*Foglio1!B127)&lt;0.02,C183/($E$9*Foglio1!B127),0.02)</f>
        <v>4.5250569740039655E-3</v>
      </c>
    </row>
    <row r="184" spans="2:7">
      <c r="B184" s="223" t="s">
        <v>168</v>
      </c>
      <c r="C184" s="235">
        <f>D94</f>
        <v>2036.2756383017845</v>
      </c>
      <c r="D184" s="236">
        <f>IF((1+(200/Foglio1!B128)^(1/2))&gt;2,2,(1+(200/Foglio1!B128)^(1/2)))</f>
        <v>2</v>
      </c>
      <c r="E184" s="235">
        <f>((Foglio1!C128+0.15*0)*$E$29*Foglio1!B128*10^-3)</f>
        <v>71.870824122170745</v>
      </c>
      <c r="F184" s="236">
        <f>IF(C184/($E$9*Foglio1!B127)&lt;0.02,C184/($E$9*Foglio1!B127),0.02)</f>
        <v>4.5250569740039655E-3</v>
      </c>
    </row>
    <row r="185" spans="2:7">
      <c r="B185" s="130"/>
      <c r="C185" s="135"/>
      <c r="D185" s="140"/>
      <c r="E185" s="141"/>
      <c r="F185" s="141"/>
      <c r="G185" s="141"/>
    </row>
    <row r="186" spans="2:7" ht="15.75">
      <c r="B186" s="94"/>
      <c r="C186" s="239"/>
      <c r="D186" s="129" t="s">
        <v>160</v>
      </c>
      <c r="E186" s="130"/>
      <c r="F186" s="129" t="s">
        <v>161</v>
      </c>
    </row>
    <row r="187" spans="2:7" ht="18">
      <c r="B187" s="223" t="s">
        <v>14</v>
      </c>
      <c r="C187" s="229" t="s">
        <v>166</v>
      </c>
      <c r="D187" s="240" t="s">
        <v>198</v>
      </c>
      <c r="E187" s="229" t="s">
        <v>199</v>
      </c>
      <c r="F187" s="240" t="s">
        <v>197</v>
      </c>
    </row>
    <row r="188" spans="2:7">
      <c r="B188" s="223" t="s">
        <v>169</v>
      </c>
      <c r="C188" s="237">
        <f>((0.18*D183*(100*F183*E55)^(1/3))/1.5)*Foglio1!B127*E9*10^-3</f>
        <v>266.48808784913786</v>
      </c>
      <c r="D188" s="173" t="str">
        <f>IF(C183="","",IF(C188&gt;E183,"verificato","N.V!"))</f>
        <v>verificato</v>
      </c>
      <c r="E188" s="237">
        <f>E180</f>
        <v>86.86999999999999</v>
      </c>
      <c r="F188" s="173" t="str">
        <f>IF(E188="","",IF(ABS(C188)&gt;ABS(E188),"verificato","N.V!"))</f>
        <v>verificato</v>
      </c>
    </row>
    <row r="189" spans="2:7">
      <c r="B189" s="223" t="s">
        <v>168</v>
      </c>
      <c r="C189" s="235">
        <f>((0.18*D184*(100*F184*E55)^(1/3))/1.5)*Foglio1!B128*E9*10^-3</f>
        <v>266.48808784913786</v>
      </c>
      <c r="D189" s="173" t="str">
        <f>IF(C184="","",IF(C189&gt;E184,"verificato","N.V!"))</f>
        <v>verificato</v>
      </c>
      <c r="E189" s="235">
        <f>E180</f>
        <v>86.86999999999999</v>
      </c>
      <c r="F189" s="173" t="str">
        <f>IF(E189="","",IF(ABS(C189)&gt;ABS(E189),"verificato","N.V!"))</f>
        <v>verificato</v>
      </c>
    </row>
    <row r="190" spans="2:7">
      <c r="B190" s="130"/>
      <c r="C190" s="135"/>
      <c r="D190" s="135"/>
      <c r="E190" s="181"/>
      <c r="F190" s="14"/>
      <c r="G190" s="181"/>
    </row>
    <row r="191" spans="2:7">
      <c r="B191" s="175" t="s">
        <v>210</v>
      </c>
      <c r="C191" s="135"/>
      <c r="D191" s="135"/>
      <c r="E191" s="181"/>
      <c r="F191" s="14"/>
      <c r="G191" s="181"/>
    </row>
    <row r="192" spans="2:7">
      <c r="B192" s="130"/>
      <c r="C192" s="135"/>
      <c r="D192" s="135"/>
      <c r="E192" s="181"/>
      <c r="F192" s="14"/>
      <c r="G192" s="181"/>
    </row>
    <row r="193" spans="2:7">
      <c r="B193" s="130"/>
      <c r="C193" s="135"/>
      <c r="D193" s="135"/>
      <c r="E193" s="181"/>
      <c r="F193" s="14"/>
      <c r="G193" s="181"/>
    </row>
    <row r="194" spans="2:7">
      <c r="B194" s="130"/>
      <c r="C194" s="135"/>
      <c r="D194" s="135"/>
      <c r="E194" s="181"/>
      <c r="F194" s="14"/>
      <c r="G194" s="181"/>
    </row>
    <row r="195" spans="2:7">
      <c r="B195" s="130"/>
      <c r="C195" s="135"/>
      <c r="D195" s="135"/>
      <c r="E195" s="181"/>
      <c r="F195" s="14"/>
      <c r="G195" s="181"/>
    </row>
    <row r="196" spans="2:7">
      <c r="B196" s="130"/>
      <c r="C196" s="135"/>
      <c r="D196" s="135"/>
      <c r="E196" s="181"/>
      <c r="F196" s="14"/>
      <c r="G196" s="181"/>
    </row>
    <row r="197" spans="2:7">
      <c r="B197" s="130"/>
      <c r="C197" s="135"/>
      <c r="D197" s="135"/>
      <c r="E197" s="181"/>
      <c r="F197" s="14"/>
      <c r="G197" s="181"/>
    </row>
    <row r="198" spans="2:7">
      <c r="B198" s="130"/>
      <c r="C198" s="135"/>
      <c r="D198" s="135"/>
      <c r="E198" s="181"/>
      <c r="F198" s="14"/>
      <c r="G198" s="181"/>
    </row>
    <row r="199" spans="2:7">
      <c r="B199" s="130"/>
      <c r="C199" s="135"/>
      <c r="D199" s="135"/>
      <c r="E199" s="181"/>
      <c r="F199" s="14"/>
      <c r="G199" s="181"/>
    </row>
    <row r="200" spans="2:7">
      <c r="B200" s="130"/>
      <c r="C200" s="135"/>
      <c r="D200" s="135"/>
      <c r="E200" s="181"/>
      <c r="F200" s="14"/>
      <c r="G200" s="181"/>
    </row>
    <row r="201" spans="2:7">
      <c r="B201" s="130"/>
      <c r="C201" s="135"/>
      <c r="D201" s="135"/>
      <c r="E201" s="181"/>
      <c r="F201" s="14"/>
      <c r="G201" s="181"/>
    </row>
    <row r="202" spans="2:7">
      <c r="B202" s="130"/>
      <c r="C202" s="135"/>
      <c r="D202" s="135"/>
      <c r="E202" s="181"/>
      <c r="F202" s="14"/>
      <c r="G202" s="181"/>
    </row>
    <row r="203" spans="2:7">
      <c r="B203" s="130"/>
      <c r="C203" s="135"/>
      <c r="D203" s="135"/>
      <c r="E203" s="181"/>
      <c r="F203" s="14"/>
      <c r="G203" s="181"/>
    </row>
    <row r="204" spans="2:7">
      <c r="B204" s="130"/>
      <c r="C204" s="135"/>
      <c r="D204" s="135"/>
      <c r="E204" s="181"/>
      <c r="F204" s="14"/>
      <c r="G204" s="181"/>
    </row>
    <row r="205" spans="2:7">
      <c r="B205" s="130"/>
      <c r="C205" s="135"/>
      <c r="D205" s="135"/>
      <c r="E205" s="181"/>
      <c r="F205" s="14"/>
      <c r="G205" s="181"/>
    </row>
    <row r="206" spans="2:7">
      <c r="B206" s="130"/>
      <c r="C206" s="135"/>
      <c r="D206" s="135"/>
      <c r="E206" s="181"/>
      <c r="F206" s="14"/>
      <c r="G206" s="181"/>
    </row>
    <row r="207" spans="2:7">
      <c r="B207" s="130"/>
      <c r="C207" s="135"/>
      <c r="D207" s="135"/>
      <c r="E207" s="181"/>
      <c r="F207" s="14"/>
      <c r="G207" s="181"/>
    </row>
    <row r="208" spans="2:7">
      <c r="B208" s="130"/>
      <c r="C208" s="135"/>
      <c r="D208" s="135"/>
      <c r="E208" s="181"/>
      <c r="F208" s="14"/>
      <c r="G208" s="181"/>
    </row>
    <row r="209" spans="2:7">
      <c r="B209" s="130"/>
      <c r="C209" s="135"/>
      <c r="D209" s="135"/>
      <c r="E209" s="181"/>
      <c r="F209" s="14"/>
      <c r="G209" s="181"/>
    </row>
    <row r="210" spans="2:7">
      <c r="B210" s="130"/>
      <c r="C210" s="135"/>
      <c r="D210" s="135"/>
      <c r="E210" s="181"/>
      <c r="F210" s="14"/>
      <c r="G210" s="181"/>
    </row>
    <row r="211" spans="2:7">
      <c r="B211" s="130"/>
      <c r="C211" s="135"/>
      <c r="D211" s="135"/>
      <c r="E211" s="181"/>
      <c r="F211" s="14"/>
      <c r="G211" s="181"/>
    </row>
    <row r="212" spans="2:7">
      <c r="B212" s="175" t="s">
        <v>211</v>
      </c>
      <c r="C212" s="57"/>
      <c r="D212" s="57"/>
      <c r="E212" s="34"/>
    </row>
    <row r="213" spans="2:7">
      <c r="B213" s="57"/>
      <c r="C213" s="57"/>
      <c r="D213" s="34"/>
    </row>
    <row r="214" spans="2:7" ht="15.75">
      <c r="B214" s="92" t="s">
        <v>223</v>
      </c>
      <c r="C214" s="134"/>
      <c r="D214" s="134"/>
      <c r="E214" s="134"/>
      <c r="F214" s="134"/>
      <c r="G214" s="134"/>
    </row>
    <row r="215" spans="2:7" ht="15.75">
      <c r="B215" s="92" t="s">
        <v>222</v>
      </c>
      <c r="C215" s="134"/>
      <c r="D215" s="134"/>
      <c r="E215" s="134"/>
      <c r="F215" s="134"/>
      <c r="G215" s="134"/>
    </row>
    <row r="219" spans="2:7">
      <c r="B219" t="s">
        <v>170</v>
      </c>
    </row>
    <row r="227" spans="2:6" ht="15.75">
      <c r="B227" s="148" t="s">
        <v>159</v>
      </c>
    </row>
    <row r="228" spans="2:6" ht="15.75">
      <c r="B228" s="94" t="s">
        <v>188</v>
      </c>
    </row>
    <row r="229" spans="2:6" ht="9.75" customHeight="1">
      <c r="B229" s="94"/>
    </row>
    <row r="230" spans="2:6" ht="15.75">
      <c r="B230" s="94" t="s">
        <v>135</v>
      </c>
    </row>
    <row r="231" spans="2:6" ht="15.75">
      <c r="B231" s="94" t="s">
        <v>136</v>
      </c>
    </row>
    <row r="232" spans="2:6" ht="15.75">
      <c r="B232" s="94" t="s">
        <v>137</v>
      </c>
    </row>
    <row r="234" spans="2:6">
      <c r="B234" s="96" t="s">
        <v>284</v>
      </c>
    </row>
    <row r="235" spans="2:6" ht="10.5" customHeight="1">
      <c r="B235" s="96"/>
    </row>
    <row r="236" spans="2:6">
      <c r="B236" s="255" t="s">
        <v>278</v>
      </c>
    </row>
    <row r="237" spans="2:6" ht="8.25" customHeight="1"/>
    <row r="238" spans="2:6">
      <c r="C238" s="309" t="s">
        <v>77</v>
      </c>
      <c r="D238" s="310"/>
      <c r="E238" s="311"/>
      <c r="F238" s="1"/>
    </row>
    <row r="239" spans="2:6">
      <c r="B239" s="317" t="s">
        <v>82</v>
      </c>
      <c r="C239" s="67" t="s">
        <v>47</v>
      </c>
      <c r="D239" s="243">
        <f>E16/D272</f>
        <v>6.2420529604869959</v>
      </c>
      <c r="E239" s="66" t="s">
        <v>66</v>
      </c>
      <c r="F239" s="1"/>
    </row>
    <row r="240" spans="2:6">
      <c r="B240" s="317"/>
      <c r="C240" s="39" t="s">
        <v>60</v>
      </c>
      <c r="D240" s="257">
        <f>E39</f>
        <v>8</v>
      </c>
      <c r="E240" s="41" t="s">
        <v>2</v>
      </c>
      <c r="F240" s="1"/>
    </row>
    <row r="241" spans="2:6" ht="15" customHeight="1">
      <c r="B241" s="317"/>
      <c r="C241" s="39" t="s">
        <v>76</v>
      </c>
      <c r="D241" s="40">
        <f>(G43+G46+G49)/0.2</f>
        <v>100</v>
      </c>
      <c r="E241" s="41" t="s">
        <v>4</v>
      </c>
      <c r="F241" s="1"/>
    </row>
    <row r="242" spans="2:6">
      <c r="B242" s="317"/>
      <c r="C242" s="39" t="s">
        <v>41</v>
      </c>
      <c r="D242" s="40">
        <f>22000*((Foglio1!H141*0.83+8)/10)^0.3</f>
        <v>33642.777677364676</v>
      </c>
      <c r="E242" s="41" t="s">
        <v>3</v>
      </c>
      <c r="F242" s="1"/>
    </row>
    <row r="243" spans="2:6">
      <c r="B243" s="317"/>
      <c r="C243" s="39" t="s">
        <v>133</v>
      </c>
      <c r="D243" s="40">
        <f>2*((E42*G43^3)/12+(G43/2+G46/2)^2*(E42*G43))+(F47*G46^3)/12</f>
        <v>151666.66666666669</v>
      </c>
      <c r="E243" s="41" t="s">
        <v>46</v>
      </c>
      <c r="F243" s="1"/>
    </row>
    <row r="244" spans="2:6">
      <c r="B244" s="317"/>
      <c r="C244" s="39" t="s">
        <v>69</v>
      </c>
      <c r="D244" s="40">
        <f>D243/E10*20</f>
        <v>15166.66666666667</v>
      </c>
      <c r="E244" s="41" t="s">
        <v>70</v>
      </c>
      <c r="F244" s="1"/>
    </row>
    <row r="245" spans="2:6">
      <c r="B245" s="317"/>
      <c r="C245" s="126" t="s">
        <v>156</v>
      </c>
      <c r="D245" s="42">
        <f>E45*25*10^-4</f>
        <v>8</v>
      </c>
      <c r="E245" s="41" t="s">
        <v>2</v>
      </c>
      <c r="F245" s="1"/>
    </row>
    <row r="246" spans="2:6">
      <c r="B246" s="317"/>
      <c r="C246" s="39" t="s">
        <v>230</v>
      </c>
      <c r="D246" s="42">
        <f>D245*E22^2/8</f>
        <v>31.359999999999996</v>
      </c>
      <c r="E246" s="41" t="s">
        <v>5</v>
      </c>
      <c r="F246" s="1"/>
    </row>
    <row r="247" spans="2:6">
      <c r="B247" s="317"/>
      <c r="C247" s="39" t="s">
        <v>37</v>
      </c>
      <c r="D247" s="42">
        <f>(1.2*E52*D243*10^4)/((G43+G46+G49)*(10^(1))-D241)*10^-6</f>
        <v>56.400726542021381</v>
      </c>
      <c r="E247" s="41" t="s">
        <v>5</v>
      </c>
      <c r="F247" s="1"/>
    </row>
    <row r="248" spans="2:6">
      <c r="B248" s="317"/>
      <c r="C248" s="39" t="s">
        <v>40</v>
      </c>
      <c r="D248" s="34">
        <f>5/384*(D245*Foglio1!E134^4/(D242*(10^3)*D243*(10^-8)))*10^3</f>
        <v>2.0077003163166367</v>
      </c>
      <c r="E248" s="41" t="s">
        <v>4</v>
      </c>
      <c r="F248" s="1"/>
    </row>
    <row r="249" spans="2:6" ht="15.75">
      <c r="B249" s="317"/>
      <c r="C249" s="55" t="s">
        <v>6</v>
      </c>
      <c r="D249" s="54">
        <f>D248</f>
        <v>2.0077003163166367</v>
      </c>
      <c r="E249" s="56" t="s">
        <v>4</v>
      </c>
      <c r="F249" s="1"/>
    </row>
    <row r="250" spans="2:6" ht="15" customHeight="1">
      <c r="B250" s="317"/>
      <c r="C250" s="39" t="s">
        <v>36</v>
      </c>
      <c r="D250" s="34">
        <f>Foglio1!E134*1000/250</f>
        <v>22.4</v>
      </c>
      <c r="E250" s="41" t="s">
        <v>4</v>
      </c>
    </row>
    <row r="251" spans="2:6">
      <c r="B251" s="317"/>
      <c r="C251" s="39" t="s">
        <v>42</v>
      </c>
      <c r="D251" s="288" t="str">
        <f>IF(D249&lt;=D250,"verificato 1/250","non verificato 1/250")</f>
        <v>verificato 1/250</v>
      </c>
      <c r="E251" s="289"/>
      <c r="F251" s="2"/>
    </row>
    <row r="252" spans="2:6">
      <c r="B252" s="317"/>
      <c r="C252" s="50" t="s">
        <v>72</v>
      </c>
      <c r="D252" s="60">
        <f>-D246/(D243)*10^2*D241</f>
        <v>-2.0676923076923073</v>
      </c>
      <c r="E252" s="41" t="s">
        <v>3</v>
      </c>
      <c r="F252" s="2"/>
    </row>
    <row r="253" spans="2:6">
      <c r="B253" s="317"/>
      <c r="C253" s="50" t="s">
        <v>71</v>
      </c>
      <c r="D253" s="288" t="str">
        <f>IF(D252&lt;=0.6*E55," VERIFICATO","NON VERIFICATO!")</f>
        <v xml:space="preserve"> VERIFICATO</v>
      </c>
      <c r="E253" s="289"/>
      <c r="F253" s="2"/>
    </row>
    <row r="254" spans="2:6">
      <c r="B254" s="317"/>
      <c r="C254" s="50" t="s">
        <v>73</v>
      </c>
      <c r="D254" s="64">
        <f>-D239*D252</f>
        <v>12.906644890606955</v>
      </c>
      <c r="E254" s="41" t="s">
        <v>3</v>
      </c>
      <c r="F254" s="2"/>
    </row>
    <row r="255" spans="2:6" ht="30" customHeight="1">
      <c r="B255" s="317"/>
      <c r="C255" s="316" t="str">
        <f>IF(D246&gt;D247,"LA SEZIONE SI FESSURA (STADIO 2)","LA SEZIONE NON SI FESSURA (STADIO 1)")</f>
        <v>LA SEZIONE NON SI FESSURA (STADIO 1)</v>
      </c>
      <c r="D255" s="316"/>
      <c r="E255" s="316"/>
      <c r="F255" s="2"/>
    </row>
    <row r="256" spans="2:6" ht="13.5" customHeight="1">
      <c r="B256" s="102"/>
      <c r="C256" s="103"/>
      <c r="D256" s="103"/>
      <c r="E256" s="103"/>
      <c r="F256" s="2"/>
    </row>
    <row r="257" spans="2:6" ht="18" customHeight="1">
      <c r="B257" s="96"/>
      <c r="C257" s="103"/>
      <c r="D257" s="103"/>
      <c r="E257" s="103"/>
      <c r="F257" s="2"/>
    </row>
    <row r="258" spans="2:6" ht="18" customHeight="1">
      <c r="B258" s="256" t="s">
        <v>279</v>
      </c>
      <c r="C258" s="103"/>
      <c r="D258" s="103"/>
      <c r="E258" s="103"/>
      <c r="F258" s="2"/>
    </row>
    <row r="259" spans="2:6" ht="5.25" customHeight="1">
      <c r="B259" s="207"/>
      <c r="C259" s="103"/>
      <c r="D259" s="103"/>
      <c r="E259" s="103"/>
      <c r="F259" s="2"/>
    </row>
    <row r="260" spans="2:6" ht="17.25" customHeight="1">
      <c r="C260" s="312" t="s">
        <v>140</v>
      </c>
      <c r="D260" s="313"/>
      <c r="E260" s="314"/>
    </row>
    <row r="261" spans="2:6" ht="15" customHeight="1">
      <c r="B261" s="290" t="s">
        <v>83</v>
      </c>
      <c r="C261" s="67" t="s">
        <v>47</v>
      </c>
      <c r="D261" s="242">
        <f>E16/D272</f>
        <v>6.2420529604869959</v>
      </c>
      <c r="E261" s="46" t="s">
        <v>66</v>
      </c>
    </row>
    <row r="262" spans="2:6" ht="15" customHeight="1">
      <c r="B262" s="291"/>
      <c r="C262" s="39" t="s">
        <v>60</v>
      </c>
      <c r="D262" s="242">
        <f>E39</f>
        <v>8</v>
      </c>
      <c r="E262" s="41" t="s">
        <v>2</v>
      </c>
    </row>
    <row r="263" spans="2:6" ht="15" customHeight="1">
      <c r="B263" s="291"/>
      <c r="C263" s="39" t="s">
        <v>43</v>
      </c>
      <c r="D263" s="42">
        <f>E36</f>
        <v>3.75</v>
      </c>
      <c r="E263" s="41" t="s">
        <v>2</v>
      </c>
    </row>
    <row r="264" spans="2:6" ht="15" customHeight="1">
      <c r="B264" s="291"/>
      <c r="C264" s="39" t="s">
        <v>45</v>
      </c>
      <c r="D264" s="42">
        <f>E33</f>
        <v>10</v>
      </c>
      <c r="E264" s="41" t="s">
        <v>2</v>
      </c>
    </row>
    <row r="265" spans="2:6" ht="15" customHeight="1">
      <c r="B265" s="291"/>
      <c r="C265" s="126" t="s">
        <v>156</v>
      </c>
      <c r="D265" s="42">
        <f>VLOOKUP(C265,Foglio1!$F$5:$G$7,2,FALSE)</f>
        <v>21.75</v>
      </c>
      <c r="E265" s="41" t="s">
        <v>2</v>
      </c>
    </row>
    <row r="266" spans="2:6">
      <c r="B266" s="291"/>
      <c r="C266" s="39" t="s">
        <v>230</v>
      </c>
      <c r="D266" s="42">
        <f>D265*E22^2/8</f>
        <v>85.259999999999991</v>
      </c>
      <c r="E266" s="41" t="s">
        <v>5</v>
      </c>
    </row>
    <row r="267" spans="2:6">
      <c r="B267" s="291"/>
      <c r="C267" s="39" t="s">
        <v>133</v>
      </c>
      <c r="D267" s="68">
        <f>D243</f>
        <v>151666.66666666669</v>
      </c>
      <c r="E267" s="41" t="s">
        <v>46</v>
      </c>
    </row>
    <row r="268" spans="2:6">
      <c r="B268" s="291"/>
      <c r="C268" s="39" t="s">
        <v>37</v>
      </c>
      <c r="D268" s="65">
        <f>1.2*E52*D267*10^4/(E10-D241)*10^-6</f>
        <v>56.400726542021381</v>
      </c>
      <c r="E268" s="41" t="s">
        <v>5</v>
      </c>
    </row>
    <row r="269" spans="2:6">
      <c r="B269" s="291"/>
      <c r="C269" s="39" t="s">
        <v>76</v>
      </c>
      <c r="D269" s="47">
        <f>IF(C283="LA SEZIONE NON SI FESSURA (STADIO 1)",D241,IF(Foglio1!B18&lt;E12,Foglio1!B18,Foglio1!D18))</f>
        <v>43.876908921386992</v>
      </c>
      <c r="E269" s="41" t="s">
        <v>4</v>
      </c>
    </row>
    <row r="270" spans="2:6">
      <c r="B270" s="291"/>
      <c r="C270" s="39" t="s">
        <v>149</v>
      </c>
      <c r="D270" s="47">
        <f>IF(C283="LA SEZIONE NON SI FESSURA (STADIO 1)","",IF(D269=Foglio1!B18,Foglio1!B20,Foglio1!D20))</f>
        <v>212.8407130563852</v>
      </c>
      <c r="E270" s="41" t="s">
        <v>4</v>
      </c>
    </row>
    <row r="271" spans="2:6">
      <c r="B271" s="291"/>
      <c r="C271" s="39" t="s">
        <v>145</v>
      </c>
      <c r="D271" s="47">
        <f>IF(C339="LA SEZIONE NON SI FESSURA (STADIO 1)","",IF(D269=Foglio1!B18,Foglio1!B23,Foglio1!D23))</f>
        <v>2281.7125643634872</v>
      </c>
      <c r="E271" s="41" t="s">
        <v>152</v>
      </c>
    </row>
    <row r="272" spans="2:6" ht="15" customHeight="1">
      <c r="B272" s="291"/>
      <c r="C272" s="39" t="s">
        <v>41</v>
      </c>
      <c r="D272" s="40">
        <f>D242</f>
        <v>33642.777677364676</v>
      </c>
      <c r="E272" s="41" t="s">
        <v>3</v>
      </c>
    </row>
    <row r="273" spans="2:7">
      <c r="B273" s="291"/>
      <c r="C273" s="39" t="s">
        <v>132</v>
      </c>
      <c r="D273" s="47">
        <f>IF(C283="LA SEZIONE NON SI FESSURA (STADIO 1)","",IF(D269&lt;=E12,Foglio1!B30,Foglio1!D30))</f>
        <v>54083.985999760174</v>
      </c>
      <c r="E273" s="41" t="s">
        <v>46</v>
      </c>
      <c r="F273" s="1"/>
    </row>
    <row r="274" spans="2:7">
      <c r="B274" s="291"/>
      <c r="C274" s="39" t="s">
        <v>40</v>
      </c>
      <c r="D274" s="34">
        <f>5/384*(D265*Foglio1!E134^4/(D272*(10^3)*D243*(10^-8)))*10^3</f>
        <v>5.4584352349858563</v>
      </c>
      <c r="E274" s="41" t="s">
        <v>4</v>
      </c>
      <c r="F274" s="1"/>
    </row>
    <row r="275" spans="2:7">
      <c r="B275" s="291"/>
      <c r="C275" s="39" t="s">
        <v>39</v>
      </c>
      <c r="D275" s="34">
        <f>IF(C283="LA SEZIONE NON SI FESSURA (STADIO 1)","",5/384*(D265*Foglio1!E134^4/(D272*(10^3)*D273*(10^-8)))*10^3)</f>
        <v>15.306983425923145</v>
      </c>
      <c r="E275" s="41" t="s">
        <v>4</v>
      </c>
      <c r="F275" s="1"/>
    </row>
    <row r="276" spans="2:7" ht="15.75">
      <c r="B276" s="291"/>
      <c r="C276" s="55" t="s">
        <v>6</v>
      </c>
      <c r="D276" s="54">
        <f>IF(E284="SI",D275,IF(D247/D266&gt;1,D274,D274*1*(D247/D266)^2+D275*(1-1*(D247/D266)^2)))</f>
        <v>10.997244576032653</v>
      </c>
      <c r="E276" s="56" t="s">
        <v>4</v>
      </c>
      <c r="F276" s="1"/>
      <c r="G276" s="1"/>
    </row>
    <row r="277" spans="2:7">
      <c r="B277" s="291"/>
      <c r="C277" s="39" t="s">
        <v>36</v>
      </c>
      <c r="D277" s="35">
        <f>Foglio1!E134*1000/250</f>
        <v>22.4</v>
      </c>
      <c r="E277" s="41" t="s">
        <v>4</v>
      </c>
      <c r="F277" s="1"/>
      <c r="G277" s="1"/>
    </row>
    <row r="278" spans="2:7">
      <c r="B278" s="291"/>
      <c r="C278" s="39" t="s">
        <v>42</v>
      </c>
      <c r="D278" s="288" t="str">
        <f>IF(D276&lt;=D277,"verificato 1/250","non verificato 1/250")</f>
        <v>verificato 1/250</v>
      </c>
      <c r="E278" s="289"/>
      <c r="F278" s="1"/>
    </row>
    <row r="279" spans="2:7">
      <c r="B279" s="291"/>
      <c r="C279" s="50" t="s">
        <v>72</v>
      </c>
      <c r="D279" s="52">
        <f>IF(E284="si",-D266/D273*10^2*D269,IF(D268/D266&gt;1,-D266/D267*10^2*D269,-D266/D273*10^2*D269))</f>
        <v>-6.9169185397208768</v>
      </c>
      <c r="E279" s="41" t="s">
        <v>3</v>
      </c>
      <c r="F279" s="36"/>
    </row>
    <row r="280" spans="2:7">
      <c r="B280" s="291"/>
      <c r="C280" s="50" t="s">
        <v>71</v>
      </c>
      <c r="D280" s="288" t="str">
        <f>IF(ABS(D279)&lt;=0.6*E55," VERIFICATO","NON VERIFICATO!")</f>
        <v xml:space="preserve"> VERIFICATO</v>
      </c>
      <c r="E280" s="289"/>
      <c r="F280" s="38"/>
    </row>
    <row r="281" spans="2:7">
      <c r="B281" s="291"/>
      <c r="C281" s="50" t="s">
        <v>73</v>
      </c>
      <c r="D281" s="52">
        <f>IF(E284="si",D266/D273*10^2*(E30-D269)*D261,IF(D268/D266&gt;1,D266/D267*10^2*(E30-D269)*D261,D266/D273*10^2*(E30-D269)*D261))</f>
        <v>133.94789350879864</v>
      </c>
      <c r="E281" s="41" t="s">
        <v>3</v>
      </c>
      <c r="F281" s="38"/>
    </row>
    <row r="282" spans="2:7">
      <c r="B282" s="291"/>
      <c r="C282" s="50" t="s">
        <v>75</v>
      </c>
      <c r="D282" s="288" t="str">
        <f>IF(D281&lt;=0.8*Foglio1!I141," VERIFICATO","NON VERIFICATO!")</f>
        <v xml:space="preserve"> VERIFICATO</v>
      </c>
      <c r="E282" s="289"/>
      <c r="F282" s="38"/>
    </row>
    <row r="283" spans="2:7" ht="24.75" customHeight="1">
      <c r="B283" s="292"/>
      <c r="C283" s="293" t="str">
        <f>IF(E284="si", "FESSURAZIONE IMPOSTA (STADIO 2)",IF(D268/D266&lt;1,"LA SEZIONE SI FESSURA (STADIO 2)","LA SEZIONE NON SI FESSURA (STADIO 1)"))</f>
        <v>LA SEZIONE SI FESSURA (STADIO 2)</v>
      </c>
      <c r="D283" s="293"/>
      <c r="E283" s="293"/>
      <c r="F283" s="38"/>
      <c r="G283" s="38"/>
    </row>
    <row r="284" spans="2:7" ht="13.5" customHeight="1">
      <c r="B284" s="294" t="s">
        <v>139</v>
      </c>
      <c r="C284" s="295"/>
      <c r="D284" s="296"/>
      <c r="E284" s="206" t="s">
        <v>81</v>
      </c>
      <c r="F284" s="38"/>
      <c r="G284" s="38"/>
    </row>
    <row r="285" spans="2:7" ht="13.5" customHeight="1">
      <c r="B285" s="282"/>
      <c r="C285" s="282"/>
      <c r="D285" s="282"/>
      <c r="E285" s="283"/>
      <c r="F285" s="38"/>
      <c r="G285" s="38"/>
    </row>
    <row r="286" spans="2:7" ht="13.5" customHeight="1">
      <c r="B286" s="282"/>
      <c r="C286" s="282"/>
      <c r="D286" s="282"/>
      <c r="E286" s="283"/>
      <c r="F286" s="38"/>
      <c r="G286" s="38"/>
    </row>
    <row r="287" spans="2:7" ht="13.5" customHeight="1">
      <c r="B287" s="96" t="s">
        <v>283</v>
      </c>
      <c r="C287" s="282"/>
      <c r="D287" s="282"/>
      <c r="E287" s="283"/>
      <c r="F287" s="38"/>
      <c r="G287" s="38"/>
    </row>
    <row r="288" spans="2:7" ht="13.5" customHeight="1">
      <c r="B288" s="282"/>
      <c r="C288" s="282"/>
      <c r="D288" s="282"/>
      <c r="E288" s="283"/>
      <c r="F288" s="38"/>
      <c r="G288" s="38"/>
    </row>
    <row r="289" spans="2:7" ht="13.5" customHeight="1">
      <c r="C289" s="312" t="s">
        <v>140</v>
      </c>
      <c r="D289" s="313"/>
      <c r="E289" s="314"/>
      <c r="F289" s="38"/>
      <c r="G289" s="38"/>
    </row>
    <row r="290" spans="2:7" ht="13.5" customHeight="1">
      <c r="B290" s="290" t="s">
        <v>83</v>
      </c>
      <c r="C290" s="67" t="s">
        <v>47</v>
      </c>
      <c r="D290" s="242">
        <f>E16/D301</f>
        <v>6.2420529604869959</v>
      </c>
      <c r="E290" s="46" t="s">
        <v>66</v>
      </c>
      <c r="F290" s="38"/>
      <c r="G290" s="38"/>
    </row>
    <row r="291" spans="2:7" ht="13.5" customHeight="1">
      <c r="B291" s="291"/>
      <c r="C291" s="39" t="s">
        <v>60</v>
      </c>
      <c r="D291" s="242">
        <f>E39</f>
        <v>8</v>
      </c>
      <c r="E291" s="41" t="s">
        <v>2</v>
      </c>
      <c r="F291" s="38"/>
      <c r="G291" s="38"/>
    </row>
    <row r="292" spans="2:7" ht="13.5" customHeight="1">
      <c r="B292" s="291"/>
      <c r="C292" s="39" t="s">
        <v>43</v>
      </c>
      <c r="D292" s="42">
        <f>E36</f>
        <v>3.75</v>
      </c>
      <c r="E292" s="41" t="s">
        <v>2</v>
      </c>
      <c r="F292" s="38"/>
      <c r="G292" s="38"/>
    </row>
    <row r="293" spans="2:7" ht="13.5" customHeight="1">
      <c r="B293" s="291"/>
      <c r="C293" s="39" t="s">
        <v>45</v>
      </c>
      <c r="D293" s="42">
        <f>E33</f>
        <v>10</v>
      </c>
      <c r="E293" s="41" t="s">
        <v>2</v>
      </c>
      <c r="F293" s="38"/>
      <c r="G293" s="38"/>
    </row>
    <row r="294" spans="2:7" ht="13.5" customHeight="1">
      <c r="B294" s="291"/>
      <c r="C294" s="126" t="s">
        <v>270</v>
      </c>
      <c r="D294" s="42">
        <f>VLOOKUP(C294,Foglio1!$F$5:$G$7,2,FALSE)</f>
        <v>16.75</v>
      </c>
      <c r="E294" s="41" t="s">
        <v>2</v>
      </c>
      <c r="F294" s="38"/>
      <c r="G294" s="38"/>
    </row>
    <row r="295" spans="2:7" ht="13.5" customHeight="1">
      <c r="B295" s="291"/>
      <c r="C295" s="39" t="s">
        <v>230</v>
      </c>
      <c r="D295" s="42">
        <f>D294*E22^2/8</f>
        <v>65.66</v>
      </c>
      <c r="E295" s="41" t="s">
        <v>5</v>
      </c>
      <c r="F295" s="38"/>
      <c r="G295" s="38"/>
    </row>
    <row r="296" spans="2:7" ht="13.5" customHeight="1">
      <c r="B296" s="291"/>
      <c r="C296" s="39" t="s">
        <v>133</v>
      </c>
      <c r="D296" s="68">
        <f>D243</f>
        <v>151666.66666666669</v>
      </c>
      <c r="E296" s="41" t="s">
        <v>46</v>
      </c>
      <c r="F296" s="38"/>
      <c r="G296" s="38"/>
    </row>
    <row r="297" spans="2:7" ht="13.5" customHeight="1">
      <c r="B297" s="291"/>
      <c r="C297" s="39" t="s">
        <v>37</v>
      </c>
      <c r="D297" s="65">
        <f>1.2*E52*D267*10^4/(E10-D241)*10^-6</f>
        <v>56.400726542021381</v>
      </c>
      <c r="E297" s="41" t="s">
        <v>5</v>
      </c>
      <c r="F297" s="38"/>
      <c r="G297" s="38"/>
    </row>
    <row r="298" spans="2:7" ht="13.5" customHeight="1">
      <c r="B298" s="291"/>
      <c r="C298" s="39" t="s">
        <v>76</v>
      </c>
      <c r="D298" s="47">
        <f>IF('Pred. solaio a pannello '!C308="LA SEZIONE NON SI FESSURA (STADIO 1)",'Pred. solaio a pannello '!D241,IF(Foglio1!B70&lt;'Pred. solaio a pannello '!E12,Foglio1!B18,Foglio1!D70))</f>
        <v>43.876908921386992</v>
      </c>
      <c r="E298" s="41" t="s">
        <v>4</v>
      </c>
      <c r="F298" s="38"/>
      <c r="G298" s="38"/>
    </row>
    <row r="299" spans="2:7" ht="13.5" customHeight="1">
      <c r="B299" s="291"/>
      <c r="C299" s="39" t="s">
        <v>149</v>
      </c>
      <c r="D299" s="47">
        <f>IF(C308="LA SEZIONE NON SI FESSURA (STADIO 1)","",IF('Pred. solaio a pannello '!D298=Foglio1!B18,Foglio1!B20,Foglio1!D20))</f>
        <v>212.8407130563852</v>
      </c>
      <c r="E299" s="41" t="s">
        <v>4</v>
      </c>
      <c r="F299" s="38"/>
      <c r="G299" s="38"/>
    </row>
    <row r="300" spans="2:7" ht="13.5" customHeight="1">
      <c r="B300" s="291"/>
      <c r="C300" s="39" t="s">
        <v>145</v>
      </c>
      <c r="D300" s="47">
        <f>IF(C339="LA SEZIONE NON SI FESSURA (STADIO 1)","",IF('Pred. solaio a pannello '!D298=Foglio1!B18,Foglio1!B23,Foglio1!D23))</f>
        <v>2281.7125643634872</v>
      </c>
      <c r="E300" s="41" t="s">
        <v>152</v>
      </c>
      <c r="F300" s="38"/>
      <c r="G300" s="38"/>
    </row>
    <row r="301" spans="2:7" ht="13.5" customHeight="1">
      <c r="B301" s="291"/>
      <c r="C301" s="39" t="s">
        <v>41</v>
      </c>
      <c r="D301" s="40">
        <f>D242</f>
        <v>33642.777677364676</v>
      </c>
      <c r="E301" s="41" t="s">
        <v>3</v>
      </c>
      <c r="F301" s="38"/>
      <c r="G301" s="38"/>
    </row>
    <row r="302" spans="2:7" ht="13.5" customHeight="1">
      <c r="B302" s="291"/>
      <c r="C302" s="39" t="s">
        <v>132</v>
      </c>
      <c r="D302" s="47">
        <f>IF(C308="LA SEZIONE NON SI FESSURA (STADIO 1)","",IF('Pred. solaio a pannello '!D298&lt;=E12,Foglio1!B30,Foglio1!D30))</f>
        <v>54083.985999760174</v>
      </c>
      <c r="E302" s="41" t="s">
        <v>46</v>
      </c>
      <c r="F302" s="38"/>
      <c r="G302" s="38"/>
    </row>
    <row r="303" spans="2:7" ht="13.5" customHeight="1">
      <c r="B303" s="291"/>
      <c r="C303" s="50" t="s">
        <v>72</v>
      </c>
      <c r="D303" s="52">
        <f>IF(E309="si",-D295/D302*10^2*'Pred. solaio a pannello '!D298,IF(D297/D295&gt;1,-D295/D296*10^2*'Pred. solaio a pannello '!D298,-D295/D302*10^2*'Pred. solaio a pannello '!D298))</f>
        <v>-5.3268223236930892</v>
      </c>
      <c r="E303" s="41" t="s">
        <v>3</v>
      </c>
      <c r="F303" s="38"/>
      <c r="G303" s="38"/>
    </row>
    <row r="304" spans="2:7" ht="13.5" customHeight="1">
      <c r="B304" s="291"/>
      <c r="C304" s="50" t="s">
        <v>73</v>
      </c>
      <c r="D304" s="52">
        <f>IF(E309="si",D295/D302*10^2*(E30-'Pred. solaio a pannello '!D298)*D261,IF(D297/D295&gt;1,D295/D296*10^2*(E30-'Pred. solaio a pannello '!D298)*D261,D295/D302*10^2*(E30-'Pred. solaio a pannello '!D298)*D261))</f>
        <v>103.15527431137366</v>
      </c>
      <c r="E304" s="41" t="s">
        <v>3</v>
      </c>
      <c r="F304" s="38"/>
      <c r="G304" s="38"/>
    </row>
    <row r="305" spans="2:7" ht="13.5" customHeight="1">
      <c r="B305" s="291"/>
      <c r="C305" s="253" t="s">
        <v>271</v>
      </c>
      <c r="D305" s="52">
        <f>Foglio1!C117</f>
        <v>0.20391480921489064</v>
      </c>
      <c r="E305" s="276" t="s">
        <v>4</v>
      </c>
      <c r="F305" s="38"/>
      <c r="G305" s="38"/>
    </row>
    <row r="306" spans="2:7" ht="13.5" customHeight="1">
      <c r="B306" s="291"/>
      <c r="C306" s="253" t="s">
        <v>272</v>
      </c>
      <c r="D306" s="52">
        <f>VLOOKUP(C25,Foglio1!F101:H103,2,FALSE)</f>
        <v>0.4</v>
      </c>
      <c r="E306" s="276" t="s">
        <v>4</v>
      </c>
      <c r="F306" s="38"/>
      <c r="G306" s="38"/>
    </row>
    <row r="307" spans="2:7" ht="13.5" customHeight="1">
      <c r="B307" s="291"/>
      <c r="C307" s="254" t="s">
        <v>273</v>
      </c>
      <c r="D307" s="324" t="str">
        <f>IF(D305&lt;=D306," VERIFICATO","NON VERIFICATO!")</f>
        <v xml:space="preserve"> VERIFICATO</v>
      </c>
      <c r="E307" s="325"/>
      <c r="F307" s="38"/>
      <c r="G307" s="38"/>
    </row>
    <row r="308" spans="2:7" ht="25.5" customHeight="1">
      <c r="B308" s="292"/>
      <c r="C308" s="293" t="str">
        <f>IF(E309="si", "FESSURAZIONE IMPOSTA (STADIO 2)",IF(D297/D295&lt;1,"LA SEZIONE SI FESSURA (STADIO 2)","LA SEZIONE NON SI FESSURA (STADIO 1)"))</f>
        <v>LA SEZIONE SI FESSURA (STADIO 2)</v>
      </c>
      <c r="D308" s="293"/>
      <c r="E308" s="293"/>
      <c r="F308" s="38"/>
      <c r="G308" s="38"/>
    </row>
    <row r="309" spans="2:7" ht="18.75" customHeight="1">
      <c r="B309" s="294" t="s">
        <v>139</v>
      </c>
      <c r="C309" s="295"/>
      <c r="D309" s="296"/>
      <c r="E309" s="206" t="s">
        <v>81</v>
      </c>
      <c r="F309" s="38"/>
      <c r="G309" s="38"/>
    </row>
    <row r="310" spans="2:7" ht="15" customHeight="1">
      <c r="B310" s="96"/>
      <c r="C310" s="282"/>
      <c r="D310" s="282"/>
      <c r="E310" s="282"/>
      <c r="F310" s="38"/>
      <c r="G310" s="38"/>
    </row>
    <row r="311" spans="2:7" ht="15" customHeight="1">
      <c r="B311" s="96" t="s">
        <v>282</v>
      </c>
      <c r="C311" s="282"/>
      <c r="D311" s="282"/>
      <c r="E311" s="282"/>
      <c r="F311" s="38"/>
      <c r="G311" s="38"/>
    </row>
    <row r="312" spans="2:7" ht="15" customHeight="1">
      <c r="B312" s="104"/>
      <c r="C312" s="6"/>
      <c r="D312" s="6"/>
      <c r="E312" s="6"/>
      <c r="F312" s="38"/>
      <c r="G312" s="38"/>
    </row>
    <row r="313" spans="2:7" ht="14.25" customHeight="1">
      <c r="C313" s="312" t="s">
        <v>140</v>
      </c>
      <c r="D313" s="313"/>
      <c r="E313" s="314"/>
      <c r="F313" s="38"/>
      <c r="G313" s="38"/>
    </row>
    <row r="314" spans="2:7" ht="15" customHeight="1">
      <c r="B314" s="328" t="s">
        <v>84</v>
      </c>
      <c r="C314" s="67" t="s">
        <v>47</v>
      </c>
      <c r="D314" s="242">
        <f>E16/D325</f>
        <v>21.222980065655786</v>
      </c>
      <c r="E314" s="46" t="s">
        <v>66</v>
      </c>
      <c r="F314" s="38"/>
    </row>
    <row r="315" spans="2:7" ht="15" customHeight="1">
      <c r="B315" s="329"/>
      <c r="C315" s="39" t="s">
        <v>60</v>
      </c>
      <c r="D315" s="242">
        <f>E39</f>
        <v>8</v>
      </c>
      <c r="E315" s="41" t="s">
        <v>2</v>
      </c>
      <c r="F315" s="38"/>
    </row>
    <row r="316" spans="2:7" ht="15" customHeight="1">
      <c r="B316" s="329"/>
      <c r="C316" s="39" t="s">
        <v>43</v>
      </c>
      <c r="D316" s="42">
        <f>E36</f>
        <v>3.75</v>
      </c>
      <c r="E316" s="41" t="s">
        <v>2</v>
      </c>
      <c r="F316" s="38"/>
    </row>
    <row r="317" spans="2:7" ht="15" customHeight="1">
      <c r="B317" s="329"/>
      <c r="C317" s="39" t="s">
        <v>45</v>
      </c>
      <c r="D317" s="42">
        <f>E33</f>
        <v>10</v>
      </c>
      <c r="E317" s="41" t="s">
        <v>2</v>
      </c>
      <c r="F317" s="38"/>
    </row>
    <row r="318" spans="2:7" ht="15" customHeight="1">
      <c r="B318" s="329"/>
      <c r="C318" s="126" t="s">
        <v>233</v>
      </c>
      <c r="D318" s="42">
        <f>IF(C318="P,sle rara",D245+D317+D316,D245+D317*0.3+D316)</f>
        <v>14.75</v>
      </c>
      <c r="E318" s="41" t="s">
        <v>2</v>
      </c>
      <c r="F318" s="38"/>
    </row>
    <row r="319" spans="2:7">
      <c r="B319" s="329"/>
      <c r="C319" s="39" t="s">
        <v>230</v>
      </c>
      <c r="D319" s="42">
        <f>D318*E22^2/8</f>
        <v>57.819999999999993</v>
      </c>
      <c r="E319" s="41" t="s">
        <v>5</v>
      </c>
      <c r="F319" s="38"/>
    </row>
    <row r="320" spans="2:7">
      <c r="B320" s="329"/>
      <c r="C320" s="106" t="s">
        <v>131</v>
      </c>
      <c r="D320" s="68">
        <f>D267</f>
        <v>151666.66666666669</v>
      </c>
      <c r="E320" s="41" t="s">
        <v>46</v>
      </c>
      <c r="F320" s="38"/>
    </row>
    <row r="321" spans="2:7" ht="15" customHeight="1">
      <c r="B321" s="329"/>
      <c r="C321" s="39" t="s">
        <v>37</v>
      </c>
      <c r="D321" s="65">
        <f>1.2*E52*D320*10^4/(E10-D241)*10^-6</f>
        <v>56.400726542021381</v>
      </c>
      <c r="E321" s="41" t="s">
        <v>5</v>
      </c>
      <c r="F321" s="38"/>
    </row>
    <row r="322" spans="2:7">
      <c r="B322" s="329"/>
      <c r="C322" s="39" t="s">
        <v>76</v>
      </c>
      <c r="D322" s="58">
        <f>IF(C339="LA SEZIONE NON SI FESSURA (STADIO 1)",D241,IF(Foglio1!B43&lt;E12,Foglio1!B43,Foglio1!D43))</f>
        <v>63.126637737896523</v>
      </c>
      <c r="E322" s="41" t="s">
        <v>4</v>
      </c>
      <c r="F322" s="38"/>
    </row>
    <row r="323" spans="2:7" ht="15" customHeight="1">
      <c r="B323" s="329"/>
      <c r="C323" s="39" t="s">
        <v>149</v>
      </c>
      <c r="D323" s="58">
        <f>IF(C339="LA SEZIONE NON SI FESSURA (STADIO 1)","",IF(D322=Foglio1!B43,Foglio1!B45,Foglio1!D45))</f>
        <v>73.202440188536826</v>
      </c>
      <c r="E323" s="41" t="s">
        <v>4</v>
      </c>
      <c r="F323" s="38"/>
    </row>
    <row r="324" spans="2:7" ht="15" customHeight="1">
      <c r="B324" s="329"/>
      <c r="C324" s="39" t="s">
        <v>145</v>
      </c>
      <c r="D324" s="58">
        <f>IF(C339="LA SEZIONE NON SI FESSURA (STADIO 1)","",IF(D322=Foglio1!B43,Foglio1!B48,Foglio1!D48))</f>
        <v>6522.3988262161765</v>
      </c>
      <c r="E324" s="41" t="s">
        <v>152</v>
      </c>
      <c r="F324" s="38"/>
    </row>
    <row r="325" spans="2:7">
      <c r="B325" s="329"/>
      <c r="C325" s="39" t="s">
        <v>44</v>
      </c>
      <c r="D325" s="59">
        <f>D242/(1+2.4)</f>
        <v>9894.9346109896105</v>
      </c>
      <c r="E325" s="41" t="s">
        <v>3</v>
      </c>
      <c r="F325" s="37"/>
    </row>
    <row r="326" spans="2:7">
      <c r="B326" s="329"/>
      <c r="C326" s="39" t="s">
        <v>132</v>
      </c>
      <c r="D326" s="58">
        <f>IF(C283="LA SEZIONE SI FESSURA (STADIO 2)",IF(D322&lt;=E12,Foglio1!B55,Foglio1!D55),IF(E340="SI",IF(D322&lt;=E12,Foglio1!B55,Foglio1!D55),""))</f>
        <v>155965.58451884318</v>
      </c>
      <c r="E326" s="41" t="s">
        <v>46</v>
      </c>
      <c r="F326" s="37"/>
    </row>
    <row r="327" spans="2:7">
      <c r="B327" s="329"/>
      <c r="C327" s="39" t="s">
        <v>40</v>
      </c>
      <c r="D327" s="34">
        <f>5/384*(D318*Foglio1!E134^4/(D325*(10^3)*D243*(10^-8)))*10^3</f>
        <v>12.58577135790992</v>
      </c>
      <c r="E327" s="41" t="s">
        <v>4</v>
      </c>
      <c r="F327" s="37"/>
    </row>
    <row r="328" spans="2:7">
      <c r="B328" s="329"/>
      <c r="C328" s="39" t="s">
        <v>39</v>
      </c>
      <c r="D328" s="34">
        <f>IF(C283="LA SEZIONE SI FESSURA (STADIO 2)",5/384*(D318*Foglio1!E134^4/(D325*(10^3)*D326*(10^-8)))*10^3,IF(E340="SI",5/384*(D318*Foglio1!E134^4/(D325*(10^3)*D326*(10^-8)))*10^3,""))</f>
        <v>12.238866639533448</v>
      </c>
      <c r="E328" s="41" t="s">
        <v>4</v>
      </c>
      <c r="F328" s="37"/>
    </row>
    <row r="329" spans="2:7" ht="15.75">
      <c r="B329" s="329"/>
      <c r="C329" s="55" t="s">
        <v>6</v>
      </c>
      <c r="D329" s="54">
        <f>IF(E340="si",D328,IF(D321/D319&gt;1,D327,D327*0.5*(D321/D319)^2+D328*(1-0.5*(D321/D319)^2)))</f>
        <v>12.403908242685972</v>
      </c>
      <c r="E329" s="56" t="s">
        <v>4</v>
      </c>
      <c r="F329" s="36"/>
    </row>
    <row r="330" spans="2:7">
      <c r="B330" s="329"/>
      <c r="C330" s="39" t="s">
        <v>36</v>
      </c>
      <c r="D330" s="35">
        <f>Foglio1!E134*1000/250</f>
        <v>22.4</v>
      </c>
      <c r="E330" s="41" t="s">
        <v>4</v>
      </c>
      <c r="F330" s="38"/>
    </row>
    <row r="331" spans="2:7">
      <c r="B331" s="329"/>
      <c r="C331" s="39" t="s">
        <v>42</v>
      </c>
      <c r="D331" s="288" t="str">
        <f>IF(D329&lt;=D330,"verificato 1/250","non verificato 1/250")</f>
        <v>verificato 1/250</v>
      </c>
      <c r="E331" s="289"/>
    </row>
    <row r="332" spans="2:7">
      <c r="B332" s="329"/>
      <c r="C332" s="50" t="s">
        <v>72</v>
      </c>
      <c r="D332" s="53">
        <f>IF(E340="SI",-D319/D326*10^2*D322,IF(D321/D319&gt;1,-D319/D320*10^2*D322,-D319/D326*10^2*D322))</f>
        <v>-2.3402484626755586</v>
      </c>
      <c r="E332" s="41" t="s">
        <v>3</v>
      </c>
    </row>
    <row r="333" spans="2:7">
      <c r="B333" s="329"/>
      <c r="C333" s="50" t="s">
        <v>74</v>
      </c>
      <c r="D333" s="288" t="str">
        <f>IF(ABS(D332)&lt;=0.45*E55," VERIFICATO","NON VERIFICATO!")</f>
        <v xml:space="preserve"> VERIFICATO</v>
      </c>
      <c r="E333" s="289"/>
    </row>
    <row r="334" spans="2:7">
      <c r="B334" s="329"/>
      <c r="C334" s="50" t="s">
        <v>73</v>
      </c>
      <c r="D334" s="42">
        <f>IF(E340="si",D319/D326*10^2*(E30-D322)*D314,IF(D321/D319&gt;1,D319/D320*10^2*(E30-D322)*D314,D319/D326*10^2*(E30-D322)*D314))</f>
        <v>91.954124642556422</v>
      </c>
      <c r="E334" s="41" t="s">
        <v>3</v>
      </c>
      <c r="F334" s="38"/>
      <c r="G334" s="38"/>
    </row>
    <row r="335" spans="2:7">
      <c r="B335" s="329"/>
      <c r="C335" s="51" t="s">
        <v>75</v>
      </c>
      <c r="D335" s="326" t="str">
        <f>IF(D334&lt;=0.8*(Foglio1!I141)," VERIFICATO","NON VERIFICATO!")</f>
        <v xml:space="preserve"> VERIFICATO</v>
      </c>
      <c r="E335" s="327"/>
      <c r="F335" s="38"/>
      <c r="G335" s="38"/>
    </row>
    <row r="336" spans="2:7">
      <c r="B336" s="329"/>
      <c r="C336" s="253" t="s">
        <v>271</v>
      </c>
      <c r="D336" s="42">
        <f>Foglio1!D117</f>
        <v>0.18177265203531862</v>
      </c>
      <c r="E336" s="276" t="s">
        <v>4</v>
      </c>
      <c r="F336" s="38"/>
      <c r="G336" s="38"/>
    </row>
    <row r="337" spans="2:7">
      <c r="B337" s="329"/>
      <c r="C337" s="253" t="s">
        <v>272</v>
      </c>
      <c r="D337" s="42">
        <f>VLOOKUP(C25,Foglio1!F101:H103,3,FALSE)</f>
        <v>0.3</v>
      </c>
      <c r="E337" s="276" t="s">
        <v>4</v>
      </c>
      <c r="F337" s="38"/>
      <c r="G337" s="38"/>
    </row>
    <row r="338" spans="2:7">
      <c r="B338" s="329"/>
      <c r="C338" s="254" t="s">
        <v>273</v>
      </c>
      <c r="D338" s="324" t="str">
        <f>IF(D336&lt;=D337," VERIFICATO","NON VERIFICATO!")</f>
        <v xml:space="preserve"> VERIFICATO</v>
      </c>
      <c r="E338" s="325"/>
      <c r="F338" s="38"/>
      <c r="G338" s="38"/>
    </row>
    <row r="339" spans="2:7" ht="30" customHeight="1">
      <c r="B339" s="330"/>
      <c r="C339" s="321" t="str">
        <f>IF(E340="si","FESSURAZIONE IMPOSTA (STADIO 2)",IF(D321/D319&lt;1,"LA SEZIONE SI FESSURA (STADIO 2)","LA SEZIONE NON SI FESSURA (STADIO 1)"))</f>
        <v>LA SEZIONE SI FESSURA (STADIO 2)</v>
      </c>
      <c r="D339" s="322"/>
      <c r="E339" s="323"/>
    </row>
    <row r="340" spans="2:7" ht="13.5" customHeight="1">
      <c r="B340" s="294" t="s">
        <v>128</v>
      </c>
      <c r="C340" s="295"/>
      <c r="D340" s="296"/>
      <c r="E340" s="206" t="s">
        <v>81</v>
      </c>
    </row>
    <row r="341" spans="2:7" ht="13.5" customHeight="1">
      <c r="B341" s="282"/>
      <c r="C341" s="282"/>
      <c r="D341" s="282"/>
      <c r="E341" s="283"/>
    </row>
    <row r="342" spans="2:7" ht="13.5" customHeight="1">
      <c r="B342" s="96" t="s">
        <v>212</v>
      </c>
      <c r="C342" s="282"/>
      <c r="D342" s="282"/>
      <c r="E342" s="283"/>
    </row>
    <row r="343" spans="2:7" ht="9" customHeight="1">
      <c r="B343" s="6"/>
      <c r="C343" s="6"/>
      <c r="D343" s="6"/>
      <c r="E343" s="6"/>
    </row>
    <row r="344" spans="2:7" ht="15" customHeight="1">
      <c r="B344" s="94" t="s">
        <v>251</v>
      </c>
      <c r="C344" s="94"/>
      <c r="D344" s="94"/>
      <c r="E344" s="94"/>
      <c r="F344" s="94"/>
      <c r="G344" s="249"/>
    </row>
    <row r="345" spans="2:7" ht="15" customHeight="1">
      <c r="B345" s="94"/>
      <c r="C345" s="94"/>
      <c r="D345" s="94"/>
      <c r="E345" s="94"/>
      <c r="F345" s="94"/>
      <c r="G345" s="249"/>
    </row>
    <row r="346" spans="2:7" ht="15" customHeight="1">
      <c r="B346" s="94" t="s">
        <v>252</v>
      </c>
      <c r="C346" s="94"/>
      <c r="D346" s="94"/>
      <c r="E346" s="94"/>
      <c r="F346" s="94"/>
      <c r="G346" s="249"/>
    </row>
    <row r="347" spans="2:7" ht="15" customHeight="1">
      <c r="B347" s="94" t="s">
        <v>253</v>
      </c>
      <c r="C347" s="94"/>
      <c r="D347" s="94"/>
      <c r="E347" s="94"/>
      <c r="F347" s="94"/>
      <c r="G347" s="249"/>
    </row>
    <row r="348" spans="2:7" ht="15" customHeight="1">
      <c r="B348" s="94" t="s">
        <v>254</v>
      </c>
      <c r="C348" s="94"/>
      <c r="D348" s="94"/>
      <c r="E348" s="94"/>
      <c r="F348" s="94"/>
      <c r="G348" s="249"/>
    </row>
    <row r="349" spans="2:7" ht="15" customHeight="1">
      <c r="B349" s="94" t="s">
        <v>255</v>
      </c>
      <c r="C349" s="94"/>
      <c r="D349" s="94"/>
      <c r="E349" s="94"/>
      <c r="F349" s="94"/>
      <c r="G349" s="249"/>
    </row>
    <row r="350" spans="2:7" ht="15" customHeight="1">
      <c r="B350" s="94"/>
      <c r="C350" s="94"/>
      <c r="D350" s="94"/>
      <c r="E350" s="94"/>
      <c r="F350" s="94"/>
      <c r="G350" s="249"/>
    </row>
    <row r="351" spans="2:7" ht="15" customHeight="1">
      <c r="B351" s="94" t="s">
        <v>280</v>
      </c>
      <c r="C351" s="94"/>
      <c r="D351" s="94"/>
      <c r="E351" s="94"/>
      <c r="F351" s="94"/>
      <c r="G351" s="249"/>
    </row>
    <row r="352" spans="2:7" ht="15" customHeight="1">
      <c r="B352" s="94" t="s">
        <v>256</v>
      </c>
      <c r="C352" s="94"/>
      <c r="D352" s="94"/>
      <c r="E352" s="94"/>
      <c r="F352" s="94"/>
      <c r="G352" s="249"/>
    </row>
    <row r="353" spans="2:7" ht="15" customHeight="1">
      <c r="B353" s="94" t="s">
        <v>257</v>
      </c>
      <c r="C353" s="94"/>
      <c r="D353" s="94"/>
      <c r="E353" s="94"/>
      <c r="F353" s="94"/>
      <c r="G353" s="249"/>
    </row>
    <row r="354" spans="2:7" ht="15" customHeight="1">
      <c r="B354" s="94" t="s">
        <v>258</v>
      </c>
      <c r="C354" s="94"/>
      <c r="D354" s="94"/>
      <c r="E354" s="94"/>
      <c r="F354" s="94"/>
      <c r="G354" s="249"/>
    </row>
    <row r="355" spans="2:7" ht="15" customHeight="1">
      <c r="B355" s="94" t="s">
        <v>259</v>
      </c>
      <c r="C355" s="94"/>
      <c r="D355" s="94"/>
      <c r="E355" s="94"/>
      <c r="F355" s="94"/>
      <c r="G355" s="249"/>
    </row>
    <row r="356" spans="2:7" ht="15" customHeight="1">
      <c r="B356" s="94" t="s">
        <v>260</v>
      </c>
      <c r="C356" s="94"/>
      <c r="D356" s="94"/>
      <c r="E356" s="94"/>
      <c r="F356" s="94"/>
      <c r="G356" s="249"/>
    </row>
    <row r="357" spans="2:7" ht="15" customHeight="1">
      <c r="B357" s="94" t="s">
        <v>261</v>
      </c>
      <c r="C357" s="94"/>
      <c r="D357" s="94"/>
      <c r="E357" s="94"/>
      <c r="F357" s="94"/>
      <c r="G357" s="249"/>
    </row>
    <row r="358" spans="2:7" ht="15" customHeight="1">
      <c r="B358" s="94"/>
      <c r="C358" s="94"/>
      <c r="D358" s="94"/>
      <c r="E358" s="94"/>
      <c r="F358" s="94"/>
      <c r="G358" s="249"/>
    </row>
    <row r="359" spans="2:7" ht="15" customHeight="1">
      <c r="B359" s="94"/>
      <c r="C359" s="94"/>
      <c r="D359" s="94"/>
      <c r="E359" s="94"/>
      <c r="F359" s="94"/>
      <c r="G359" s="249"/>
    </row>
    <row r="360" spans="2:7" ht="15" customHeight="1">
      <c r="B360" s="6"/>
      <c r="C360" s="94"/>
      <c r="D360" s="94"/>
      <c r="E360" s="94"/>
      <c r="F360" s="94"/>
      <c r="G360" s="249"/>
    </row>
    <row r="361" spans="2:7" ht="15" customHeight="1">
      <c r="B361" s="6"/>
      <c r="C361" s="94"/>
      <c r="D361" s="94"/>
      <c r="E361" s="94"/>
      <c r="F361" s="94"/>
      <c r="G361" s="249"/>
    </row>
    <row r="362" spans="2:7" ht="15" customHeight="1">
      <c r="B362" s="250" t="s">
        <v>262</v>
      </c>
      <c r="C362" s="94"/>
      <c r="D362" s="94"/>
      <c r="E362" s="94"/>
      <c r="F362" s="94"/>
      <c r="G362" s="249"/>
    </row>
    <row r="363" spans="2:7" ht="15" customHeight="1">
      <c r="B363" s="6"/>
      <c r="C363" s="94"/>
      <c r="D363" s="94"/>
      <c r="E363" s="94"/>
      <c r="F363" s="94"/>
      <c r="G363" s="249"/>
    </row>
    <row r="364" spans="2:7" ht="15" customHeight="1">
      <c r="B364" s="6"/>
      <c r="C364" s="94"/>
      <c r="D364" s="94"/>
      <c r="E364" s="94"/>
      <c r="F364" s="94"/>
      <c r="G364" s="249"/>
    </row>
    <row r="365" spans="2:7" ht="15" customHeight="1">
      <c r="B365" s="94" t="s">
        <v>263</v>
      </c>
      <c r="C365" s="94"/>
      <c r="D365" s="94"/>
      <c r="E365" s="94"/>
      <c r="F365" s="94"/>
      <c r="G365" s="249"/>
    </row>
    <row r="366" spans="2:7" ht="15" customHeight="1">
      <c r="B366" s="94" t="s">
        <v>264</v>
      </c>
      <c r="C366" s="94"/>
      <c r="D366" s="94"/>
      <c r="E366" s="94"/>
      <c r="F366" s="94"/>
      <c r="G366" s="249"/>
    </row>
    <row r="367" spans="2:7" ht="15" customHeight="1">
      <c r="B367" s="94" t="s">
        <v>265</v>
      </c>
      <c r="C367" s="94"/>
      <c r="D367" s="94"/>
      <c r="E367" s="94"/>
      <c r="F367" s="94"/>
      <c r="G367" s="249"/>
    </row>
    <row r="368" spans="2:7" ht="15" customHeight="1">
      <c r="B368" s="94" t="s">
        <v>266</v>
      </c>
      <c r="C368" s="94"/>
      <c r="D368" s="94"/>
      <c r="E368" s="94"/>
      <c r="F368" s="94"/>
      <c r="G368" s="249"/>
    </row>
    <row r="369" spans="2:7" ht="15" customHeight="1">
      <c r="B369" s="6"/>
      <c r="C369" s="94"/>
      <c r="D369" s="94"/>
      <c r="E369" s="94"/>
      <c r="F369" s="94"/>
      <c r="G369" s="249"/>
    </row>
    <row r="370" spans="2:7" ht="15" customHeight="1">
      <c r="B370" s="6"/>
      <c r="C370" s="6"/>
      <c r="D370" s="6"/>
      <c r="E370" s="6"/>
      <c r="F370" s="6"/>
      <c r="G370" s="251"/>
    </row>
    <row r="371" spans="2:7" ht="15" customHeight="1">
      <c r="B371" s="6" t="s">
        <v>267</v>
      </c>
      <c r="C371" s="6"/>
      <c r="D371" s="6"/>
      <c r="E371" s="6"/>
      <c r="F371" s="6"/>
      <c r="G371" s="251"/>
    </row>
    <row r="372" spans="2:7" ht="15" customHeight="1">
      <c r="B372" s="6"/>
      <c r="C372" s="6"/>
      <c r="D372" s="6"/>
      <c r="E372" s="6"/>
      <c r="F372" s="6"/>
      <c r="G372" s="251"/>
    </row>
    <row r="373" spans="2:7" ht="15" customHeight="1">
      <c r="B373" s="6"/>
      <c r="C373" s="6"/>
      <c r="D373" s="6"/>
      <c r="E373" s="6"/>
      <c r="F373" s="6"/>
      <c r="G373" s="251"/>
    </row>
    <row r="374" spans="2:7" ht="15" customHeight="1">
      <c r="B374" s="6"/>
      <c r="C374" s="6"/>
      <c r="D374" s="6"/>
      <c r="E374" s="6"/>
      <c r="F374" s="6"/>
      <c r="G374" s="251"/>
    </row>
    <row r="375" spans="2:7" ht="15" customHeight="1">
      <c r="B375" s="6"/>
      <c r="C375" s="6"/>
      <c r="D375" s="6"/>
      <c r="E375" s="6"/>
      <c r="F375" s="6"/>
      <c r="G375" s="251"/>
    </row>
    <row r="376" spans="2:7" ht="15" customHeight="1">
      <c r="B376" s="250" t="s">
        <v>268</v>
      </c>
      <c r="C376" s="6"/>
      <c r="D376" s="6"/>
      <c r="E376" s="6"/>
      <c r="F376" s="6"/>
      <c r="G376" s="251"/>
    </row>
    <row r="377" spans="2:7" ht="15" customHeight="1">
      <c r="B377" s="250" t="s">
        <v>269</v>
      </c>
      <c r="C377" s="6"/>
      <c r="D377" s="6"/>
      <c r="E377" s="6"/>
      <c r="F377" s="6"/>
      <c r="G377" s="251"/>
    </row>
    <row r="378" spans="2:7" ht="15" customHeight="1">
      <c r="B378" s="250"/>
      <c r="C378" s="6"/>
      <c r="D378" s="6"/>
      <c r="E378" s="6"/>
      <c r="F378" s="6"/>
      <c r="G378" s="251"/>
    </row>
    <row r="379" spans="2:7" ht="15" customHeight="1">
      <c r="B379" s="6"/>
      <c r="C379" s="6"/>
      <c r="D379" s="6"/>
      <c r="E379" s="6"/>
      <c r="F379" s="6"/>
      <c r="G379" s="251"/>
    </row>
    <row r="380" spans="2:7" ht="15" customHeight="1">
      <c r="B380" s="6"/>
      <c r="C380" s="6"/>
      <c r="D380" s="6"/>
      <c r="E380" s="6"/>
      <c r="F380" s="6"/>
      <c r="G380" s="251"/>
    </row>
    <row r="381" spans="2:7" ht="15" customHeight="1">
      <c r="B381" s="6"/>
      <c r="C381" s="6"/>
      <c r="D381" s="6"/>
      <c r="E381" s="6"/>
      <c r="F381" s="6"/>
      <c r="G381" s="252"/>
    </row>
    <row r="382" spans="2:7" ht="15" customHeight="1">
      <c r="B382" s="6"/>
      <c r="C382" s="6"/>
      <c r="D382" s="6"/>
      <c r="E382" s="6"/>
      <c r="F382" s="6"/>
      <c r="G382" s="252"/>
    </row>
    <row r="383" spans="2:7" ht="15" customHeight="1">
      <c r="B383" s="6"/>
      <c r="C383" s="6"/>
      <c r="D383" s="6"/>
      <c r="E383" s="6"/>
      <c r="F383" s="6"/>
      <c r="G383" s="252"/>
    </row>
    <row r="384" spans="2:7" ht="15" customHeight="1">
      <c r="B384" s="6"/>
      <c r="C384" s="6"/>
      <c r="D384" s="6"/>
      <c r="E384" s="6"/>
      <c r="F384" s="6"/>
      <c r="G384" s="252"/>
    </row>
    <row r="385" spans="2:7" ht="15" customHeight="1">
      <c r="B385" s="6"/>
      <c r="C385" s="6"/>
      <c r="D385" s="6"/>
      <c r="E385" s="6"/>
      <c r="F385" s="6"/>
      <c r="G385" s="252"/>
    </row>
    <row r="386" spans="2:7" ht="15" customHeight="1">
      <c r="B386" s="6"/>
      <c r="C386" s="6"/>
      <c r="D386" s="6"/>
      <c r="E386" s="6"/>
      <c r="F386" s="6"/>
      <c r="G386" s="252"/>
    </row>
    <row r="387" spans="2:7" ht="15" customHeight="1">
      <c r="B387" s="6"/>
      <c r="C387" s="6"/>
      <c r="D387" s="6"/>
      <c r="E387" s="6"/>
      <c r="F387" s="6"/>
      <c r="G387" s="252"/>
    </row>
    <row r="388" spans="2:7" ht="15" customHeight="1">
      <c r="B388" s="6"/>
      <c r="C388" s="6"/>
      <c r="D388" s="6"/>
      <c r="E388" s="6"/>
      <c r="F388" s="6"/>
      <c r="G388" s="252"/>
    </row>
    <row r="389" spans="2:7" ht="15" customHeight="1">
      <c r="B389" s="6"/>
      <c r="C389" s="6"/>
      <c r="D389" s="6"/>
      <c r="E389" s="6"/>
      <c r="F389" s="6"/>
      <c r="G389" s="252"/>
    </row>
    <row r="390" spans="2:7" ht="15" customHeight="1">
      <c r="B390" s="6"/>
      <c r="C390" s="6"/>
      <c r="D390" s="6"/>
      <c r="E390" s="6"/>
      <c r="F390" s="6"/>
      <c r="G390" s="252"/>
    </row>
    <row r="391" spans="2:7" ht="15" customHeight="1">
      <c r="B391" s="6"/>
      <c r="C391" s="6"/>
      <c r="D391" s="6"/>
      <c r="E391" s="6"/>
      <c r="F391" s="6"/>
      <c r="G391" s="252"/>
    </row>
    <row r="392" spans="2:7" ht="15" customHeight="1">
      <c r="B392" s="6"/>
      <c r="C392" s="223" t="s">
        <v>106</v>
      </c>
      <c r="D392" s="223" t="s">
        <v>109</v>
      </c>
      <c r="E392" s="6"/>
      <c r="F392" s="6"/>
      <c r="G392" s="252"/>
    </row>
    <row r="393" spans="2:7" ht="15" customHeight="1">
      <c r="B393" s="6"/>
      <c r="C393" s="223" t="s">
        <v>108</v>
      </c>
      <c r="D393" s="223" t="s">
        <v>110</v>
      </c>
      <c r="E393" s="6"/>
      <c r="F393" s="6"/>
      <c r="G393" s="252"/>
    </row>
    <row r="394" spans="2:7" ht="15" customHeight="1">
      <c r="B394" s="6"/>
      <c r="C394" s="223" t="s">
        <v>107</v>
      </c>
      <c r="D394" s="223" t="s">
        <v>111</v>
      </c>
      <c r="E394" s="6"/>
      <c r="F394" s="6"/>
      <c r="G394" s="252"/>
    </row>
    <row r="395" spans="2:7" ht="14.25" customHeight="1"/>
    <row r="396" spans="2:7" ht="15.75">
      <c r="B396" s="92" t="s">
        <v>130</v>
      </c>
      <c r="C396" s="92"/>
      <c r="D396" s="48"/>
      <c r="E396" s="48"/>
      <c r="F396" s="48"/>
      <c r="G396" s="48"/>
    </row>
    <row r="397" spans="2:7" ht="15.75">
      <c r="B397" s="92"/>
      <c r="C397" s="92"/>
      <c r="D397" s="48"/>
      <c r="E397" s="48"/>
      <c r="F397" s="48"/>
      <c r="G397" s="48"/>
    </row>
    <row r="398" spans="2:7" ht="15.75">
      <c r="B398" s="92"/>
      <c r="C398" s="92"/>
      <c r="D398" s="20"/>
      <c r="E398" s="48"/>
      <c r="F398" s="48"/>
      <c r="G398" s="48"/>
    </row>
    <row r="399" spans="2:7" ht="15.75">
      <c r="B399" s="92"/>
      <c r="C399" s="92"/>
      <c r="D399" s="20"/>
      <c r="E399" s="48"/>
      <c r="F399" s="48"/>
      <c r="G399" s="48"/>
    </row>
    <row r="400" spans="2:7">
      <c r="B400" s="320" t="s">
        <v>90</v>
      </c>
      <c r="C400" s="320"/>
      <c r="D400" s="320"/>
      <c r="E400" s="320"/>
      <c r="F400" s="320"/>
      <c r="G400" s="48"/>
    </row>
    <row r="401" spans="2:7" ht="15.75">
      <c r="B401" s="92" t="s">
        <v>88</v>
      </c>
      <c r="C401" s="92"/>
      <c r="D401" s="20"/>
      <c r="E401" s="48"/>
      <c r="F401" s="48"/>
      <c r="G401" s="48"/>
    </row>
    <row r="402" spans="2:7" ht="15.75">
      <c r="B402" s="92" t="s">
        <v>91</v>
      </c>
      <c r="C402" s="92"/>
      <c r="D402" s="48"/>
      <c r="E402" s="48"/>
      <c r="F402" s="48"/>
      <c r="G402" s="48"/>
    </row>
    <row r="403" spans="2:7" ht="15.75">
      <c r="B403" s="92" t="s">
        <v>89</v>
      </c>
      <c r="C403" s="92"/>
      <c r="D403" s="48"/>
      <c r="E403" s="48"/>
      <c r="F403" s="48"/>
      <c r="G403" s="48"/>
    </row>
    <row r="404" spans="2:7">
      <c r="B404" s="48"/>
      <c r="C404" s="48"/>
      <c r="D404" s="48"/>
      <c r="E404" s="48"/>
      <c r="F404" s="48"/>
      <c r="G404" s="48"/>
    </row>
    <row r="405" spans="2:7" ht="15.75">
      <c r="B405" s="93"/>
      <c r="C405" s="92"/>
      <c r="D405" s="48"/>
      <c r="E405" s="48"/>
      <c r="F405" s="48"/>
      <c r="G405" s="48"/>
    </row>
    <row r="406" spans="2:7" ht="15.75">
      <c r="B406" s="92"/>
      <c r="C406" s="92"/>
      <c r="D406" s="48"/>
      <c r="E406" s="48"/>
      <c r="F406" s="48"/>
      <c r="G406" s="48"/>
    </row>
    <row r="407" spans="2:7" ht="15.75">
      <c r="B407" s="318" t="s">
        <v>129</v>
      </c>
      <c r="C407" s="318"/>
      <c r="D407" s="318"/>
      <c r="E407" s="318"/>
      <c r="F407" s="318"/>
      <c r="G407" s="48"/>
    </row>
    <row r="408" spans="2:7" ht="15.75">
      <c r="B408" s="319" t="s">
        <v>92</v>
      </c>
      <c r="C408" s="319"/>
      <c r="D408" s="319"/>
      <c r="E408" s="319"/>
      <c r="F408" s="319"/>
      <c r="G408" s="48"/>
    </row>
    <row r="409" spans="2:7" ht="15.75">
      <c r="B409" s="92" t="s">
        <v>93</v>
      </c>
      <c r="C409" s="92"/>
      <c r="D409" s="35"/>
      <c r="E409" s="35"/>
      <c r="F409" s="48"/>
      <c r="G409" s="48"/>
    </row>
    <row r="410" spans="2:7" ht="15.75">
      <c r="B410" s="92" t="s">
        <v>94</v>
      </c>
      <c r="C410" s="92"/>
      <c r="D410" s="42"/>
      <c r="E410" s="35"/>
      <c r="F410" s="48"/>
      <c r="G410" s="48"/>
    </row>
    <row r="411" spans="2:7" ht="15.75">
      <c r="B411" s="92" t="s">
        <v>95</v>
      </c>
      <c r="C411" s="92"/>
      <c r="D411" s="48"/>
      <c r="E411" s="48"/>
      <c r="F411" s="48"/>
      <c r="G411" s="48"/>
    </row>
    <row r="412" spans="2:7" ht="15.75">
      <c r="B412" s="92" t="s">
        <v>96</v>
      </c>
      <c r="C412" s="92"/>
      <c r="D412" s="48"/>
      <c r="E412" s="48"/>
      <c r="F412" s="48"/>
      <c r="G412" s="48"/>
    </row>
    <row r="413" spans="2:7" ht="15.75">
      <c r="B413" s="92" t="s">
        <v>97</v>
      </c>
      <c r="C413" s="92"/>
      <c r="D413" s="48"/>
      <c r="E413" s="48"/>
      <c r="F413" s="48"/>
      <c r="G413" s="48"/>
    </row>
    <row r="414" spans="2:7" ht="15.75">
      <c r="B414" s="92" t="s">
        <v>98</v>
      </c>
      <c r="C414" s="92"/>
      <c r="D414" s="48"/>
      <c r="E414" s="48"/>
      <c r="F414" s="48"/>
      <c r="G414" s="48"/>
    </row>
    <row r="415" spans="2:7" ht="15.75">
      <c r="B415" s="92" t="s">
        <v>99</v>
      </c>
      <c r="C415" s="92"/>
      <c r="D415" s="48"/>
      <c r="E415" s="48"/>
      <c r="F415" s="48"/>
      <c r="G415" s="48"/>
    </row>
    <row r="416" spans="2:7" ht="15.75">
      <c r="B416" s="92"/>
      <c r="C416" s="92"/>
      <c r="D416" s="48"/>
      <c r="E416" s="48"/>
      <c r="F416" s="48"/>
      <c r="G416" s="48"/>
    </row>
    <row r="417" spans="2:7" ht="15.75">
      <c r="B417" s="93"/>
      <c r="C417" s="92"/>
      <c r="D417" s="48"/>
      <c r="E417" s="48"/>
      <c r="F417" s="48"/>
      <c r="G417" s="48"/>
    </row>
    <row r="418" spans="2:7" ht="15.75">
      <c r="B418" s="92"/>
      <c r="C418" s="92"/>
      <c r="D418" s="48"/>
      <c r="E418" s="48"/>
      <c r="F418" s="48"/>
      <c r="G418" s="48"/>
    </row>
    <row r="419" spans="2:7" ht="15.75">
      <c r="B419" s="92" t="s">
        <v>87</v>
      </c>
      <c r="C419" s="92"/>
      <c r="D419" s="48"/>
      <c r="E419" s="48"/>
      <c r="F419" s="48"/>
      <c r="G419" s="48"/>
    </row>
    <row r="420" spans="2:7" ht="15.75">
      <c r="B420" s="92" t="s">
        <v>153</v>
      </c>
      <c r="C420" s="92"/>
      <c r="D420" s="48"/>
      <c r="E420" s="48"/>
      <c r="F420" s="48"/>
      <c r="G420" s="48"/>
    </row>
    <row r="421" spans="2:7" ht="15.75">
      <c r="B421" s="92" t="s">
        <v>154</v>
      </c>
      <c r="C421" s="92"/>
      <c r="D421" s="48"/>
      <c r="E421" s="48"/>
      <c r="F421" s="48"/>
      <c r="G421" s="48"/>
    </row>
    <row r="422" spans="2:7" ht="15.75">
      <c r="B422" s="92" t="s">
        <v>134</v>
      </c>
    </row>
    <row r="423" spans="2:7" ht="15.75">
      <c r="B423" s="92" t="s">
        <v>138</v>
      </c>
    </row>
    <row r="424" spans="2:7" ht="15.75">
      <c r="B424" s="92"/>
    </row>
    <row r="425" spans="2:7">
      <c r="B425" s="96" t="s">
        <v>232</v>
      </c>
    </row>
    <row r="426" spans="2:7" ht="15" customHeight="1">
      <c r="B426" s="96" t="s">
        <v>231</v>
      </c>
    </row>
    <row r="427" spans="2:7" ht="6.75" customHeight="1"/>
    <row r="428" spans="2:7" ht="15.75">
      <c r="B428" s="92" t="s">
        <v>101</v>
      </c>
    </row>
    <row r="429" spans="2:7" ht="15.75">
      <c r="B429" s="92" t="s">
        <v>102</v>
      </c>
    </row>
    <row r="430" spans="2:7" ht="15.75">
      <c r="B430" s="92" t="s">
        <v>105</v>
      </c>
    </row>
    <row r="431" spans="2:7" ht="15.75">
      <c r="B431" s="92" t="s">
        <v>104</v>
      </c>
    </row>
    <row r="432" spans="2:7" ht="15.75">
      <c r="B432" s="92" t="s">
        <v>103</v>
      </c>
    </row>
    <row r="433" spans="2:4" ht="15.75">
      <c r="B433" s="92" t="s">
        <v>112</v>
      </c>
    </row>
    <row r="434" spans="2:4" ht="15.75">
      <c r="B434" s="92" t="s">
        <v>113</v>
      </c>
    </row>
    <row r="435" spans="2:4" ht="15.75">
      <c r="B435" s="92" t="s">
        <v>114</v>
      </c>
    </row>
    <row r="436" spans="2:4" ht="15.75">
      <c r="B436" s="92" t="s">
        <v>115</v>
      </c>
    </row>
    <row r="437" spans="2:4" ht="15.75">
      <c r="B437" s="92" t="s">
        <v>116</v>
      </c>
    </row>
    <row r="438" spans="2:4" ht="9" customHeight="1">
      <c r="B438" s="92"/>
    </row>
    <row r="439" spans="2:4" ht="15.75">
      <c r="B439" s="92"/>
      <c r="C439" s="97" t="s">
        <v>106</v>
      </c>
      <c r="D439" s="97" t="s">
        <v>109</v>
      </c>
    </row>
    <row r="440" spans="2:4" ht="15.75">
      <c r="B440" s="92"/>
      <c r="C440" s="97" t="s">
        <v>108</v>
      </c>
      <c r="D440" s="97" t="s">
        <v>110</v>
      </c>
    </row>
    <row r="441" spans="2:4" ht="15.75">
      <c r="B441" s="92"/>
      <c r="C441" s="97" t="s">
        <v>107</v>
      </c>
      <c r="D441" s="97" t="s">
        <v>111</v>
      </c>
    </row>
    <row r="442" spans="2:4" ht="10.5" customHeight="1">
      <c r="B442" s="92"/>
      <c r="C442" s="35"/>
      <c r="D442" s="35"/>
    </row>
    <row r="472" spans="2:3">
      <c r="B472" s="32" t="s">
        <v>120</v>
      </c>
    </row>
    <row r="474" spans="2:3">
      <c r="B474" s="98" t="s">
        <v>121</v>
      </c>
      <c r="C474" s="99">
        <f>E86</f>
        <v>15</v>
      </c>
    </row>
    <row r="475" spans="2:3">
      <c r="B475" s="98" t="s">
        <v>158</v>
      </c>
      <c r="C475" s="100">
        <f>MAXA(IF(D77=0,0,D76),IF(E77=0,0,E76),IF(C77=0,0,C76))</f>
        <v>16</v>
      </c>
    </row>
  </sheetData>
  <sheetProtection password="C2CA" sheet="1" objects="1" scenarios="1" selectLockedCells="1"/>
  <protectedRanges>
    <protectedRange sqref="E9:E13 E29:E32" name="Intervallo1_3"/>
    <protectedRange sqref="B77:E78 F75:F82 B398:D401 B80:E81 B83:E83" name="Intervallo2_3"/>
  </protectedRanges>
  <mergeCells count="41">
    <mergeCell ref="B407:F407"/>
    <mergeCell ref="B408:F408"/>
    <mergeCell ref="B400:F400"/>
    <mergeCell ref="C339:E339"/>
    <mergeCell ref="C289:E289"/>
    <mergeCell ref="B290:B308"/>
    <mergeCell ref="C308:E308"/>
    <mergeCell ref="B309:D309"/>
    <mergeCell ref="D338:E338"/>
    <mergeCell ref="D307:E307"/>
    <mergeCell ref="B340:D340"/>
    <mergeCell ref="C313:E313"/>
    <mergeCell ref="D333:E333"/>
    <mergeCell ref="D335:E335"/>
    <mergeCell ref="B314:B339"/>
    <mergeCell ref="C238:E238"/>
    <mergeCell ref="C260:E260"/>
    <mergeCell ref="D253:E253"/>
    <mergeCell ref="D280:E280"/>
    <mergeCell ref="B103:D103"/>
    <mergeCell ref="D251:E251"/>
    <mergeCell ref="D278:E278"/>
    <mergeCell ref="C255:E255"/>
    <mergeCell ref="B239:B255"/>
    <mergeCell ref="B76:B77"/>
    <mergeCell ref="B79:B80"/>
    <mergeCell ref="B82:B83"/>
    <mergeCell ref="B180:C180"/>
    <mergeCell ref="B1:G1"/>
    <mergeCell ref="B85:C85"/>
    <mergeCell ref="B86:C86"/>
    <mergeCell ref="B137:F137"/>
    <mergeCell ref="B138:F138"/>
    <mergeCell ref="B27:D27"/>
    <mergeCell ref="C25:E25"/>
    <mergeCell ref="D49:E49"/>
    <mergeCell ref="D282:E282"/>
    <mergeCell ref="B261:B283"/>
    <mergeCell ref="D331:E331"/>
    <mergeCell ref="C283:E283"/>
    <mergeCell ref="B284:D284"/>
  </mergeCells>
  <conditionalFormatting sqref="B213:C213 C136:D136 D133:D135 F91 C212:D212 F180 C181:D181 C141:D174 G103:G104 G190:G211 F188:F189 E190:E211 D188:D189">
    <cfRule type="cellIs" dxfId="38" priority="52" operator="equal">
      <formula>"verificato"</formula>
    </cfRule>
  </conditionalFormatting>
  <conditionalFormatting sqref="D251:E251 D253 D280:D281 D304">
    <cfRule type="cellIs" dxfId="37" priority="50" operator="equal">
      <formula>"verificato 1/250"</formula>
    </cfRule>
    <cfRule type="cellIs" dxfId="36" priority="51" operator="equal">
      <formula>"verificato 1/250"</formula>
    </cfRule>
  </conditionalFormatting>
  <conditionalFormatting sqref="D331:E331">
    <cfRule type="cellIs" dxfId="35" priority="46" operator="equal">
      <formula>"verificato 1/250"</formula>
    </cfRule>
    <cfRule type="cellIs" dxfId="34" priority="47" operator="equal">
      <formula>"verificato 1/250"</formula>
    </cfRule>
  </conditionalFormatting>
  <conditionalFormatting sqref="D278:E278 D279">
    <cfRule type="cellIs" dxfId="33" priority="48" operator="equal">
      <formula>"verificato 1/250"</formula>
    </cfRule>
    <cfRule type="cellIs" dxfId="32" priority="49" operator="equal">
      <formula>"verificato 1/250"</formula>
    </cfRule>
  </conditionalFormatting>
  <conditionalFormatting sqref="D253:E253">
    <cfRule type="cellIs" dxfId="31" priority="44" operator="equal">
      <formula>" VERIFICATO"</formula>
    </cfRule>
    <cfRule type="cellIs" dxfId="30" priority="45" operator="equal">
      <formula>"VERIFICATO"</formula>
    </cfRule>
  </conditionalFormatting>
  <conditionalFormatting sqref="D333:E333">
    <cfRule type="cellIs" dxfId="29" priority="36" operator="equal">
      <formula>" VERIFICATO"</formula>
    </cfRule>
    <cfRule type="cellIs" dxfId="28" priority="37" operator="equal">
      <formula>"VERIFICATO"</formula>
    </cfRule>
  </conditionalFormatting>
  <conditionalFormatting sqref="D280:E280 D281">
    <cfRule type="cellIs" dxfId="27" priority="40" operator="equal">
      <formula>" VERIFICATO"</formula>
    </cfRule>
    <cfRule type="cellIs" dxfId="26" priority="41" operator="equal">
      <formula>"VERIFICATO"</formula>
    </cfRule>
  </conditionalFormatting>
  <conditionalFormatting sqref="D333">
    <cfRule type="cellIs" dxfId="25" priority="38" operator="equal">
      <formula>"verificato 1/250"</formula>
    </cfRule>
    <cfRule type="cellIs" dxfId="24" priority="39" operator="equal">
      <formula>"verificato 1/250"</formula>
    </cfRule>
  </conditionalFormatting>
  <conditionalFormatting sqref="D282:E282">
    <cfRule type="cellIs" dxfId="23" priority="28" operator="equal">
      <formula>" VERIFICATO"</formula>
    </cfRule>
    <cfRule type="cellIs" dxfId="22" priority="29" operator="equal">
      <formula>"VERIFICATO"</formula>
    </cfRule>
  </conditionalFormatting>
  <conditionalFormatting sqref="D335:E335">
    <cfRule type="cellIs" dxfId="21" priority="32" operator="equal">
      <formula>" VERIFICATO"</formula>
    </cfRule>
    <cfRule type="cellIs" dxfId="20" priority="33" operator="equal">
      <formula>"VERIFICATO"</formula>
    </cfRule>
  </conditionalFormatting>
  <conditionalFormatting sqref="D335">
    <cfRule type="cellIs" dxfId="19" priority="34" operator="equal">
      <formula>"verificato 1/250"</formula>
    </cfRule>
    <cfRule type="cellIs" dxfId="18" priority="35" operator="equal">
      <formula>"verificato 1/250"</formula>
    </cfRule>
  </conditionalFormatting>
  <conditionalFormatting sqref="D282">
    <cfRule type="cellIs" dxfId="17" priority="30" operator="equal">
      <formula>"verificato 1/250"</formula>
    </cfRule>
    <cfRule type="cellIs" dxfId="16" priority="31" operator="equal">
      <formula>"verificato 1/250"</formula>
    </cfRule>
  </conditionalFormatting>
  <conditionalFormatting sqref="F94">
    <cfRule type="cellIs" dxfId="15" priority="24" operator="equal">
      <formula>"verificato"</formula>
    </cfRule>
  </conditionalFormatting>
  <conditionalFormatting sqref="F97">
    <cfRule type="cellIs" dxfId="14" priority="20" operator="equal">
      <formula>"verificato"</formula>
    </cfRule>
  </conditionalFormatting>
  <conditionalFormatting sqref="D338:E338">
    <cfRule type="cellIs" dxfId="13" priority="5" operator="equal">
      <formula>" VERIFICATO"</formula>
    </cfRule>
    <cfRule type="cellIs" dxfId="12" priority="6" operator="equal">
      <formula>"VERIFICATO"</formula>
    </cfRule>
  </conditionalFormatting>
  <conditionalFormatting sqref="D305:D306">
    <cfRule type="cellIs" dxfId="11" priority="17" operator="equal">
      <formula>"verificato 1/250"</formula>
    </cfRule>
    <cfRule type="cellIs" dxfId="10" priority="18" operator="equal">
      <formula>"verificato 1/250"</formula>
    </cfRule>
  </conditionalFormatting>
  <conditionalFormatting sqref="D303">
    <cfRule type="cellIs" dxfId="9" priority="15" operator="equal">
      <formula>"verificato 1/250"</formula>
    </cfRule>
    <cfRule type="cellIs" dxfId="8" priority="16" operator="equal">
      <formula>"verificato 1/250"</formula>
    </cfRule>
  </conditionalFormatting>
  <conditionalFormatting sqref="D304:D306">
    <cfRule type="cellIs" dxfId="7" priority="13" operator="equal">
      <formula>" VERIFICATO"</formula>
    </cfRule>
    <cfRule type="cellIs" dxfId="6" priority="14" operator="equal">
      <formula>"VERIFICATO"</formula>
    </cfRule>
  </conditionalFormatting>
  <conditionalFormatting sqref="D307:E307">
    <cfRule type="cellIs" dxfId="5" priority="1" operator="equal">
      <formula>" VERIFICATO"</formula>
    </cfRule>
    <cfRule type="cellIs" dxfId="4" priority="2" operator="equal">
      <formula>"VERIFICATO"</formula>
    </cfRule>
  </conditionalFormatting>
  <conditionalFormatting sqref="D338">
    <cfRule type="cellIs" dxfId="3" priority="7" operator="equal">
      <formula>"verificato 1/250"</formula>
    </cfRule>
    <cfRule type="cellIs" dxfId="2" priority="8" operator="equal">
      <formula>"verificato 1/250"</formula>
    </cfRule>
  </conditionalFormatting>
  <conditionalFormatting sqref="D307">
    <cfRule type="cellIs" dxfId="1" priority="3" operator="equal">
      <formula>"verificato 1/250"</formula>
    </cfRule>
    <cfRule type="cellIs" dxfId="0" priority="4" operator="equal">
      <formula>"verificato 1/250"</formula>
    </cfRule>
  </conditionalFormatting>
  <dataValidations count="5">
    <dataValidation type="list" allowBlank="1" showInputMessage="1" showErrorMessage="1" sqref="E340 E309 E27 E284">
      <formula1>SN</formula1>
    </dataValidation>
    <dataValidation type="list" allowBlank="1" showInputMessage="1" showErrorMessage="1" sqref="E25 D25:D26 C25">
      <formula1>ca</formula1>
    </dataValidation>
    <dataValidation type="list" allowBlank="1" showInputMessage="1" showErrorMessage="1" sqref="C265 C294 C318">
      <formula1>comb</formula1>
    </dataValidation>
    <dataValidation type="list" allowBlank="1" showInputMessage="1" showErrorMessage="1" sqref="E14 E19">
      <formula1>cals</formula1>
    </dataValidation>
    <dataValidation type="list" allowBlank="1" showInputMessage="1" showErrorMessage="1" sqref="E15">
      <formula1>fe</formula1>
    </dataValidation>
  </dataValidations>
  <pageMargins left="0.78740157480314965" right="0.59055118110236215" top="0.47244094488188976" bottom="0.47244094488188976" header="0.31496062992125984" footer="0.31496062992125984"/>
  <pageSetup paperSize="9" scale="84" fitToHeight="0" orientation="portrait" r:id="rId1"/>
  <rowBreaks count="5" manualBreakCount="5">
    <brk id="111" max="16383" man="1"/>
    <brk id="171" max="16383" man="1"/>
    <brk id="232" max="16383" man="1"/>
    <brk id="285" max="16383" man="1"/>
    <brk id="349" max="16383" man="1"/>
  </rowBreaks>
  <colBreaks count="1" manualBreakCount="1">
    <brk id="1" max="1048575" man="1"/>
  </col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C151"/>
  <sheetViews>
    <sheetView topLeftCell="A100" workbookViewId="0">
      <selection activeCell="E120" sqref="E120"/>
    </sheetView>
  </sheetViews>
  <sheetFormatPr defaultRowHeight="15"/>
  <cols>
    <col min="2" max="4" width="14.7109375" customWidth="1"/>
    <col min="5" max="5" width="21" customWidth="1"/>
    <col min="6" max="12" width="14.7109375" customWidth="1"/>
  </cols>
  <sheetData>
    <row r="2" spans="2:29">
      <c r="G2" s="103"/>
      <c r="H2" s="103"/>
      <c r="I2" s="103"/>
      <c r="J2" s="103"/>
      <c r="K2" s="103"/>
      <c r="N2" s="32" t="s">
        <v>213</v>
      </c>
      <c r="O2" s="32" t="s">
        <v>191</v>
      </c>
      <c r="P2" s="3" t="s">
        <v>178</v>
      </c>
      <c r="Q2" s="3" t="s">
        <v>76</v>
      </c>
      <c r="R2" s="3" t="s">
        <v>194</v>
      </c>
      <c r="S2" s="3" t="s">
        <v>193</v>
      </c>
      <c r="T2" s="3" t="s">
        <v>180</v>
      </c>
      <c r="U2" s="3" t="s">
        <v>195</v>
      </c>
      <c r="V2" s="3" t="s">
        <v>196</v>
      </c>
      <c r="X2" t="s">
        <v>179</v>
      </c>
      <c r="Y2" s="151">
        <f>'Pred. solaio a pannello '!C63</f>
        <v>31.024999999999999</v>
      </c>
    </row>
    <row r="3" spans="2:29">
      <c r="B3" s="333" t="s">
        <v>311</v>
      </c>
      <c r="C3" s="333"/>
      <c r="D3" s="333"/>
      <c r="E3" s="333"/>
      <c r="F3" s="333"/>
      <c r="G3" s="333"/>
      <c r="H3" s="333"/>
      <c r="I3" s="333"/>
      <c r="J3" s="333"/>
      <c r="K3" s="103"/>
      <c r="N3" s="220">
        <f>N4</f>
        <v>-8.1000000000000003E-2</v>
      </c>
      <c r="O3" s="220"/>
      <c r="P3" s="220">
        <v>0</v>
      </c>
      <c r="Q3" s="220">
        <f t="shared" ref="Q3:T3" si="0">Q4</f>
        <v>0</v>
      </c>
      <c r="R3" s="220">
        <f t="shared" si="0"/>
        <v>0</v>
      </c>
      <c r="S3" s="220">
        <v>0</v>
      </c>
      <c r="T3" s="220">
        <f t="shared" si="0"/>
        <v>78.09985677725733</v>
      </c>
      <c r="U3" s="220">
        <v>0</v>
      </c>
      <c r="V3" s="220">
        <v>0</v>
      </c>
      <c r="Y3" s="151"/>
    </row>
    <row r="4" spans="2:29">
      <c r="G4" s="103"/>
      <c r="H4" s="103"/>
      <c r="I4" s="103"/>
      <c r="J4" s="103"/>
      <c r="K4" s="103"/>
      <c r="N4" s="156">
        <f t="shared" ref="N4:N35" si="1">Q4-$Z$13/1000</f>
        <v>-8.1000000000000003E-2</v>
      </c>
      <c r="O4" s="163"/>
      <c r="P4" s="1">
        <v>0</v>
      </c>
      <c r="Q4" s="171">
        <f>'Pred. solaio a pannello '!$E$22/$P$109*P4</f>
        <v>0</v>
      </c>
      <c r="R4" s="64">
        <f t="shared" ref="R4:R35" si="2">$Y$2*$Q$109*Q4/2-$Y$2*Q4^2/2</f>
        <v>0</v>
      </c>
      <c r="S4" s="64">
        <f t="shared" ref="S4:S35" si="3">-$Y$2*$Q$109/2+$Y$2*Q4</f>
        <v>-86.86999999999999</v>
      </c>
      <c r="T4" s="64">
        <f>IF(Q4&lt;=$AA$11,$AC$11,'Pred. solaio a pannello '!$G$94)</f>
        <v>78.09985677725733</v>
      </c>
      <c r="U4" s="64">
        <f>'Pred. solaio a pannello '!$C$188</f>
        <v>266.48808784913786</v>
      </c>
      <c r="V4" s="64">
        <f>-'Pred. solaio a pannello '!$C$188</f>
        <v>-266.48808784913786</v>
      </c>
    </row>
    <row r="5" spans="2:29">
      <c r="B5" s="1" t="s">
        <v>80</v>
      </c>
      <c r="D5" t="s">
        <v>123</v>
      </c>
      <c r="F5" s="39" t="s">
        <v>155</v>
      </c>
      <c r="G5">
        <f>'Pred. solaio a pannello '!E39+'Pred. solaio a pannello '!E36+'Pred. solaio a pannello '!E33</f>
        <v>21.75</v>
      </c>
      <c r="H5" t="s">
        <v>275</v>
      </c>
      <c r="I5">
        <f>22000*((Foglio1!H141*0.83+8)/10)^0.3</f>
        <v>33642.777677364676</v>
      </c>
      <c r="N5" s="156">
        <f t="shared" si="1"/>
        <v>-2.6631067961165052E-2</v>
      </c>
      <c r="O5" s="163"/>
      <c r="P5" s="1">
        <f t="shared" ref="P5:P29" si="4">P4+1</f>
        <v>1</v>
      </c>
      <c r="Q5" s="171">
        <f>'Pred. solaio a pannello '!$E$22/$P$109*P5</f>
        <v>5.4368932038834951E-2</v>
      </c>
      <c r="R5" s="64">
        <f t="shared" si="2"/>
        <v>4.6771744745027801</v>
      </c>
      <c r="S5" s="64">
        <f t="shared" si="3"/>
        <v>-85.183203883495139</v>
      </c>
      <c r="T5" s="64">
        <f>IF(Q5&lt;=$AA$11,$AC$11,'Pred. solaio a pannello '!$G$94)</f>
        <v>78.09985677725733</v>
      </c>
      <c r="U5" s="64">
        <f>'Pred. solaio a pannello '!$C$188</f>
        <v>266.48808784913786</v>
      </c>
      <c r="V5" s="64">
        <f>-'Pred. solaio a pannello '!$C$188</f>
        <v>-266.48808784913786</v>
      </c>
      <c r="X5" t="s">
        <v>52</v>
      </c>
      <c r="Y5">
        <f>Foglio1!J41</f>
        <v>2500</v>
      </c>
    </row>
    <row r="6" spans="2:29">
      <c r="B6" s="1" t="s">
        <v>81</v>
      </c>
      <c r="D6" t="s">
        <v>124</v>
      </c>
      <c r="F6" s="39" t="s">
        <v>281</v>
      </c>
      <c r="G6">
        <f>'Pred. solaio a pannello '!E39+'Pred. solaio a pannello '!E36+0.5*'Pred. solaio a pannello '!E33</f>
        <v>16.75</v>
      </c>
      <c r="H6" t="s">
        <v>276</v>
      </c>
      <c r="I6">
        <f>22000*((Foglio1!H142*0.83+8)/10)^0.3</f>
        <v>31447.161439943484</v>
      </c>
      <c r="N6" s="156">
        <f t="shared" si="1"/>
        <v>2.7737864077669899E-2</v>
      </c>
      <c r="O6" s="163"/>
      <c r="P6" s="1">
        <f t="shared" si="4"/>
        <v>2</v>
      </c>
      <c r="Q6" s="171">
        <f>'Pred. solaio a pannello '!$E$22/$P$109*P6</f>
        <v>0.1087378640776699</v>
      </c>
      <c r="R6" s="64">
        <f t="shared" si="2"/>
        <v>9.2626396455839384</v>
      </c>
      <c r="S6" s="64">
        <f t="shared" si="3"/>
        <v>-83.496407766990288</v>
      </c>
      <c r="T6" s="64">
        <f>IF(Q6&lt;=$AA$11,$AC$11,'Pred. solaio a pannello '!$G$94)</f>
        <v>78.09985677725733</v>
      </c>
      <c r="U6" s="64">
        <f>'Pred. solaio a pannello '!$C$188</f>
        <v>266.48808784913786</v>
      </c>
      <c r="V6" s="64">
        <f>-'Pred. solaio a pannello '!$C$188</f>
        <v>-266.48808784913786</v>
      </c>
      <c r="X6" t="s">
        <v>186</v>
      </c>
      <c r="Y6">
        <f>Foglio1!J42</f>
        <v>700</v>
      </c>
    </row>
    <row r="7" spans="2:29">
      <c r="D7" t="s">
        <v>125</v>
      </c>
      <c r="F7" s="39" t="s">
        <v>157</v>
      </c>
      <c r="G7">
        <f>'Pred. solaio a pannello '!E39+'Pred. solaio a pannello '!E36+0.3*'Pred. solaio a pannello '!E33</f>
        <v>14.75</v>
      </c>
      <c r="H7" t="s">
        <v>277</v>
      </c>
      <c r="I7">
        <f>I6/I5</f>
        <v>0.93473736745291303</v>
      </c>
      <c r="N7" s="156">
        <f t="shared" si="1"/>
        <v>8.2106796116504857E-2</v>
      </c>
      <c r="O7" s="163"/>
      <c r="P7" s="1">
        <f t="shared" si="4"/>
        <v>3</v>
      </c>
      <c r="Q7" s="171">
        <f>'Pred. solaio a pannello '!$E$22/$P$109*P7</f>
        <v>0.16310679611650486</v>
      </c>
      <c r="R7" s="64">
        <f t="shared" si="2"/>
        <v>13.75639551324347</v>
      </c>
      <c r="S7" s="64">
        <f t="shared" si="3"/>
        <v>-81.809611650485422</v>
      </c>
      <c r="T7" s="64">
        <f>IF(Q7&lt;=$AA$11,$AC$11,'Pred. solaio a pannello '!$G$94)</f>
        <v>78.09985677725733</v>
      </c>
      <c r="U7" s="64">
        <f>'Pred. solaio a pannello '!$C$188</f>
        <v>266.48808784913786</v>
      </c>
      <c r="V7" s="64">
        <f>-'Pred. solaio a pannello '!$C$188</f>
        <v>-266.48808784913786</v>
      </c>
      <c r="X7" t="s">
        <v>68</v>
      </c>
      <c r="Y7">
        <f>Foglio1!J43</f>
        <v>106.08424204717478</v>
      </c>
    </row>
    <row r="8" spans="2:29">
      <c r="D8" t="s">
        <v>181</v>
      </c>
      <c r="N8" s="156">
        <f t="shared" si="1"/>
        <v>0.13647572815533981</v>
      </c>
      <c r="P8" s="1">
        <f t="shared" si="4"/>
        <v>4</v>
      </c>
      <c r="Q8" s="171">
        <f>'Pred. solaio a pannello '!$E$22/$P$109*P8</f>
        <v>0.2174757281553398</v>
      </c>
      <c r="R8" s="64">
        <f t="shared" si="2"/>
        <v>18.158442077481382</v>
      </c>
      <c r="S8" s="64">
        <f t="shared" si="3"/>
        <v>-80.122815533980571</v>
      </c>
      <c r="T8" s="64">
        <f>IF(Q8&lt;=$AA$11,$AC$11,'Pred. solaio a pannello '!$G$94)</f>
        <v>78.09985677725733</v>
      </c>
      <c r="U8" s="64">
        <f>'Pred. solaio a pannello '!$C$188</f>
        <v>266.48808784913786</v>
      </c>
      <c r="V8" s="64">
        <f>-'Pred. solaio a pannello '!$C$188</f>
        <v>-266.48808784913786</v>
      </c>
      <c r="X8" t="s">
        <v>19</v>
      </c>
      <c r="Y8">
        <f>Foglio1!J44</f>
        <v>236.08424204717477</v>
      </c>
    </row>
    <row r="9" spans="2:29">
      <c r="B9" s="38"/>
      <c r="D9" s="38">
        <f>('Pred. solaio a pannello '!E9-'Pred. solaio a pannello '!E29)/'Pred. solaio a pannello '!D261*'Pred. solaio a pannello '!E12</f>
        <v>14418.333290299148</v>
      </c>
      <c r="N9" s="156">
        <f t="shared" si="1"/>
        <v>0.19084466019417473</v>
      </c>
      <c r="P9" s="1">
        <f t="shared" si="4"/>
        <v>5</v>
      </c>
      <c r="Q9" s="171">
        <f>'Pred. solaio a pannello '!$E$22/$P$109*P9</f>
        <v>0.27184466019417475</v>
      </c>
      <c r="R9" s="64">
        <f t="shared" si="2"/>
        <v>22.468779338297669</v>
      </c>
      <c r="S9" s="64">
        <f t="shared" si="3"/>
        <v>-78.43601941747572</v>
      </c>
      <c r="T9" s="64">
        <f>IF(Q9&lt;=$AA$11,$AC$11,'Pred. solaio a pannello '!$G$94)</f>
        <v>78.09985677725733</v>
      </c>
      <c r="U9" s="64">
        <f>'Pred. solaio a pannello '!$C$188</f>
        <v>266.48808784913786</v>
      </c>
      <c r="V9" s="64">
        <f>-'Pred. solaio a pannello '!$C$188</f>
        <v>-266.48808784913786</v>
      </c>
      <c r="X9" t="s">
        <v>54</v>
      </c>
      <c r="Y9">
        <f>Foglio1!J45</f>
        <v>20</v>
      </c>
    </row>
    <row r="10" spans="2:29">
      <c r="B10" t="s">
        <v>182</v>
      </c>
      <c r="D10" t="s">
        <v>182</v>
      </c>
      <c r="N10" s="156">
        <f t="shared" si="1"/>
        <v>0.2452135922330097</v>
      </c>
      <c r="P10" s="1">
        <f t="shared" si="4"/>
        <v>6</v>
      </c>
      <c r="Q10" s="171">
        <f>'Pred. solaio a pannello '!$E$22/$P$109*P10</f>
        <v>0.32621359223300972</v>
      </c>
      <c r="R10" s="64">
        <f t="shared" si="2"/>
        <v>26.687407295692331</v>
      </c>
      <c r="S10" s="64">
        <f t="shared" si="3"/>
        <v>-76.749223300970868</v>
      </c>
      <c r="T10" s="64">
        <f>IF(Q10&lt;=$AA$11,$AC$11,'Pred. solaio a pannello '!$G$94)</f>
        <v>78.09985677725733</v>
      </c>
      <c r="U10" s="64">
        <f>'Pred. solaio a pannello '!$C$188</f>
        <v>266.48808784913786</v>
      </c>
      <c r="V10" s="64">
        <f>-'Pred. solaio a pannello '!$C$188</f>
        <v>-266.48808784913786</v>
      </c>
    </row>
    <row r="11" spans="2:29">
      <c r="B11" s="38">
        <f>D11</f>
        <v>245.43692606170262</v>
      </c>
      <c r="D11" s="38">
        <f>('Pred. solaio a pannello '!D85/2)^2*PI()*'Pred. solaio a pannello '!E9/('Pred. solaio a pannello '!E85*10)</f>
        <v>245.43692606170262</v>
      </c>
      <c r="N11" s="156">
        <f t="shared" si="1"/>
        <v>0.29958252427184462</v>
      </c>
      <c r="P11" s="1">
        <f t="shared" si="4"/>
        <v>7</v>
      </c>
      <c r="Q11" s="171">
        <f>'Pred. solaio a pannello '!$E$22/$P$109*P11</f>
        <v>0.38058252427184464</v>
      </c>
      <c r="R11" s="64">
        <f t="shared" si="2"/>
        <v>30.814325949665374</v>
      </c>
      <c r="S11" s="64">
        <f t="shared" si="3"/>
        <v>-75.062427184466017</v>
      </c>
      <c r="T11" s="64">
        <f>IF(Q11&lt;=$AA$11,$AC$11,'Pred. solaio a pannello '!$G$94)</f>
        <v>78.09985677725733</v>
      </c>
      <c r="U11" s="64">
        <f>'Pred. solaio a pannello '!$C$188</f>
        <v>266.48808784913786</v>
      </c>
      <c r="V11" s="64">
        <f>-'Pred. solaio a pannello '!$C$188</f>
        <v>-266.48808784913786</v>
      </c>
      <c r="X11" s="334" t="s">
        <v>207</v>
      </c>
      <c r="Y11" s="334"/>
      <c r="Z11" s="178">
        <f>'Pred. solaio a pannello '!C178</f>
        <v>60</v>
      </c>
      <c r="AA11">
        <f>Z11/100</f>
        <v>0.6</v>
      </c>
      <c r="AC11" s="64">
        <f>'Pred. solaio a pannello '!G97</f>
        <v>78.09985677725733</v>
      </c>
    </row>
    <row r="12" spans="2:29">
      <c r="B12" t="s">
        <v>183</v>
      </c>
      <c r="D12" t="s">
        <v>183</v>
      </c>
      <c r="N12" s="156">
        <f t="shared" si="1"/>
        <v>0.35395145631067959</v>
      </c>
      <c r="P12" s="1">
        <f t="shared" si="4"/>
        <v>8</v>
      </c>
      <c r="Q12" s="171">
        <f>'Pred. solaio a pannello '!$E$22/$P$109*P12</f>
        <v>0.43495145631067961</v>
      </c>
      <c r="R12" s="64">
        <f t="shared" si="2"/>
        <v>34.849535300216793</v>
      </c>
      <c r="S12" s="64">
        <f t="shared" si="3"/>
        <v>-73.375631067961152</v>
      </c>
      <c r="T12" s="64">
        <f>IF(Q12&lt;=$AA$11,$AC$11,'Pred. solaio a pannello '!$G$94)</f>
        <v>78.09985677725733</v>
      </c>
      <c r="U12" s="64">
        <f>'Pred. solaio a pannello '!$C$188</f>
        <v>266.48808784913786</v>
      </c>
      <c r="V12" s="64">
        <f>-'Pred. solaio a pannello '!$C$188</f>
        <v>-266.48808784913786</v>
      </c>
    </row>
    <row r="13" spans="2:29">
      <c r="B13" s="155">
        <f>D13</f>
        <v>2036.2756383017845</v>
      </c>
      <c r="D13" s="155">
        <f>'Pred. solaio a pannello '!D91</f>
        <v>2036.2756383017845</v>
      </c>
      <c r="N13" s="156">
        <f t="shared" si="1"/>
        <v>0.40832038834951456</v>
      </c>
      <c r="P13" s="1">
        <f t="shared" si="4"/>
        <v>9</v>
      </c>
      <c r="Q13" s="171">
        <f>'Pred. solaio a pannello '!$E$22/$P$109*P13</f>
        <v>0.48932038834951458</v>
      </c>
      <c r="R13" s="64">
        <f t="shared" si="2"/>
        <v>38.793035347346589</v>
      </c>
      <c r="S13" s="64">
        <f t="shared" si="3"/>
        <v>-71.6888349514563</v>
      </c>
      <c r="T13" s="64">
        <f>IF(Q13&lt;=$AA$11,$AC$11,'Pred. solaio a pannello '!$G$94)</f>
        <v>78.09985677725733</v>
      </c>
      <c r="U13" s="64">
        <f>'Pred. solaio a pannello '!$C$188</f>
        <v>266.48808784913786</v>
      </c>
      <c r="V13" s="64">
        <f>-'Pred. solaio a pannello '!$C$188</f>
        <v>-266.48808784913786</v>
      </c>
      <c r="X13" t="s">
        <v>217</v>
      </c>
      <c r="Z13" s="161">
        <f>'Pred. solaio a pannello '!C111</f>
        <v>81</v>
      </c>
    </row>
    <row r="14" spans="2:29">
      <c r="B14" t="s">
        <v>187</v>
      </c>
      <c r="C14" s="38"/>
      <c r="D14" t="s">
        <v>187</v>
      </c>
      <c r="N14" s="156">
        <f t="shared" si="1"/>
        <v>0.46268932038834948</v>
      </c>
      <c r="P14" s="1">
        <f t="shared" si="4"/>
        <v>10</v>
      </c>
      <c r="Q14" s="171">
        <f>'Pred. solaio a pannello '!$E$22/$P$109*P14</f>
        <v>0.5436893203883495</v>
      </c>
      <c r="R14" s="64">
        <f t="shared" si="2"/>
        <v>42.64482609105476</v>
      </c>
      <c r="S14" s="64">
        <f t="shared" si="3"/>
        <v>-70.002038834951449</v>
      </c>
      <c r="T14" s="64">
        <f>IF(Q14&lt;=$AA$11,$AC$11,'Pred. solaio a pannello '!$G$94)</f>
        <v>78.09985677725733</v>
      </c>
      <c r="U14" s="64">
        <f>'Pred. solaio a pannello '!$C$188</f>
        <v>266.48808784913786</v>
      </c>
      <c r="V14" s="64">
        <f>-'Pred. solaio a pannello '!$C$188</f>
        <v>-266.48808784913786</v>
      </c>
    </row>
    <row r="15" spans="2:29">
      <c r="B15" s="156">
        <f>B11+B13</f>
        <v>2281.7125643634872</v>
      </c>
      <c r="C15" s="38"/>
      <c r="D15" s="156">
        <f>D9+D11+D13</f>
        <v>16700.045854662636</v>
      </c>
      <c r="N15" s="156">
        <f t="shared" si="1"/>
        <v>0.51705825242718451</v>
      </c>
      <c r="P15" s="1">
        <f t="shared" si="4"/>
        <v>11</v>
      </c>
      <c r="Q15" s="171">
        <f>'Pred. solaio a pannello '!$E$22/$P$109*P15</f>
        <v>0.59805825242718447</v>
      </c>
      <c r="R15" s="64">
        <f t="shared" si="2"/>
        <v>46.404907531341308</v>
      </c>
      <c r="S15" s="64">
        <f t="shared" si="3"/>
        <v>-68.315242718446598</v>
      </c>
      <c r="T15" s="64">
        <f>IF(Q15&lt;=$AA$11,$AC$11,'Pred. solaio a pannello '!$G$94)</f>
        <v>78.09985677725733</v>
      </c>
      <c r="U15" s="64">
        <f>'Pred. solaio a pannello '!$C$188</f>
        <v>266.48808784913786</v>
      </c>
      <c r="V15" s="64">
        <f>-'Pred. solaio a pannello '!$C$188</f>
        <v>-266.48808784913786</v>
      </c>
    </row>
    <row r="16" spans="2:29">
      <c r="B16" s="112"/>
      <c r="C16" s="113"/>
      <c r="D16" s="113"/>
      <c r="E16" s="113"/>
      <c r="F16" s="114"/>
      <c r="G16" s="115"/>
      <c r="I16" t="s">
        <v>52</v>
      </c>
      <c r="J16">
        <f>J41</f>
        <v>2500</v>
      </c>
      <c r="N16" s="156">
        <f t="shared" si="1"/>
        <v>0.57142718446601948</v>
      </c>
      <c r="P16" s="1">
        <f t="shared" si="4"/>
        <v>12</v>
      </c>
      <c r="Q16" s="171">
        <f>'Pred. solaio a pannello '!$E$22/$P$109*P16</f>
        <v>0.65242718446601944</v>
      </c>
      <c r="R16" s="64">
        <f t="shared" si="2"/>
        <v>50.073279668206233</v>
      </c>
      <c r="S16" s="64">
        <f t="shared" si="3"/>
        <v>-66.628446601941732</v>
      </c>
      <c r="T16" s="64">
        <f>IF(Q16&lt;=$AA$11,$AC$11,'Pred. solaio a pannello '!$G$94)</f>
        <v>129.08216872365227</v>
      </c>
      <c r="U16" s="64">
        <f>'Pred. solaio a pannello '!$C$188</f>
        <v>266.48808784913786</v>
      </c>
      <c r="V16" s="64">
        <f>-'Pred. solaio a pannello '!$C$188</f>
        <v>-266.48808784913786</v>
      </c>
    </row>
    <row r="17" spans="2:22">
      <c r="B17" s="116" t="s">
        <v>147</v>
      </c>
      <c r="C17" s="48"/>
      <c r="D17" s="117" t="s">
        <v>148</v>
      </c>
      <c r="E17" s="117"/>
      <c r="F17" s="117" t="s">
        <v>150</v>
      </c>
      <c r="G17" s="118"/>
      <c r="I17" t="s">
        <v>186</v>
      </c>
      <c r="J17">
        <f>J42</f>
        <v>700</v>
      </c>
      <c r="N17" s="156">
        <f t="shared" si="1"/>
        <v>0.62579611650485445</v>
      </c>
      <c r="P17" s="1">
        <f t="shared" si="4"/>
        <v>13</v>
      </c>
      <c r="Q17" s="171">
        <f>'Pred. solaio a pannello '!$E$22/$P$109*P17</f>
        <v>0.70679611650485441</v>
      </c>
      <c r="R17" s="64">
        <f t="shared" si="2"/>
        <v>53.649942501649541</v>
      </c>
      <c r="S17" s="64">
        <f t="shared" si="3"/>
        <v>-64.941650485436881</v>
      </c>
      <c r="T17" s="64">
        <f>IF(Q17&lt;=$AA$11,$AC$11,'Pred. solaio a pannello '!$G$94)</f>
        <v>129.08216872365227</v>
      </c>
      <c r="U17" s="64">
        <f>'Pred. solaio a pannello '!$C$188</f>
        <v>266.48808784913786</v>
      </c>
      <c r="V17" s="64">
        <f>-'Pred. solaio a pannello '!$C$188</f>
        <v>-266.48808784913786</v>
      </c>
    </row>
    <row r="18" spans="2:22">
      <c r="B18" s="116">
        <f>B26*(-1+(1+2*B20/B26)^0.5)</f>
        <v>43.876908921386992</v>
      </c>
      <c r="C18" s="117"/>
      <c r="D18" s="117">
        <f>D26*(-1+(1+2*D20/D26)^0.5)</f>
        <v>61.977988989146631</v>
      </c>
      <c r="E18" s="117"/>
      <c r="F18" s="117">
        <f>F26*(-1+(1+2*F20/F26)^0.5)</f>
        <v>37.999041247999507</v>
      </c>
      <c r="G18" s="118"/>
      <c r="I18" t="s">
        <v>68</v>
      </c>
      <c r="J18">
        <f>IF('Pred. solaio a pannello '!E27="SI",'Pred. solaio a pannello '!E12+'Pred. solaio a pannello '!E18*I7,'Pred. solaio a pannello '!E12)</f>
        <v>106.08424204717478</v>
      </c>
      <c r="N18" s="156">
        <f t="shared" si="1"/>
        <v>0.68016504854368931</v>
      </c>
      <c r="P18" s="1">
        <f t="shared" si="4"/>
        <v>14</v>
      </c>
      <c r="Q18" s="171">
        <f>'Pred. solaio a pannello '!$E$22/$P$109*P18</f>
        <v>0.76116504854368927</v>
      </c>
      <c r="R18" s="64">
        <f t="shared" si="2"/>
        <v>57.134896031671211</v>
      </c>
      <c r="S18" s="64">
        <f t="shared" si="3"/>
        <v>-63.25485436893203</v>
      </c>
      <c r="T18" s="64">
        <f>IF(Q18&lt;=$AA$11,$AC$11,'Pred. solaio a pannello '!$G$94)</f>
        <v>129.08216872365227</v>
      </c>
      <c r="U18" s="64">
        <f>'Pred. solaio a pannello '!$C$188</f>
        <v>266.48808784913786</v>
      </c>
      <c r="V18" s="64">
        <f>-'Pred. solaio a pannello '!$C$188</f>
        <v>-266.48808784913786</v>
      </c>
    </row>
    <row r="19" spans="2:22">
      <c r="B19" s="116" t="s">
        <v>146</v>
      </c>
      <c r="C19" s="48"/>
      <c r="D19" s="117" t="s">
        <v>146</v>
      </c>
      <c r="E19" s="117"/>
      <c r="F19" s="48" t="s">
        <v>19</v>
      </c>
      <c r="G19" s="118"/>
      <c r="I19" t="s">
        <v>19</v>
      </c>
      <c r="J19">
        <f>IF('Pred. solaio a pannello '!E27="SI",'Pred. solaio a pannello '!E30+'Pred. solaio a pannello '!E18*I7,'Pred. solaio a pannello '!E30)</f>
        <v>236.08424204717477</v>
      </c>
      <c r="N19" s="156">
        <f t="shared" si="1"/>
        <v>0.73453398058252428</v>
      </c>
      <c r="P19" s="1">
        <f t="shared" si="4"/>
        <v>15</v>
      </c>
      <c r="Q19" s="171">
        <f>'Pred. solaio a pannello '!$E$22/$P$109*P19</f>
        <v>0.81553398058252424</v>
      </c>
      <c r="R19" s="64">
        <f t="shared" si="2"/>
        <v>60.528140258271264</v>
      </c>
      <c r="S19" s="64">
        <f t="shared" si="3"/>
        <v>-61.568058252427178</v>
      </c>
      <c r="T19" s="64">
        <f>IF(Q19&lt;=$AA$11,$AC$11,'Pred. solaio a pannello '!$G$94)</f>
        <v>129.08216872365227</v>
      </c>
      <c r="U19" s="64">
        <f>'Pred. solaio a pannello '!$C$188</f>
        <v>266.48808784913786</v>
      </c>
      <c r="V19" s="64">
        <f>-'Pred. solaio a pannello '!$C$188</f>
        <v>-266.48808784913786</v>
      </c>
    </row>
    <row r="20" spans="2:22">
      <c r="B20" s="116">
        <f>(B11*J20+B13*J19)/(B11+B13)</f>
        <v>212.8407130563852</v>
      </c>
      <c r="C20" s="48"/>
      <c r="D20" s="48">
        <f>(D9*J18/2+D11*J20+D13*J19)/D15</f>
        <v>74.875261985115344</v>
      </c>
      <c r="E20" s="117"/>
      <c r="F20" s="120">
        <f>'Pred. solaio a pannello '!E30</f>
        <v>180</v>
      </c>
      <c r="G20" s="118"/>
      <c r="I20" t="s">
        <v>54</v>
      </c>
      <c r="J20">
        <f>J45</f>
        <v>20</v>
      </c>
      <c r="N20" s="156">
        <f t="shared" si="1"/>
        <v>0.78890291262135925</v>
      </c>
      <c r="P20" s="1">
        <f t="shared" si="4"/>
        <v>16</v>
      </c>
      <c r="Q20" s="171">
        <f>'Pred. solaio a pannello '!$E$22/$P$109*P20</f>
        <v>0.86990291262135921</v>
      </c>
      <c r="R20" s="64">
        <f t="shared" si="2"/>
        <v>63.829675181449709</v>
      </c>
      <c r="S20" s="64">
        <f t="shared" si="3"/>
        <v>-59.881262135922327</v>
      </c>
      <c r="T20" s="64">
        <f>IF(Q20&lt;=$AA$11,$AC$11,'Pred. solaio a pannello '!$G$94)</f>
        <v>129.08216872365227</v>
      </c>
      <c r="U20" s="64">
        <f>'Pred. solaio a pannello '!$C$188</f>
        <v>266.48808784913786</v>
      </c>
      <c r="V20" s="64">
        <f>-'Pred. solaio a pannello '!$C$188</f>
        <v>-266.48808784913786</v>
      </c>
    </row>
    <row r="21" spans="2:22">
      <c r="B21" s="119"/>
      <c r="C21" s="48"/>
      <c r="D21" s="117"/>
      <c r="E21" s="117"/>
      <c r="F21" s="48"/>
      <c r="G21" s="118"/>
      <c r="N21" s="156">
        <f t="shared" si="1"/>
        <v>0.84327184466019423</v>
      </c>
      <c r="P21" s="1">
        <f t="shared" si="4"/>
        <v>17</v>
      </c>
      <c r="Q21" s="171">
        <f>'Pred. solaio a pannello '!$E$22/$P$109*P21</f>
        <v>0.92427184466019419</v>
      </c>
      <c r="R21" s="64">
        <f t="shared" si="2"/>
        <v>67.039500801206515</v>
      </c>
      <c r="S21" s="64">
        <f t="shared" si="3"/>
        <v>-58.194466019417469</v>
      </c>
      <c r="T21" s="64">
        <f>IF(Q21&lt;=$AA$11,$AC$11,'Pred. solaio a pannello '!$G$94)</f>
        <v>129.08216872365227</v>
      </c>
      <c r="U21" s="64">
        <f>'Pred. solaio a pannello '!$C$188</f>
        <v>266.48808784913786</v>
      </c>
      <c r="V21" s="64">
        <f>-'Pred. solaio a pannello '!$C$188</f>
        <v>-266.48808784913786</v>
      </c>
    </row>
    <row r="22" spans="2:22">
      <c r="B22" s="116" t="s">
        <v>144</v>
      </c>
      <c r="C22" s="48"/>
      <c r="D22" s="117" t="s">
        <v>144</v>
      </c>
      <c r="E22" s="117"/>
      <c r="F22" s="48" t="s">
        <v>151</v>
      </c>
      <c r="G22" s="118"/>
      <c r="N22" s="156">
        <f t="shared" si="1"/>
        <v>0.8976407766990292</v>
      </c>
      <c r="P22" s="1">
        <f t="shared" si="4"/>
        <v>18</v>
      </c>
      <c r="Q22" s="171">
        <f>'Pred. solaio a pannello '!$E$22/$P$109*P22</f>
        <v>0.97864077669902916</v>
      </c>
      <c r="R22" s="64">
        <f t="shared" si="2"/>
        <v>70.157617117541704</v>
      </c>
      <c r="S22" s="64">
        <f t="shared" si="3"/>
        <v>-56.50766990291261</v>
      </c>
      <c r="T22" s="64">
        <f>IF(Q22&lt;=$AA$11,$AC$11,'Pred. solaio a pannello '!$G$94)</f>
        <v>129.08216872365227</v>
      </c>
      <c r="U22" s="64">
        <f>'Pred. solaio a pannello '!$C$188</f>
        <v>266.48808784913786</v>
      </c>
      <c r="V22" s="64">
        <f>-'Pred. solaio a pannello '!$C$188</f>
        <v>-266.48808784913786</v>
      </c>
    </row>
    <row r="23" spans="2:22">
      <c r="B23" s="119">
        <f>((('Pred. solaio a pannello '!D85/2)^2*PI()*'Pred. solaio a pannello '!E9/200))+'Pred. solaio a pannello '!D91</f>
        <v>2281.7125643634872</v>
      </c>
      <c r="C23" s="117"/>
      <c r="D23" s="157">
        <f>D9+D11+D13</f>
        <v>16700.045854662636</v>
      </c>
      <c r="E23" s="117"/>
      <c r="F23" s="121">
        <f>'Pred. solaio a pannello '!D91</f>
        <v>2036.2756383017845</v>
      </c>
      <c r="G23" s="118"/>
      <c r="N23" s="156">
        <f t="shared" si="1"/>
        <v>0.95200970873786406</v>
      </c>
      <c r="P23" s="1">
        <f t="shared" si="4"/>
        <v>19</v>
      </c>
      <c r="Q23" s="171">
        <f>'Pred. solaio a pannello '!$E$22/$P$109*P23</f>
        <v>1.033009708737864</v>
      </c>
      <c r="R23" s="64">
        <f t="shared" si="2"/>
        <v>73.184024130455271</v>
      </c>
      <c r="S23" s="64">
        <f t="shared" si="3"/>
        <v>-54.820873786407759</v>
      </c>
      <c r="T23" s="64">
        <f>IF(Q23&lt;=$AA$11,$AC$11,'Pred. solaio a pannello '!$G$94)</f>
        <v>129.08216872365227</v>
      </c>
      <c r="U23" s="64">
        <f>'Pred. solaio a pannello '!$C$188</f>
        <v>266.48808784913786</v>
      </c>
      <c r="V23" s="64">
        <f>-'Pred. solaio a pannello '!$C$188</f>
        <v>-266.48808784913786</v>
      </c>
    </row>
    <row r="24" spans="2:22">
      <c r="B24" s="119"/>
      <c r="C24" s="117"/>
      <c r="D24" s="117"/>
      <c r="E24" s="117"/>
      <c r="F24" s="48"/>
      <c r="G24" s="118"/>
      <c r="N24" s="156">
        <f t="shared" si="1"/>
        <v>1.006378640776699</v>
      </c>
      <c r="P24" s="1">
        <f t="shared" si="4"/>
        <v>20</v>
      </c>
      <c r="Q24" s="171">
        <f>'Pred. solaio a pannello '!$E$22/$P$109*P24</f>
        <v>1.087378640776699</v>
      </c>
      <c r="R24" s="64">
        <f t="shared" si="2"/>
        <v>76.118721839947199</v>
      </c>
      <c r="S24" s="64">
        <f t="shared" si="3"/>
        <v>-53.134077669902908</v>
      </c>
      <c r="T24" s="64">
        <f>IF(Q24&lt;=$AA$11,$AC$11,'Pred. solaio a pannello '!$G$94)</f>
        <v>129.08216872365227</v>
      </c>
      <c r="U24" s="64">
        <f>'Pred. solaio a pannello '!$C$188</f>
        <v>266.48808784913786</v>
      </c>
      <c r="V24" s="64">
        <f>-'Pred. solaio a pannello '!$C$188</f>
        <v>-266.48808784913786</v>
      </c>
    </row>
    <row r="25" spans="2:22">
      <c r="B25" s="48" t="s">
        <v>6</v>
      </c>
      <c r="C25" s="48"/>
      <c r="D25" s="48" t="s">
        <v>6</v>
      </c>
      <c r="E25" s="48"/>
      <c r="F25" s="48" t="s">
        <v>6</v>
      </c>
      <c r="G25" s="48"/>
      <c r="N25" s="156">
        <f t="shared" si="1"/>
        <v>1.060747572815534</v>
      </c>
      <c r="P25" s="1">
        <f t="shared" si="4"/>
        <v>21</v>
      </c>
      <c r="Q25" s="171">
        <f>'Pred. solaio a pannello '!$E$22/$P$109*P25</f>
        <v>1.141747572815534</v>
      </c>
      <c r="R25" s="64">
        <f t="shared" si="2"/>
        <v>78.961710246017518</v>
      </c>
      <c r="S25" s="64">
        <f t="shared" si="3"/>
        <v>-51.447281553398049</v>
      </c>
      <c r="T25" s="64">
        <f>IF(Q25&lt;=$AA$11,$AC$11,'Pred. solaio a pannello '!$G$94)</f>
        <v>129.08216872365227</v>
      </c>
      <c r="U25" s="64">
        <f>'Pred. solaio a pannello '!$C$188</f>
        <v>266.48808784913786</v>
      </c>
      <c r="V25" s="64">
        <f>-'Pred. solaio a pannello '!$C$188</f>
        <v>-266.48808784913786</v>
      </c>
    </row>
    <row r="26" spans="2:22">
      <c r="B26">
        <f>'Pred. solaio a pannello '!D261/J16*B15</f>
        <v>5.6970282669461927</v>
      </c>
      <c r="D26">
        <f>'Pred. solaio a pannello '!D261*D15/J17</f>
        <v>148.91795809623642</v>
      </c>
      <c r="F26">
        <f>'Pred. solaio a pannello '!D261/J16*F23</f>
        <v>5.084216150571681</v>
      </c>
      <c r="N26" s="156">
        <f t="shared" si="1"/>
        <v>1.115116504854369</v>
      </c>
      <c r="P26" s="1">
        <f t="shared" si="4"/>
        <v>22</v>
      </c>
      <c r="Q26" s="171">
        <f>'Pred. solaio a pannello '!$E$22/$P$109*P26</f>
        <v>1.1961165048543689</v>
      </c>
      <c r="R26" s="64">
        <f t="shared" si="2"/>
        <v>81.712989348666213</v>
      </c>
      <c r="S26" s="64">
        <f t="shared" si="3"/>
        <v>-49.760485436893198</v>
      </c>
      <c r="T26" s="64">
        <f>IF(Q26&lt;=$AA$11,$AC$11,'Pred. solaio a pannello '!$G$94)</f>
        <v>129.08216872365227</v>
      </c>
      <c r="U26" s="64">
        <f>'Pred. solaio a pannello '!$C$188</f>
        <v>266.48808784913786</v>
      </c>
      <c r="V26" s="64">
        <f>-'Pred. solaio a pannello '!$C$188</f>
        <v>-266.48808784913786</v>
      </c>
    </row>
    <row r="27" spans="2:22">
      <c r="N27" s="156">
        <f t="shared" si="1"/>
        <v>1.1694854368932039</v>
      </c>
      <c r="P27" s="1">
        <f t="shared" si="4"/>
        <v>23</v>
      </c>
      <c r="Q27" s="171">
        <f>'Pred. solaio a pannello '!$E$22/$P$109*P27</f>
        <v>1.2504854368932039</v>
      </c>
      <c r="R27" s="64">
        <f t="shared" si="2"/>
        <v>84.372559147893284</v>
      </c>
      <c r="S27" s="64">
        <f t="shared" si="3"/>
        <v>-48.07368932038834</v>
      </c>
      <c r="T27" s="64">
        <f>IF(Q27&lt;=$AA$11,$AC$11,'Pred. solaio a pannello '!$G$94)</f>
        <v>129.08216872365227</v>
      </c>
      <c r="U27" s="64">
        <f>'Pred. solaio a pannello '!$C$188</f>
        <v>266.48808784913786</v>
      </c>
      <c r="V27" s="64">
        <f>-'Pred. solaio a pannello '!$C$188</f>
        <v>-266.48808784913786</v>
      </c>
    </row>
    <row r="28" spans="2:22">
      <c r="B28" t="s">
        <v>185</v>
      </c>
      <c r="D28" s="38" t="s">
        <v>185</v>
      </c>
      <c r="N28" s="156">
        <f t="shared" si="1"/>
        <v>1.2238543689320389</v>
      </c>
      <c r="P28" s="1">
        <f t="shared" si="4"/>
        <v>24</v>
      </c>
      <c r="Q28" s="171">
        <f>'Pred. solaio a pannello '!$E$22/$P$109*P28</f>
        <v>1.3048543689320389</v>
      </c>
      <c r="R28" s="64">
        <f t="shared" si="2"/>
        <v>86.940419643698732</v>
      </c>
      <c r="S28" s="64">
        <f t="shared" si="3"/>
        <v>-46.386893203883488</v>
      </c>
      <c r="T28" s="64">
        <f>IF(Q28&lt;=$AA$11,$AC$11,'Pred. solaio a pannello '!$G$94)</f>
        <v>129.08216872365227</v>
      </c>
      <c r="U28" s="64">
        <f>'Pred. solaio a pannello '!$C$188</f>
        <v>266.48808784913786</v>
      </c>
      <c r="V28" s="64">
        <f>-'Pred. solaio a pannello '!$C$188</f>
        <v>-266.48808784913786</v>
      </c>
    </row>
    <row r="29" spans="2:22">
      <c r="B29">
        <f>1/3*J16*B18^3+'Pred. solaio a pannello '!D261*(B13*(J19-B18)^2+B11*(B18-J20)^2)</f>
        <v>540839859.99760175</v>
      </c>
      <c r="D29">
        <f>J17*D18^3/3+(J16-J17)*J18^3/12+(J16-J17)*J18*(D18-J18/2)^2+'Pred. solaio a pannello '!D261*D11*(D18-J20)^2+'Pred. solaio a pannello '!D261*D13*(J19-D18)^2</f>
        <v>637870900.71866357</v>
      </c>
      <c r="N29" s="188">
        <f t="shared" si="1"/>
        <v>1.2782233009708739</v>
      </c>
      <c r="O29" s="335" t="s">
        <v>190</v>
      </c>
      <c r="P29" s="164">
        <f t="shared" si="4"/>
        <v>25</v>
      </c>
      <c r="Q29" s="170">
        <f>'Pred. solaio a pannello '!$E$22/$P$109*P29</f>
        <v>1.3592233009708738</v>
      </c>
      <c r="R29" s="165">
        <f t="shared" si="2"/>
        <v>89.41657083608257</v>
      </c>
      <c r="S29" s="165">
        <f t="shared" si="3"/>
        <v>-44.70009708737863</v>
      </c>
      <c r="T29" s="165">
        <f>IF(Q29&lt;=$AA$11,$AC$11,'Pred. solaio a pannello '!$G$94)</f>
        <v>129.08216872365227</v>
      </c>
      <c r="U29" s="165">
        <f>'Pred. solaio a pannello '!$C$188</f>
        <v>266.48808784913786</v>
      </c>
      <c r="V29" s="165">
        <f>-'Pred. solaio a pannello '!$C$188</f>
        <v>-266.48808784913786</v>
      </c>
    </row>
    <row r="30" spans="2:22">
      <c r="B30">
        <f>B29*10^-4</f>
        <v>54083.985999760174</v>
      </c>
      <c r="D30">
        <f>D29*10^-4</f>
        <v>63787.090071866362</v>
      </c>
      <c r="N30" s="188">
        <f t="shared" si="1"/>
        <v>1.2782233009708739</v>
      </c>
      <c r="O30" s="335"/>
      <c r="P30" s="164">
        <v>25</v>
      </c>
      <c r="Q30" s="170">
        <f>'Pred. solaio a pannello '!$E$22/$P$109*P30</f>
        <v>1.3592233009708738</v>
      </c>
      <c r="R30" s="165">
        <f t="shared" si="2"/>
        <v>89.41657083608257</v>
      </c>
      <c r="S30" s="165">
        <f t="shared" si="3"/>
        <v>-44.70009708737863</v>
      </c>
      <c r="T30" s="165">
        <f>'Pred. solaio a pannello '!$G$91</f>
        <v>129.08216872365227</v>
      </c>
      <c r="U30" s="165">
        <f>'Pred. solaio a pannello '!$C$188</f>
        <v>266.48808784913786</v>
      </c>
      <c r="V30" s="165">
        <f>-'Pred. solaio a pannello '!$C$188</f>
        <v>-266.48808784913786</v>
      </c>
    </row>
    <row r="31" spans="2:22">
      <c r="B31" s="38"/>
      <c r="D31" s="38"/>
      <c r="N31" s="156">
        <f t="shared" si="1"/>
        <v>1.3325922330097089</v>
      </c>
      <c r="O31" s="163"/>
      <c r="P31" s="1">
        <f t="shared" ref="P31:P56" si="5">P30+1</f>
        <v>26</v>
      </c>
      <c r="Q31" s="171">
        <f>'Pred. solaio a pannello '!$E$22/$P$109*P31</f>
        <v>1.4135922330097088</v>
      </c>
      <c r="R31" s="64">
        <f t="shared" si="2"/>
        <v>91.801012725044757</v>
      </c>
      <c r="S31" s="64">
        <f t="shared" si="3"/>
        <v>-43.013300970873779</v>
      </c>
      <c r="T31" s="179">
        <f>'Pred. solaio a pannello '!$G$91</f>
        <v>129.08216872365227</v>
      </c>
      <c r="U31" s="64">
        <f>'Pred. solaio a pannello '!$C$188</f>
        <v>266.48808784913786</v>
      </c>
      <c r="V31" s="64">
        <f>-'Pred. solaio a pannello '!$C$188</f>
        <v>-266.48808784913786</v>
      </c>
    </row>
    <row r="32" spans="2:22">
      <c r="B32" s="333" t="s">
        <v>310</v>
      </c>
      <c r="C32" s="333"/>
      <c r="D32" s="333"/>
      <c r="E32" s="333"/>
      <c r="F32" s="333"/>
      <c r="G32" s="333"/>
      <c r="H32" s="333"/>
      <c r="I32" s="333"/>
      <c r="J32" s="333"/>
      <c r="N32" s="156">
        <f t="shared" si="1"/>
        <v>1.3869611650485436</v>
      </c>
      <c r="O32" s="163"/>
      <c r="P32" s="1">
        <f t="shared" si="5"/>
        <v>27</v>
      </c>
      <c r="Q32" s="171">
        <f>'Pred. solaio a pannello '!$E$22/$P$109*P32</f>
        <v>1.4679611650485436</v>
      </c>
      <c r="R32" s="64">
        <f t="shared" si="2"/>
        <v>94.093745310585348</v>
      </c>
      <c r="S32" s="64">
        <f t="shared" si="3"/>
        <v>-41.326504854368928</v>
      </c>
      <c r="T32" s="179">
        <f>'Pred. solaio a pannello '!$G$91</f>
        <v>129.08216872365227</v>
      </c>
      <c r="U32" s="64">
        <f>'Pred. solaio a pannello '!$C$188</f>
        <v>266.48808784913786</v>
      </c>
      <c r="V32" s="64">
        <f>-'Pred. solaio a pannello '!$C$188</f>
        <v>-266.48808784913786</v>
      </c>
    </row>
    <row r="33" spans="2:22">
      <c r="D33" t="s">
        <v>181</v>
      </c>
      <c r="N33" s="156">
        <f t="shared" si="1"/>
        <v>1.4413300970873786</v>
      </c>
      <c r="O33" s="163"/>
      <c r="P33" s="1">
        <f t="shared" si="5"/>
        <v>28</v>
      </c>
      <c r="Q33" s="171">
        <f>'Pred. solaio a pannello '!$E$22/$P$109*P33</f>
        <v>1.5223300970873785</v>
      </c>
      <c r="R33" s="64">
        <f t="shared" si="2"/>
        <v>96.294768592704287</v>
      </c>
      <c r="S33" s="64">
        <f t="shared" si="3"/>
        <v>-39.639708737864076</v>
      </c>
      <c r="T33" s="179">
        <f>'Pred. solaio a pannello '!$G$91</f>
        <v>129.08216872365227</v>
      </c>
      <c r="U33" s="64">
        <f>'Pred. solaio a pannello '!$C$188</f>
        <v>266.48808784913786</v>
      </c>
      <c r="V33" s="64">
        <f>-'Pred. solaio a pannello '!$C$188</f>
        <v>-266.48808784913786</v>
      </c>
    </row>
    <row r="34" spans="2:22">
      <c r="D34" s="151">
        <f>('Pred. solaio a pannello '!E9-'Pred. solaio a pannello '!E29)/'Pred. solaio a pannello '!D314*'Pred. solaio a pannello '!E12</f>
        <v>4240.6862618526902</v>
      </c>
      <c r="N34" s="156">
        <f t="shared" si="1"/>
        <v>1.4956990291262136</v>
      </c>
      <c r="O34" s="163"/>
      <c r="P34" s="1">
        <f t="shared" si="5"/>
        <v>29</v>
      </c>
      <c r="Q34" s="171">
        <f>'Pred. solaio a pannello '!$E$22/$P$109*P34</f>
        <v>1.5766990291262135</v>
      </c>
      <c r="R34" s="64">
        <f t="shared" si="2"/>
        <v>98.404082571401617</v>
      </c>
      <c r="S34" s="64">
        <f t="shared" si="3"/>
        <v>-37.952912621359218</v>
      </c>
      <c r="T34" s="179">
        <f>'Pred. solaio a pannello '!$G$91</f>
        <v>129.08216872365227</v>
      </c>
      <c r="U34" s="64">
        <f>'Pred. solaio a pannello '!$C$188</f>
        <v>266.48808784913786</v>
      </c>
      <c r="V34" s="64">
        <f>-'Pred. solaio a pannello '!$C$188</f>
        <v>-266.48808784913786</v>
      </c>
    </row>
    <row r="35" spans="2:22">
      <c r="B35" t="s">
        <v>182</v>
      </c>
      <c r="D35" t="s">
        <v>182</v>
      </c>
      <c r="N35" s="156">
        <f t="shared" si="1"/>
        <v>1.5500679611650485</v>
      </c>
      <c r="O35" s="163"/>
      <c r="P35" s="1">
        <f t="shared" si="5"/>
        <v>30</v>
      </c>
      <c r="Q35" s="171">
        <f>'Pred. solaio a pannello '!$E$22/$P$109*P35</f>
        <v>1.6310679611650485</v>
      </c>
      <c r="R35" s="64">
        <f t="shared" si="2"/>
        <v>100.42168724667732</v>
      </c>
      <c r="S35" s="64">
        <f t="shared" si="3"/>
        <v>-36.266116504854367</v>
      </c>
      <c r="T35" s="179">
        <f>'Pred. solaio a pannello '!$G$91</f>
        <v>129.08216872365227</v>
      </c>
      <c r="U35" s="64">
        <f>'Pred. solaio a pannello '!$C$188</f>
        <v>266.48808784913786</v>
      </c>
      <c r="V35" s="64">
        <f>-'Pred. solaio a pannello '!$C$188</f>
        <v>-266.48808784913786</v>
      </c>
    </row>
    <row r="36" spans="2:22">
      <c r="B36" s="151">
        <f>D36</f>
        <v>245.43692606170262</v>
      </c>
      <c r="D36" s="151">
        <f>('Pred. solaio a pannello '!D85/2)^2*PI()*'Pred. solaio a pannello '!E9/('Pred. solaio a pannello '!E85*10)</f>
        <v>245.43692606170262</v>
      </c>
      <c r="N36" s="156">
        <f t="shared" ref="N36:N56" si="6">Q36-$Z$13/1000</f>
        <v>1.6044368932038835</v>
      </c>
      <c r="O36" s="163"/>
      <c r="P36" s="1">
        <f t="shared" si="5"/>
        <v>31</v>
      </c>
      <c r="Q36" s="171">
        <f>'Pred. solaio a pannello '!$E$22/$P$109*P36</f>
        <v>1.6854368932038835</v>
      </c>
      <c r="R36" s="64">
        <f t="shared" ref="R36:R67" si="7">$Y$2*$Q$109*Q36/2-$Y$2*Q36^2/2</f>
        <v>102.34758261853143</v>
      </c>
      <c r="S36" s="64">
        <f t="shared" ref="S36:S67" si="8">-$Y$2*$Q$109/2+$Y$2*Q36</f>
        <v>-34.579320388349508</v>
      </c>
      <c r="T36" s="179">
        <f>'Pred. solaio a pannello '!$G$91</f>
        <v>129.08216872365227</v>
      </c>
      <c r="U36" s="64">
        <f>'Pred. solaio a pannello '!$C$188</f>
        <v>266.48808784913786</v>
      </c>
      <c r="V36" s="64">
        <f>-'Pred. solaio a pannello '!$C$188</f>
        <v>-266.48808784913786</v>
      </c>
    </row>
    <row r="37" spans="2:22">
      <c r="B37" t="s">
        <v>183</v>
      </c>
      <c r="D37" t="s">
        <v>183</v>
      </c>
      <c r="N37" s="156">
        <f t="shared" si="6"/>
        <v>1.6588058252427185</v>
      </c>
      <c r="O37" s="163"/>
      <c r="P37" s="1">
        <f t="shared" si="5"/>
        <v>32</v>
      </c>
      <c r="Q37" s="171">
        <f>'Pred. solaio a pannello '!$E$22/$P$109*P37</f>
        <v>1.7398058252427184</v>
      </c>
      <c r="R37" s="64">
        <f t="shared" si="7"/>
        <v>104.18176868696389</v>
      </c>
      <c r="S37" s="64">
        <f t="shared" si="8"/>
        <v>-32.892524271844657</v>
      </c>
      <c r="T37" s="179">
        <f>'Pred. solaio a pannello '!$G$91</f>
        <v>129.08216872365227</v>
      </c>
      <c r="U37" s="64">
        <f>'Pred. solaio a pannello '!$C$188</f>
        <v>266.48808784913786</v>
      </c>
      <c r="V37" s="64">
        <f>-'Pred. solaio a pannello '!$C$188</f>
        <v>-266.48808784913786</v>
      </c>
    </row>
    <row r="38" spans="2:22">
      <c r="B38" s="151">
        <f>D38</f>
        <v>2036.2756383017845</v>
      </c>
      <c r="D38" s="151">
        <f>'Pred. solaio a pannello '!D91</f>
        <v>2036.2756383017845</v>
      </c>
      <c r="N38" s="156">
        <f t="shared" si="6"/>
        <v>1.7131747572815534</v>
      </c>
      <c r="O38" s="163"/>
      <c r="P38" s="1">
        <f t="shared" si="5"/>
        <v>33</v>
      </c>
      <c r="Q38" s="171">
        <f>'Pred. solaio a pannello '!$E$22/$P$109*P38</f>
        <v>1.7941747572815534</v>
      </c>
      <c r="R38" s="64">
        <f t="shared" si="7"/>
        <v>105.92424545197473</v>
      </c>
      <c r="S38" s="64">
        <f t="shared" si="8"/>
        <v>-31.205728155339798</v>
      </c>
      <c r="T38" s="179">
        <f>'Pred. solaio a pannello '!$G$91</f>
        <v>129.08216872365227</v>
      </c>
      <c r="U38" s="64">
        <f>'Pred. solaio a pannello '!$C$188</f>
        <v>266.48808784913786</v>
      </c>
      <c r="V38" s="64">
        <f>-'Pred. solaio a pannello '!$C$188</f>
        <v>-266.48808784913786</v>
      </c>
    </row>
    <row r="39" spans="2:22">
      <c r="B39" t="s">
        <v>184</v>
      </c>
      <c r="D39" t="s">
        <v>184</v>
      </c>
      <c r="N39" s="156">
        <f t="shared" si="6"/>
        <v>1.7675436893203884</v>
      </c>
      <c r="O39" s="163"/>
      <c r="P39" s="1">
        <f t="shared" si="5"/>
        <v>34</v>
      </c>
      <c r="Q39" s="171">
        <f>'Pred. solaio a pannello '!$E$22/$P$109*P39</f>
        <v>1.8485436893203884</v>
      </c>
      <c r="R39" s="64">
        <f t="shared" si="7"/>
        <v>107.57501291356394</v>
      </c>
      <c r="S39" s="64">
        <f t="shared" si="8"/>
        <v>-29.518932038834947</v>
      </c>
      <c r="T39" s="179">
        <f>'Pred. solaio a pannello '!$G$91</f>
        <v>129.08216872365227</v>
      </c>
      <c r="U39" s="64">
        <f>'Pred. solaio a pannello '!$C$188</f>
        <v>266.48808784913786</v>
      </c>
      <c r="V39" s="64">
        <f>-'Pred. solaio a pannello '!$C$188</f>
        <v>-266.48808784913786</v>
      </c>
    </row>
    <row r="40" spans="2:22">
      <c r="B40" s="151">
        <f>B36+B38</f>
        <v>2281.7125643634872</v>
      </c>
      <c r="D40" s="151">
        <f>D34+D36+D38</f>
        <v>6522.3988262161765</v>
      </c>
      <c r="N40" s="156">
        <f t="shared" si="6"/>
        <v>1.8219126213592234</v>
      </c>
      <c r="O40" s="163"/>
      <c r="P40" s="1">
        <f t="shared" si="5"/>
        <v>35</v>
      </c>
      <c r="Q40" s="171">
        <f>'Pred. solaio a pannello '!$E$22/$P$109*P40</f>
        <v>1.9029126213592233</v>
      </c>
      <c r="R40" s="64">
        <f t="shared" si="7"/>
        <v>109.13407107173153</v>
      </c>
      <c r="S40" s="64">
        <f t="shared" si="8"/>
        <v>-27.832135922330089</v>
      </c>
      <c r="T40" s="179">
        <f>'Pred. solaio a pannello '!$G$91</f>
        <v>129.08216872365227</v>
      </c>
      <c r="U40" s="64">
        <f>'Pred. solaio a pannello '!$C$188</f>
        <v>266.48808784913786</v>
      </c>
      <c r="V40" s="64">
        <f>-'Pred. solaio a pannello '!$C$188</f>
        <v>-266.48808784913786</v>
      </c>
    </row>
    <row r="41" spans="2:22">
      <c r="B41" s="112"/>
      <c r="C41" s="113"/>
      <c r="D41" s="113"/>
      <c r="E41" s="113"/>
      <c r="F41" s="114"/>
      <c r="G41" s="115"/>
      <c r="I41" t="s">
        <v>52</v>
      </c>
      <c r="J41">
        <f>'Pred. solaio a pannello '!E9</f>
        <v>2500</v>
      </c>
      <c r="N41" s="156">
        <f t="shared" si="6"/>
        <v>1.8762815533980584</v>
      </c>
      <c r="O41" s="163"/>
      <c r="P41" s="1">
        <f t="shared" si="5"/>
        <v>36</v>
      </c>
      <c r="Q41" s="171">
        <f>'Pred. solaio a pannello '!$E$22/$P$109*P41</f>
        <v>1.9572815533980583</v>
      </c>
      <c r="R41" s="64">
        <f t="shared" si="7"/>
        <v>110.60141992647749</v>
      </c>
      <c r="S41" s="64">
        <f t="shared" si="8"/>
        <v>-26.14533980582523</v>
      </c>
      <c r="T41" s="179">
        <f>'Pred. solaio a pannello '!$G$91</f>
        <v>129.08216872365227</v>
      </c>
      <c r="U41" s="64">
        <f>'Pred. solaio a pannello '!$C$188</f>
        <v>266.48808784913786</v>
      </c>
      <c r="V41" s="64">
        <f>-'Pred. solaio a pannello '!$C$188</f>
        <v>-266.48808784913786</v>
      </c>
    </row>
    <row r="42" spans="2:22">
      <c r="B42" s="116" t="s">
        <v>147</v>
      </c>
      <c r="C42" s="48"/>
      <c r="D42" s="117" t="s">
        <v>148</v>
      </c>
      <c r="E42" s="117"/>
      <c r="F42" s="117" t="s">
        <v>150</v>
      </c>
      <c r="G42" s="118"/>
      <c r="I42" t="s">
        <v>186</v>
      </c>
      <c r="J42" s="161">
        <f>'Pred. solaio a pannello '!E29</f>
        <v>700</v>
      </c>
      <c r="N42" s="156">
        <f t="shared" si="6"/>
        <v>1.9306504854368933</v>
      </c>
      <c r="O42" s="163"/>
      <c r="P42" s="1">
        <f t="shared" si="5"/>
        <v>37</v>
      </c>
      <c r="Q42" s="171">
        <f>'Pred. solaio a pannello '!$E$22/$P$109*P42</f>
        <v>2.0116504854368933</v>
      </c>
      <c r="R42" s="64">
        <f t="shared" si="7"/>
        <v>111.97705947780184</v>
      </c>
      <c r="S42" s="64">
        <f t="shared" si="8"/>
        <v>-24.458543689320379</v>
      </c>
      <c r="T42" s="179">
        <f>'Pred. solaio a pannello '!$G$91</f>
        <v>129.08216872365227</v>
      </c>
      <c r="U42" s="64">
        <f>'Pred. solaio a pannello '!$C$188</f>
        <v>266.48808784913786</v>
      </c>
      <c r="V42" s="64">
        <f>-'Pred. solaio a pannello '!$C$188</f>
        <v>-266.48808784913786</v>
      </c>
    </row>
    <row r="43" spans="2:22">
      <c r="B43" s="116">
        <f>B51*(-1+(1+2*B45/B51)^0.5)</f>
        <v>62.371255654188637</v>
      </c>
      <c r="C43" s="117"/>
      <c r="D43" s="117">
        <f>D51*(-1+(1+2*D45/D51)^0.5)</f>
        <v>63.126637737896523</v>
      </c>
      <c r="E43" s="117"/>
      <c r="F43" s="117">
        <f>F51*(-1+(1+2*F45/B51)^0.5)</f>
        <v>59.215298862054468</v>
      </c>
      <c r="G43" s="118"/>
      <c r="H43" s="38"/>
      <c r="I43" t="s">
        <v>68</v>
      </c>
      <c r="J43">
        <f>IF('Pred. solaio a pannello '!E27="SI",'Pred. solaio a pannello '!E12+'Pred. solaio a pannello '!E18*I7,'Pred. solaio a pannello '!E12)</f>
        <v>106.08424204717478</v>
      </c>
      <c r="N43" s="156">
        <f t="shared" si="6"/>
        <v>1.9850194174757281</v>
      </c>
      <c r="O43" s="163"/>
      <c r="P43" s="1">
        <f t="shared" si="5"/>
        <v>38</v>
      </c>
      <c r="Q43" s="171">
        <f>'Pred. solaio a pannello '!$E$22/$P$109*P43</f>
        <v>2.066019417475728</v>
      </c>
      <c r="R43" s="64">
        <f t="shared" si="7"/>
        <v>113.26098972570458</v>
      </c>
      <c r="S43" s="64">
        <f t="shared" si="8"/>
        <v>-22.771747572815528</v>
      </c>
      <c r="T43" s="179">
        <f>'Pred. solaio a pannello '!$G$91</f>
        <v>129.08216872365227</v>
      </c>
      <c r="U43" s="64">
        <f>'Pred. solaio a pannello '!$C$188</f>
        <v>266.48808784913786</v>
      </c>
      <c r="V43" s="64">
        <f>-'Pred. solaio a pannello '!$C$188</f>
        <v>-266.48808784913786</v>
      </c>
    </row>
    <row r="44" spans="2:22">
      <c r="B44" s="116" t="s">
        <v>146</v>
      </c>
      <c r="C44" s="48"/>
      <c r="D44" s="117" t="s">
        <v>146</v>
      </c>
      <c r="E44" s="117"/>
      <c r="F44" s="48" t="s">
        <v>19</v>
      </c>
      <c r="G44" s="118"/>
      <c r="I44" t="s">
        <v>19</v>
      </c>
      <c r="J44">
        <f>IF('Pred. solaio a pannello '!E27="SI",'Pred. solaio a pannello '!E30+'Pred. solaio a pannello '!E18*I7,'Pred. solaio a pannello '!E30)</f>
        <v>236.08424204717477</v>
      </c>
      <c r="N44" s="156">
        <f t="shared" si="6"/>
        <v>2.0393883495145633</v>
      </c>
      <c r="O44" s="163"/>
      <c r="P44" s="1">
        <f t="shared" si="5"/>
        <v>39</v>
      </c>
      <c r="Q44" s="171">
        <f>'Pred. solaio a pannello '!$E$22/$P$109*P44</f>
        <v>2.1203883495145632</v>
      </c>
      <c r="R44" s="64">
        <f t="shared" si="7"/>
        <v>114.45321067018568</v>
      </c>
      <c r="S44" s="64">
        <f t="shared" si="8"/>
        <v>-21.084951456310662</v>
      </c>
      <c r="T44" s="179">
        <f>'Pred. solaio a pannello '!$G$91</f>
        <v>129.08216872365227</v>
      </c>
      <c r="U44" s="64">
        <f>'Pred. solaio a pannello '!$C$188</f>
        <v>266.48808784913786</v>
      </c>
      <c r="V44" s="64">
        <f>-'Pred. solaio a pannello '!$C$188</f>
        <v>-266.48808784913786</v>
      </c>
    </row>
    <row r="45" spans="2:22">
      <c r="B45" s="116">
        <f>(B38*'Pred. solaio a pannello '!E30+'Pred. solaio a pannello '!E11*B36)/(B36+B38)</f>
        <v>162.78928346050139</v>
      </c>
      <c r="C45" s="48"/>
      <c r="D45" s="48">
        <f>(D34*'Pred. solaio a pannello '!E12/2+D38*'Pred. solaio a pannello '!E30+'Pred. solaio a pannello '!E11*D36)/(D36+D38+D34)</f>
        <v>73.202440188536826</v>
      </c>
      <c r="E45" s="117"/>
      <c r="F45" s="120">
        <f>'Pred. solaio a pannello '!E30</f>
        <v>180</v>
      </c>
      <c r="G45" s="118"/>
      <c r="I45" t="s">
        <v>54</v>
      </c>
      <c r="J45">
        <f>'Pred. solaio a pannello '!E11</f>
        <v>20</v>
      </c>
      <c r="N45" s="156">
        <f t="shared" si="6"/>
        <v>2.093757281553398</v>
      </c>
      <c r="O45" s="163"/>
      <c r="P45" s="1">
        <f t="shared" si="5"/>
        <v>40</v>
      </c>
      <c r="Q45" s="171">
        <f>'Pred. solaio a pannello '!$E$22/$P$109*P45</f>
        <v>2.174757281553398</v>
      </c>
      <c r="R45" s="64">
        <f t="shared" si="7"/>
        <v>115.55372231124515</v>
      </c>
      <c r="S45" s="64">
        <f t="shared" si="8"/>
        <v>-19.398155339805825</v>
      </c>
      <c r="T45" s="179">
        <f>'Pred. solaio a pannello '!$G$91</f>
        <v>129.08216872365227</v>
      </c>
      <c r="U45" s="64">
        <f>'Pred. solaio a pannello '!$C$188</f>
        <v>266.48808784913786</v>
      </c>
      <c r="V45" s="64">
        <f>-'Pred. solaio a pannello '!$C$188</f>
        <v>-266.48808784913786</v>
      </c>
    </row>
    <row r="46" spans="2:22">
      <c r="B46" s="119"/>
      <c r="C46" s="48"/>
      <c r="D46" s="117"/>
      <c r="E46" s="117"/>
      <c r="F46" s="48"/>
      <c r="G46" s="118"/>
      <c r="N46" s="156">
        <f t="shared" si="6"/>
        <v>2.1481262135922332</v>
      </c>
      <c r="O46" s="163"/>
      <c r="P46" s="1">
        <f t="shared" si="5"/>
        <v>41</v>
      </c>
      <c r="Q46" s="171">
        <f>'Pred. solaio a pannello '!$E$22/$P$109*P46</f>
        <v>2.2291262135922332</v>
      </c>
      <c r="R46" s="64">
        <f t="shared" si="7"/>
        <v>116.56252464888301</v>
      </c>
      <c r="S46" s="64">
        <f t="shared" si="8"/>
        <v>-17.71135922330096</v>
      </c>
      <c r="T46" s="179">
        <f>'Pred. solaio a pannello '!$G$91</f>
        <v>129.08216872365227</v>
      </c>
      <c r="U46" s="64">
        <f>'Pred. solaio a pannello '!$C$188</f>
        <v>266.48808784913786</v>
      </c>
      <c r="V46" s="64">
        <f>-'Pred. solaio a pannello '!$C$188</f>
        <v>-266.48808784913786</v>
      </c>
    </row>
    <row r="47" spans="2:22">
      <c r="B47" s="116" t="s">
        <v>144</v>
      </c>
      <c r="C47" s="48"/>
      <c r="D47" s="117" t="s">
        <v>144</v>
      </c>
      <c r="E47" s="117"/>
      <c r="F47" s="48" t="s">
        <v>151</v>
      </c>
      <c r="G47" s="118"/>
      <c r="N47" s="156">
        <f t="shared" si="6"/>
        <v>2.202495145631068</v>
      </c>
      <c r="O47" s="163"/>
      <c r="P47" s="1">
        <f t="shared" si="5"/>
        <v>42</v>
      </c>
      <c r="Q47" s="171">
        <f>'Pred. solaio a pannello '!$E$22/$P$109*P47</f>
        <v>2.2834951456310679</v>
      </c>
      <c r="R47" s="64">
        <f t="shared" si="7"/>
        <v>117.47961768309922</v>
      </c>
      <c r="S47" s="64">
        <f t="shared" si="8"/>
        <v>-16.024563106796109</v>
      </c>
      <c r="T47" s="179">
        <f>'Pred. solaio a pannello '!$G$91</f>
        <v>129.08216872365227</v>
      </c>
      <c r="U47" s="64">
        <f>'Pred. solaio a pannello '!$C$188</f>
        <v>266.48808784913786</v>
      </c>
      <c r="V47" s="64">
        <f>-'Pred. solaio a pannello '!$C$188</f>
        <v>-266.48808784913786</v>
      </c>
    </row>
    <row r="48" spans="2:22">
      <c r="B48" s="159">
        <f>B38+B36</f>
        <v>2281.7125643634872</v>
      </c>
      <c r="C48" s="158"/>
      <c r="D48" s="158">
        <f>D34+D36+D38</f>
        <v>6522.3988262161765</v>
      </c>
      <c r="E48" s="158"/>
      <c r="F48" s="160">
        <f>D38</f>
        <v>2036.2756383017845</v>
      </c>
      <c r="G48" s="118"/>
      <c r="N48" s="156">
        <f t="shared" si="6"/>
        <v>2.2568640776699027</v>
      </c>
      <c r="O48" s="163"/>
      <c r="P48" s="1">
        <f t="shared" si="5"/>
        <v>43</v>
      </c>
      <c r="Q48" s="171">
        <f>'Pred. solaio a pannello '!$E$22/$P$109*P48</f>
        <v>2.3378640776699027</v>
      </c>
      <c r="R48" s="64">
        <f t="shared" si="7"/>
        <v>118.30500141389385</v>
      </c>
      <c r="S48" s="64">
        <f t="shared" si="8"/>
        <v>-14.337766990291257</v>
      </c>
      <c r="T48" s="179">
        <f>'Pred. solaio a pannello '!$G$91</f>
        <v>129.08216872365227</v>
      </c>
      <c r="U48" s="64">
        <f>'Pred. solaio a pannello '!$C$188</f>
        <v>266.48808784913786</v>
      </c>
      <c r="V48" s="64">
        <f>-'Pred. solaio a pannello '!$C$188</f>
        <v>-266.48808784913786</v>
      </c>
    </row>
    <row r="49" spans="2:22">
      <c r="B49" s="119"/>
      <c r="C49" s="117"/>
      <c r="D49" s="117"/>
      <c r="E49" s="117"/>
      <c r="F49" s="48"/>
      <c r="G49" s="118"/>
      <c r="N49" s="156">
        <f t="shared" si="6"/>
        <v>2.3112330097087379</v>
      </c>
      <c r="O49" s="163"/>
      <c r="P49" s="1">
        <f t="shared" si="5"/>
        <v>44</v>
      </c>
      <c r="Q49" s="171">
        <f>'Pred. solaio a pannello '!$E$22/$P$109*P49</f>
        <v>2.3922330097087379</v>
      </c>
      <c r="R49" s="64">
        <f t="shared" si="7"/>
        <v>119.03867584126684</v>
      </c>
      <c r="S49" s="64">
        <f t="shared" si="8"/>
        <v>-12.650970873786406</v>
      </c>
      <c r="T49" s="179">
        <f>'Pred. solaio a pannello '!$G$91</f>
        <v>129.08216872365227</v>
      </c>
      <c r="U49" s="64">
        <f>'Pred. solaio a pannello '!$C$188</f>
        <v>266.48808784913786</v>
      </c>
      <c r="V49" s="64">
        <f>-'Pred. solaio a pannello '!$C$188</f>
        <v>-266.48808784913786</v>
      </c>
    </row>
    <row r="50" spans="2:22">
      <c r="B50" s="48" t="s">
        <v>6</v>
      </c>
      <c r="C50" s="48"/>
      <c r="D50" s="48" t="s">
        <v>6</v>
      </c>
      <c r="E50" s="48"/>
      <c r="F50" s="48" t="s">
        <v>6</v>
      </c>
      <c r="G50" s="48"/>
      <c r="N50" s="156">
        <f t="shared" si="6"/>
        <v>2.3656019417475727</v>
      </c>
      <c r="O50" s="163"/>
      <c r="P50" s="1">
        <f t="shared" si="5"/>
        <v>45</v>
      </c>
      <c r="Q50" s="171">
        <f>'Pred. solaio a pannello '!$E$22/$P$109*P50</f>
        <v>2.4466019417475726</v>
      </c>
      <c r="R50" s="64">
        <f t="shared" si="7"/>
        <v>119.68064096521819</v>
      </c>
      <c r="S50" s="64">
        <f t="shared" si="8"/>
        <v>-10.964174757281555</v>
      </c>
      <c r="T50" s="179">
        <f>'Pred. solaio a pannello '!$G$91</f>
        <v>129.08216872365227</v>
      </c>
      <c r="U50" s="64">
        <f>'Pred. solaio a pannello '!$C$188</f>
        <v>266.48808784913786</v>
      </c>
      <c r="V50" s="64">
        <f>-'Pred. solaio a pannello '!$C$188</f>
        <v>-266.48808784913786</v>
      </c>
    </row>
    <row r="51" spans="2:22">
      <c r="B51">
        <f>'Pred. solaio a pannello '!D314/'Pred. solaio a pannello '!E9*B40</f>
        <v>19.369896107617055</v>
      </c>
      <c r="D51">
        <f>'Pred. solaio a pannello '!D314/'Pred. solaio a pannello '!E29*D40</f>
        <v>197.74962895577517</v>
      </c>
      <c r="F51">
        <f>F48*'Pred. solaio a pannello '!D314/'Pred. solaio a pannello '!E9</f>
        <v>17.286334911943712</v>
      </c>
      <c r="N51" s="156">
        <f t="shared" si="6"/>
        <v>2.4199708737864079</v>
      </c>
      <c r="O51" s="163"/>
      <c r="P51" s="1">
        <f t="shared" si="5"/>
        <v>46</v>
      </c>
      <c r="Q51" s="171">
        <f>'Pred. solaio a pannello '!$E$22/$P$109*P51</f>
        <v>2.5009708737864078</v>
      </c>
      <c r="R51" s="64">
        <f t="shared" si="7"/>
        <v>120.23089678574793</v>
      </c>
      <c r="S51" s="64">
        <f t="shared" si="8"/>
        <v>-9.2773786407766892</v>
      </c>
      <c r="T51" s="179">
        <f>'Pred. solaio a pannello '!$G$91</f>
        <v>129.08216872365227</v>
      </c>
      <c r="U51" s="64">
        <f>'Pred. solaio a pannello '!$C$188</f>
        <v>266.48808784913786</v>
      </c>
      <c r="V51" s="64">
        <f>-'Pred. solaio a pannello '!$C$188</f>
        <v>-266.48808784913786</v>
      </c>
    </row>
    <row r="52" spans="2:22">
      <c r="N52" s="156">
        <f t="shared" si="6"/>
        <v>2.4743398058252426</v>
      </c>
      <c r="O52" s="163"/>
      <c r="P52" s="1">
        <f t="shared" si="5"/>
        <v>47</v>
      </c>
      <c r="Q52" s="171">
        <f>'Pred. solaio a pannello '!$E$22/$P$109*P52</f>
        <v>2.5553398058252426</v>
      </c>
      <c r="R52" s="64">
        <f t="shared" si="7"/>
        <v>120.68944330285606</v>
      </c>
      <c r="S52" s="64">
        <f t="shared" si="8"/>
        <v>-7.5905825242718379</v>
      </c>
      <c r="T52" s="179">
        <f>'Pred. solaio a pannello '!$G$91</f>
        <v>129.08216872365227</v>
      </c>
      <c r="U52" s="64">
        <f>'Pred. solaio a pannello '!$C$188</f>
        <v>266.48808784913786</v>
      </c>
      <c r="V52" s="64">
        <f>-'Pred. solaio a pannello '!$C$188</f>
        <v>-266.48808784913786</v>
      </c>
    </row>
    <row r="53" spans="2:22">
      <c r="B53" t="s">
        <v>185</v>
      </c>
      <c r="D53" t="s">
        <v>185</v>
      </c>
      <c r="N53" s="156">
        <f t="shared" si="6"/>
        <v>2.5287087378640778</v>
      </c>
      <c r="O53" s="163"/>
      <c r="P53" s="1">
        <f t="shared" si="5"/>
        <v>48</v>
      </c>
      <c r="Q53" s="171">
        <f>'Pred. solaio a pannello '!$E$22/$P$109*P53</f>
        <v>2.6097087378640778</v>
      </c>
      <c r="R53" s="64">
        <f t="shared" si="7"/>
        <v>121.05628051654253</v>
      </c>
      <c r="S53" s="64">
        <f t="shared" si="8"/>
        <v>-5.9037864077669866</v>
      </c>
      <c r="T53" s="179">
        <f>'Pred. solaio a pannello '!$G$91</f>
        <v>129.08216872365227</v>
      </c>
      <c r="U53" s="64">
        <f>'Pred. solaio a pannello '!$C$188</f>
        <v>266.48808784913786</v>
      </c>
      <c r="V53" s="64">
        <f>-'Pred. solaio a pannello '!$C$188</f>
        <v>-266.48808784913786</v>
      </c>
    </row>
    <row r="54" spans="2:22">
      <c r="B54">
        <f>1/3*J41*B43^3+'Pred. solaio a pannello '!D314*(B38*(J44-B43)^2+B36*(B43-J45)^2)</f>
        <v>1515637324.7133589</v>
      </c>
      <c r="D54">
        <f>J42*D43^3/3+(J41-J42)*J43^3/12+(J41-J42)*J43*(D43-J43/2)^2+'Pred. solaio a pannello '!D314*D36*(D43-J45)^2+'Pred. solaio a pannello '!D314*D38*(J44-D43)^2</f>
        <v>1559655845.1884317</v>
      </c>
      <c r="N54" s="156">
        <f t="shared" si="6"/>
        <v>2.5830776699029125</v>
      </c>
      <c r="O54" s="163"/>
      <c r="P54" s="1">
        <f t="shared" si="5"/>
        <v>49</v>
      </c>
      <c r="Q54" s="171">
        <f>'Pred. solaio a pannello '!$E$22/$P$109*P54</f>
        <v>2.6640776699029125</v>
      </c>
      <c r="R54" s="64">
        <f t="shared" si="7"/>
        <v>121.33140842680741</v>
      </c>
      <c r="S54" s="64">
        <f t="shared" si="8"/>
        <v>-4.2169902912621353</v>
      </c>
      <c r="T54" s="179">
        <f>'Pred. solaio a pannello '!$G$91</f>
        <v>129.08216872365227</v>
      </c>
      <c r="U54" s="64">
        <f>'Pred. solaio a pannello '!$C$188</f>
        <v>266.48808784913786</v>
      </c>
      <c r="V54" s="64">
        <f>-'Pred. solaio a pannello '!$C$188</f>
        <v>-266.48808784913786</v>
      </c>
    </row>
    <row r="55" spans="2:22">
      <c r="B55">
        <f>B54*10^-4</f>
        <v>151563.73247133588</v>
      </c>
      <c r="D55">
        <f>D54*10^-4</f>
        <v>155965.58451884318</v>
      </c>
      <c r="N55" s="156">
        <f t="shared" si="6"/>
        <v>2.6374466019417477</v>
      </c>
      <c r="O55" s="163"/>
      <c r="P55" s="1">
        <f t="shared" si="5"/>
        <v>50</v>
      </c>
      <c r="Q55" s="171">
        <f>'Pred. solaio a pannello '!$E$22/$P$109*P55</f>
        <v>2.7184466019417477</v>
      </c>
      <c r="R55" s="64">
        <f t="shared" si="7"/>
        <v>121.51482703365066</v>
      </c>
      <c r="S55" s="64">
        <f t="shared" si="8"/>
        <v>-2.5301941747572698</v>
      </c>
      <c r="T55" s="179">
        <f>'Pred. solaio a pannello '!$G$91</f>
        <v>129.08216872365227</v>
      </c>
      <c r="U55" s="64">
        <f>'Pred. solaio a pannello '!$C$188</f>
        <v>266.48808784913786</v>
      </c>
      <c r="V55" s="64">
        <f>-'Pred. solaio a pannello '!$C$188</f>
        <v>-266.48808784913786</v>
      </c>
    </row>
    <row r="56" spans="2:22">
      <c r="N56" s="187">
        <f t="shared" si="6"/>
        <v>2.6918155339805825</v>
      </c>
      <c r="O56" s="336" t="s">
        <v>189</v>
      </c>
      <c r="P56" s="166">
        <f t="shared" si="5"/>
        <v>51</v>
      </c>
      <c r="Q56" s="172">
        <f>'Pred. solaio a pannello '!$E$22/$P$109*P56</f>
        <v>2.7728155339805824</v>
      </c>
      <c r="R56" s="167">
        <f t="shared" si="7"/>
        <v>121.60653633707227</v>
      </c>
      <c r="S56" s="167">
        <f t="shared" si="8"/>
        <v>-0.84339805825241854</v>
      </c>
      <c r="T56" s="167">
        <f>'Pred. solaio a pannello '!$G$91</f>
        <v>129.08216872365227</v>
      </c>
      <c r="U56" s="167">
        <f>'Pred. solaio a pannello '!$C$188</f>
        <v>266.48808784913786</v>
      </c>
      <c r="V56" s="167">
        <f>-'Pred. solaio a pannello '!$C$188</f>
        <v>-266.48808784913786</v>
      </c>
    </row>
    <row r="57" spans="2:22">
      <c r="N57" s="187">
        <f t="shared" ref="N57:N88" si="9">Q57+$Z$13/1000</f>
        <v>2.8538155339805824</v>
      </c>
      <c r="O57" s="336"/>
      <c r="P57" s="166">
        <v>51</v>
      </c>
      <c r="Q57" s="172">
        <f>'Pred. solaio a pannello '!$E$22/$P$109*P57</f>
        <v>2.7728155339805824</v>
      </c>
      <c r="R57" s="167">
        <f t="shared" si="7"/>
        <v>121.60653633707227</v>
      </c>
      <c r="S57" s="167">
        <f t="shared" si="8"/>
        <v>-0.84339805825241854</v>
      </c>
      <c r="T57" s="167">
        <f>'Pred. solaio a pannello '!$G$91</f>
        <v>129.08216872365227</v>
      </c>
      <c r="U57" s="167">
        <f>'Pred. solaio a pannello '!$C$188</f>
        <v>266.48808784913786</v>
      </c>
      <c r="V57" s="167">
        <f>-'Pred. solaio a pannello '!$C$188</f>
        <v>-266.48808784913786</v>
      </c>
    </row>
    <row r="58" spans="2:22">
      <c r="B58" s="333" t="s">
        <v>309</v>
      </c>
      <c r="C58" s="333"/>
      <c r="D58" s="333"/>
      <c r="E58" s="333"/>
      <c r="F58" s="333"/>
      <c r="G58" s="333"/>
      <c r="H58" s="333"/>
      <c r="I58" s="333"/>
      <c r="J58" s="333"/>
      <c r="N58" s="156">
        <f t="shared" si="9"/>
        <v>2.9081844660194176</v>
      </c>
      <c r="O58" s="163"/>
      <c r="P58" s="37">
        <f t="shared" ref="P58:P109" si="10">P57+1</f>
        <v>52</v>
      </c>
      <c r="Q58" s="186">
        <f>'Pred. solaio a pannello '!$E$22/$P$109*P58</f>
        <v>2.8271844660194176</v>
      </c>
      <c r="R58" s="179">
        <f t="shared" si="7"/>
        <v>121.60653633707227</v>
      </c>
      <c r="S58" s="64">
        <f t="shared" si="8"/>
        <v>0.84339805825243275</v>
      </c>
      <c r="T58" s="64">
        <f>'Pred. solaio a pannello '!$G$91</f>
        <v>129.08216872365227</v>
      </c>
      <c r="U58" s="64">
        <f>'Pred. solaio a pannello '!$C$188</f>
        <v>266.48808784913786</v>
      </c>
      <c r="V58" s="64">
        <f>-'Pred. solaio a pannello '!$C$188</f>
        <v>-266.48808784913786</v>
      </c>
    </row>
    <row r="59" spans="2:22">
      <c r="N59" s="156">
        <f t="shared" si="9"/>
        <v>2.9625533980582524</v>
      </c>
      <c r="O59" s="163"/>
      <c r="P59" s="37">
        <f t="shared" si="10"/>
        <v>53</v>
      </c>
      <c r="Q59" s="186">
        <f>'Pred. solaio a pannello '!$E$22/$P$109*P59</f>
        <v>2.8815533980582524</v>
      </c>
      <c r="R59" s="179">
        <f t="shared" si="7"/>
        <v>121.51482703365065</v>
      </c>
      <c r="S59" s="64">
        <f t="shared" si="8"/>
        <v>2.530194174757284</v>
      </c>
      <c r="T59" s="64">
        <f>'Pred. solaio a pannello '!$G$91</f>
        <v>129.08216872365227</v>
      </c>
      <c r="U59" s="64">
        <f>'Pred. solaio a pannello '!$C$188</f>
        <v>266.48808784913786</v>
      </c>
      <c r="V59" s="64">
        <f>-'Pred. solaio a pannello '!$C$188</f>
        <v>-266.48808784913786</v>
      </c>
    </row>
    <row r="60" spans="2:22">
      <c r="D60" t="s">
        <v>181</v>
      </c>
      <c r="N60" s="156">
        <f t="shared" si="9"/>
        <v>3.0169223300970871</v>
      </c>
      <c r="O60" s="163"/>
      <c r="P60" s="37">
        <f t="shared" si="10"/>
        <v>54</v>
      </c>
      <c r="Q60" s="186">
        <f>'Pred. solaio a pannello '!$E$22/$P$109*P60</f>
        <v>2.9359223300970871</v>
      </c>
      <c r="R60" s="179">
        <f t="shared" si="7"/>
        <v>121.33140842680743</v>
      </c>
      <c r="S60" s="64">
        <f t="shared" si="8"/>
        <v>4.2169902912621353</v>
      </c>
      <c r="T60" s="64">
        <f>'Pred. solaio a pannello '!$G$91</f>
        <v>129.08216872365227</v>
      </c>
      <c r="U60" s="64">
        <f>'Pred. solaio a pannello '!$C$188</f>
        <v>266.48808784913786</v>
      </c>
      <c r="V60" s="64">
        <f>-'Pred. solaio a pannello '!$C$188</f>
        <v>-266.48808784913786</v>
      </c>
    </row>
    <row r="61" spans="2:22">
      <c r="D61" s="151">
        <f>('Pred. solaio a pannello '!E9-'Pred. solaio a pannello '!E29)/'Pred. solaio a pannello '!D314*'Pred. solaio a pannello '!E12</f>
        <v>4240.6862618526902</v>
      </c>
      <c r="N61" s="156">
        <f t="shared" si="9"/>
        <v>3.0712912621359223</v>
      </c>
      <c r="O61" s="163"/>
      <c r="P61" s="37">
        <f t="shared" si="10"/>
        <v>55</v>
      </c>
      <c r="Q61" s="186">
        <f>'Pred. solaio a pannello '!$E$22/$P$109*P61</f>
        <v>2.9902912621359223</v>
      </c>
      <c r="R61" s="179">
        <f t="shared" si="7"/>
        <v>121.0562805165425</v>
      </c>
      <c r="S61" s="64">
        <f t="shared" si="8"/>
        <v>5.9037864077670008</v>
      </c>
      <c r="T61" s="64">
        <f>'Pred. solaio a pannello '!$G$91</f>
        <v>129.08216872365227</v>
      </c>
      <c r="U61" s="64">
        <f>'Pred. solaio a pannello '!$C$188</f>
        <v>266.48808784913786</v>
      </c>
      <c r="V61" s="64">
        <f>-'Pred. solaio a pannello '!$C$188</f>
        <v>-266.48808784913786</v>
      </c>
    </row>
    <row r="62" spans="2:22">
      <c r="B62" t="s">
        <v>182</v>
      </c>
      <c r="D62" t="s">
        <v>182</v>
      </c>
      <c r="N62" s="156">
        <f t="shared" si="9"/>
        <v>3.125660194174757</v>
      </c>
      <c r="O62" s="163"/>
      <c r="P62" s="37">
        <f t="shared" si="10"/>
        <v>56</v>
      </c>
      <c r="Q62" s="186">
        <f>'Pred. solaio a pannello '!$E$22/$P$109*P62</f>
        <v>3.0446601941747571</v>
      </c>
      <c r="R62" s="179">
        <f t="shared" si="7"/>
        <v>120.68944330285603</v>
      </c>
      <c r="S62" s="64">
        <f t="shared" si="8"/>
        <v>7.5905825242718379</v>
      </c>
      <c r="T62" s="64">
        <f>'Pred. solaio a pannello '!$G$91</f>
        <v>129.08216872365227</v>
      </c>
      <c r="U62" s="64">
        <f>'Pred. solaio a pannello '!$C$188</f>
        <v>266.48808784913786</v>
      </c>
      <c r="V62" s="64">
        <f>-'Pred. solaio a pannello '!$C$188</f>
        <v>-266.48808784913786</v>
      </c>
    </row>
    <row r="63" spans="2:22">
      <c r="B63" s="151">
        <f>D63</f>
        <v>245.43692606170262</v>
      </c>
      <c r="D63" s="151">
        <f>('Pred. solaio a pannello '!D85/2)^2*PI()*'Pred. solaio a pannello '!E9/('Pred. solaio a pannello '!E85*10)</f>
        <v>245.43692606170262</v>
      </c>
      <c r="N63" s="156">
        <f t="shared" si="9"/>
        <v>3.1800291262135922</v>
      </c>
      <c r="O63" s="163"/>
      <c r="P63" s="37">
        <f t="shared" si="10"/>
        <v>57</v>
      </c>
      <c r="Q63" s="186">
        <f>'Pred. solaio a pannello '!$E$22/$P$109*P63</f>
        <v>3.0990291262135923</v>
      </c>
      <c r="R63" s="179">
        <f t="shared" si="7"/>
        <v>120.23089678574794</v>
      </c>
      <c r="S63" s="64">
        <f t="shared" si="8"/>
        <v>9.2773786407767034</v>
      </c>
      <c r="T63" s="64">
        <f>'Pred. solaio a pannello '!$G$91</f>
        <v>129.08216872365227</v>
      </c>
      <c r="U63" s="64">
        <f>'Pred. solaio a pannello '!$C$188</f>
        <v>266.48808784913786</v>
      </c>
      <c r="V63" s="64">
        <f>-'Pred. solaio a pannello '!$C$188</f>
        <v>-266.48808784913786</v>
      </c>
    </row>
    <row r="64" spans="2:22">
      <c r="B64" t="s">
        <v>183</v>
      </c>
      <c r="D64" t="s">
        <v>183</v>
      </c>
      <c r="N64" s="156">
        <f t="shared" si="9"/>
        <v>3.234398058252427</v>
      </c>
      <c r="O64" s="163"/>
      <c r="P64" s="37">
        <f t="shared" si="10"/>
        <v>58</v>
      </c>
      <c r="Q64" s="186">
        <f>'Pred. solaio a pannello '!$E$22/$P$109*P64</f>
        <v>3.153398058252427</v>
      </c>
      <c r="R64" s="179">
        <f t="shared" si="7"/>
        <v>119.68064096521817</v>
      </c>
      <c r="S64" s="64">
        <f t="shared" si="8"/>
        <v>10.964174757281555</v>
      </c>
      <c r="T64" s="64">
        <f>'Pred. solaio a pannello '!$G$91</f>
        <v>129.08216872365227</v>
      </c>
      <c r="U64" s="64">
        <f>'Pred. solaio a pannello '!$C$188</f>
        <v>266.48808784913786</v>
      </c>
      <c r="V64" s="64">
        <f>-'Pred. solaio a pannello '!$C$188</f>
        <v>-266.48808784913786</v>
      </c>
    </row>
    <row r="65" spans="2:22">
      <c r="B65" s="151">
        <f>D65</f>
        <v>2036.2756383017845</v>
      </c>
      <c r="D65" s="151">
        <f>'Pred. solaio a pannello '!D91</f>
        <v>2036.2756383017845</v>
      </c>
      <c r="N65" s="156">
        <f t="shared" si="9"/>
        <v>3.2887669902912622</v>
      </c>
      <c r="O65" s="163"/>
      <c r="P65" s="37">
        <f t="shared" si="10"/>
        <v>59</v>
      </c>
      <c r="Q65" s="186">
        <f>'Pred. solaio a pannello '!$E$22/$P$109*P65</f>
        <v>3.2077669902912622</v>
      </c>
      <c r="R65" s="179">
        <f t="shared" si="7"/>
        <v>119.03867584126684</v>
      </c>
      <c r="S65" s="64">
        <f t="shared" si="8"/>
        <v>12.65097087378642</v>
      </c>
      <c r="T65" s="64">
        <f>'Pred. solaio a pannello '!$G$91</f>
        <v>129.08216872365227</v>
      </c>
      <c r="U65" s="64">
        <f>'Pred. solaio a pannello '!$C$188</f>
        <v>266.48808784913786</v>
      </c>
      <c r="V65" s="64">
        <f>-'Pred. solaio a pannello '!$C$188</f>
        <v>-266.48808784913786</v>
      </c>
    </row>
    <row r="66" spans="2:22">
      <c r="B66" t="s">
        <v>184</v>
      </c>
      <c r="D66" t="s">
        <v>184</v>
      </c>
      <c r="N66" s="156">
        <f t="shared" si="9"/>
        <v>3.3431359223300969</v>
      </c>
      <c r="O66" s="163"/>
      <c r="P66" s="37">
        <f t="shared" si="10"/>
        <v>60</v>
      </c>
      <c r="Q66" s="186">
        <f>'Pred. solaio a pannello '!$E$22/$P$109*P66</f>
        <v>3.262135922330097</v>
      </c>
      <c r="R66" s="179">
        <f t="shared" si="7"/>
        <v>118.30500141389382</v>
      </c>
      <c r="S66" s="64">
        <f t="shared" si="8"/>
        <v>14.337766990291257</v>
      </c>
      <c r="T66" s="64">
        <f>'Pred. solaio a pannello '!$G$91</f>
        <v>129.08216872365227</v>
      </c>
      <c r="U66" s="64">
        <f>'Pred. solaio a pannello '!$C$188</f>
        <v>266.48808784913786</v>
      </c>
      <c r="V66" s="64">
        <f>-'Pred. solaio a pannello '!$C$188</f>
        <v>-266.48808784913786</v>
      </c>
    </row>
    <row r="67" spans="2:22">
      <c r="B67" s="151">
        <f>B63+B65</f>
        <v>2281.7125643634872</v>
      </c>
      <c r="D67" s="151">
        <f>D61+D63+D65</f>
        <v>6522.3988262161765</v>
      </c>
      <c r="N67" s="156">
        <f t="shared" si="9"/>
        <v>3.3975048543689321</v>
      </c>
      <c r="O67" s="163"/>
      <c r="P67" s="37">
        <f t="shared" si="10"/>
        <v>61</v>
      </c>
      <c r="Q67" s="186">
        <f>'Pred. solaio a pannello '!$E$22/$P$109*P67</f>
        <v>3.3165048543689322</v>
      </c>
      <c r="R67" s="179">
        <f t="shared" si="7"/>
        <v>117.47961768309924</v>
      </c>
      <c r="S67" s="64">
        <f t="shared" si="8"/>
        <v>16.024563106796123</v>
      </c>
      <c r="T67" s="64">
        <f>'Pred. solaio a pannello '!$G$91</f>
        <v>129.08216872365227</v>
      </c>
      <c r="U67" s="64">
        <f>'Pred. solaio a pannello '!$C$188</f>
        <v>266.48808784913786</v>
      </c>
      <c r="V67" s="64">
        <f>-'Pred. solaio a pannello '!$C$188</f>
        <v>-266.48808784913786</v>
      </c>
    </row>
    <row r="68" spans="2:22">
      <c r="B68" s="112"/>
      <c r="C68" s="113"/>
      <c r="D68" s="113"/>
      <c r="E68" s="113"/>
      <c r="F68" s="114"/>
      <c r="G68" s="115"/>
      <c r="I68" t="s">
        <v>52</v>
      </c>
      <c r="J68">
        <f>J41</f>
        <v>2500</v>
      </c>
      <c r="N68" s="156">
        <f t="shared" si="9"/>
        <v>3.4518737864077669</v>
      </c>
      <c r="O68" s="163"/>
      <c r="P68" s="37">
        <f t="shared" si="10"/>
        <v>62</v>
      </c>
      <c r="Q68" s="186">
        <f>'Pred. solaio a pannello '!$E$22/$P$109*P68</f>
        <v>3.3708737864077669</v>
      </c>
      <c r="R68" s="179">
        <f t="shared" ref="R68:R99" si="11">$Y$2*$Q$109*Q68/2-$Y$2*Q68^2/2</f>
        <v>116.56252464888303</v>
      </c>
      <c r="S68" s="64">
        <f t="shared" ref="S68:S99" si="12">-$Y$2*$Q$109/2+$Y$2*Q68</f>
        <v>17.711359223300974</v>
      </c>
      <c r="T68" s="64">
        <f>'Pred. solaio a pannello '!$G$91</f>
        <v>129.08216872365227</v>
      </c>
      <c r="U68" s="64">
        <f>'Pred. solaio a pannello '!$C$188</f>
        <v>266.48808784913786</v>
      </c>
      <c r="V68" s="64">
        <f>-'Pred. solaio a pannello '!$C$188</f>
        <v>-266.48808784913786</v>
      </c>
    </row>
    <row r="69" spans="2:22">
      <c r="B69" s="116" t="s">
        <v>147</v>
      </c>
      <c r="C69" s="48"/>
      <c r="D69" s="117" t="s">
        <v>148</v>
      </c>
      <c r="E69" s="117"/>
      <c r="F69" s="117" t="s">
        <v>150</v>
      </c>
      <c r="G69" s="118"/>
      <c r="I69" t="s">
        <v>186</v>
      </c>
      <c r="J69">
        <f t="shared" ref="J69:J72" si="13">J42</f>
        <v>700</v>
      </c>
      <c r="N69" s="156">
        <f t="shared" si="9"/>
        <v>3.5062427184466021</v>
      </c>
      <c r="O69" s="163"/>
      <c r="P69" s="37">
        <f t="shared" si="10"/>
        <v>63</v>
      </c>
      <c r="Q69" s="186">
        <f>'Pred. solaio a pannello '!$E$22/$P$109*P69</f>
        <v>3.4252427184466021</v>
      </c>
      <c r="R69" s="179">
        <f t="shared" si="11"/>
        <v>115.55372231124514</v>
      </c>
      <c r="S69" s="64">
        <f t="shared" si="12"/>
        <v>19.39815533980584</v>
      </c>
      <c r="T69" s="64">
        <f>'Pred. solaio a pannello '!$G$91</f>
        <v>129.08216872365227</v>
      </c>
      <c r="U69" s="64">
        <f>'Pred. solaio a pannello '!$C$188</f>
        <v>266.48808784913786</v>
      </c>
      <c r="V69" s="64">
        <f>-'Pred. solaio a pannello '!$C$188</f>
        <v>-266.48808784913786</v>
      </c>
    </row>
    <row r="70" spans="2:22">
      <c r="B70" s="116">
        <f>B78*(-1+(1+2*B72/B78)^0.5)</f>
        <v>22.559803010971617</v>
      </c>
      <c r="C70" s="117"/>
      <c r="D70" s="117">
        <f>D78*(-1+(1+2*D72/D78)^0.5)</f>
        <v>14.553079488328532</v>
      </c>
      <c r="E70" s="117"/>
      <c r="F70" s="117">
        <f>F78*(-1+(1+2*F72/B78)^0.5)</f>
        <v>21.866813908492556</v>
      </c>
      <c r="G70" s="118"/>
      <c r="H70" s="38"/>
      <c r="I70" t="s">
        <v>68</v>
      </c>
      <c r="J70">
        <f>IF('Pred. solaio a pannello '!E27="SI",'Pred. solaio a pannello '!E12+'Pred. solaio a pannello '!E18*I7,'Pred. solaio a pannello '!E12)</f>
        <v>106.08424204717478</v>
      </c>
      <c r="N70" s="156">
        <f t="shared" si="9"/>
        <v>3.5606116504854368</v>
      </c>
      <c r="O70" s="163"/>
      <c r="P70" s="37">
        <f t="shared" si="10"/>
        <v>64</v>
      </c>
      <c r="Q70" s="186">
        <f>'Pred. solaio a pannello '!$E$22/$P$109*P70</f>
        <v>3.4796116504854369</v>
      </c>
      <c r="R70" s="179">
        <f t="shared" si="11"/>
        <v>114.45321067018568</v>
      </c>
      <c r="S70" s="64">
        <f t="shared" si="12"/>
        <v>21.084951456310677</v>
      </c>
      <c r="T70" s="64">
        <f>'Pred. solaio a pannello '!$G$91</f>
        <v>129.08216872365227</v>
      </c>
      <c r="U70" s="64">
        <f>'Pred. solaio a pannello '!$C$188</f>
        <v>266.48808784913786</v>
      </c>
      <c r="V70" s="64">
        <f>-'Pred. solaio a pannello '!$C$188</f>
        <v>-266.48808784913786</v>
      </c>
    </row>
    <row r="71" spans="2:22">
      <c r="B71" s="116" t="s">
        <v>146</v>
      </c>
      <c r="C71" s="48"/>
      <c r="D71" s="117" t="s">
        <v>146</v>
      </c>
      <c r="E71" s="117"/>
      <c r="F71" s="48" t="s">
        <v>19</v>
      </c>
      <c r="G71" s="118"/>
      <c r="I71" t="s">
        <v>19</v>
      </c>
      <c r="J71">
        <f>IF('Pred. solaio a pannello '!E27="SI",'Pred. solaio a pannello '!E30+'Pred. solaio a pannello '!E18*I7,'Pred. solaio a pannello '!E30)</f>
        <v>236.08424204717477</v>
      </c>
      <c r="N71" s="156">
        <f t="shared" si="9"/>
        <v>3.6149805825242716</v>
      </c>
      <c r="O71" s="163"/>
      <c r="P71" s="37">
        <f t="shared" si="10"/>
        <v>65</v>
      </c>
      <c r="Q71" s="186">
        <f>'Pred. solaio a pannello '!$E$22/$P$109*P71</f>
        <v>3.5339805825242716</v>
      </c>
      <c r="R71" s="179">
        <f t="shared" si="11"/>
        <v>113.26098972570455</v>
      </c>
      <c r="S71" s="64">
        <f t="shared" si="12"/>
        <v>22.771747572815528</v>
      </c>
      <c r="T71" s="64">
        <f>'Pred. solaio a pannello '!$G$91</f>
        <v>129.08216872365227</v>
      </c>
      <c r="U71" s="64">
        <f>'Pred. solaio a pannello '!$C$188</f>
        <v>266.48808784913786</v>
      </c>
      <c r="V71" s="64">
        <f>-'Pred. solaio a pannello '!$C$188</f>
        <v>-266.48808784913786</v>
      </c>
    </row>
    <row r="72" spans="2:22">
      <c r="B72" s="116">
        <f>(B65*'Pred. solaio a pannello '!E51+'Pred. solaio a pannello '!E38*B63)/(B63+B65)</f>
        <v>35.697320865125349</v>
      </c>
      <c r="C72" s="48"/>
      <c r="D72" s="48">
        <f>(D61*'Pred. solaio a pannello '!E39/2+D65*'Pred. solaio a pannello '!E51+'Pred. solaio a pannello '!E38*D63)/(D63+D65+D61)</f>
        <v>15.088585227863883</v>
      </c>
      <c r="E72" s="117"/>
      <c r="F72" s="120">
        <f>'Pred. solaio a pannello '!E51</f>
        <v>40</v>
      </c>
      <c r="G72" s="118"/>
      <c r="I72" t="s">
        <v>54</v>
      </c>
      <c r="J72">
        <f t="shared" si="13"/>
        <v>20</v>
      </c>
      <c r="N72" s="156">
        <f t="shared" si="9"/>
        <v>3.6693495145631068</v>
      </c>
      <c r="O72" s="163"/>
      <c r="P72" s="37">
        <f t="shared" si="10"/>
        <v>66</v>
      </c>
      <c r="Q72" s="186">
        <f>'Pred. solaio a pannello '!$E$22/$P$109*P72</f>
        <v>3.5883495145631068</v>
      </c>
      <c r="R72" s="179">
        <f t="shared" si="11"/>
        <v>111.97705947780184</v>
      </c>
      <c r="S72" s="64">
        <f t="shared" si="12"/>
        <v>24.458543689320393</v>
      </c>
      <c r="T72" s="64">
        <f>'Pred. solaio a pannello '!$G$91</f>
        <v>129.08216872365227</v>
      </c>
      <c r="U72" s="64">
        <f>'Pred. solaio a pannello '!$C$188</f>
        <v>266.48808784913786</v>
      </c>
      <c r="V72" s="64">
        <f>-'Pred. solaio a pannello '!$C$188</f>
        <v>-266.48808784913786</v>
      </c>
    </row>
    <row r="73" spans="2:22">
      <c r="B73" s="119"/>
      <c r="C73" s="48"/>
      <c r="D73" s="117"/>
      <c r="E73" s="117"/>
      <c r="F73" s="48"/>
      <c r="G73" s="118"/>
      <c r="N73" s="156">
        <f t="shared" si="9"/>
        <v>3.7237184466019415</v>
      </c>
      <c r="O73" s="163"/>
      <c r="P73" s="37">
        <f t="shared" si="10"/>
        <v>67</v>
      </c>
      <c r="Q73" s="186">
        <f>'Pred. solaio a pannello '!$E$22/$P$109*P73</f>
        <v>3.6427184466019416</v>
      </c>
      <c r="R73" s="179">
        <f t="shared" si="11"/>
        <v>110.60141992647752</v>
      </c>
      <c r="S73" s="64">
        <f t="shared" si="12"/>
        <v>26.145339805825245</v>
      </c>
      <c r="T73" s="64">
        <f>'Pred. solaio a pannello '!$G$91</f>
        <v>129.08216872365227</v>
      </c>
      <c r="U73" s="64">
        <f>'Pred. solaio a pannello '!$C$188</f>
        <v>266.48808784913786</v>
      </c>
      <c r="V73" s="64">
        <f>-'Pred. solaio a pannello '!$C$188</f>
        <v>-266.48808784913786</v>
      </c>
    </row>
    <row r="74" spans="2:22">
      <c r="B74" s="116" t="s">
        <v>144</v>
      </c>
      <c r="C74" s="48"/>
      <c r="D74" s="117" t="s">
        <v>144</v>
      </c>
      <c r="E74" s="117"/>
      <c r="F74" s="48" t="s">
        <v>151</v>
      </c>
      <c r="G74" s="118"/>
      <c r="N74" s="156">
        <f t="shared" si="9"/>
        <v>3.7780873786407767</v>
      </c>
      <c r="O74" s="163"/>
      <c r="P74" s="37">
        <f t="shared" si="10"/>
        <v>68</v>
      </c>
      <c r="Q74" s="186">
        <f>'Pred. solaio a pannello '!$E$22/$P$109*P74</f>
        <v>3.6970873786407767</v>
      </c>
      <c r="R74" s="179">
        <f t="shared" si="11"/>
        <v>109.13407107173151</v>
      </c>
      <c r="S74" s="64">
        <f t="shared" si="12"/>
        <v>27.832135922330096</v>
      </c>
      <c r="T74" s="64">
        <f>'Pred. solaio a pannello '!$G$91</f>
        <v>129.08216872365227</v>
      </c>
      <c r="U74" s="64">
        <f>'Pred. solaio a pannello '!$C$188</f>
        <v>266.48808784913786</v>
      </c>
      <c r="V74" s="64">
        <f>-'Pred. solaio a pannello '!$C$188</f>
        <v>-266.48808784913786</v>
      </c>
    </row>
    <row r="75" spans="2:22">
      <c r="B75" s="159">
        <f>B65+B63</f>
        <v>2281.7125643634872</v>
      </c>
      <c r="C75" s="158"/>
      <c r="D75" s="158">
        <f>D61+D63+D65</f>
        <v>6522.3988262161765</v>
      </c>
      <c r="E75" s="158"/>
      <c r="F75" s="160">
        <f>D65</f>
        <v>2036.2756383017845</v>
      </c>
      <c r="G75" s="118"/>
      <c r="N75" s="156">
        <f t="shared" si="9"/>
        <v>3.8324563106796115</v>
      </c>
      <c r="O75" s="163"/>
      <c r="P75" s="37">
        <f t="shared" si="10"/>
        <v>69</v>
      </c>
      <c r="Q75" s="186">
        <f>'Pred. solaio a pannello '!$E$22/$P$109*P75</f>
        <v>3.7514563106796115</v>
      </c>
      <c r="R75" s="179">
        <f t="shared" si="11"/>
        <v>107.57501291356394</v>
      </c>
      <c r="S75" s="64">
        <f t="shared" si="12"/>
        <v>29.518932038834947</v>
      </c>
      <c r="T75" s="64">
        <f>'Pred. solaio a pannello '!$G$91</f>
        <v>129.08216872365227</v>
      </c>
      <c r="U75" s="64">
        <f>'Pred. solaio a pannello '!$C$188</f>
        <v>266.48808784913786</v>
      </c>
      <c r="V75" s="64">
        <f>-'Pred. solaio a pannello '!$C$188</f>
        <v>-266.48808784913786</v>
      </c>
    </row>
    <row r="76" spans="2:22">
      <c r="B76" s="119"/>
      <c r="C76" s="117"/>
      <c r="D76" s="117"/>
      <c r="E76" s="117"/>
      <c r="F76" s="48"/>
      <c r="G76" s="118"/>
      <c r="N76" s="156">
        <f t="shared" si="9"/>
        <v>3.8868252427184466</v>
      </c>
      <c r="O76" s="163"/>
      <c r="P76" s="37">
        <f t="shared" si="10"/>
        <v>70</v>
      </c>
      <c r="Q76" s="186">
        <f>'Pred. solaio a pannello '!$E$22/$P$109*P76</f>
        <v>3.8058252427184467</v>
      </c>
      <c r="R76" s="179">
        <f t="shared" si="11"/>
        <v>105.92424545197468</v>
      </c>
      <c r="S76" s="64">
        <f t="shared" si="12"/>
        <v>31.205728155339813</v>
      </c>
      <c r="T76" s="64">
        <f>'Pred. solaio a pannello '!$G$91</f>
        <v>129.08216872365227</v>
      </c>
      <c r="U76" s="64">
        <f>'Pred. solaio a pannello '!$C$188</f>
        <v>266.48808784913786</v>
      </c>
      <c r="V76" s="64">
        <f>-'Pred. solaio a pannello '!$C$188</f>
        <v>-266.48808784913786</v>
      </c>
    </row>
    <row r="77" spans="2:22">
      <c r="B77" s="48" t="s">
        <v>6</v>
      </c>
      <c r="C77" s="48"/>
      <c r="D77" s="48" t="s">
        <v>6</v>
      </c>
      <c r="E77" s="48"/>
      <c r="F77" s="48" t="s">
        <v>6</v>
      </c>
      <c r="G77" s="48"/>
      <c r="N77" s="156">
        <f t="shared" si="9"/>
        <v>3.9411941747572814</v>
      </c>
      <c r="O77" s="163"/>
      <c r="P77" s="37">
        <f t="shared" si="10"/>
        <v>71</v>
      </c>
      <c r="Q77" s="186">
        <f>'Pred. solaio a pannello '!$E$22/$P$109*P77</f>
        <v>3.8601941747572814</v>
      </c>
      <c r="R77" s="179">
        <f t="shared" si="11"/>
        <v>104.18176868696389</v>
      </c>
      <c r="S77" s="64">
        <f t="shared" si="12"/>
        <v>32.892524271844664</v>
      </c>
      <c r="T77" s="64">
        <f>'Pred. solaio a pannello '!$G$91</f>
        <v>129.08216872365227</v>
      </c>
      <c r="U77" s="64">
        <f>'Pred. solaio a pannello '!$C$188</f>
        <v>266.48808784913786</v>
      </c>
      <c r="V77" s="64">
        <f>-'Pred. solaio a pannello '!$C$188</f>
        <v>-266.48808784913786</v>
      </c>
    </row>
    <row r="78" spans="2:22">
      <c r="B78">
        <f>'Pred. solaio a pannello '!D314/'Pred. solaio a pannello '!E9*B67</f>
        <v>19.369896107617055</v>
      </c>
      <c r="D78">
        <f>'Pred. solaio a pannello '!D314/'Pred. solaio a pannello '!E29*D67</f>
        <v>197.74962895577517</v>
      </c>
      <c r="F78">
        <f>F75*'Pred. solaio a pannello '!D314/'Pred. solaio a pannello '!E9</f>
        <v>17.286334911943712</v>
      </c>
      <c r="N78" s="156">
        <f t="shared" si="9"/>
        <v>3.9955631067961166</v>
      </c>
      <c r="O78" s="163"/>
      <c r="P78" s="37">
        <f t="shared" si="10"/>
        <v>72</v>
      </c>
      <c r="Q78" s="186">
        <f>'Pred. solaio a pannello '!$E$22/$P$109*P78</f>
        <v>3.9145631067961166</v>
      </c>
      <c r="R78" s="179">
        <f t="shared" si="11"/>
        <v>102.34758261853139</v>
      </c>
      <c r="S78" s="64">
        <f t="shared" si="12"/>
        <v>34.579320388349529</v>
      </c>
      <c r="T78" s="64">
        <f>'Pred. solaio a pannello '!$G$91</f>
        <v>129.08216872365227</v>
      </c>
      <c r="U78" s="64">
        <f>'Pred. solaio a pannello '!$C$188</f>
        <v>266.48808784913786</v>
      </c>
      <c r="V78" s="64">
        <f>-'Pred. solaio a pannello '!$C$188</f>
        <v>-266.48808784913786</v>
      </c>
    </row>
    <row r="79" spans="2:22">
      <c r="N79" s="156">
        <f t="shared" si="9"/>
        <v>4.0499320388349513</v>
      </c>
      <c r="O79" s="163"/>
      <c r="P79" s="37">
        <f t="shared" si="10"/>
        <v>73</v>
      </c>
      <c r="Q79" s="186">
        <f>'Pred. solaio a pannello '!$E$22/$P$109*P79</f>
        <v>3.9689320388349514</v>
      </c>
      <c r="R79" s="179">
        <f t="shared" si="11"/>
        <v>100.42168724667732</v>
      </c>
      <c r="S79" s="64">
        <f t="shared" si="12"/>
        <v>36.266116504854367</v>
      </c>
      <c r="T79" s="64">
        <f>'Pred. solaio a pannello '!$G$91</f>
        <v>129.08216872365227</v>
      </c>
      <c r="U79" s="64">
        <f>'Pred. solaio a pannello '!$C$188</f>
        <v>266.48808784913786</v>
      </c>
      <c r="V79" s="64">
        <f>-'Pred. solaio a pannello '!$C$188</f>
        <v>-266.48808784913786</v>
      </c>
    </row>
    <row r="80" spans="2:22">
      <c r="B80" t="s">
        <v>185</v>
      </c>
      <c r="D80" t="s">
        <v>185</v>
      </c>
      <c r="N80" s="156">
        <f t="shared" si="9"/>
        <v>4.104300970873787</v>
      </c>
      <c r="O80" s="163"/>
      <c r="P80" s="37">
        <f t="shared" si="10"/>
        <v>74</v>
      </c>
      <c r="Q80" s="186">
        <f>'Pred. solaio a pannello '!$E$22/$P$109*P80</f>
        <v>4.0233009708737866</v>
      </c>
      <c r="R80" s="179">
        <f t="shared" si="11"/>
        <v>98.404082571401574</v>
      </c>
      <c r="S80" s="64">
        <f t="shared" si="12"/>
        <v>37.952912621359232</v>
      </c>
      <c r="T80" s="64">
        <f>'Pred. solaio a pannello '!$G$91</f>
        <v>129.08216872365227</v>
      </c>
      <c r="U80" s="64">
        <f>'Pred. solaio a pannello '!$C$188</f>
        <v>266.48808784913786</v>
      </c>
      <c r="V80" s="64">
        <f>-'Pred. solaio a pannello '!$C$188</f>
        <v>-266.48808784913786</v>
      </c>
    </row>
    <row r="81" spans="2:22">
      <c r="B81">
        <f>1/3*J68*B70^3+'Pred. solaio a pannello '!D341*(B65*(J71-B70)^2+B63*(B70-J72)^2)</f>
        <v>9568077.0365006868</v>
      </c>
      <c r="D81">
        <f>J69*D70^3/3+(J68-J69)*J70^3/12+(J68-J69)*J70*(D70-J70/2)^2+'Pred. solaio a pannello '!D341*D63*(D70-J72)^2+'Pred. solaio a pannello '!D341*D65*(J71-D70)^2</f>
        <v>462674829.27502614</v>
      </c>
      <c r="N81" s="156">
        <f t="shared" si="9"/>
        <v>4.1586699029126217</v>
      </c>
      <c r="O81" s="163"/>
      <c r="P81" s="37">
        <f t="shared" si="10"/>
        <v>75</v>
      </c>
      <c r="Q81" s="186">
        <f>'Pred. solaio a pannello '!$E$22/$P$109*P81</f>
        <v>4.0776699029126213</v>
      </c>
      <c r="R81" s="179">
        <f t="shared" si="11"/>
        <v>96.294768592704315</v>
      </c>
      <c r="S81" s="64">
        <f t="shared" si="12"/>
        <v>39.639708737864083</v>
      </c>
      <c r="T81" s="64">
        <f>'Pred. solaio a pannello '!$G$91</f>
        <v>129.08216872365227</v>
      </c>
      <c r="U81" s="64">
        <f>'Pred. solaio a pannello '!$C$188</f>
        <v>266.48808784913786</v>
      </c>
      <c r="V81" s="64">
        <f>-'Pred. solaio a pannello '!$C$188</f>
        <v>-266.48808784913786</v>
      </c>
    </row>
    <row r="82" spans="2:22">
      <c r="B82">
        <f>B81*10^-4</f>
        <v>956.80770365006867</v>
      </c>
      <c r="D82">
        <f>D81*10^-4</f>
        <v>46267.482927502613</v>
      </c>
      <c r="N82" s="156">
        <f t="shared" si="9"/>
        <v>4.2130388349514565</v>
      </c>
      <c r="O82" s="163"/>
      <c r="P82" s="37">
        <f t="shared" si="10"/>
        <v>76</v>
      </c>
      <c r="Q82" s="186">
        <f>'Pred. solaio a pannello '!$E$22/$P$109*P82</f>
        <v>4.1320388349514561</v>
      </c>
      <c r="R82" s="179">
        <f t="shared" si="11"/>
        <v>94.093745310585348</v>
      </c>
      <c r="S82" s="64">
        <f t="shared" si="12"/>
        <v>41.326504854368935</v>
      </c>
      <c r="T82" s="64">
        <f>'Pred. solaio a pannello '!$G$91</f>
        <v>129.08216872365227</v>
      </c>
      <c r="U82" s="64">
        <f>'Pred. solaio a pannello '!$C$188</f>
        <v>266.48808784913786</v>
      </c>
      <c r="V82" s="64">
        <f>-'Pred. solaio a pannello '!$C$188</f>
        <v>-266.48808784913786</v>
      </c>
    </row>
    <row r="83" spans="2:22">
      <c r="N83" s="188">
        <f t="shared" si="9"/>
        <v>4.2674077669902912</v>
      </c>
      <c r="O83" s="335" t="s">
        <v>190</v>
      </c>
      <c r="P83" s="164">
        <f t="shared" si="10"/>
        <v>77</v>
      </c>
      <c r="Q83" s="170">
        <f>'Pred. solaio a pannello '!$E$22/$P$109*P83</f>
        <v>4.1864077669902908</v>
      </c>
      <c r="R83" s="165">
        <f t="shared" si="11"/>
        <v>91.801012725044757</v>
      </c>
      <c r="S83" s="165">
        <f t="shared" si="12"/>
        <v>43.013300970873772</v>
      </c>
      <c r="T83" s="165">
        <f>'Pred. solaio a pannello '!$G$91</f>
        <v>129.08216872365227</v>
      </c>
      <c r="U83" s="165">
        <f>'Pred. solaio a pannello '!$C$188</f>
        <v>266.48808784913786</v>
      </c>
      <c r="V83" s="165">
        <f>-'Pred. solaio a pannello '!$C$188</f>
        <v>-266.48808784913786</v>
      </c>
    </row>
    <row r="84" spans="2:22">
      <c r="N84" s="188">
        <f t="shared" si="9"/>
        <v>4.3217766990291269</v>
      </c>
      <c r="O84" s="335"/>
      <c r="P84" s="164">
        <f t="shared" si="10"/>
        <v>78</v>
      </c>
      <c r="Q84" s="170">
        <f>'Pred. solaio a pannello '!$E$22/$P$109*P84</f>
        <v>4.2407766990291265</v>
      </c>
      <c r="R84" s="165">
        <f t="shared" si="11"/>
        <v>89.416570836082542</v>
      </c>
      <c r="S84" s="165">
        <f t="shared" si="12"/>
        <v>44.700097087378666</v>
      </c>
      <c r="T84" s="165">
        <f>IF(Q84&gt;($Q$109-$AA$11),$AC$11,'Pred. solaio a pannello '!$G$94)</f>
        <v>129.08216872365227</v>
      </c>
      <c r="U84" s="165">
        <f>'Pred. solaio a pannello '!$C$188</f>
        <v>266.48808784913786</v>
      </c>
      <c r="V84" s="165">
        <f>-'Pred. solaio a pannello '!$C$188</f>
        <v>-266.48808784913786</v>
      </c>
    </row>
    <row r="85" spans="2:22">
      <c r="N85" s="156">
        <f t="shared" si="9"/>
        <v>4.3761456310679616</v>
      </c>
      <c r="O85" s="163"/>
      <c r="P85" s="37">
        <f t="shared" si="10"/>
        <v>79</v>
      </c>
      <c r="Q85" s="186">
        <f>'Pred. solaio a pannello '!$E$22/$P$109*P85</f>
        <v>4.2951456310679612</v>
      </c>
      <c r="R85" s="179">
        <f t="shared" si="11"/>
        <v>86.940419643698704</v>
      </c>
      <c r="S85" s="64">
        <f t="shared" si="12"/>
        <v>46.386893203883503</v>
      </c>
      <c r="T85" s="179">
        <f>IF(Q85&gt;($Q$109-$AA$11),$AC$11,'Pred. solaio a pannello '!$G$94)</f>
        <v>129.08216872365227</v>
      </c>
      <c r="U85" s="64">
        <f>'Pred. solaio a pannello '!$C$188</f>
        <v>266.48808784913786</v>
      </c>
      <c r="V85" s="64">
        <f>-'Pred. solaio a pannello '!$C$188</f>
        <v>-266.48808784913786</v>
      </c>
    </row>
    <row r="86" spans="2:22" ht="15.75" thickBot="1">
      <c r="N86" s="156">
        <f t="shared" si="9"/>
        <v>4.4305145631067964</v>
      </c>
      <c r="O86" s="163"/>
      <c r="P86" s="37">
        <f t="shared" si="10"/>
        <v>80</v>
      </c>
      <c r="Q86" s="186">
        <f>'Pred. solaio a pannello '!$E$22/$P$109*P86</f>
        <v>4.349514563106796</v>
      </c>
      <c r="R86" s="179">
        <f t="shared" si="11"/>
        <v>84.372559147893298</v>
      </c>
      <c r="S86" s="64">
        <f t="shared" si="12"/>
        <v>48.07368932038834</v>
      </c>
      <c r="T86" s="179">
        <f>IF(Q86&gt;($Q$109-$AA$11),$AC$11,'Pred. solaio a pannello '!$G$94)</f>
        <v>129.08216872365227</v>
      </c>
      <c r="U86" s="64">
        <f>'Pred. solaio a pannello '!$C$188</f>
        <v>266.48808784913786</v>
      </c>
      <c r="V86" s="64">
        <f>-'Pred. solaio a pannello '!$C$188</f>
        <v>-266.48808784913786</v>
      </c>
    </row>
    <row r="87" spans="2:22" ht="16.5" thickTop="1" thickBot="1">
      <c r="E87" s="258" t="s">
        <v>292</v>
      </c>
      <c r="F87" s="195">
        <f>'Pred. solaio a pannello '!D85</f>
        <v>5</v>
      </c>
      <c r="G87" s="105">
        <f>'Pred. solaio a pannello '!E85</f>
        <v>20</v>
      </c>
      <c r="N87" s="156">
        <f t="shared" si="9"/>
        <v>4.4848834951456311</v>
      </c>
      <c r="O87" s="163"/>
      <c r="P87" s="37">
        <f t="shared" si="10"/>
        <v>81</v>
      </c>
      <c r="Q87" s="186">
        <f>'Pred. solaio a pannello '!$E$22/$P$109*P87</f>
        <v>4.4038834951456307</v>
      </c>
      <c r="R87" s="179">
        <f t="shared" si="11"/>
        <v>81.712989348666213</v>
      </c>
      <c r="S87" s="64">
        <f t="shared" si="12"/>
        <v>49.760485436893205</v>
      </c>
      <c r="T87" s="179">
        <f>IF(Q87&gt;($Q$109-$AA$11),$AC$11,'Pred. solaio a pannello '!$G$94)</f>
        <v>129.08216872365227</v>
      </c>
      <c r="U87" s="64">
        <f>'Pred. solaio a pannello '!$C$188</f>
        <v>266.48808784913786</v>
      </c>
      <c r="V87" s="64">
        <f>-'Pred. solaio a pannello '!$C$188</f>
        <v>-266.48808784913786</v>
      </c>
    </row>
    <row r="88" spans="2:22" ht="16.5" thickTop="1" thickBot="1">
      <c r="N88" s="156">
        <f t="shared" si="9"/>
        <v>4.5392524271844668</v>
      </c>
      <c r="O88" s="163"/>
      <c r="P88" s="37">
        <f t="shared" si="10"/>
        <v>82</v>
      </c>
      <c r="Q88" s="186">
        <f>'Pred. solaio a pannello '!$E$22/$P$109*P88</f>
        <v>4.4582524271844663</v>
      </c>
      <c r="R88" s="179">
        <f t="shared" si="11"/>
        <v>78.961710246017503</v>
      </c>
      <c r="S88" s="64">
        <f t="shared" si="12"/>
        <v>51.447281553398071</v>
      </c>
      <c r="T88" s="179">
        <f>IF(Q88&gt;($Q$109-$AA$11),$AC$11,'Pred. solaio a pannello '!$G$94)</f>
        <v>129.08216872365227</v>
      </c>
      <c r="U88" s="64">
        <f>'Pred. solaio a pannello '!$C$188</f>
        <v>266.48808784913786</v>
      </c>
      <c r="V88" s="64">
        <f>-'Pred. solaio a pannello '!$C$188</f>
        <v>-266.48808784913786</v>
      </c>
    </row>
    <row r="89" spans="2:22" ht="16.5" thickTop="1" thickBot="1">
      <c r="B89" s="97" t="s">
        <v>285</v>
      </c>
      <c r="C89" s="97" t="s">
        <v>286</v>
      </c>
      <c r="E89" s="258" t="s">
        <v>293</v>
      </c>
      <c r="F89" s="195">
        <f>'Pred. solaio a pannello '!D86</f>
        <v>5</v>
      </c>
      <c r="G89" s="105">
        <f>'Pred. solaio a pannello '!E86</f>
        <v>15</v>
      </c>
      <c r="H89" s="259"/>
      <c r="I89" s="246"/>
      <c r="N89" s="156">
        <f t="shared" ref="N89:N109" si="14">Q89+$Z$13/1000</f>
        <v>4.5936213592233015</v>
      </c>
      <c r="O89" s="163"/>
      <c r="P89" s="37">
        <f t="shared" si="10"/>
        <v>83</v>
      </c>
      <c r="Q89" s="186">
        <f>'Pred. solaio a pannello '!$E$22/$P$109*P89</f>
        <v>4.5126213592233011</v>
      </c>
      <c r="R89" s="179">
        <f t="shared" si="11"/>
        <v>76.11872183994717</v>
      </c>
      <c r="S89" s="64">
        <f t="shared" si="12"/>
        <v>53.134077669902908</v>
      </c>
      <c r="T89" s="179">
        <f>IF(Q89&gt;($Q$109-$AA$11),$AC$11,'Pred. solaio a pannello '!$G$94)</f>
        <v>129.08216872365227</v>
      </c>
      <c r="U89" s="64">
        <f>'Pred. solaio a pannello '!$C$188</f>
        <v>266.48808784913786</v>
      </c>
      <c r="V89" s="64">
        <f>-'Pred. solaio a pannello '!$C$188</f>
        <v>-266.48808784913786</v>
      </c>
    </row>
    <row r="90" spans="2:22" ht="16.5" thickTop="1" thickBot="1">
      <c r="B90" s="64">
        <f>(F92*F91^2+G92*G91^2+H92*H91^2+'Pred. solaio a pannello '!E9/(G87*10)*F87^2)/(F92*F91+G92*G91+H92*H91+'Pred. solaio a pannello '!E9/(G87*10)*F87)</f>
        <v>5</v>
      </c>
      <c r="C90" s="1">
        <f>(F95*F94^2+G95*G94^2+H95*H94^2+'Pred. solaio a pannello '!E9/(G89*10)*F89^2)/(F95*F94+G95*G94+H95*H94+'Pred. solaio a pannello '!E9/(G89*10)*F89)</f>
        <v>10.654794520547943</v>
      </c>
      <c r="E90" s="260"/>
      <c r="F90" s="261"/>
      <c r="G90" s="262"/>
      <c r="H90" s="259"/>
      <c r="I90" s="246"/>
      <c r="N90" s="156">
        <f t="shared" si="14"/>
        <v>4.6479902912621363</v>
      </c>
      <c r="O90" s="163"/>
      <c r="P90" s="37">
        <f t="shared" si="10"/>
        <v>84</v>
      </c>
      <c r="Q90" s="186">
        <f>'Pred. solaio a pannello '!$E$22/$P$109*P90</f>
        <v>4.5669902912621358</v>
      </c>
      <c r="R90" s="179">
        <f t="shared" si="11"/>
        <v>73.184024130455214</v>
      </c>
      <c r="S90" s="64">
        <f t="shared" si="12"/>
        <v>54.820873786407773</v>
      </c>
      <c r="T90" s="179">
        <f>IF(Q90&gt;($Q$109-$AA$11),$AC$11,'Pred. solaio a pannello '!$G$94)</f>
        <v>129.08216872365227</v>
      </c>
      <c r="U90" s="64">
        <f>'Pred. solaio a pannello '!$C$188</f>
        <v>266.48808784913786</v>
      </c>
      <c r="V90" s="64">
        <f>-'Pred. solaio a pannello '!$C$188</f>
        <v>-266.48808784913786</v>
      </c>
    </row>
    <row r="91" spans="2:22" ht="16.5" thickTop="1" thickBot="1">
      <c r="B91" s="97" t="s">
        <v>287</v>
      </c>
      <c r="C91" s="97" t="s">
        <v>287</v>
      </c>
      <c r="E91" s="331" t="s">
        <v>288</v>
      </c>
      <c r="F91" s="72">
        <v>0</v>
      </c>
      <c r="G91" s="72">
        <v>0</v>
      </c>
      <c r="H91" s="72">
        <v>0</v>
      </c>
      <c r="I91" s="263" t="s">
        <v>176</v>
      </c>
      <c r="K91" s="1">
        <v>0.2</v>
      </c>
      <c r="N91" s="156">
        <f t="shared" si="14"/>
        <v>4.702359223300971</v>
      </c>
      <c r="O91" s="163"/>
      <c r="P91" s="37">
        <f t="shared" si="10"/>
        <v>85</v>
      </c>
      <c r="Q91" s="186">
        <f>'Pred. solaio a pannello '!$E$22/$P$109*P91</f>
        <v>4.6213592233009706</v>
      </c>
      <c r="R91" s="179">
        <f t="shared" si="11"/>
        <v>70.157617117541633</v>
      </c>
      <c r="S91" s="64">
        <f t="shared" si="12"/>
        <v>56.50766990291261</v>
      </c>
      <c r="T91" s="179">
        <f>IF(Q91&gt;($Q$109-$AA$11),$AC$11,'Pred. solaio a pannello '!$G$94)</f>
        <v>129.08216872365227</v>
      </c>
      <c r="U91" s="64">
        <f>'Pred. solaio a pannello '!$C$188</f>
        <v>266.48808784913786</v>
      </c>
      <c r="V91" s="64">
        <f>-'Pred. solaio a pannello '!$C$188</f>
        <v>-266.48808784913786</v>
      </c>
    </row>
    <row r="92" spans="2:22" ht="16.5" thickTop="1" thickBot="1">
      <c r="B92" s="264">
        <f>5*('Pred. solaio a pannello '!E11-B90/2)</f>
        <v>87.5</v>
      </c>
      <c r="C92" s="264">
        <f>5*('Pred. solaio a pannello '!E11-C90/2)</f>
        <v>73.363013698630141</v>
      </c>
      <c r="E92" s="332"/>
      <c r="F92" s="196">
        <f>'Pred. solaio a pannello '!C77</f>
        <v>0</v>
      </c>
      <c r="G92" s="196">
        <v>0</v>
      </c>
      <c r="H92" s="196">
        <v>0</v>
      </c>
      <c r="I92" s="265">
        <v>282.74333882308139</v>
      </c>
      <c r="K92" s="1">
        <v>0.3</v>
      </c>
      <c r="N92" s="156">
        <f t="shared" si="14"/>
        <v>4.7567281553398058</v>
      </c>
      <c r="O92" s="163"/>
      <c r="P92" s="37">
        <f t="shared" si="10"/>
        <v>86</v>
      </c>
      <c r="Q92" s="186">
        <f>'Pred. solaio a pannello '!$E$22/$P$109*P92</f>
        <v>4.6757281553398053</v>
      </c>
      <c r="R92" s="179">
        <f t="shared" si="11"/>
        <v>67.039500801206543</v>
      </c>
      <c r="S92" s="64">
        <f t="shared" si="12"/>
        <v>58.194466019417476</v>
      </c>
      <c r="T92" s="179">
        <f>IF(Q92&gt;($Q$109-$AA$11),$AC$11,'Pred. solaio a pannello '!$G$94)</f>
        <v>129.08216872365227</v>
      </c>
      <c r="U92" s="64">
        <f>'Pred. solaio a pannello '!$C$188</f>
        <v>266.48808784913786</v>
      </c>
      <c r="V92" s="64">
        <f>-'Pred. solaio a pannello '!$C$188</f>
        <v>-266.48808784913786</v>
      </c>
    </row>
    <row r="93" spans="2:22" ht="16.5" thickTop="1" thickBot="1">
      <c r="E93" s="266"/>
      <c r="F93" s="267"/>
      <c r="G93" s="268"/>
      <c r="H93" s="259"/>
      <c r="I93" s="246"/>
      <c r="K93" s="1">
        <v>0.4</v>
      </c>
      <c r="N93" s="156">
        <f t="shared" si="14"/>
        <v>4.8110970873786414</v>
      </c>
      <c r="O93" s="163"/>
      <c r="P93" s="37">
        <f t="shared" si="10"/>
        <v>87</v>
      </c>
      <c r="Q93" s="186">
        <f>'Pred. solaio a pannello '!$E$22/$P$109*P93</f>
        <v>4.730097087378641</v>
      </c>
      <c r="R93" s="179">
        <f t="shared" si="11"/>
        <v>63.829675181449659</v>
      </c>
      <c r="S93" s="64">
        <f t="shared" si="12"/>
        <v>59.881262135922341</v>
      </c>
      <c r="T93" s="179">
        <f>IF(Q93&gt;($Q$109-$AA$11),$AC$11,'Pred. solaio a pannello '!$G$94)</f>
        <v>129.08216872365227</v>
      </c>
      <c r="U93" s="64">
        <f>'Pred. solaio a pannello '!$C$188</f>
        <v>266.48808784913786</v>
      </c>
      <c r="V93" s="64">
        <f>-'Pred. solaio a pannello '!$C$188</f>
        <v>-266.48808784913786</v>
      </c>
    </row>
    <row r="94" spans="2:22" ht="16.5" thickTop="1" thickBot="1">
      <c r="E94" s="331" t="s">
        <v>289</v>
      </c>
      <c r="F94" s="72">
        <f>'Pred. solaio a pannello '!C76</f>
        <v>10</v>
      </c>
      <c r="G94" s="72">
        <f>'Pred. solaio a pannello '!D76</f>
        <v>12</v>
      </c>
      <c r="H94" s="72">
        <f>'Pred. solaio a pannello '!E76</f>
        <v>16</v>
      </c>
      <c r="I94" s="263" t="s">
        <v>176</v>
      </c>
      <c r="N94" s="156">
        <f t="shared" si="14"/>
        <v>4.8654660194174761</v>
      </c>
      <c r="O94" s="163"/>
      <c r="P94" s="37">
        <f t="shared" si="10"/>
        <v>88</v>
      </c>
      <c r="Q94" s="186">
        <f>'Pred. solaio a pannello '!$E$22/$P$109*P94</f>
        <v>4.7844660194174757</v>
      </c>
      <c r="R94" s="179">
        <f t="shared" si="11"/>
        <v>60.528140258271264</v>
      </c>
      <c r="S94" s="64">
        <f t="shared" si="12"/>
        <v>61.568058252427178</v>
      </c>
      <c r="T94" s="179">
        <f>IF(Q94&gt;($Q$109-$AA$11),$AC$11,'Pred. solaio a pannello '!$G$94)</f>
        <v>129.08216872365227</v>
      </c>
      <c r="U94" s="64">
        <f>'Pred. solaio a pannello '!$C$188</f>
        <v>266.48808784913786</v>
      </c>
      <c r="V94" s="64">
        <f>-'Pred. solaio a pannello '!$C$188</f>
        <v>-266.48808784913786</v>
      </c>
    </row>
    <row r="95" spans="2:22" ht="16.5" thickTop="1" thickBot="1">
      <c r="E95" s="332"/>
      <c r="F95" s="196">
        <f>'Pred. solaio a pannello '!C77</f>
        <v>0</v>
      </c>
      <c r="G95" s="196">
        <f>'Pred. solaio a pannello '!D77</f>
        <v>8</v>
      </c>
      <c r="H95" s="196">
        <f>'Pred. solaio a pannello '!E77</f>
        <v>4</v>
      </c>
      <c r="I95" s="265">
        <f>'Pred. solaio a pannello '!E9/(G89*10)*(F89/2)^2*PI()</f>
        <v>327.24923474893677</v>
      </c>
      <c r="N95" s="156">
        <f t="shared" si="14"/>
        <v>4.9198349514563109</v>
      </c>
      <c r="O95" s="163"/>
      <c r="P95" s="37">
        <f t="shared" si="10"/>
        <v>89</v>
      </c>
      <c r="Q95" s="186">
        <f>'Pred. solaio a pannello '!$E$22/$P$109*P95</f>
        <v>4.8388349514563105</v>
      </c>
      <c r="R95" s="179">
        <f t="shared" si="11"/>
        <v>57.13489603167119</v>
      </c>
      <c r="S95" s="64">
        <f t="shared" si="12"/>
        <v>63.254854368932044</v>
      </c>
      <c r="T95" s="179">
        <f>IF(Q95&gt;($Q$109-$AA$11),$AC$11,'Pred. solaio a pannello '!$G$94)</f>
        <v>129.08216872365227</v>
      </c>
      <c r="U95" s="64">
        <f>'Pred. solaio a pannello '!$C$188</f>
        <v>266.48808784913786</v>
      </c>
      <c r="V95" s="64">
        <f>-'Pred. solaio a pannello '!$C$188</f>
        <v>-266.48808784913786</v>
      </c>
    </row>
    <row r="96" spans="2:22" ht="15.75" thickTop="1">
      <c r="N96" s="156">
        <f t="shared" si="14"/>
        <v>4.9742038834951456</v>
      </c>
      <c r="O96" s="163"/>
      <c r="P96" s="37">
        <f t="shared" si="10"/>
        <v>90</v>
      </c>
      <c r="Q96" s="186">
        <f>'Pred. solaio a pannello '!$E$22/$P$109*P96</f>
        <v>4.8932038834951452</v>
      </c>
      <c r="R96" s="179">
        <f t="shared" si="11"/>
        <v>53.649942501649548</v>
      </c>
      <c r="S96" s="64">
        <f t="shared" si="12"/>
        <v>64.941650485436881</v>
      </c>
      <c r="T96" s="179">
        <f>IF(Q96&gt;($Q$109-$AA$11),$AC$11,'Pred. solaio a pannello '!$G$94)</f>
        <v>129.08216872365227</v>
      </c>
      <c r="U96" s="64">
        <f>'Pred. solaio a pannello '!$C$188</f>
        <v>266.48808784913786</v>
      </c>
      <c r="V96" s="64">
        <f>-'Pred. solaio a pannello '!$C$188</f>
        <v>-266.48808784913786</v>
      </c>
    </row>
    <row r="97" spans="2:22">
      <c r="N97" s="156">
        <f t="shared" si="14"/>
        <v>5.0285728155339813</v>
      </c>
      <c r="O97" s="163"/>
      <c r="P97" s="37">
        <f t="shared" si="10"/>
        <v>91</v>
      </c>
      <c r="Q97" s="186">
        <f>'Pred. solaio a pannello '!$E$22/$P$109*P97</f>
        <v>4.9475728155339809</v>
      </c>
      <c r="R97" s="179">
        <f t="shared" si="11"/>
        <v>50.073279668206169</v>
      </c>
      <c r="S97" s="64">
        <f t="shared" si="12"/>
        <v>66.628446601941747</v>
      </c>
      <c r="T97" s="179">
        <f>IF(Q97&gt;($Q$109-$AA$11),$AC$11,'Pred. solaio a pannello '!$G$94)</f>
        <v>129.08216872365227</v>
      </c>
      <c r="U97" s="64">
        <f>'Pred. solaio a pannello '!$C$188</f>
        <v>266.48808784913786</v>
      </c>
      <c r="V97" s="64">
        <f>-'Pred. solaio a pannello '!$C$188</f>
        <v>-266.48808784913786</v>
      </c>
    </row>
    <row r="98" spans="2:22">
      <c r="N98" s="156">
        <f t="shared" si="14"/>
        <v>5.082941747572816</v>
      </c>
      <c r="O98" s="163"/>
      <c r="P98" s="37">
        <f t="shared" si="10"/>
        <v>92</v>
      </c>
      <c r="Q98" s="186">
        <f>'Pred. solaio a pannello '!$E$22/$P$109*P98</f>
        <v>5.0019417475728156</v>
      </c>
      <c r="R98" s="179">
        <f t="shared" si="11"/>
        <v>46.40490753134128</v>
      </c>
      <c r="S98" s="64">
        <f t="shared" si="12"/>
        <v>68.315242718446612</v>
      </c>
      <c r="T98" s="179">
        <f>IF(Q98&gt;($Q$109-$AA$11),$AC$11,'Pred. solaio a pannello '!$G$94)</f>
        <v>78.09985677725733</v>
      </c>
      <c r="U98" s="64">
        <f>'Pred. solaio a pannello '!$C$188</f>
        <v>266.48808784913786</v>
      </c>
      <c r="V98" s="64">
        <f>-'Pred. solaio a pannello '!$C$188</f>
        <v>-266.48808784913786</v>
      </c>
    </row>
    <row r="99" spans="2:22">
      <c r="N99" s="156">
        <f t="shared" si="14"/>
        <v>5.1373106796116508</v>
      </c>
      <c r="O99" s="163"/>
      <c r="P99" s="37">
        <f t="shared" si="10"/>
        <v>93</v>
      </c>
      <c r="Q99" s="186">
        <f>'Pred. solaio a pannello '!$E$22/$P$109*P99</f>
        <v>5.0563106796116504</v>
      </c>
      <c r="R99" s="179">
        <f t="shared" si="11"/>
        <v>42.644826091054767</v>
      </c>
      <c r="S99" s="64">
        <f t="shared" si="12"/>
        <v>70.002038834951449</v>
      </c>
      <c r="T99" s="179">
        <f>IF(Q99&gt;($Q$109-$AA$11),$AC$11,'Pred. solaio a pannello '!$G$94)</f>
        <v>78.09985677725733</v>
      </c>
      <c r="U99" s="64">
        <f>'Pred. solaio a pannello '!$C$188</f>
        <v>266.48808784913786</v>
      </c>
      <c r="V99" s="64">
        <f>-'Pred. solaio a pannello '!$C$188</f>
        <v>-266.48808784913786</v>
      </c>
    </row>
    <row r="100" spans="2:22">
      <c r="F100" s="246"/>
      <c r="G100" s="246" t="s">
        <v>290</v>
      </c>
      <c r="H100" s="246" t="s">
        <v>291</v>
      </c>
      <c r="N100" s="156">
        <f t="shared" si="14"/>
        <v>5.1916796116504855</v>
      </c>
      <c r="O100" s="163"/>
      <c r="P100" s="37">
        <f t="shared" si="10"/>
        <v>94</v>
      </c>
      <c r="Q100" s="186">
        <f>'Pred. solaio a pannello '!$E$22/$P$109*P100</f>
        <v>5.1106796116504851</v>
      </c>
      <c r="R100" s="179">
        <f t="shared" ref="R100:R109" si="15">$Y$2*$Q$109*Q100/2-$Y$2*Q100^2/2</f>
        <v>38.793035347346631</v>
      </c>
      <c r="S100" s="64">
        <f t="shared" ref="S100:S109" si="16">-$Y$2*$Q$109/2+$Y$2*Q100</f>
        <v>71.688834951456315</v>
      </c>
      <c r="T100" s="179">
        <f>IF(Q100&gt;($Q$109-$AA$11),$AC$11,'Pred. solaio a pannello '!$G$94)</f>
        <v>78.09985677725733</v>
      </c>
      <c r="U100" s="64">
        <f>'Pred. solaio a pannello '!$C$188</f>
        <v>266.48808784913786</v>
      </c>
      <c r="V100" s="64">
        <f>-'Pred. solaio a pannello '!$C$188</f>
        <v>-266.48808784913786</v>
      </c>
    </row>
    <row r="101" spans="2:22">
      <c r="F101" t="s">
        <v>123</v>
      </c>
      <c r="G101" s="246">
        <v>0.4</v>
      </c>
      <c r="H101" s="246">
        <v>0.3</v>
      </c>
      <c r="N101" s="156">
        <f t="shared" si="14"/>
        <v>5.2460485436893212</v>
      </c>
      <c r="O101" s="163"/>
      <c r="P101" s="37">
        <f t="shared" si="10"/>
        <v>95</v>
      </c>
      <c r="Q101" s="186">
        <f>'Pred. solaio a pannello '!$E$22/$P$109*P101</f>
        <v>5.1650485436893208</v>
      </c>
      <c r="R101" s="179">
        <f t="shared" si="15"/>
        <v>34.849535300216758</v>
      </c>
      <c r="S101" s="64">
        <f t="shared" si="16"/>
        <v>73.37563106796118</v>
      </c>
      <c r="T101" s="179">
        <f>IF(Q101&gt;($Q$109-$AA$11),$AC$11,'Pred. solaio a pannello '!$G$94)</f>
        <v>78.09985677725733</v>
      </c>
      <c r="U101" s="64">
        <f>'Pred. solaio a pannello '!$C$188</f>
        <v>266.48808784913786</v>
      </c>
      <c r="V101" s="64">
        <f>-'Pred. solaio a pannello '!$C$188</f>
        <v>-266.48808784913786</v>
      </c>
    </row>
    <row r="102" spans="2:22">
      <c r="F102" t="s">
        <v>124</v>
      </c>
      <c r="G102" s="246">
        <v>0.3</v>
      </c>
      <c r="H102" s="246">
        <v>0.2</v>
      </c>
      <c r="N102" s="156">
        <f t="shared" si="14"/>
        <v>5.3004174757281559</v>
      </c>
      <c r="O102" s="163"/>
      <c r="P102" s="37">
        <f t="shared" si="10"/>
        <v>96</v>
      </c>
      <c r="Q102" s="186">
        <f>'Pred. solaio a pannello '!$E$22/$P$109*P102</f>
        <v>5.2194174757281555</v>
      </c>
      <c r="R102" s="179">
        <f t="shared" si="15"/>
        <v>30.814325949665317</v>
      </c>
      <c r="S102" s="64">
        <f t="shared" si="16"/>
        <v>75.062427184466017</v>
      </c>
      <c r="T102" s="179">
        <f>IF(Q102&gt;($Q$109-$AA$11),$AC$11,'Pred. solaio a pannello '!$G$94)</f>
        <v>78.09985677725733</v>
      </c>
      <c r="U102" s="64">
        <f>'Pred. solaio a pannello '!$C$188</f>
        <v>266.48808784913786</v>
      </c>
      <c r="V102" s="64">
        <f>-'Pred. solaio a pannello '!$C$188</f>
        <v>-266.48808784913786</v>
      </c>
    </row>
    <row r="103" spans="2:22">
      <c r="F103" t="s">
        <v>125</v>
      </c>
      <c r="G103" s="246">
        <v>0.2</v>
      </c>
      <c r="H103" s="246">
        <v>0.2</v>
      </c>
      <c r="N103" s="156">
        <f t="shared" si="14"/>
        <v>5.3547864077669907</v>
      </c>
      <c r="O103" s="163"/>
      <c r="P103" s="37">
        <f t="shared" si="10"/>
        <v>97</v>
      </c>
      <c r="Q103" s="186">
        <f>'Pred. solaio a pannello '!$E$22/$P$109*P103</f>
        <v>5.2737864077669903</v>
      </c>
      <c r="R103" s="179">
        <f t="shared" si="15"/>
        <v>26.68740729569231</v>
      </c>
      <c r="S103" s="64">
        <f t="shared" si="16"/>
        <v>76.749223300970883</v>
      </c>
      <c r="T103" s="179">
        <f>IF(Q103&gt;($Q$109-$AA$11),$AC$11,'Pred. solaio a pannello '!$G$94)</f>
        <v>78.09985677725733</v>
      </c>
      <c r="U103" s="64">
        <f>'Pred. solaio a pannello '!$C$188</f>
        <v>266.48808784913786</v>
      </c>
      <c r="V103" s="64">
        <f>-'Pred. solaio a pannello '!$C$188</f>
        <v>-266.48808784913786</v>
      </c>
    </row>
    <row r="104" spans="2:22" ht="15.75" thickBot="1">
      <c r="B104" s="272" t="s">
        <v>304</v>
      </c>
      <c r="C104" s="64">
        <f>'Pred. solaio a pannello '!D304</f>
        <v>103.15527431137366</v>
      </c>
      <c r="D104" s="64">
        <f>'Pred. solaio a pannello '!D334</f>
        <v>91.954124642556422</v>
      </c>
      <c r="N104" s="156">
        <f t="shared" si="14"/>
        <v>5.4091553398058254</v>
      </c>
      <c r="O104" s="163"/>
      <c r="P104" s="37">
        <f t="shared" si="10"/>
        <v>98</v>
      </c>
      <c r="Q104" s="186">
        <f>'Pred. solaio a pannello '!$E$22/$P$109*P104</f>
        <v>5.328155339805825</v>
      </c>
      <c r="R104" s="179">
        <f t="shared" si="15"/>
        <v>22.468779338297679</v>
      </c>
      <c r="S104" s="64">
        <f t="shared" si="16"/>
        <v>78.43601941747572</v>
      </c>
      <c r="T104" s="179">
        <f>IF(Q104&gt;($Q$109-$AA$11),$AC$11,'Pred. solaio a pannello '!$G$94)</f>
        <v>78.09985677725733</v>
      </c>
      <c r="U104" s="64">
        <f>'Pred. solaio a pannello '!$C$188</f>
        <v>266.48808784913786</v>
      </c>
      <c r="V104" s="64">
        <f>-'Pred. solaio a pannello '!$C$188</f>
        <v>-266.48808784913786</v>
      </c>
    </row>
    <row r="105" spans="2:22">
      <c r="N105" s="156">
        <f t="shared" si="14"/>
        <v>5.4635242718446602</v>
      </c>
      <c r="O105" s="163"/>
      <c r="P105" s="37">
        <f t="shared" si="10"/>
        <v>99</v>
      </c>
      <c r="Q105" s="186">
        <f>'Pred. solaio a pannello '!$E$22/$P$109*P105</f>
        <v>5.3825242718446598</v>
      </c>
      <c r="R105" s="179">
        <f t="shared" si="15"/>
        <v>18.158442077481368</v>
      </c>
      <c r="S105" s="64">
        <f t="shared" si="16"/>
        <v>80.122815533980585</v>
      </c>
      <c r="T105" s="179">
        <f>IF(Q105&gt;($Q$109-$AA$11),$AC$11,'Pred. solaio a pannello '!$G$94)</f>
        <v>78.09985677725733</v>
      </c>
      <c r="U105" s="64">
        <f>'Pred. solaio a pannello '!$C$188</f>
        <v>266.48808784913786</v>
      </c>
      <c r="V105" s="64">
        <f>-'Pred. solaio a pannello '!$C$188</f>
        <v>-266.48808784913786</v>
      </c>
    </row>
    <row r="106" spans="2:22" ht="21">
      <c r="B106" s="269" t="s">
        <v>294</v>
      </c>
      <c r="C106">
        <f>I95/('Pred. solaio a pannello '!E9*MIN(C107,C108))</f>
        <v>2.6179938779914941E-3</v>
      </c>
      <c r="N106" s="156">
        <f t="shared" si="14"/>
        <v>5.5178932038834958</v>
      </c>
      <c r="O106" s="163"/>
      <c r="P106" s="37">
        <f t="shared" si="10"/>
        <v>100</v>
      </c>
      <c r="Q106" s="186">
        <f>'Pred. solaio a pannello '!$E$22/$P$109*P106</f>
        <v>5.4368932038834954</v>
      </c>
      <c r="R106" s="179">
        <f t="shared" si="15"/>
        <v>13.756395513243433</v>
      </c>
      <c r="S106" s="64">
        <f t="shared" si="16"/>
        <v>81.809611650485451</v>
      </c>
      <c r="T106" s="179">
        <f>IF(Q106&gt;($Q$109-$AA$11),$AC$11,'Pred. solaio a pannello '!$G$94)</f>
        <v>78.09985677725733</v>
      </c>
      <c r="U106" s="64">
        <f>'Pred. solaio a pannello '!$C$188</f>
        <v>266.48808784913786</v>
      </c>
      <c r="V106" s="64">
        <f>-'Pred. solaio a pannello '!$C$188</f>
        <v>-266.48808784913786</v>
      </c>
    </row>
    <row r="107" spans="2:22">
      <c r="B107" t="s">
        <v>295</v>
      </c>
      <c r="C107">
        <f>2.5*J72</f>
        <v>50</v>
      </c>
      <c r="N107" s="156">
        <f t="shared" si="14"/>
        <v>5.5722621359223306</v>
      </c>
      <c r="O107" s="163"/>
      <c r="P107" s="37">
        <f t="shared" si="10"/>
        <v>101</v>
      </c>
      <c r="Q107" s="186">
        <f>'Pred. solaio a pannello '!$E$22/$P$109*P107</f>
        <v>5.4912621359223301</v>
      </c>
      <c r="R107" s="179">
        <f t="shared" si="15"/>
        <v>9.2626396455838744</v>
      </c>
      <c r="S107" s="64">
        <f t="shared" si="16"/>
        <v>83.496407766990288</v>
      </c>
      <c r="T107" s="179">
        <f>IF(Q107&gt;($Q$109-$AA$11),$AC$11,'Pred. solaio a pannello '!$G$94)</f>
        <v>78.09985677725733</v>
      </c>
      <c r="U107" s="64">
        <f>'Pred. solaio a pannello '!$C$188</f>
        <v>266.48808784913786</v>
      </c>
      <c r="V107" s="64">
        <f>-'Pred. solaio a pannello '!$C$188</f>
        <v>-266.48808784913786</v>
      </c>
    </row>
    <row r="108" spans="2:22">
      <c r="B108" t="s">
        <v>296</v>
      </c>
      <c r="C108">
        <f>('Pred. solaio a pannello '!E10-'Pred. solaio a pannello '!D298)/3</f>
        <v>52.041030359537672</v>
      </c>
      <c r="N108" s="156">
        <f t="shared" si="14"/>
        <v>5.6266310679611653</v>
      </c>
      <c r="O108" s="163"/>
      <c r="P108" s="37">
        <f t="shared" si="10"/>
        <v>102</v>
      </c>
      <c r="Q108" s="186">
        <f>'Pred. solaio a pannello '!$E$22/$P$109*P108</f>
        <v>5.5456310679611649</v>
      </c>
      <c r="R108" s="179">
        <f t="shared" si="15"/>
        <v>4.677174474502749</v>
      </c>
      <c r="S108" s="64">
        <f t="shared" si="16"/>
        <v>85.183203883495153</v>
      </c>
      <c r="T108" s="179">
        <f>IF(Q108&gt;($Q$109-$AA$11),$AC$11,'Pred. solaio a pannello '!$G$94)</f>
        <v>78.09985677725733</v>
      </c>
      <c r="U108" s="64">
        <f>'Pred. solaio a pannello '!$C$188</f>
        <v>266.48808784913786</v>
      </c>
      <c r="V108" s="64">
        <f>-'Pred. solaio a pannello '!$C$188</f>
        <v>-266.48808784913786</v>
      </c>
    </row>
    <row r="109" spans="2:22">
      <c r="B109" t="s">
        <v>297</v>
      </c>
      <c r="C109">
        <v>0.8</v>
      </c>
      <c r="N109" s="156">
        <f t="shared" si="14"/>
        <v>5.681</v>
      </c>
      <c r="O109" s="163"/>
      <c r="P109" s="37">
        <f t="shared" si="10"/>
        <v>103</v>
      </c>
      <c r="Q109" s="186">
        <f>'Pred. solaio a pannello '!$E$22/$P$109*P109</f>
        <v>5.6</v>
      </c>
      <c r="R109" s="179">
        <f t="shared" si="15"/>
        <v>0</v>
      </c>
      <c r="S109" s="64">
        <f t="shared" si="16"/>
        <v>86.86999999999999</v>
      </c>
      <c r="T109" s="179">
        <f>IF(Q109&gt;($Q$109-$AA$11),$AC$11,'Pred. solaio a pannello '!$G$94)</f>
        <v>78.09985677725733</v>
      </c>
      <c r="U109" s="64">
        <f>'Pred. solaio a pannello '!$C$188</f>
        <v>266.48808784913786</v>
      </c>
      <c r="V109" s="64">
        <f>-'Pred. solaio a pannello '!$C$188</f>
        <v>-266.48808784913786</v>
      </c>
    </row>
    <row r="110" spans="2:22">
      <c r="B110" t="s">
        <v>298</v>
      </c>
      <c r="C110">
        <v>0.5</v>
      </c>
      <c r="N110" s="156">
        <f>N109</f>
        <v>5.681</v>
      </c>
      <c r="O110" s="156"/>
      <c r="P110" s="156">
        <f t="shared" ref="P110:T110" si="17">P109</f>
        <v>103</v>
      </c>
      <c r="Q110" s="156">
        <f t="shared" si="17"/>
        <v>5.6</v>
      </c>
      <c r="R110" s="156">
        <f t="shared" si="17"/>
        <v>0</v>
      </c>
      <c r="S110" s="156">
        <v>0</v>
      </c>
      <c r="T110" s="156">
        <f t="shared" si="17"/>
        <v>78.09985677725733</v>
      </c>
      <c r="U110" s="156">
        <v>0</v>
      </c>
      <c r="V110" s="156">
        <v>0</v>
      </c>
    </row>
    <row r="111" spans="2:22">
      <c r="B111" t="s">
        <v>299</v>
      </c>
      <c r="C111">
        <v>3.4</v>
      </c>
    </row>
    <row r="112" spans="2:22">
      <c r="B112" t="s">
        <v>300</v>
      </c>
      <c r="C112">
        <v>0.42499999999999999</v>
      </c>
    </row>
    <row r="113" spans="2:7">
      <c r="B113" t="s">
        <v>301</v>
      </c>
      <c r="C113">
        <v>0.4</v>
      </c>
      <c r="F113" s="273" t="s">
        <v>308</v>
      </c>
      <c r="G113" s="275">
        <f>'Pred. solaio a pannello '!D325</f>
        <v>9894.9346109896105</v>
      </c>
    </row>
    <row r="114" spans="2:7">
      <c r="F114" s="273" t="s">
        <v>305</v>
      </c>
      <c r="G114" s="275">
        <f>'Pred. solaio a pannello '!D301</f>
        <v>33642.777677364676</v>
      </c>
    </row>
    <row r="115" spans="2:7">
      <c r="B115" t="s">
        <v>302</v>
      </c>
      <c r="C115">
        <f>C111*C74+C109*C110*C112*C90/C106</f>
        <v>691.87139195404779</v>
      </c>
      <c r="F115" s="273" t="s">
        <v>306</v>
      </c>
      <c r="G115" s="273">
        <f>'Pred. solaio a pannello '!E16</f>
        <v>210000</v>
      </c>
    </row>
    <row r="116" spans="2:7" ht="21">
      <c r="B116" s="269" t="s">
        <v>303</v>
      </c>
      <c r="C116">
        <f>IF((C104/G115-C113*(G116/(G115*C106)+G116/G114))&lt;=0.6*C104/G115,0.6*C104/G115,C104/G115-C113*(G116/(G115*C106)+G116/G114))</f>
        <v>2.947293551753533E-4</v>
      </c>
      <c r="D116">
        <f>IF((D104/G115-C113*(G116/(G115*C106)+G116/G114))&lt;=0.6*D104/G115,0.6*D104/G115,D104/G115-C113*(G116/(G115*C106)+G116/G114))</f>
        <v>2.6272607040730403E-4</v>
      </c>
      <c r="F116" s="273" t="s">
        <v>307</v>
      </c>
      <c r="G116" s="274">
        <f>'Pred. solaio a pannello '!E52</f>
        <v>3.098941018792384</v>
      </c>
    </row>
    <row r="117" spans="2:7">
      <c r="B117" s="270" t="s">
        <v>271</v>
      </c>
      <c r="C117" s="271">
        <f>C115*C116</f>
        <v>0.20391480921489064</v>
      </c>
      <c r="D117" s="271">
        <f>C115*D116</f>
        <v>0.18177265203531862</v>
      </c>
    </row>
    <row r="125" spans="2:7" ht="15.75" thickBot="1"/>
    <row r="126" spans="2:7" ht="18">
      <c r="B126" s="139" t="s">
        <v>19</v>
      </c>
      <c r="C126" s="131" t="s">
        <v>164</v>
      </c>
    </row>
    <row r="127" spans="2:7">
      <c r="B127" s="138">
        <f>'Pred. solaio a pannello '!D100</f>
        <v>180</v>
      </c>
      <c r="C127" s="132">
        <f>0.035*'Pred. solaio a pannello '!D183^(3/2)*'Pred. solaio a pannello '!$E$55^(1/2)</f>
        <v>0.57040336604897413</v>
      </c>
    </row>
    <row r="128" spans="2:7">
      <c r="B128" s="138">
        <f>'Pred. solaio a pannello '!D100</f>
        <v>180</v>
      </c>
      <c r="C128" s="133">
        <f>0.035*'Pred. solaio a pannello '!D184^(3/2)*'Pred. solaio a pannello '!$E$55^(1/2)</f>
        <v>0.57040336604897413</v>
      </c>
    </row>
    <row r="131" spans="2:9" ht="18.75" thickBot="1">
      <c r="B131" s="21" t="s">
        <v>17</v>
      </c>
    </row>
    <row r="132" spans="2:9">
      <c r="B132" s="190">
        <f>'Pred. solaio a pannello '!D91*Foglio1!I141/1.15*'Pred. solaio a pannello '!E30*0.9</f>
        <v>129082168.72365229</v>
      </c>
      <c r="D132" s="30">
        <f>'Pred. solaio a pannello '!E42</f>
        <v>250</v>
      </c>
    </row>
    <row r="133" spans="2:9">
      <c r="B133" s="17"/>
    </row>
    <row r="134" spans="2:9" ht="18.75" thickBot="1">
      <c r="B134" s="22" t="s">
        <v>17</v>
      </c>
      <c r="D134" s="69" t="s">
        <v>0</v>
      </c>
      <c r="E134" s="70">
        <f>'Pred. solaio a pannello '!E22</f>
        <v>5.6</v>
      </c>
      <c r="F134" s="71" t="s">
        <v>1</v>
      </c>
    </row>
    <row r="135" spans="2:9">
      <c r="B135" s="190">
        <f>'Pred. solaio a pannello '!D94*Foglio1!I141/1.15*'Pred. solaio a pannello '!E30*0.9</f>
        <v>129082168.72365229</v>
      </c>
    </row>
    <row r="136" spans="2:9">
      <c r="B136" s="17"/>
    </row>
    <row r="137" spans="2:9" ht="18.75" thickBot="1">
      <c r="B137" s="22" t="s">
        <v>17</v>
      </c>
    </row>
    <row r="138" spans="2:9">
      <c r="B138" s="190">
        <f>'Pred. solaio a pannello '!D97*Foglio1!I141/1.15*'Pred. solaio a pannello '!E30*0.9</f>
        <v>78099856.777257338</v>
      </c>
    </row>
    <row r="141" spans="2:9">
      <c r="B141" t="s">
        <v>235</v>
      </c>
      <c r="C141" s="1">
        <f>10</f>
        <v>10</v>
      </c>
      <c r="E141" t="s">
        <v>245</v>
      </c>
      <c r="F141" s="1">
        <v>450</v>
      </c>
      <c r="H141" s="89">
        <f>VLOOKUP('Pred. solaio a pannello '!E14,Foglio1!B141:C151,2,)</f>
        <v>40</v>
      </c>
      <c r="I141" s="89">
        <f>VLOOKUP('Pred. solaio a pannello '!E15,Foglio1!E141:F142,2,)</f>
        <v>450</v>
      </c>
    </row>
    <row r="142" spans="2:9">
      <c r="B142" t="s">
        <v>236</v>
      </c>
      <c r="C142" s="1">
        <v>15</v>
      </c>
      <c r="E142" t="s">
        <v>248</v>
      </c>
      <c r="F142" s="1">
        <v>430</v>
      </c>
      <c r="H142" s="1">
        <f>VLOOKUP('Pred. solaio a pannello '!E19,Foglio1!B141:C151,2,)</f>
        <v>30</v>
      </c>
    </row>
    <row r="143" spans="2:9">
      <c r="B143" t="s">
        <v>237</v>
      </c>
      <c r="C143" s="1">
        <v>20</v>
      </c>
    </row>
    <row r="144" spans="2:9">
      <c r="B144" t="s">
        <v>238</v>
      </c>
      <c r="C144" s="1">
        <v>25</v>
      </c>
    </row>
    <row r="145" spans="2:3">
      <c r="B145" t="s">
        <v>234</v>
      </c>
      <c r="C145" s="1">
        <v>30</v>
      </c>
    </row>
    <row r="146" spans="2:3">
      <c r="B146" t="s">
        <v>244</v>
      </c>
      <c r="C146" s="1">
        <v>35</v>
      </c>
    </row>
    <row r="147" spans="2:3">
      <c r="B147" t="s">
        <v>239</v>
      </c>
      <c r="C147" s="1">
        <v>40</v>
      </c>
    </row>
    <row r="148" spans="2:3">
      <c r="B148" t="s">
        <v>240</v>
      </c>
      <c r="C148" s="1">
        <v>45</v>
      </c>
    </row>
    <row r="149" spans="2:3">
      <c r="B149" t="s">
        <v>241</v>
      </c>
      <c r="C149" s="1">
        <v>50</v>
      </c>
    </row>
    <row r="150" spans="2:3">
      <c r="B150" t="s">
        <v>242</v>
      </c>
      <c r="C150" s="1">
        <v>55</v>
      </c>
    </row>
    <row r="151" spans="2:3">
      <c r="B151" t="s">
        <v>243</v>
      </c>
      <c r="C151" s="1">
        <v>60</v>
      </c>
    </row>
  </sheetData>
  <protectedRanges>
    <protectedRange sqref="H141" name="Intervallo1_3"/>
    <protectedRange sqref="I141" name="Intervallo1_3_1"/>
  </protectedRanges>
  <mergeCells count="9">
    <mergeCell ref="E94:E95"/>
    <mergeCell ref="B58:J58"/>
    <mergeCell ref="B32:J32"/>
    <mergeCell ref="B3:J3"/>
    <mergeCell ref="X11:Y11"/>
    <mergeCell ref="O29:O30"/>
    <mergeCell ref="O83:O84"/>
    <mergeCell ref="O56:O57"/>
    <mergeCell ref="E91:E9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5</vt:i4>
      </vt:variant>
    </vt:vector>
  </HeadingPairs>
  <TitlesOfParts>
    <vt:vector size="8" baseType="lpstr">
      <vt:lpstr>Istruzioni</vt:lpstr>
      <vt:lpstr>Pred. solaio a pannello </vt:lpstr>
      <vt:lpstr>Foglio1</vt:lpstr>
      <vt:lpstr>ca</vt:lpstr>
      <vt:lpstr>cals</vt:lpstr>
      <vt:lpstr>comb</vt:lpstr>
      <vt:lpstr>fe</vt:lpstr>
      <vt:lpstr>SN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Nicla</dc:creator>
  <cp:lastModifiedBy>Nicla</cp:lastModifiedBy>
  <cp:lastPrinted>2016-07-08T16:24:16Z</cp:lastPrinted>
  <dcterms:created xsi:type="dcterms:W3CDTF">2015-10-09T07:06:57Z</dcterms:created>
  <dcterms:modified xsi:type="dcterms:W3CDTF">2016-07-08T16:34:29Z</dcterms:modified>
</cp:coreProperties>
</file>