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e Cicchini\Documents\6.VARIE PER LA PROFESSIONE\PROGRAMMI UTILI\VERIFICA SPINOTTO\"/>
    </mc:Choice>
  </mc:AlternateContent>
  <workbookProtection workbookAlgorithmName="SHA-512" workbookHashValue="OwGTpJCCQ72+m6kdKirlySfKFVGCBPEneB07ypdvYXHtjm28gxflgexp1BdyKxnIzt4SJ8/R7WrwlE9y/HPiog==" workbookSaltValue="4PN+1iCvdcncr4xhXRBsZA==" workbookSpinCount="100000" revisionsAlgorithmName="SHA-512" revisionsHashValue="e/1EgSg5UkfZUBeGICCM3NbHqrbwlvJxrWM0RLUKjmYIucKqdc/HpUfNV0qT6LRFbi+g3y/OazMGinRnFwdvvg==" revisionsSaltValue="gqdeXQH3TkG+KVU7AZsP7w==" revisionsSpinCount="100000" lockStructure="1" lockRevision="1"/>
  <bookViews>
    <workbookView xWindow="0" yWindow="0" windowWidth="28800" windowHeight="12435"/>
  </bookViews>
  <sheets>
    <sheet name="ISTRUZIONI" sheetId="1" r:id="rId1"/>
    <sheet name="dati nascosti" sheetId="2" state="hidden" r:id="rId2"/>
    <sheet name="VERIFICA SPINOTTO" sheetId="3" r:id="rId3"/>
    <sheet name="APPROFONDIMENTI" sheetId="4" r:id="rId4"/>
  </sheets>
  <externalReferences>
    <externalReference r:id="rId5"/>
  </externalReferences>
  <definedNames>
    <definedName name="a">'[1]dati nascosti'!$C$13:$C$20</definedName>
    <definedName name="acc">'dati nascosti'!$F$3:$F$4</definedName>
    <definedName name="bar">'dati nascosti'!$F$7:$F$8</definedName>
    <definedName name="barr">'dati nascosti'!$F$6:$F$8</definedName>
    <definedName name="CAS">'[1]dati nascosti'!$D$3:$D$4</definedName>
    <definedName name="clas">'dati nascosti'!$C$3:$C$13</definedName>
    <definedName name="COMBO">'[1]dati nascosti'!$C$3:$C$8</definedName>
    <definedName name="db">'dati nascosti'!$C$44:$C$52</definedName>
    <definedName name="diam">'dati nascosti'!$C$24:$C$39</definedName>
    <definedName name="NEVE">'[1]dati nascosti'!$C$22:$C$23</definedName>
    <definedName name="nsp">'dati nascosti'!$B$3:$B$4</definedName>
    <definedName name="sn">'dati nascosti'!$E$7:$E$8</definedName>
  </definedNames>
  <calcPr calcId="152511"/>
  <customWorkbookViews>
    <customWorkbookView name="Davide Cicchini - Visualizzazione personale" guid="{FF3B168D-F374-489C-835B-F1079A1938E3}" mergeInterval="0" personalView="1" maximized="1" xWindow="1352" yWindow="-8" windowWidth="1296" windowHeight="1000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D52" i="2"/>
  <c r="G52" i="2" s="1"/>
  <c r="K15" i="3"/>
  <c r="K14" i="3"/>
  <c r="C50" i="2"/>
  <c r="H16" i="3"/>
  <c r="B49" i="3" l="1"/>
  <c r="L44" i="2" l="1"/>
  <c r="L45" i="2"/>
  <c r="L46" i="2"/>
  <c r="L47" i="2"/>
  <c r="F51" i="2" l="1"/>
  <c r="F50" i="2"/>
  <c r="F49" i="2"/>
  <c r="F48" i="2"/>
  <c r="F47" i="2"/>
  <c r="F46" i="2"/>
  <c r="F45" i="2"/>
  <c r="F44" i="2"/>
  <c r="D51" i="2"/>
  <c r="G51" i="2" s="1"/>
  <c r="D50" i="2"/>
  <c r="G50" i="2" s="1"/>
  <c r="C49" i="2"/>
  <c r="D49" i="2" s="1"/>
  <c r="G49" i="2" s="1"/>
  <c r="C48" i="2"/>
  <c r="D48" i="2" s="1"/>
  <c r="G48" i="2" s="1"/>
  <c r="C47" i="2"/>
  <c r="D47" i="2" s="1"/>
  <c r="G47" i="2" s="1"/>
  <c r="C46" i="2"/>
  <c r="D46" i="2" s="1"/>
  <c r="G46" i="2" s="1"/>
  <c r="C45" i="2"/>
  <c r="D45" i="2" s="1"/>
  <c r="G45" i="2" s="1"/>
  <c r="C44" i="2"/>
  <c r="D44" i="2" l="1"/>
  <c r="G44" i="2" s="1"/>
  <c r="G13" i="2"/>
  <c r="G10" i="2" s="1"/>
  <c r="L43" i="2" s="1"/>
  <c r="Q9" i="2"/>
  <c r="Q7" i="2" s="1"/>
  <c r="F21" i="4"/>
  <c r="F22" i="4" s="1"/>
  <c r="M5" i="2"/>
  <c r="F6" i="4"/>
  <c r="F30" i="4" l="1"/>
  <c r="I44" i="4" s="1"/>
  <c r="J44" i="4" s="1"/>
  <c r="L48" i="2"/>
  <c r="F7" i="4"/>
  <c r="F10" i="4" s="1"/>
  <c r="M39" i="2" l="1"/>
  <c r="L39" i="2"/>
  <c r="K39" i="2"/>
  <c r="G39" i="2"/>
  <c r="D39" i="2"/>
  <c r="F39" i="2"/>
  <c r="K36" i="2"/>
  <c r="M36" i="2"/>
  <c r="L36" i="2"/>
  <c r="F36" i="2"/>
  <c r="D36" i="2"/>
  <c r="G36" i="2"/>
  <c r="I95" i="3"/>
  <c r="F44" i="4"/>
  <c r="H57" i="2"/>
  <c r="M24" i="2"/>
  <c r="L24" i="2"/>
  <c r="M38" i="2"/>
  <c r="L37" i="2"/>
  <c r="K35" i="2"/>
  <c r="K33" i="2"/>
  <c r="M31" i="2"/>
  <c r="L30" i="2"/>
  <c r="K29" i="2"/>
  <c r="L27" i="2"/>
  <c r="M25" i="2"/>
  <c r="L28" i="2"/>
  <c r="M35" i="2"/>
  <c r="L32" i="2"/>
  <c r="M29" i="2"/>
  <c r="K25" i="2"/>
  <c r="M34" i="2"/>
  <c r="M37" i="2"/>
  <c r="K32" i="2"/>
  <c r="L29" i="2"/>
  <c r="M27" i="2"/>
  <c r="L34" i="2"/>
  <c r="L38" i="2"/>
  <c r="K37" i="2"/>
  <c r="K34" i="2"/>
  <c r="M32" i="2"/>
  <c r="L31" i="2"/>
  <c r="K30" i="2"/>
  <c r="M28" i="2"/>
  <c r="K27" i="2"/>
  <c r="L25" i="2"/>
  <c r="K38" i="2"/>
  <c r="M33" i="2"/>
  <c r="K31" i="2"/>
  <c r="K28" i="2"/>
  <c r="M26" i="2"/>
  <c r="L26" i="2"/>
  <c r="L35" i="2"/>
  <c r="L33" i="2"/>
  <c r="M30" i="2"/>
  <c r="K26" i="2"/>
  <c r="K24" i="2"/>
  <c r="O5" i="2"/>
  <c r="N5" i="2"/>
  <c r="F37" i="2"/>
  <c r="F32" i="2"/>
  <c r="F28" i="2"/>
  <c r="F24" i="2"/>
  <c r="F34" i="2"/>
  <c r="F26" i="2"/>
  <c r="F38" i="2"/>
  <c r="F33" i="2"/>
  <c r="F29" i="2"/>
  <c r="F25" i="2"/>
  <c r="F35" i="2"/>
  <c r="F31" i="2"/>
  <c r="F27" i="2"/>
  <c r="F30" i="2"/>
  <c r="F52" i="4"/>
  <c r="G38" i="2"/>
  <c r="G33" i="2"/>
  <c r="G29" i="2"/>
  <c r="G25" i="2"/>
  <c r="G32" i="2"/>
  <c r="G28" i="2"/>
  <c r="G24" i="2"/>
  <c r="G31" i="2"/>
  <c r="G27" i="2"/>
  <c r="G30" i="2"/>
  <c r="G37" i="2"/>
  <c r="G26" i="2"/>
  <c r="G35" i="2"/>
  <c r="G34" i="2"/>
  <c r="D35" i="2"/>
  <c r="D31" i="2"/>
  <c r="D27" i="2"/>
  <c r="D34" i="2"/>
  <c r="D30" i="2"/>
  <c r="D26" i="2"/>
  <c r="D38" i="2"/>
  <c r="D33" i="2"/>
  <c r="D29" i="2"/>
  <c r="D25" i="2"/>
  <c r="D28" i="2"/>
  <c r="D37" i="2"/>
  <c r="D32" i="2"/>
  <c r="D24" i="2"/>
  <c r="F14" i="4"/>
  <c r="F9" i="4"/>
  <c r="H39" i="2" l="1"/>
  <c r="I39" i="2"/>
  <c r="I36" i="2"/>
  <c r="E36" i="2"/>
  <c r="E39" i="2"/>
  <c r="H36" i="2"/>
  <c r="H24" i="2"/>
  <c r="H32" i="2"/>
  <c r="I24" i="2"/>
  <c r="I35" i="2"/>
  <c r="H26" i="2"/>
  <c r="H31" i="2"/>
  <c r="H27" i="2"/>
  <c r="I28" i="2"/>
  <c r="I30" i="2"/>
  <c r="I37" i="2"/>
  <c r="I33" i="2"/>
  <c r="H38" i="2"/>
  <c r="H30" i="2"/>
  <c r="H37" i="2"/>
  <c r="I25" i="2"/>
  <c r="I31" i="2"/>
  <c r="I38" i="2"/>
  <c r="H25" i="2"/>
  <c r="F58" i="4"/>
  <c r="I26" i="2"/>
  <c r="H28" i="2"/>
  <c r="H34" i="2"/>
  <c r="I34" i="2"/>
  <c r="I32" i="2"/>
  <c r="I27" i="2"/>
  <c r="H33" i="2"/>
  <c r="I29" i="2"/>
  <c r="H29" i="2"/>
  <c r="H35" i="2"/>
  <c r="E37" i="2"/>
  <c r="E32" i="2"/>
  <c r="E28" i="2"/>
  <c r="E24" i="2"/>
  <c r="E35" i="2"/>
  <c r="E31" i="2"/>
  <c r="E27" i="2"/>
  <c r="F65" i="4"/>
  <c r="E34" i="2"/>
  <c r="E30" i="2"/>
  <c r="E26" i="2"/>
  <c r="E38" i="2"/>
  <c r="E33" i="2"/>
  <c r="E29" i="2"/>
  <c r="E25" i="2"/>
  <c r="F8" i="4"/>
  <c r="F11" i="4"/>
  <c r="F12" i="4" s="1"/>
  <c r="F13" i="4" l="1"/>
  <c r="F31" i="4"/>
  <c r="F34" i="4" s="1"/>
  <c r="S39" i="2" l="1"/>
  <c r="P39" i="2"/>
  <c r="O39" i="2"/>
  <c r="R39" i="2"/>
  <c r="O36" i="2"/>
  <c r="R36" i="2"/>
  <c r="C15" i="2"/>
  <c r="S36" i="2"/>
  <c r="Q36" i="2" s="1"/>
  <c r="P36" i="2"/>
  <c r="N36" i="2" s="1"/>
  <c r="F75" i="4"/>
  <c r="O37" i="2"/>
  <c r="O31" i="2"/>
  <c r="O25" i="2"/>
  <c r="O28" i="2"/>
  <c r="O24" i="2"/>
  <c r="O26" i="2"/>
  <c r="O27" i="2"/>
  <c r="O34" i="2"/>
  <c r="O32" i="2"/>
  <c r="O30" i="2"/>
  <c r="O33" i="2"/>
  <c r="O38" i="2"/>
  <c r="O29" i="2"/>
  <c r="O35" i="2"/>
  <c r="R25" i="2"/>
  <c r="R24" i="2"/>
  <c r="R29" i="2"/>
  <c r="R28" i="2"/>
  <c r="R33" i="2"/>
  <c r="R27" i="2"/>
  <c r="R31" i="2"/>
  <c r="R37" i="2"/>
  <c r="R30" i="2"/>
  <c r="R34" i="2"/>
  <c r="R38" i="2"/>
  <c r="R35" i="2"/>
  <c r="R32" i="2"/>
  <c r="R26" i="2"/>
  <c r="S34" i="2"/>
  <c r="S30" i="2"/>
  <c r="S26" i="2"/>
  <c r="P32" i="2"/>
  <c r="P31" i="2"/>
  <c r="P30" i="2"/>
  <c r="P29" i="2"/>
  <c r="P24" i="2"/>
  <c r="S33" i="2"/>
  <c r="P35" i="2"/>
  <c r="P33" i="2"/>
  <c r="S37" i="2"/>
  <c r="S32" i="2"/>
  <c r="S28" i="2"/>
  <c r="S24" i="2"/>
  <c r="Q24" i="2" s="1"/>
  <c r="P38" i="2"/>
  <c r="N38" i="2" s="1"/>
  <c r="P25" i="2"/>
  <c r="S29" i="2"/>
  <c r="P37" i="2"/>
  <c r="P34" i="2"/>
  <c r="N34" i="2" s="1"/>
  <c r="S35" i="2"/>
  <c r="S31" i="2"/>
  <c r="S27" i="2"/>
  <c r="P28" i="2"/>
  <c r="N28" i="2" s="1"/>
  <c r="P27" i="2"/>
  <c r="P26" i="2"/>
  <c r="N26" i="2" s="1"/>
  <c r="S38" i="2"/>
  <c r="S25" i="2"/>
  <c r="F83" i="4"/>
  <c r="F82" i="4"/>
  <c r="F74" i="4"/>
  <c r="D3" i="2"/>
  <c r="Q30" i="2" l="1"/>
  <c r="N39" i="2"/>
  <c r="Q39" i="2"/>
  <c r="Q38" i="2"/>
  <c r="N37" i="2"/>
  <c r="Q26" i="2"/>
  <c r="N32" i="2"/>
  <c r="Q27" i="2"/>
  <c r="N29" i="2"/>
  <c r="Q25" i="2"/>
  <c r="Q37" i="2"/>
  <c r="Q35" i="2"/>
  <c r="Q28" i="2"/>
  <c r="Q32" i="2"/>
  <c r="Q33" i="2"/>
  <c r="N31" i="2"/>
  <c r="Q34" i="2"/>
  <c r="Q31" i="2"/>
  <c r="N33" i="2"/>
  <c r="Q29" i="2"/>
  <c r="F80" i="4"/>
  <c r="N27" i="2"/>
  <c r="N25" i="2"/>
  <c r="N35" i="2"/>
  <c r="N30" i="2"/>
  <c r="N24" i="2"/>
  <c r="F72" i="4"/>
  <c r="D70" i="2" l="1"/>
  <c r="I42" i="3" s="1"/>
  <c r="I44" i="3" s="1"/>
  <c r="D49" i="3" s="1"/>
  <c r="G67" i="2" l="1"/>
  <c r="E70" i="2"/>
  <c r="B42" i="3" l="1"/>
  <c r="C76" i="2" s="1"/>
  <c r="C75" i="2" s="1"/>
  <c r="C64" i="2"/>
  <c r="D64" i="2" s="1"/>
  <c r="F47" i="3"/>
  <c r="D76" i="2" l="1"/>
  <c r="D75" i="2" s="1"/>
  <c r="F61" i="2"/>
</calcChain>
</file>

<file path=xl/comments1.xml><?xml version="1.0" encoding="utf-8"?>
<comments xmlns="http://schemas.openxmlformats.org/spreadsheetml/2006/main">
  <authors>
    <author>DELL1</author>
    <author>Nicla</author>
  </authors>
  <commentList>
    <comment ref="H5" authorId="0" guid="{82E74CA4-FE39-4DF5-9434-CF596573BE10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0, la base netta viene calcolata sottraendo alla base del pilastro lo spessore degli spinotti; altrimenti nel caso di sezioni differenti da quella rettangolare si può inserire la reale dimensione resistente.</t>
        </r>
      </text>
    </comment>
    <comment ref="H9" authorId="1" guid="{5911DF98-E0A6-4A89-B4D5-4F74947947F6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Nella direzione del taglio sollecitante</t>
        </r>
      </text>
    </comment>
    <comment ref="H17" authorId="1" guid="{BEFB26DF-EC9D-42D5-ACCF-C4F3CA387DC5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Nel caso di barre filettate serrate da bulloni</t>
        </r>
      </text>
    </comment>
  </commentList>
</comments>
</file>

<file path=xl/comments2.xml><?xml version="1.0" encoding="utf-8"?>
<comments xmlns="http://schemas.openxmlformats.org/spreadsheetml/2006/main">
  <authors>
    <author>DELL1</author>
  </authors>
  <commentList>
    <comment ref="F32" authorId="0" guid="{8FDE8187-A524-41C3-9F9D-389B869F0141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Per barre minore di 32 mm, il coefficiente è unitario</t>
        </r>
      </text>
    </comment>
  </commentList>
</comments>
</file>

<file path=xl/sharedStrings.xml><?xml version="1.0" encoding="utf-8"?>
<sst xmlns="http://schemas.openxmlformats.org/spreadsheetml/2006/main" count="167" uniqueCount="140">
  <si>
    <t>C8/10</t>
  </si>
  <si>
    <t>Fe B450C</t>
  </si>
  <si>
    <t>C12/15</t>
  </si>
  <si>
    <t>Fe B44k</t>
  </si>
  <si>
    <t>C16/20</t>
  </si>
  <si>
    <t>C20/25</t>
  </si>
  <si>
    <t>C25/30</t>
  </si>
  <si>
    <t>C28/35</t>
  </si>
  <si>
    <t>C32/40</t>
  </si>
  <si>
    <t>C35/45</t>
  </si>
  <si>
    <t>C40/50</t>
  </si>
  <si>
    <t>C45/55</t>
  </si>
  <si>
    <t>C50/60</t>
  </si>
  <si>
    <t>Classe del calcestruzzo</t>
  </si>
  <si>
    <t>Tipo Acciaio</t>
  </si>
  <si>
    <t>Resistenza cubica caratteristica</t>
  </si>
  <si>
    <t>Resistenza cilindrica media</t>
  </si>
  <si>
    <t>Resistenza cilindrica caratteristica</t>
  </si>
  <si>
    <t>Resistenza cilindrica di calcolo</t>
  </si>
  <si>
    <t>Resistenza a trazione caratteristica</t>
  </si>
  <si>
    <t>Resistenza a trazione media</t>
  </si>
  <si>
    <t>Resistenza a trazione di calcolo</t>
  </si>
  <si>
    <t>CARATTERISTICHE CALCESTRUZZO</t>
  </si>
  <si>
    <t>Resistenza tangenziale di calcolo</t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</si>
  <si>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</si>
  <si>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</si>
  <si>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Tensione di Rottura</t>
  </si>
  <si>
    <r>
      <t>f</t>
    </r>
    <r>
      <rPr>
        <b/>
        <sz val="8"/>
        <color theme="1"/>
        <rFont val="Calibri"/>
        <family val="2"/>
        <scheme val="minor"/>
      </rPr>
      <t>k</t>
    </r>
  </si>
  <si>
    <t>Tensione di snervamento</t>
  </si>
  <si>
    <t>Resistenza  di calcolo</t>
  </si>
  <si>
    <t>η</t>
  </si>
  <si>
    <t>γc</t>
  </si>
  <si>
    <t>Coefficiente</t>
  </si>
  <si>
    <t>Coefficiente sicurezza calcestruzzo</t>
  </si>
  <si>
    <t>Coefficiente sicurezza acciaio</t>
  </si>
  <si>
    <t>γs</t>
  </si>
  <si>
    <t>Lunghezza di ancoraggio della barra</t>
  </si>
  <si>
    <r>
      <t>L</t>
    </r>
    <r>
      <rPr>
        <b/>
        <sz val="8"/>
        <color theme="1"/>
        <rFont val="Calibri"/>
        <family val="2"/>
        <scheme val="minor"/>
      </rPr>
      <t>b</t>
    </r>
  </si>
  <si>
    <r>
      <t>f</t>
    </r>
    <r>
      <rPr>
        <b/>
        <sz val="9"/>
        <color theme="1"/>
        <rFont val="Calibri"/>
        <family val="2"/>
        <scheme val="minor"/>
      </rPr>
      <t>bd</t>
    </r>
  </si>
  <si>
    <r>
      <t>f</t>
    </r>
    <r>
      <rPr>
        <b/>
        <sz val="8"/>
        <color theme="1"/>
        <rFont val="Calibri"/>
        <family val="2"/>
        <scheme val="minor"/>
      </rPr>
      <t>yk</t>
    </r>
  </si>
  <si>
    <r>
      <t>f</t>
    </r>
    <r>
      <rPr>
        <b/>
        <sz val="8"/>
        <color theme="1"/>
        <rFont val="Calibri"/>
        <family val="2"/>
        <scheme val="minor"/>
      </rPr>
      <t>yd</t>
    </r>
  </si>
  <si>
    <r>
      <t>R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</si>
  <si>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cm</t>
    </r>
  </si>
  <si>
    <r>
      <t>f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</si>
  <si>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cd</t>
    </r>
  </si>
  <si>
    <r>
      <t>f</t>
    </r>
    <r>
      <rPr>
        <b/>
        <sz val="8"/>
        <color theme="1"/>
        <rFont val="Calibri"/>
        <family val="2"/>
        <scheme val="minor"/>
      </rPr>
      <t>ctm</t>
    </r>
  </si>
  <si>
    <r>
      <t>f</t>
    </r>
    <r>
      <rPr>
        <b/>
        <sz val="8"/>
        <color theme="1"/>
        <rFont val="Calibri"/>
        <family val="2"/>
        <scheme val="minor"/>
      </rPr>
      <t>ctk</t>
    </r>
  </si>
  <si>
    <r>
      <t>f</t>
    </r>
    <r>
      <rPr>
        <b/>
        <sz val="8"/>
        <color theme="1"/>
        <rFont val="Calibri"/>
        <family val="2"/>
        <scheme val="minor"/>
      </rPr>
      <t>ctd</t>
    </r>
  </si>
  <si>
    <t>www.davidecicchini.it</t>
  </si>
  <si>
    <t>Ing. Davide Cicchini</t>
  </si>
  <si>
    <t>Si possono modificare solo le caselle con il bordo doppio</t>
  </si>
  <si>
    <t>VERIFICA CNR 10025/84 (Rasmussen)</t>
  </si>
  <si>
    <t>diametro spinotto</t>
  </si>
  <si>
    <t>db</t>
  </si>
  <si>
    <t>TEORIA DI  TASSIOS-VINTZELEOU</t>
  </si>
  <si>
    <t>a</t>
  </si>
  <si>
    <t>b</t>
  </si>
  <si>
    <t>c</t>
  </si>
  <si>
    <t xml:space="preserve">eccentricità </t>
  </si>
  <si>
    <t>e</t>
  </si>
  <si>
    <t>tens. Snerv. Spinotto</t>
  </si>
  <si>
    <t>fy</t>
  </si>
  <si>
    <t>σs</t>
  </si>
  <si>
    <t>tens. Precarico barra</t>
  </si>
  <si>
    <t>bct</t>
  </si>
  <si>
    <t>base netta cls</t>
  </si>
  <si>
    <t>staffe</t>
  </si>
  <si>
    <t>Avviene se c &lt;</t>
  </si>
  <si>
    <t>Tipo Acciaio, armatura del pilastro</t>
  </si>
  <si>
    <t>Diametro dello spinotto</t>
  </si>
  <si>
    <t>Numero di spinotti</t>
  </si>
  <si>
    <t>Tensione precarico spinotto</t>
  </si>
  <si>
    <t xml:space="preserve">LUNGHEZZA DI ANCORAGGIO: SPINOTTO </t>
  </si>
  <si>
    <t>Diametro staffe pilastro</t>
  </si>
  <si>
    <t>cls</t>
  </si>
  <si>
    <t>CNR</t>
  </si>
  <si>
    <t>TAS CICL</t>
  </si>
  <si>
    <t>TAS e=10</t>
  </si>
  <si>
    <t>TAS e=50</t>
  </si>
  <si>
    <t>TAS e=0</t>
  </si>
  <si>
    <t>copriferro spinotto</t>
  </si>
  <si>
    <t>per singolo spinotto</t>
  </si>
  <si>
    <r>
      <t xml:space="preserve">TAS </t>
    </r>
    <r>
      <rPr>
        <b/>
        <sz val="11"/>
        <color theme="1"/>
        <rFont val="Calibri"/>
        <family val="2"/>
      </rPr>
      <t>σs</t>
    </r>
  </si>
  <si>
    <t>A</t>
  </si>
  <si>
    <t>Ares</t>
  </si>
  <si>
    <t>Drid</t>
  </si>
  <si>
    <t>min valori escluso ciclica e splitting</t>
  </si>
  <si>
    <t>min valori totali</t>
  </si>
  <si>
    <t>per tutti</t>
  </si>
  <si>
    <t>Taglio sollecitante</t>
  </si>
  <si>
    <t>Trascura la resistenza delle staffe</t>
  </si>
  <si>
    <t>si</t>
  </si>
  <si>
    <t>no</t>
  </si>
  <si>
    <t>Tipo spinotto</t>
  </si>
  <si>
    <t>Ferro da calcestruzzo armato</t>
  </si>
  <si>
    <t>Diametro di calcolo della barra</t>
  </si>
  <si>
    <r>
      <t>V</t>
    </r>
    <r>
      <rPr>
        <b/>
        <sz val="8"/>
        <color theme="1"/>
        <rFont val="Calibri"/>
        <family val="2"/>
        <scheme val="minor"/>
      </rPr>
      <t>rd</t>
    </r>
  </si>
  <si>
    <t>Vale se e &lt;</t>
  </si>
  <si>
    <t>Collasso per azioni cicliche</t>
  </si>
  <si>
    <t>Bottom Splitting</t>
  </si>
  <si>
    <t>Side Splitting</t>
  </si>
  <si>
    <t>ns</t>
  </si>
  <si>
    <r>
      <t>d</t>
    </r>
    <r>
      <rPr>
        <b/>
        <sz val="9"/>
        <color theme="1"/>
        <rFont val="Calibri"/>
        <family val="2"/>
        <scheme val="minor"/>
      </rPr>
      <t>b</t>
    </r>
  </si>
  <si>
    <r>
      <t>b</t>
    </r>
    <r>
      <rPr>
        <b/>
        <sz val="8"/>
        <color theme="1"/>
        <rFont val="Calibri"/>
        <family val="2"/>
        <scheme val="minor"/>
      </rPr>
      <t>ct</t>
    </r>
  </si>
  <si>
    <t>s</t>
  </si>
  <si>
    <r>
      <t>V</t>
    </r>
    <r>
      <rPr>
        <b/>
        <sz val="8"/>
        <color theme="1"/>
        <rFont val="Calibri"/>
        <family val="2"/>
        <scheme val="minor"/>
      </rPr>
      <t>ed</t>
    </r>
  </si>
  <si>
    <r>
      <t>d</t>
    </r>
    <r>
      <rPr>
        <b/>
        <sz val="9"/>
        <color theme="1"/>
        <rFont val="Calibri"/>
        <family val="2"/>
        <scheme val="minor"/>
      </rPr>
      <t>s</t>
    </r>
  </si>
  <si>
    <t>bs</t>
  </si>
  <si>
    <t>DATI</t>
  </si>
  <si>
    <r>
      <t>V</t>
    </r>
    <r>
      <rPr>
        <b/>
        <sz val="9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del singolo spinotto</t>
    </r>
  </si>
  <si>
    <r>
      <t>V</t>
    </r>
    <r>
      <rPr>
        <b/>
        <sz val="9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della connessione</t>
    </r>
  </si>
  <si>
    <r>
      <t>V</t>
    </r>
    <r>
      <rPr>
        <b/>
        <sz val="11"/>
        <color theme="1"/>
        <rFont val="Calibri"/>
        <family val="2"/>
        <scheme val="minor"/>
      </rPr>
      <t>ed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≤ V</t>
    </r>
    <r>
      <rPr>
        <b/>
        <sz val="11"/>
        <color theme="1"/>
        <rFont val="Calibri"/>
        <family val="2"/>
      </rPr>
      <t xml:space="preserve">rd </t>
    </r>
  </si>
  <si>
    <t>≤</t>
  </si>
  <si>
    <t xml:space="preserve">Collasso di tipo duttile per snervamento della barra e contemporaneo collasso del calcestruzzo, quando la barra agisce contro il nucleo di calcestruzzo </t>
  </si>
  <si>
    <r>
      <t xml:space="preserve">Collasso di tipo duttile per snervamento della barra e contemporaneo collasso del calcestruzzo, quando la barra è soggetta alla tensione di trazione </t>
    </r>
    <r>
      <rPr>
        <sz val="11"/>
        <color theme="1"/>
        <rFont val="Calibri"/>
        <family val="2"/>
      </rPr>
      <t>σs agisce contro il nucleo</t>
    </r>
  </si>
  <si>
    <t>Collasso di tipo duttile per snervamento della barra e contemporaneo collasso del calcestruzzo, quando la barra agisce contro il nucleo di calcestruzzo e il carico è eccentrico</t>
  </si>
  <si>
    <t>Collasso di tipo fragile, quando la barra agisce contro il copriferro: bottom splitting (la rottura fragile è impedita dallo snervamento delle staffe del pilastro)</t>
  </si>
  <si>
    <t>Collasso di tipo fragile, quando la barra agisce contro il copriferro: side splitting (la rottura fragile è impedita dallo snervamento delle staffe del pilastro)</t>
  </si>
  <si>
    <t>Tensione caratteristica di snervamento dello spinotto</t>
  </si>
  <si>
    <r>
      <rPr>
        <b/>
        <sz val="14"/>
        <color theme="1"/>
        <rFont val="Calibri"/>
        <family val="2"/>
        <scheme val="minor"/>
      </rPr>
      <t>σ</t>
    </r>
    <r>
      <rPr>
        <b/>
        <sz val="11"/>
        <color theme="1"/>
        <rFont val="Calibri"/>
        <family val="2"/>
        <scheme val="minor"/>
      </rPr>
      <t>s</t>
    </r>
  </si>
  <si>
    <t>Il foglio di calcolo esegue la verifica dello spinotto per le travi prefabbricate</t>
  </si>
  <si>
    <t>sulla base di diverse formulazioni: CNR 10025/84 e Tassios-Vintzeleou.</t>
  </si>
  <si>
    <t>Si trascurano le azioni cicliche.</t>
  </si>
  <si>
    <t>VERIFICA SPINOTTO  (Valori riferiti al singolo spinotto)</t>
  </si>
  <si>
    <t>Passo delle staffe nel pilastro</t>
  </si>
  <si>
    <t>Spessore del cuscinetto in neoprene</t>
  </si>
  <si>
    <t>VERIFICA DELLA CONNESSIONE</t>
  </si>
  <si>
    <t>SCHEMA DELLA CONNESSIONE</t>
  </si>
  <si>
    <t>Classe di resistenza del calcestruzzo</t>
  </si>
  <si>
    <t>Numero di braccia delle staffe del pilastro nella direzione del taglio sollecitante</t>
  </si>
  <si>
    <t>Dimensione del pilastro nella direzione del taglio sollecitante</t>
  </si>
  <si>
    <t>Base netta del pilastro nella direzione del taglio sollecitante</t>
  </si>
  <si>
    <t>Distanza dello spinotto dal bordo della sezione nella direzione del taglio sollecitante</t>
  </si>
  <si>
    <t>d,rid</t>
  </si>
  <si>
    <t>d di calcolo</t>
  </si>
  <si>
    <t>versione 1.2</t>
  </si>
  <si>
    <t>Barra filettata 8.8</t>
  </si>
  <si>
    <t>Barra filettata 10.8</t>
  </si>
  <si>
    <t>Collasso di tipo duttile per snervamento della barra e contemporaneo collasso del calcestruzzo; quando la barra agisce contro il nucleo di calcestruzzo (Vale se l'eccentricità è minore di 0.5 db)</t>
  </si>
  <si>
    <t>CARATTERISTICHE ACCIAIO SPINOTTO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</si>
</sst>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&quot; N/mm²&quot;"/>
    <numFmt numFmtId="165" formatCode="0&quot; N/mm²&quot;"/>
    <numFmt numFmtId="166" formatCode="0.0&quot; N/mm²&quot;"/>
    <numFmt numFmtId="167" formatCode="&quot;Φ &quot;0&quot;  [mm]&quot;"/>
    <numFmt numFmtId="168" formatCode="0&quot; mm&quot;"/>
    <numFmt numFmtId="169" formatCode="0.0&quot; kN&quot;"/>
    <numFmt numFmtId="170" formatCode="0.00&quot; mm&quot;"/>
    <numFmt numFmtId="171" formatCode="0.000"/>
    <numFmt numFmtId="172" formatCode="0.0&quot;  mm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166" fontId="0" fillId="0" borderId="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2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0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8" fontId="0" fillId="0" borderId="2" xfId="0" applyNumberForma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horizontal="center" vertical="center"/>
    </xf>
    <xf numFmtId="0" fontId="0" fillId="2" borderId="0" xfId="0" applyFill="1"/>
    <xf numFmtId="169" fontId="0" fillId="2" borderId="0" xfId="0" applyNumberFormat="1" applyFill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168" fontId="0" fillId="0" borderId="0" xfId="0" applyNumberFormat="1"/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 applyProtection="1">
      <alignment horizontal="center" vertical="center"/>
      <protection hidden="1"/>
    </xf>
    <xf numFmtId="170" fontId="0" fillId="0" borderId="0" xfId="0" applyNumberFormat="1"/>
    <xf numFmtId="0" fontId="0" fillId="0" borderId="5" xfId="0" applyBorder="1" applyAlignment="1">
      <alignment horizontal="center" vertical="center"/>
    </xf>
    <xf numFmtId="0" fontId="0" fillId="4" borderId="0" xfId="0" applyFill="1"/>
    <xf numFmtId="0" fontId="0" fillId="4" borderId="0" xfId="0" applyFill="1" applyProtection="1">
      <protection hidden="1"/>
    </xf>
    <xf numFmtId="169" fontId="0" fillId="4" borderId="0" xfId="0" applyNumberFormat="1" applyFill="1" applyAlignment="1" applyProtection="1">
      <alignment horizontal="center" vertical="center"/>
      <protection hidden="1"/>
    </xf>
    <xf numFmtId="0" fontId="6" fillId="0" borderId="0" xfId="0" applyFont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9" fontId="0" fillId="0" borderId="2" xfId="0" applyNumberFormat="1" applyBorder="1" applyAlignment="1" applyProtection="1">
      <alignment horizontal="center" vertical="center"/>
      <protection hidden="1"/>
    </xf>
    <xf numFmtId="169" fontId="0" fillId="0" borderId="2" xfId="0" applyNumberFormat="1" applyFont="1" applyBorder="1" applyAlignment="1" applyProtection="1">
      <alignment horizontal="center" vertical="center"/>
      <protection hidden="1"/>
    </xf>
    <xf numFmtId="168" fontId="1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9" fontId="0" fillId="0" borderId="0" xfId="0" applyNumberFormat="1" applyFill="1" applyAlignment="1" applyProtection="1">
      <alignment horizontal="center" vertical="center"/>
      <protection hidden="1"/>
    </xf>
    <xf numFmtId="169" fontId="0" fillId="0" borderId="2" xfId="0" applyNumberFormat="1" applyFill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69" fontId="0" fillId="0" borderId="0" xfId="0" applyNumberFormat="1" applyFont="1" applyBorder="1" applyAlignment="1" applyProtection="1">
      <alignment horizontal="center" vertical="center"/>
      <protection hidden="1"/>
    </xf>
    <xf numFmtId="168" fontId="1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9" fontId="0" fillId="3" borderId="0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169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69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0" fillId="3" borderId="0" xfId="0" applyFill="1"/>
    <xf numFmtId="172" fontId="0" fillId="0" borderId="2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2" fillId="0" borderId="0" xfId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2" fillId="0" borderId="0" xfId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14" fontId="13" fillId="6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71" fontId="0" fillId="0" borderId="3" xfId="0" applyNumberFormat="1" applyFont="1" applyBorder="1" applyAlignment="1" applyProtection="1">
      <alignment horizontal="center" vertical="center"/>
      <protection locked="0"/>
    </xf>
    <xf numFmtId="17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20" fillId="4" borderId="2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169" fontId="0" fillId="0" borderId="3" xfId="0" applyNumberFormat="1" applyBorder="1" applyAlignment="1" applyProtection="1">
      <alignment horizontal="center"/>
      <protection locked="0"/>
    </xf>
    <xf numFmtId="169" fontId="0" fillId="0" borderId="4" xfId="0" applyNumberFormat="1" applyBorder="1" applyAlignment="1" applyProtection="1">
      <alignment horizont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165" fontId="0" fillId="0" borderId="9" xfId="0" applyNumberFormat="1" applyFont="1" applyBorder="1" applyAlignment="1" applyProtection="1">
      <alignment horizontal="center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8" fontId="0" fillId="0" borderId="3" xfId="0" applyNumberFormat="1" applyBorder="1" applyAlignment="1" applyProtection="1">
      <alignment horizontal="center" vertical="center"/>
      <protection locked="0"/>
    </xf>
    <xf numFmtId="168" fontId="0" fillId="0" borderId="4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RESISTENZA DEL SINGOLO SPINOTTO (AZIONE</a:t>
            </a:r>
            <a:r>
              <a:rPr lang="it-IT" sz="1200" baseline="0"/>
              <a:t> CONTRO IL NUCLEO)</a:t>
            </a:r>
            <a:endParaRPr lang="it-IT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2">
                    <a:lumMod val="1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4376278118609412"/>
                  <c:y val="-7.5919326250850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Punto</a:t>
                    </a:r>
                    <a:r>
                      <a:rPr lang="en-US" baseline="0"/>
                      <a:t> di verifica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'dati nascosti'!$C$75</c:f>
            </c:numRef>
          </c:xVal>
          <c:yVal>
            <c:numRef>
              <c:f>'dati nascosti'!$D$75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478400"/>
        <c:axId val="1798898880"/>
      </c:scatterChart>
      <c:scatterChart>
        <c:scatterStyle val="smoothMarker"/>
        <c:varyColors val="0"/>
        <c:ser>
          <c:idx val="0"/>
          <c:order val="0"/>
          <c:tx>
            <c:v>CNR 10025/84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nascosti'!$D$24:$D$39</c:f>
              <c:numCache>
                <c:formatCode>0.0" kN"</c:formatCode>
                <c:ptCount val="16"/>
                <c:pt idx="0">
                  <c:v>4.6298652436019179</c:v>
                </c:pt>
                <c:pt idx="1">
                  <c:v>6.6670059507867601</c:v>
                </c:pt>
                <c:pt idx="2">
                  <c:v>11.852455023620909</c:v>
                </c:pt>
                <c:pt idx="3">
                  <c:v>18.519460974407671</c:v>
                </c:pt>
                <c:pt idx="4">
                  <c:v>26.66802380314704</c:v>
                </c:pt>
                <c:pt idx="5">
                  <c:v>36.298143509839029</c:v>
                </c:pt>
                <c:pt idx="6">
                  <c:v>47.409820094483635</c:v>
                </c:pt>
                <c:pt idx="7">
                  <c:v>60.003053557080854</c:v>
                </c:pt>
                <c:pt idx="8">
                  <c:v>74.077843897630686</c:v>
                </c:pt>
                <c:pt idx="9">
                  <c:v>89.63419111613311</c:v>
                </c:pt>
                <c:pt idx="10">
                  <c:v>106.67209521258816</c:v>
                </c:pt>
                <c:pt idx="11">
                  <c:v>125.19155618699584</c:v>
                </c:pt>
                <c:pt idx="12">
                  <c:v>135.00687050343191</c:v>
                </c:pt>
                <c:pt idx="13">
                  <c:v>145.19257403935612</c:v>
                </c:pt>
                <c:pt idx="14">
                  <c:v>166.67514876966902</c:v>
                </c:pt>
                <c:pt idx="15">
                  <c:v>189.63928037793454</c:v>
                </c:pt>
              </c:numCache>
            </c:numRef>
          </c:yVal>
          <c:smooth val="1"/>
        </c:ser>
        <c:ser>
          <c:idx val="1"/>
          <c:order val="1"/>
          <c:tx>
            <c:v>TASSIOS e=0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nascosti'!$F$24:$F$39</c:f>
              <c:numCache>
                <c:formatCode>0.0" kN"</c:formatCode>
                <c:ptCount val="16"/>
                <c:pt idx="0">
                  <c:v>5.0156873472354109</c:v>
                </c:pt>
                <c:pt idx="1">
                  <c:v>7.2225897800189918</c:v>
                </c:pt>
                <c:pt idx="2">
                  <c:v>12.840159608922651</c:v>
                </c:pt>
                <c:pt idx="3">
                  <c:v>20.062749388941644</c:v>
                </c:pt>
                <c:pt idx="4">
                  <c:v>28.890359120075967</c:v>
                </c:pt>
                <c:pt idx="5">
                  <c:v>39.322988802325625</c:v>
                </c:pt>
                <c:pt idx="6">
                  <c:v>51.360638435690603</c:v>
                </c:pt>
                <c:pt idx="7">
                  <c:v>65.00330802017092</c:v>
                </c:pt>
                <c:pt idx="8">
                  <c:v>80.250997555766574</c:v>
                </c:pt>
                <c:pt idx="9">
                  <c:v>97.103707042477566</c:v>
                </c:pt>
                <c:pt idx="10">
                  <c:v>115.56143648030387</c:v>
                </c:pt>
                <c:pt idx="11">
                  <c:v>135.62418586924551</c:v>
                </c:pt>
                <c:pt idx="12">
                  <c:v>146.25744304538458</c:v>
                </c:pt>
                <c:pt idx="13">
                  <c:v>157.2919552093025</c:v>
                </c:pt>
                <c:pt idx="14">
                  <c:v>180.56474450047477</c:v>
                </c:pt>
                <c:pt idx="15">
                  <c:v>205.44255374276241</c:v>
                </c:pt>
              </c:numCache>
            </c:numRef>
          </c:yVal>
          <c:smooth val="1"/>
        </c:ser>
        <c:ser>
          <c:idx val="4"/>
          <c:order val="3"/>
          <c:tx>
            <c:v>TASSIOS precarico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nascosti'!$E$24:$E$39</c:f>
              <c:numCache>
                <c:formatCode>0.0" kN"</c:formatCode>
                <c:ptCount val="16"/>
                <c:pt idx="0">
                  <c:v>5.0673587794826611</c:v>
                </c:pt>
                <c:pt idx="1">
                  <c:v>7.2969966424550323</c:v>
                </c:pt>
                <c:pt idx="2">
                  <c:v>12.972438475475613</c:v>
                </c:pt>
                <c:pt idx="3">
                  <c:v>20.269435117930644</c:v>
                </c:pt>
                <c:pt idx="4">
                  <c:v>29.187986569820129</c:v>
                </c:pt>
                <c:pt idx="5">
                  <c:v>39.72809283114406</c:v>
                </c:pt>
                <c:pt idx="6">
                  <c:v>51.889753901902452</c:v>
                </c:pt>
                <c:pt idx="7">
                  <c:v>65.672969782095294</c:v>
                </c:pt>
                <c:pt idx="8">
                  <c:v>81.077740471722578</c:v>
                </c:pt>
                <c:pt idx="9">
                  <c:v>98.104065970784319</c:v>
                </c:pt>
                <c:pt idx="10">
                  <c:v>116.75194627928052</c:v>
                </c:pt>
                <c:pt idx="11">
                  <c:v>137.02138139721114</c:v>
                </c:pt>
                <c:pt idx="12">
                  <c:v>147.7641820097144</c:v>
                </c:pt>
                <c:pt idx="13">
                  <c:v>158.91237132457624</c:v>
                </c:pt>
                <c:pt idx="14">
                  <c:v>182.4249160613758</c:v>
                </c:pt>
                <c:pt idx="15">
                  <c:v>207.55901560760981</c:v>
                </c:pt>
              </c:numCache>
            </c:numRef>
          </c:yVal>
          <c:smooth val="1"/>
        </c:ser>
        <c:ser>
          <c:idx val="5"/>
          <c:order val="4"/>
          <c:tx>
            <c:v>TASSIOS e=10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nascosti'!$H$24:$H$39</c:f>
              <c:numCache>
                <c:formatCode>0.0" kN"</c:formatCode>
                <c:ptCount val="16"/>
                <c:pt idx="0">
                  <c:v>1.7184351912474667</c:v>
                </c:pt>
                <c:pt idx="1">
                  <c:v>2.8575997597517415</c:v>
                </c:pt>
                <c:pt idx="2">
                  <c:v>6.2362319098885859</c:v>
                </c:pt>
                <c:pt idx="3">
                  <c:v>11.187441809940617</c:v>
                </c:pt>
                <c:pt idx="4">
                  <c:v>17.781059473883399</c:v>
                </c:pt>
                <c:pt idx="5">
                  <c:v>26.052724559095921</c:v>
                </c:pt>
                <c:pt idx="6">
                  <c:v>36.021478457875446</c:v>
                </c:pt>
                <c:pt idx="7">
                  <c:v>47.698012278925049</c:v>
                </c:pt>
                <c:pt idx="8">
                  <c:v>61.088619103105536</c:v>
                </c:pt>
                <c:pt idx="9">
                  <c:v>76.197164939195972</c:v>
                </c:pt>
                <c:pt idx="10">
                  <c:v>93.026116452790674</c:v>
                </c:pt>
                <c:pt idx="11">
                  <c:v>111.5771008080454</c:v>
                </c:pt>
                <c:pt idx="12">
                  <c:v>121.4987153837985</c:v>
                </c:pt>
                <c:pt idx="13">
                  <c:v>131.85122330235839</c:v>
                </c:pt>
                <c:pt idx="14">
                  <c:v>153.84925438457157</c:v>
                </c:pt>
                <c:pt idx="15">
                  <c:v>177.57174351042335</c:v>
                </c:pt>
              </c:numCache>
            </c:numRef>
          </c:yVal>
          <c:smooth val="1"/>
        </c:ser>
        <c:ser>
          <c:idx val="6"/>
          <c:order val="5"/>
          <c:tx>
            <c:v>TASSIOS e=50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nascosti'!$I$24:$I$39</c:f>
              <c:numCache>
                <c:formatCode>0.0" kN"</c:formatCode>
                <c:ptCount val="16"/>
                <c:pt idx="0">
                  <c:v>0.38059612169313189</c:v>
                </c:pt>
                <c:pt idx="1">
                  <c:v>0.65624307801271065</c:v>
                </c:pt>
                <c:pt idx="2">
                  <c:v>1.547059060220614</c:v>
                </c:pt>
                <c:pt idx="3">
                  <c:v>3.0008219135371474</c:v>
                </c:pt>
                <c:pt idx="4">
                  <c:v>5.1428347157008831</c:v>
                </c:pt>
                <c:pt idx="5">
                  <c:v>8.0894609434126181</c:v>
                </c:pt>
                <c:pt idx="6">
                  <c:v>11.947470121928884</c:v>
                </c:pt>
                <c:pt idx="7">
                  <c:v>16.813779831272345</c:v>
                </c:pt>
                <c:pt idx="8">
                  <c:v>22.775536487530655</c:v>
                </c:pt>
                <c:pt idx="9">
                  <c:v>29.910463846856235</c:v>
                </c:pt>
                <c:pt idx="10">
                  <c:v>38.287405453547748</c:v>
                </c:pt>
                <c:pt idx="11">
                  <c:v>47.966992471021136</c:v>
                </c:pt>
                <c:pt idx="12">
                  <c:v>53.312159890109328</c:v>
                </c:pt>
                <c:pt idx="13">
                  <c:v>59.002378364802162</c:v>
                </c:pt>
                <c:pt idx="14">
                  <c:v>71.439993993793493</c:v>
                </c:pt>
                <c:pt idx="15">
                  <c:v>85.32028877070735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478400"/>
        <c:axId val="1798898880"/>
      </c:scatterChart>
      <c:valAx>
        <c:axId val="1877478400"/>
        <c:scaling>
          <c:orientation val="minMax"/>
          <c:max val="33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Diametro barre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8898880"/>
        <c:crosses val="autoZero"/>
        <c:crossBetween val="midCat"/>
        <c:majorUnit val="2"/>
      </c:valAx>
      <c:valAx>
        <c:axId val="17988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747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RESISTENZA DEL SINGOLO SPINOTTO (AZIONE</a:t>
            </a:r>
            <a:r>
              <a:rPr lang="it-IT" sz="1200" baseline="0"/>
              <a:t> CONTRO IL COPRIFERRO)</a:t>
            </a:r>
            <a:endParaRPr lang="it-IT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spPr>
            <a:ln w="254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2">
                    <a:lumMod val="1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29405840886203422"/>
                  <c:y val="-0.134800891105582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punto di verifica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'dati nascosti'!$C$76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'dati nascosti'!$D$76</c:f>
              <c:numCache>
                <c:formatCode>General</c:formatCode>
                <c:ptCount val="1"/>
                <c:pt idx="0">
                  <c:v>62.366197149735683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8901056"/>
        <c:axId val="1883183456"/>
      </c:scatterChart>
      <c:scatterChart>
        <c:scatterStyle val="smoothMarker"/>
        <c:varyColors val="0"/>
        <c:ser>
          <c:idx val="5"/>
          <c:order val="1"/>
          <c:tx>
            <c:v>Bottom splitting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nascosti'!$N$24:$N$39</c:f>
              <c:numCache>
                <c:formatCode>0.00</c:formatCode>
                <c:ptCount val="16"/>
                <c:pt idx="0">
                  <c:v>140.49139403030307</c:v>
                </c:pt>
                <c:pt idx="1">
                  <c:v>141.96248943861485</c:v>
                </c:pt>
                <c:pt idx="2">
                  <c:v>144.90468025523845</c:v>
                </c:pt>
                <c:pt idx="3">
                  <c:v>147.84687107186201</c:v>
                </c:pt>
                <c:pt idx="4">
                  <c:v>150.78906188848561</c:v>
                </c:pt>
                <c:pt idx="5">
                  <c:v>153.73125270510917</c:v>
                </c:pt>
                <c:pt idx="6">
                  <c:v>156.67344352173274</c:v>
                </c:pt>
                <c:pt idx="7">
                  <c:v>159.61563433835633</c:v>
                </c:pt>
                <c:pt idx="8">
                  <c:v>162.55782515497989</c:v>
                </c:pt>
                <c:pt idx="9">
                  <c:v>165.50001597160349</c:v>
                </c:pt>
                <c:pt idx="10">
                  <c:v>168.44220678822705</c:v>
                </c:pt>
                <c:pt idx="11">
                  <c:v>171.38439760485062</c:v>
                </c:pt>
                <c:pt idx="12">
                  <c:v>172.85549301316243</c:v>
                </c:pt>
                <c:pt idx="13">
                  <c:v>174.32658842147421</c:v>
                </c:pt>
                <c:pt idx="14">
                  <c:v>177.26877923809781</c:v>
                </c:pt>
                <c:pt idx="15">
                  <c:v>180.21097005472137</c:v>
                </c:pt>
              </c:numCache>
            </c:numRef>
          </c:yVal>
          <c:smooth val="1"/>
        </c:ser>
        <c:ser>
          <c:idx val="6"/>
          <c:order val="2"/>
          <c:tx>
            <c:v>Side Splitting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'dati nascosti'!$C$24:$C$39</c:f>
              <c:numCache>
                <c:formatCode>0" mm"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xVal>
          <c:yVal>
            <c:numRef>
              <c:f>'dati nascosti'!$Q$24:$Q$39</c:f>
              <c:numCache>
                <c:formatCode>0.0" kN"</c:formatCode>
                <c:ptCount val="16"/>
                <c:pt idx="0">
                  <c:v>275.62914182570552</c:v>
                </c:pt>
                <c:pt idx="1">
                  <c:v>277.50060339534895</c:v>
                </c:pt>
                <c:pt idx="2">
                  <c:v>281.24352653463586</c:v>
                </c:pt>
                <c:pt idx="3">
                  <c:v>284.98644967392272</c:v>
                </c:pt>
                <c:pt idx="4">
                  <c:v>288.72937281320964</c:v>
                </c:pt>
                <c:pt idx="5">
                  <c:v>292.47229595249655</c:v>
                </c:pt>
                <c:pt idx="6">
                  <c:v>296.21521909178341</c:v>
                </c:pt>
                <c:pt idx="7">
                  <c:v>299.95814223107033</c:v>
                </c:pt>
                <c:pt idx="8">
                  <c:v>303.70106537035724</c:v>
                </c:pt>
                <c:pt idx="9">
                  <c:v>307.44398850964416</c:v>
                </c:pt>
                <c:pt idx="10">
                  <c:v>311.18691164893102</c:v>
                </c:pt>
                <c:pt idx="11">
                  <c:v>314.92983478821793</c:v>
                </c:pt>
                <c:pt idx="12">
                  <c:v>316.80129635786136</c:v>
                </c:pt>
                <c:pt idx="13">
                  <c:v>318.67275792750485</c:v>
                </c:pt>
                <c:pt idx="14">
                  <c:v>322.41568106679171</c:v>
                </c:pt>
                <c:pt idx="15">
                  <c:v>326.15860420607862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8901056"/>
        <c:axId val="1883183456"/>
      </c:scatterChart>
      <c:valAx>
        <c:axId val="1798901056"/>
        <c:scaling>
          <c:orientation val="minMax"/>
          <c:max val="33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Diametro barre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3183456"/>
        <c:crosses val="autoZero"/>
        <c:crossBetween val="midCat"/>
        <c:majorUnit val="2"/>
      </c:valAx>
      <c:valAx>
        <c:axId val="188318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8901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161925</xdr:rowOff>
    </xdr:from>
    <xdr:ext cx="4815164" cy="537138"/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133350</xdr:colOff>
      <xdr:row>55</xdr:row>
      <xdr:rowOff>0</xdr:rowOff>
    </xdr:from>
    <xdr:ext cx="2571429" cy="533333"/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13011150"/>
          <a:ext cx="2571429" cy="5333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595842</xdr:colOff>
      <xdr:row>25</xdr:row>
      <xdr:rowOff>55033</xdr:rowOff>
    </xdr:from>
    <xdr:to>
      <xdr:col>5</xdr:col>
      <xdr:colOff>2506814</xdr:colOff>
      <xdr:row>37</xdr:row>
      <xdr:rowOff>116417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" t="2611" r="4592" b="15292"/>
        <a:stretch/>
      </xdr:blipFill>
      <xdr:spPr>
        <a:xfrm>
          <a:off x="1474259" y="5082116"/>
          <a:ext cx="3752472" cy="2347384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38100</xdr:colOff>
      <xdr:row>50</xdr:row>
      <xdr:rowOff>114300</xdr:rowOff>
    </xdr:from>
    <xdr:to>
      <xdr:col>9</xdr:col>
      <xdr:colOff>371475</xdr:colOff>
      <xdr:row>71</xdr:row>
      <xdr:rowOff>128588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72</xdr:row>
      <xdr:rowOff>28575</xdr:rowOff>
    </xdr:from>
    <xdr:to>
      <xdr:col>9</xdr:col>
      <xdr:colOff>371475</xdr:colOff>
      <xdr:row>93</xdr:row>
      <xdr:rowOff>42863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5</xdr:row>
      <xdr:rowOff>123825</xdr:rowOff>
    </xdr:from>
    <xdr:to>
      <xdr:col>8</xdr:col>
      <xdr:colOff>432196</xdr:colOff>
      <xdr:row>14</xdr:row>
      <xdr:rowOff>104484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064"/>
        <a:stretch/>
      </xdr:blipFill>
      <xdr:spPr>
        <a:xfrm>
          <a:off x="4838700" y="1123950"/>
          <a:ext cx="1470421" cy="1695159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31</xdr:row>
      <xdr:rowOff>76199</xdr:rowOff>
    </xdr:from>
    <xdr:to>
      <xdr:col>8</xdr:col>
      <xdr:colOff>304800</xdr:colOff>
      <xdr:row>34</xdr:row>
      <xdr:rowOff>76199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8907" b="13028"/>
        <a:stretch/>
      </xdr:blipFill>
      <xdr:spPr>
        <a:xfrm>
          <a:off x="5019675" y="6029324"/>
          <a:ext cx="1162050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295276</xdr:colOff>
      <xdr:row>28</xdr:row>
      <xdr:rowOff>37407</xdr:rowOff>
    </xdr:from>
    <xdr:to>
      <xdr:col>9</xdr:col>
      <xdr:colOff>38100</xdr:colOff>
      <xdr:row>30</xdr:row>
      <xdr:rowOff>170757</xdr:rowOff>
    </xdr:to>
    <xdr:pic>
      <xdr:nvPicPr>
        <xdr:cNvPr id="4" name="Immagin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779" t="25348" r="11933" b="20235"/>
        <a:stretch/>
      </xdr:blipFill>
      <xdr:spPr>
        <a:xfrm>
          <a:off x="4953001" y="5419032"/>
          <a:ext cx="1571624" cy="51435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342901</xdr:colOff>
      <xdr:row>20</xdr:row>
      <xdr:rowOff>56796</xdr:rowOff>
    </xdr:from>
    <xdr:to>
      <xdr:col>8</xdr:col>
      <xdr:colOff>247651</xdr:colOff>
      <xdr:row>23</xdr:row>
      <xdr:rowOff>9418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0626" y="3914421"/>
          <a:ext cx="1123950" cy="524122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40</xdr:row>
      <xdr:rowOff>123825</xdr:rowOff>
    </xdr:from>
    <xdr:to>
      <xdr:col>9</xdr:col>
      <xdr:colOff>533133</xdr:colOff>
      <xdr:row>42</xdr:row>
      <xdr:rowOff>190444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86325" y="7800975"/>
          <a:ext cx="2133333" cy="447619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50</xdr:row>
      <xdr:rowOff>66675</xdr:rowOff>
    </xdr:from>
    <xdr:to>
      <xdr:col>9</xdr:col>
      <xdr:colOff>580751</xdr:colOff>
      <xdr:row>52</xdr:row>
      <xdr:rowOff>142818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9648825"/>
          <a:ext cx="2190476" cy="457143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56</xdr:row>
      <xdr:rowOff>47625</xdr:rowOff>
    </xdr:from>
    <xdr:to>
      <xdr:col>11</xdr:col>
      <xdr:colOff>580538</xdr:colOff>
      <xdr:row>58</xdr:row>
      <xdr:rowOff>161863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95850" y="10772775"/>
          <a:ext cx="3895238" cy="4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63</xdr:row>
      <xdr:rowOff>19050</xdr:rowOff>
    </xdr:from>
    <xdr:to>
      <xdr:col>9</xdr:col>
      <xdr:colOff>971217</xdr:colOff>
      <xdr:row>65</xdr:row>
      <xdr:rowOff>152400</xdr:rowOff>
    </xdr:to>
    <xdr:pic>
      <xdr:nvPicPr>
        <xdr:cNvPr id="11" name="Immagine 10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b="15615"/>
        <a:stretch/>
      </xdr:blipFill>
      <xdr:spPr>
        <a:xfrm>
          <a:off x="4791075" y="12077700"/>
          <a:ext cx="2666667" cy="514350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990600</xdr:colOff>
      <xdr:row>62</xdr:row>
      <xdr:rowOff>180975</xdr:rowOff>
    </xdr:from>
    <xdr:to>
      <xdr:col>10</xdr:col>
      <xdr:colOff>504727</xdr:colOff>
      <xdr:row>65</xdr:row>
      <xdr:rowOff>142789</xdr:rowOff>
    </xdr:to>
    <xdr:pic>
      <xdr:nvPicPr>
        <xdr:cNvPr id="12" name="Immagine 11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9514" t="22225"/>
        <a:stretch/>
      </xdr:blipFill>
      <xdr:spPr>
        <a:xfrm>
          <a:off x="7477125" y="12049125"/>
          <a:ext cx="628552" cy="533314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71</xdr:row>
      <xdr:rowOff>0</xdr:rowOff>
    </xdr:from>
    <xdr:to>
      <xdr:col>10</xdr:col>
      <xdr:colOff>113945</xdr:colOff>
      <xdr:row>74</xdr:row>
      <xdr:rowOff>133270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76800" y="13582650"/>
          <a:ext cx="2838095" cy="638095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80</xdr:row>
      <xdr:rowOff>76200</xdr:rowOff>
    </xdr:from>
    <xdr:to>
      <xdr:col>9</xdr:col>
      <xdr:colOff>295048</xdr:colOff>
      <xdr:row>82</xdr:row>
      <xdr:rowOff>133293</xdr:rowOff>
    </xdr:to>
    <xdr:pic>
      <xdr:nvPicPr>
        <xdr:cNvPr id="15" name="Immagine 14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t="4167"/>
        <a:stretch/>
      </xdr:blipFill>
      <xdr:spPr>
        <a:xfrm>
          <a:off x="4962525" y="15306675"/>
          <a:ext cx="1819048" cy="438093"/>
        </a:xfrm>
        <a:prstGeom prst="rect">
          <a:avLst/>
        </a:prstGeom>
      </xdr:spPr>
    </xdr:pic>
    <xdr:clientData/>
  </xdr:twoCellAnchor>
  <xdr:twoCellAnchor>
    <xdr:from>
      <xdr:col>12</xdr:col>
      <xdr:colOff>266701</xdr:colOff>
      <xdr:row>72</xdr:row>
      <xdr:rowOff>57150</xdr:rowOff>
    </xdr:from>
    <xdr:to>
      <xdr:col>14</xdr:col>
      <xdr:colOff>723901</xdr:colOff>
      <xdr:row>78</xdr:row>
      <xdr:rowOff>38099</xdr:rowOff>
    </xdr:to>
    <xdr:grpSp>
      <xdr:nvGrpSpPr>
        <xdr:cNvPr id="16" name="Group 95"/>
        <xdr:cNvGrpSpPr>
          <a:grpSpLocks/>
        </xdr:cNvGrpSpPr>
      </xdr:nvGrpSpPr>
      <xdr:grpSpPr bwMode="auto">
        <a:xfrm>
          <a:off x="10125076" y="13830300"/>
          <a:ext cx="2362200" cy="1057274"/>
          <a:chOff x="4059" y="935"/>
          <a:chExt cx="1905" cy="812"/>
        </a:xfrm>
      </xdr:grpSpPr>
      <xdr:sp macro="" textlink="">
        <xdr:nvSpPr>
          <xdr:cNvPr id="17" name="Rectangle 85"/>
          <xdr:cNvSpPr>
            <a:spLocks noChangeArrowheads="1"/>
          </xdr:cNvSpPr>
        </xdr:nvSpPr>
        <xdr:spPr bwMode="auto">
          <a:xfrm>
            <a:off x="4059" y="935"/>
            <a:ext cx="726" cy="725"/>
          </a:xfrm>
          <a:prstGeom prst="rect">
            <a:avLst/>
          </a:prstGeom>
          <a:solidFill>
            <a:srgbClr val="C0C0C0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  <xdr:sp macro="" textlink="">
        <xdr:nvSpPr>
          <xdr:cNvPr id="18" name="Oval 86"/>
          <xdr:cNvSpPr>
            <a:spLocks noChangeArrowheads="1"/>
          </xdr:cNvSpPr>
        </xdr:nvSpPr>
        <xdr:spPr bwMode="auto">
          <a:xfrm>
            <a:off x="4377" y="1388"/>
            <a:ext cx="137" cy="136"/>
          </a:xfrm>
          <a:prstGeom prst="ellipse">
            <a:avLst/>
          </a:prstGeom>
          <a:solidFill>
            <a:schemeClr val="tx1"/>
          </a:solidFill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  <xdr:sp macro="" textlink="">
        <xdr:nvSpPr>
          <xdr:cNvPr id="19" name="Line 87"/>
          <xdr:cNvSpPr>
            <a:spLocks noChangeShapeType="1"/>
          </xdr:cNvSpPr>
        </xdr:nvSpPr>
        <xdr:spPr bwMode="auto">
          <a:xfrm>
            <a:off x="4513" y="1457"/>
            <a:ext cx="272" cy="0"/>
          </a:xfrm>
          <a:prstGeom prst="line">
            <a:avLst/>
          </a:prstGeom>
          <a:noFill/>
          <a:ln w="25400">
            <a:solidFill>
              <a:srgbClr val="FFFF00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  <xdr:sp macro="" textlink="">
        <xdr:nvSpPr>
          <xdr:cNvPr id="20" name="Line 88"/>
          <xdr:cNvSpPr>
            <a:spLocks noChangeShapeType="1"/>
          </xdr:cNvSpPr>
        </xdr:nvSpPr>
        <xdr:spPr bwMode="auto">
          <a:xfrm>
            <a:off x="4445" y="1524"/>
            <a:ext cx="0" cy="136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  <xdr:sp macro="" textlink="">
        <xdr:nvSpPr>
          <xdr:cNvPr id="21" name="Line 89"/>
          <xdr:cNvSpPr>
            <a:spLocks noChangeShapeType="1"/>
          </xdr:cNvSpPr>
        </xdr:nvSpPr>
        <xdr:spPr bwMode="auto">
          <a:xfrm>
            <a:off x="4445" y="958"/>
            <a:ext cx="0" cy="408"/>
          </a:xfrm>
          <a:prstGeom prst="line">
            <a:avLst/>
          </a:prstGeom>
          <a:noFill/>
          <a:ln w="22225">
            <a:solidFill>
              <a:srgbClr val="FF0000"/>
            </a:solidFill>
            <a:round/>
            <a:headEnd/>
            <a:tailEnd type="triangle" w="med" len="med"/>
          </a:ln>
          <a:effectLst/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  <xdr:sp macro="" textlink="">
        <xdr:nvSpPr>
          <xdr:cNvPr id="22" name="Text Box 90"/>
          <xdr:cNvSpPr txBox="1">
            <a:spLocks noChangeArrowheads="1"/>
          </xdr:cNvSpPr>
        </xdr:nvSpPr>
        <xdr:spPr bwMode="auto">
          <a:xfrm>
            <a:off x="4467" y="1025"/>
            <a:ext cx="136" cy="1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spcBef>
                <a:spcPct val="50000"/>
              </a:spcBef>
              <a:defRPr/>
            </a:pPr>
            <a:r>
              <a:rPr lang="it-IT" b="1">
                <a:solidFill>
                  <a:srgbClr val="FF0000"/>
                </a:solidFill>
                <a:latin typeface="+mj-lt"/>
                <a:cs typeface="Arial" charset="0"/>
              </a:rPr>
              <a:t>V</a:t>
            </a:r>
          </a:p>
        </xdr:txBody>
      </xdr:sp>
      <xdr:sp macro="" textlink="">
        <xdr:nvSpPr>
          <xdr:cNvPr id="23" name="Line 91"/>
          <xdr:cNvSpPr>
            <a:spLocks noChangeShapeType="1"/>
          </xdr:cNvSpPr>
        </xdr:nvSpPr>
        <xdr:spPr bwMode="auto">
          <a:xfrm flipV="1">
            <a:off x="4694" y="1253"/>
            <a:ext cx="318" cy="181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  <xdr:sp macro="" textlink="">
        <xdr:nvSpPr>
          <xdr:cNvPr id="24" name="Text Box 92"/>
          <xdr:cNvSpPr txBox="1">
            <a:spLocks noChangeArrowheads="1"/>
          </xdr:cNvSpPr>
        </xdr:nvSpPr>
        <xdr:spPr bwMode="auto">
          <a:xfrm>
            <a:off x="4876" y="1117"/>
            <a:ext cx="1088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spcBef>
                <a:spcPct val="50000"/>
              </a:spcBef>
              <a:defRPr/>
            </a:pPr>
            <a:r>
              <a:rPr lang="it-IT" sz="1200" b="1">
                <a:latin typeface="+mj-lt"/>
                <a:cs typeface="Arial" charset="0"/>
              </a:rPr>
              <a:t>Copriferro laterale</a:t>
            </a:r>
          </a:p>
        </xdr:txBody>
      </xdr:sp>
      <xdr:sp macro="" textlink="">
        <xdr:nvSpPr>
          <xdr:cNvPr id="25" name="Text Box 93"/>
          <xdr:cNvSpPr txBox="1">
            <a:spLocks noChangeArrowheads="1"/>
          </xdr:cNvSpPr>
        </xdr:nvSpPr>
        <xdr:spPr bwMode="auto">
          <a:xfrm>
            <a:off x="4740" y="1616"/>
            <a:ext cx="1179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spcBef>
                <a:spcPct val="50000"/>
              </a:spcBef>
              <a:defRPr/>
            </a:pPr>
            <a:r>
              <a:rPr lang="it-IT" sz="1200" b="1">
                <a:latin typeface="+mj-lt"/>
                <a:cs typeface="Arial" charset="0"/>
              </a:rPr>
              <a:t>Copriferro inferiore</a:t>
            </a:r>
          </a:p>
        </xdr:txBody>
      </xdr:sp>
      <xdr:sp macro="" textlink="">
        <xdr:nvSpPr>
          <xdr:cNvPr id="26" name="Line 94"/>
          <xdr:cNvSpPr>
            <a:spLocks noChangeShapeType="1"/>
          </xdr:cNvSpPr>
        </xdr:nvSpPr>
        <xdr:spPr bwMode="auto">
          <a:xfrm>
            <a:off x="4468" y="1616"/>
            <a:ext cx="317" cy="9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>
              <a:defRPr/>
            </a:pPr>
            <a:endParaRPr lang="it-IT">
              <a:latin typeface="+mj-lt"/>
              <a:cs typeface="Arial" charset="0"/>
            </a:endParaRPr>
          </a:p>
        </xdr:txBody>
      </xdr:sp>
    </xdr:grpSp>
    <xdr:clientData/>
  </xdr:twoCellAnchor>
  <xdr:twoCellAnchor>
    <xdr:from>
      <xdr:col>11</xdr:col>
      <xdr:colOff>714377</xdr:colOff>
      <xdr:row>51</xdr:row>
      <xdr:rowOff>180976</xdr:rowOff>
    </xdr:from>
    <xdr:to>
      <xdr:col>12</xdr:col>
      <xdr:colOff>161925</xdr:colOff>
      <xdr:row>58</xdr:row>
      <xdr:rowOff>142876</xdr:rowOff>
    </xdr:to>
    <xdr:grpSp>
      <xdr:nvGrpSpPr>
        <xdr:cNvPr id="27" name="Group 67"/>
        <xdr:cNvGrpSpPr>
          <a:grpSpLocks/>
        </xdr:cNvGrpSpPr>
      </xdr:nvGrpSpPr>
      <xdr:grpSpPr bwMode="auto">
        <a:xfrm>
          <a:off x="8924927" y="9953626"/>
          <a:ext cx="1095373" cy="1295400"/>
          <a:chOff x="2336" y="790"/>
          <a:chExt cx="1389" cy="2074"/>
        </a:xfrm>
      </xdr:grpSpPr>
      <xdr:sp macro="" textlink="">
        <xdr:nvSpPr>
          <xdr:cNvPr id="28" name="Cubo 27"/>
          <xdr:cNvSpPr/>
        </xdr:nvSpPr>
        <xdr:spPr>
          <a:xfrm>
            <a:off x="2336" y="1491"/>
            <a:ext cx="1069" cy="1373"/>
          </a:xfrm>
          <a:prstGeom prst="cub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sp macro="" textlink="">
        <xdr:nvSpPr>
          <xdr:cNvPr id="29" name="Cilindro 28"/>
          <xdr:cNvSpPr/>
        </xdr:nvSpPr>
        <xdr:spPr>
          <a:xfrm>
            <a:off x="3100" y="1224"/>
            <a:ext cx="38" cy="419"/>
          </a:xfrm>
          <a:prstGeom prst="can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cxnSp macro="">
        <xdr:nvCxnSpPr>
          <xdr:cNvPr id="30" name="Connettore 2 29"/>
          <xdr:cNvCxnSpPr/>
        </xdr:nvCxnSpPr>
        <xdr:spPr>
          <a:xfrm flipH="1">
            <a:off x="3152" y="1253"/>
            <a:ext cx="573" cy="1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CasellaDiTesto 11"/>
          <xdr:cNvSpPr txBox="1">
            <a:spLocks noChangeArrowheads="1"/>
          </xdr:cNvSpPr>
        </xdr:nvSpPr>
        <xdr:spPr bwMode="auto">
          <a:xfrm>
            <a:off x="3368" y="790"/>
            <a:ext cx="344" cy="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FF0000"/>
                </a:solidFill>
                <a:latin typeface="Lucida Fax" panose="02060602050505020204" pitchFamily="18" charset="0"/>
              </a:rPr>
              <a:t>V</a:t>
            </a:r>
          </a:p>
        </xdr:txBody>
      </xdr:sp>
      <xdr:sp macro="" textlink="">
        <xdr:nvSpPr>
          <xdr:cNvPr id="32" name="Line 64"/>
          <xdr:cNvSpPr>
            <a:spLocks noChangeShapeType="1"/>
          </xdr:cNvSpPr>
        </xdr:nvSpPr>
        <xdr:spPr bwMode="auto">
          <a:xfrm>
            <a:off x="3379" y="1253"/>
            <a:ext cx="0" cy="408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  <xdr:sp macro="" textlink="">
        <xdr:nvSpPr>
          <xdr:cNvPr id="33" name="Line 65"/>
          <xdr:cNvSpPr>
            <a:spLocks noChangeShapeType="1"/>
          </xdr:cNvSpPr>
        </xdr:nvSpPr>
        <xdr:spPr bwMode="auto">
          <a:xfrm flipH="1">
            <a:off x="3198" y="1616"/>
            <a:ext cx="272" cy="0"/>
          </a:xfrm>
          <a:prstGeom prst="line">
            <a:avLst/>
          </a:pr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  <xdr:sp macro="" textlink="">
        <xdr:nvSpPr>
          <xdr:cNvPr id="34" name="CasellaDiTesto 11"/>
          <xdr:cNvSpPr txBox="1">
            <a:spLocks noChangeArrowheads="1"/>
          </xdr:cNvSpPr>
        </xdr:nvSpPr>
        <xdr:spPr bwMode="auto">
          <a:xfrm>
            <a:off x="3379" y="1344"/>
            <a:ext cx="261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latin typeface="Lucida Fax" panose="02060602050505020204" pitchFamily="18" charset="0"/>
              </a:rPr>
              <a:t>e</a:t>
            </a:r>
          </a:p>
        </xdr:txBody>
      </xdr:sp>
    </xdr:grpSp>
    <xdr:clientData/>
  </xdr:twoCellAnchor>
  <xdr:twoCellAnchor>
    <xdr:from>
      <xdr:col>11</xdr:col>
      <xdr:colOff>685805</xdr:colOff>
      <xdr:row>58</xdr:row>
      <xdr:rowOff>142875</xdr:rowOff>
    </xdr:from>
    <xdr:to>
      <xdr:col>12</xdr:col>
      <xdr:colOff>247650</xdr:colOff>
      <xdr:row>66</xdr:row>
      <xdr:rowOff>85724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8896355" y="11249025"/>
          <a:ext cx="1209670" cy="1466849"/>
          <a:chOff x="2336" y="1162"/>
          <a:chExt cx="1460" cy="2335"/>
        </a:xfrm>
      </xdr:grpSpPr>
      <xdr:sp macro="" textlink="">
        <xdr:nvSpPr>
          <xdr:cNvPr id="36" name="Cubo 35"/>
          <xdr:cNvSpPr/>
        </xdr:nvSpPr>
        <xdr:spPr>
          <a:xfrm>
            <a:off x="2336" y="2124"/>
            <a:ext cx="1069" cy="1373"/>
          </a:xfrm>
          <a:prstGeom prst="cub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sp macro="" textlink="">
        <xdr:nvSpPr>
          <xdr:cNvPr id="37" name="Cilindro 36"/>
          <xdr:cNvSpPr/>
        </xdr:nvSpPr>
        <xdr:spPr>
          <a:xfrm>
            <a:off x="3100" y="1857"/>
            <a:ext cx="38" cy="419"/>
          </a:xfrm>
          <a:prstGeom prst="can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cxnSp macro="">
        <xdr:nvCxnSpPr>
          <xdr:cNvPr id="38" name="Connettore 2 37"/>
          <xdr:cNvCxnSpPr/>
        </xdr:nvCxnSpPr>
        <xdr:spPr>
          <a:xfrm flipH="1">
            <a:off x="3152" y="2251"/>
            <a:ext cx="573" cy="1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CasellaDiTesto 11"/>
          <xdr:cNvSpPr txBox="1">
            <a:spLocks noChangeArrowheads="1"/>
          </xdr:cNvSpPr>
        </xdr:nvSpPr>
        <xdr:spPr bwMode="auto">
          <a:xfrm>
            <a:off x="3452" y="2274"/>
            <a:ext cx="344" cy="7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FF0000"/>
                </a:solidFill>
                <a:latin typeface="Lucida Fax" panose="02060602050505020204" pitchFamily="18" charset="0"/>
              </a:rPr>
              <a:t>V</a:t>
            </a:r>
          </a:p>
        </xdr:txBody>
      </xdr:sp>
      <xdr:sp macro="" textlink="">
        <xdr:nvSpPr>
          <xdr:cNvPr id="40" name="Line 29"/>
          <xdr:cNvSpPr>
            <a:spLocks noChangeShapeType="1"/>
          </xdr:cNvSpPr>
        </xdr:nvSpPr>
        <xdr:spPr bwMode="auto">
          <a:xfrm flipV="1">
            <a:off x="3115" y="1253"/>
            <a:ext cx="0" cy="499"/>
          </a:xfrm>
          <a:prstGeom prst="line">
            <a:avLst/>
          </a:prstGeom>
          <a:noFill/>
          <a:ln w="34925">
            <a:solidFill>
              <a:srgbClr val="000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  <xdr:sp macro="" textlink="">
        <xdr:nvSpPr>
          <xdr:cNvPr id="41" name="CasellaDiTesto 11"/>
          <xdr:cNvSpPr txBox="1">
            <a:spLocks noChangeArrowheads="1"/>
          </xdr:cNvSpPr>
        </xdr:nvSpPr>
        <xdr:spPr bwMode="auto">
          <a:xfrm>
            <a:off x="3161" y="1162"/>
            <a:ext cx="344" cy="7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000096"/>
                </a:solidFill>
                <a:latin typeface="Lucida Fax" panose="02060602050505020204" pitchFamily="18" charset="0"/>
              </a:rPr>
              <a:t>T</a:t>
            </a:r>
          </a:p>
        </xdr:txBody>
      </xdr:sp>
    </xdr:grpSp>
    <xdr:clientData/>
  </xdr:twoCellAnchor>
  <xdr:twoCellAnchor>
    <xdr:from>
      <xdr:col>11</xdr:col>
      <xdr:colOff>695326</xdr:colOff>
      <xdr:row>75</xdr:row>
      <xdr:rowOff>104775</xdr:rowOff>
    </xdr:from>
    <xdr:to>
      <xdr:col>11</xdr:col>
      <xdr:colOff>1638300</xdr:colOff>
      <xdr:row>82</xdr:row>
      <xdr:rowOff>39685</xdr:rowOff>
    </xdr:to>
    <xdr:grpSp>
      <xdr:nvGrpSpPr>
        <xdr:cNvPr id="42" name="Group 30"/>
        <xdr:cNvGrpSpPr>
          <a:grpSpLocks/>
        </xdr:cNvGrpSpPr>
      </xdr:nvGrpSpPr>
      <xdr:grpSpPr bwMode="auto">
        <a:xfrm>
          <a:off x="8905876" y="14382750"/>
          <a:ext cx="942974" cy="1268410"/>
          <a:chOff x="2381" y="1387"/>
          <a:chExt cx="1035" cy="1984"/>
        </a:xfrm>
      </xdr:grpSpPr>
      <xdr:sp macro="" textlink="">
        <xdr:nvSpPr>
          <xdr:cNvPr id="43" name="Cubo 42"/>
          <xdr:cNvSpPr/>
        </xdr:nvSpPr>
        <xdr:spPr>
          <a:xfrm>
            <a:off x="2381" y="2061"/>
            <a:ext cx="1035" cy="1310"/>
          </a:xfrm>
          <a:prstGeom prst="cub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sp macro="" textlink="">
        <xdr:nvSpPr>
          <xdr:cNvPr id="44" name="Cilindro 43"/>
          <xdr:cNvSpPr/>
        </xdr:nvSpPr>
        <xdr:spPr>
          <a:xfrm>
            <a:off x="3016" y="1797"/>
            <a:ext cx="37" cy="400"/>
          </a:xfrm>
          <a:prstGeom prst="can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cxnSp macro="">
        <xdr:nvCxnSpPr>
          <xdr:cNvPr id="45" name="Connettore 2 44"/>
          <xdr:cNvCxnSpPr/>
        </xdr:nvCxnSpPr>
        <xdr:spPr>
          <a:xfrm>
            <a:off x="2388" y="1869"/>
            <a:ext cx="517" cy="1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CasellaDiTesto 17"/>
          <xdr:cNvSpPr txBox="1">
            <a:spLocks noChangeArrowheads="1"/>
          </xdr:cNvSpPr>
        </xdr:nvSpPr>
        <xdr:spPr bwMode="auto">
          <a:xfrm>
            <a:off x="2402" y="1387"/>
            <a:ext cx="332" cy="4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FF0000"/>
                </a:solidFill>
                <a:latin typeface="Lucida Fax" panose="02060602050505020204" pitchFamily="18" charset="0"/>
              </a:rPr>
              <a:t>V</a:t>
            </a:r>
          </a:p>
        </xdr:txBody>
      </xdr:sp>
      <xdr:sp macro="" textlink="">
        <xdr:nvSpPr>
          <xdr:cNvPr id="47" name="Freeform 35"/>
          <xdr:cNvSpPr>
            <a:spLocks/>
          </xdr:cNvSpPr>
        </xdr:nvSpPr>
        <xdr:spPr bwMode="auto">
          <a:xfrm>
            <a:off x="2927" y="2193"/>
            <a:ext cx="94" cy="525"/>
          </a:xfrm>
          <a:custGeom>
            <a:avLst/>
            <a:gdLst>
              <a:gd name="T0" fmla="*/ 85 w 94"/>
              <a:gd name="T1" fmla="*/ 0 h 525"/>
              <a:gd name="T2" fmla="*/ 94 w 94"/>
              <a:gd name="T3" fmla="*/ 54 h 525"/>
              <a:gd name="T4" fmla="*/ 67 w 94"/>
              <a:gd name="T5" fmla="*/ 87 h 525"/>
              <a:gd name="T6" fmla="*/ 34 w 94"/>
              <a:gd name="T7" fmla="*/ 99 h 525"/>
              <a:gd name="T8" fmla="*/ 37 w 94"/>
              <a:gd name="T9" fmla="*/ 123 h 525"/>
              <a:gd name="T10" fmla="*/ 28 w 94"/>
              <a:gd name="T11" fmla="*/ 126 h 525"/>
              <a:gd name="T12" fmla="*/ 10 w 94"/>
              <a:gd name="T13" fmla="*/ 138 h 525"/>
              <a:gd name="T14" fmla="*/ 25 w 94"/>
              <a:gd name="T15" fmla="*/ 162 h 525"/>
              <a:gd name="T16" fmla="*/ 22 w 94"/>
              <a:gd name="T17" fmla="*/ 189 h 525"/>
              <a:gd name="T18" fmla="*/ 4 w 94"/>
              <a:gd name="T19" fmla="*/ 207 h 525"/>
              <a:gd name="T20" fmla="*/ 13 w 94"/>
              <a:gd name="T21" fmla="*/ 228 h 525"/>
              <a:gd name="T22" fmla="*/ 19 w 94"/>
              <a:gd name="T23" fmla="*/ 246 h 525"/>
              <a:gd name="T24" fmla="*/ 10 w 94"/>
              <a:gd name="T25" fmla="*/ 267 h 525"/>
              <a:gd name="T26" fmla="*/ 19 w 94"/>
              <a:gd name="T27" fmla="*/ 285 h 525"/>
              <a:gd name="T28" fmla="*/ 25 w 94"/>
              <a:gd name="T29" fmla="*/ 318 h 525"/>
              <a:gd name="T30" fmla="*/ 13 w 94"/>
              <a:gd name="T31" fmla="*/ 336 h 525"/>
              <a:gd name="T32" fmla="*/ 7 w 94"/>
              <a:gd name="T33" fmla="*/ 345 h 525"/>
              <a:gd name="T34" fmla="*/ 31 w 94"/>
              <a:gd name="T35" fmla="*/ 369 h 525"/>
              <a:gd name="T36" fmla="*/ 4 w 94"/>
              <a:gd name="T37" fmla="*/ 408 h 525"/>
              <a:gd name="T38" fmla="*/ 7 w 94"/>
              <a:gd name="T39" fmla="*/ 450 h 525"/>
              <a:gd name="T40" fmla="*/ 19 w 94"/>
              <a:gd name="T41" fmla="*/ 468 h 525"/>
              <a:gd name="T42" fmla="*/ 7 w 94"/>
              <a:gd name="T43" fmla="*/ 525 h 525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94"/>
              <a:gd name="T67" fmla="*/ 0 h 525"/>
              <a:gd name="T68" fmla="*/ 94 w 94"/>
              <a:gd name="T69" fmla="*/ 525 h 525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94" h="525">
                <a:moveTo>
                  <a:pt x="85" y="0"/>
                </a:moveTo>
                <a:cubicBezTo>
                  <a:pt x="87" y="18"/>
                  <a:pt x="90" y="36"/>
                  <a:pt x="94" y="54"/>
                </a:cubicBezTo>
                <a:cubicBezTo>
                  <a:pt x="65" y="57"/>
                  <a:pt x="48" y="59"/>
                  <a:pt x="67" y="87"/>
                </a:cubicBezTo>
                <a:cubicBezTo>
                  <a:pt x="56" y="94"/>
                  <a:pt x="46" y="95"/>
                  <a:pt x="34" y="99"/>
                </a:cubicBezTo>
                <a:cubicBezTo>
                  <a:pt x="40" y="108"/>
                  <a:pt x="45" y="111"/>
                  <a:pt x="37" y="123"/>
                </a:cubicBezTo>
                <a:cubicBezTo>
                  <a:pt x="35" y="126"/>
                  <a:pt x="31" y="124"/>
                  <a:pt x="28" y="126"/>
                </a:cubicBezTo>
                <a:cubicBezTo>
                  <a:pt x="22" y="130"/>
                  <a:pt x="10" y="138"/>
                  <a:pt x="10" y="138"/>
                </a:cubicBezTo>
                <a:cubicBezTo>
                  <a:pt x="5" y="152"/>
                  <a:pt x="14" y="155"/>
                  <a:pt x="25" y="162"/>
                </a:cubicBezTo>
                <a:cubicBezTo>
                  <a:pt x="32" y="173"/>
                  <a:pt x="31" y="179"/>
                  <a:pt x="22" y="189"/>
                </a:cubicBezTo>
                <a:cubicBezTo>
                  <a:pt x="16" y="195"/>
                  <a:pt x="4" y="207"/>
                  <a:pt x="4" y="207"/>
                </a:cubicBezTo>
                <a:cubicBezTo>
                  <a:pt x="12" y="239"/>
                  <a:pt x="1" y="201"/>
                  <a:pt x="13" y="228"/>
                </a:cubicBezTo>
                <a:cubicBezTo>
                  <a:pt x="16" y="234"/>
                  <a:pt x="19" y="246"/>
                  <a:pt x="19" y="246"/>
                </a:cubicBezTo>
                <a:cubicBezTo>
                  <a:pt x="17" y="253"/>
                  <a:pt x="10" y="259"/>
                  <a:pt x="10" y="267"/>
                </a:cubicBezTo>
                <a:cubicBezTo>
                  <a:pt x="10" y="274"/>
                  <a:pt x="17" y="279"/>
                  <a:pt x="19" y="285"/>
                </a:cubicBezTo>
                <a:cubicBezTo>
                  <a:pt x="15" y="300"/>
                  <a:pt x="17" y="306"/>
                  <a:pt x="25" y="318"/>
                </a:cubicBezTo>
                <a:cubicBezTo>
                  <a:pt x="21" y="324"/>
                  <a:pt x="17" y="330"/>
                  <a:pt x="13" y="336"/>
                </a:cubicBezTo>
                <a:cubicBezTo>
                  <a:pt x="11" y="339"/>
                  <a:pt x="7" y="345"/>
                  <a:pt x="7" y="345"/>
                </a:cubicBezTo>
                <a:cubicBezTo>
                  <a:pt x="11" y="365"/>
                  <a:pt x="14" y="360"/>
                  <a:pt x="31" y="369"/>
                </a:cubicBezTo>
                <a:cubicBezTo>
                  <a:pt x="42" y="386"/>
                  <a:pt x="18" y="398"/>
                  <a:pt x="4" y="408"/>
                </a:cubicBezTo>
                <a:cubicBezTo>
                  <a:pt x="0" y="421"/>
                  <a:pt x="0" y="437"/>
                  <a:pt x="7" y="450"/>
                </a:cubicBezTo>
                <a:cubicBezTo>
                  <a:pt x="11" y="456"/>
                  <a:pt x="19" y="468"/>
                  <a:pt x="19" y="468"/>
                </a:cubicBezTo>
                <a:cubicBezTo>
                  <a:pt x="9" y="499"/>
                  <a:pt x="7" y="472"/>
                  <a:pt x="7" y="525"/>
                </a:cubicBezTo>
              </a:path>
            </a:pathLst>
          </a:custGeom>
          <a:noFill/>
          <a:ln w="19050">
            <a:solidFill>
              <a:srgbClr val="33333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  <xdr:sp macro="" textlink="">
        <xdr:nvSpPr>
          <xdr:cNvPr id="48" name="Freeform 36"/>
          <xdr:cNvSpPr>
            <a:spLocks/>
          </xdr:cNvSpPr>
        </xdr:nvSpPr>
        <xdr:spPr bwMode="auto">
          <a:xfrm>
            <a:off x="3060" y="2046"/>
            <a:ext cx="87" cy="114"/>
          </a:xfrm>
          <a:custGeom>
            <a:avLst/>
            <a:gdLst>
              <a:gd name="T0" fmla="*/ 0 w 87"/>
              <a:gd name="T1" fmla="*/ 114 h 114"/>
              <a:gd name="T2" fmla="*/ 12 w 87"/>
              <a:gd name="T3" fmla="*/ 99 h 114"/>
              <a:gd name="T4" fmla="*/ 24 w 87"/>
              <a:gd name="T5" fmla="*/ 81 h 114"/>
              <a:gd name="T6" fmla="*/ 18 w 87"/>
              <a:gd name="T7" fmla="*/ 66 h 114"/>
              <a:gd name="T8" fmla="*/ 54 w 87"/>
              <a:gd name="T9" fmla="*/ 57 h 114"/>
              <a:gd name="T10" fmla="*/ 72 w 87"/>
              <a:gd name="T11" fmla="*/ 27 h 114"/>
              <a:gd name="T12" fmla="*/ 87 w 87"/>
              <a:gd name="T13" fmla="*/ 0 h 11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87"/>
              <a:gd name="T22" fmla="*/ 0 h 114"/>
              <a:gd name="T23" fmla="*/ 87 w 87"/>
              <a:gd name="T24" fmla="*/ 114 h 11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87" h="114">
                <a:moveTo>
                  <a:pt x="0" y="114"/>
                </a:moveTo>
                <a:cubicBezTo>
                  <a:pt x="17" y="103"/>
                  <a:pt x="3" y="114"/>
                  <a:pt x="12" y="99"/>
                </a:cubicBezTo>
                <a:cubicBezTo>
                  <a:pt x="16" y="93"/>
                  <a:pt x="24" y="81"/>
                  <a:pt x="24" y="81"/>
                </a:cubicBezTo>
                <a:cubicBezTo>
                  <a:pt x="14" y="78"/>
                  <a:pt x="1" y="72"/>
                  <a:pt x="18" y="66"/>
                </a:cubicBezTo>
                <a:cubicBezTo>
                  <a:pt x="33" y="71"/>
                  <a:pt x="45" y="71"/>
                  <a:pt x="54" y="57"/>
                </a:cubicBezTo>
                <a:cubicBezTo>
                  <a:pt x="50" y="13"/>
                  <a:pt x="46" y="34"/>
                  <a:pt x="72" y="27"/>
                </a:cubicBezTo>
                <a:cubicBezTo>
                  <a:pt x="81" y="14"/>
                  <a:pt x="87" y="16"/>
                  <a:pt x="87" y="0"/>
                </a:cubicBezTo>
              </a:path>
            </a:pathLst>
          </a:custGeom>
          <a:noFill/>
          <a:ln w="19050">
            <a:solidFill>
              <a:srgbClr val="33333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</xdr:grpSp>
    <xdr:clientData/>
  </xdr:twoCellAnchor>
  <xdr:twoCellAnchor>
    <xdr:from>
      <xdr:col>11</xdr:col>
      <xdr:colOff>686011</xdr:colOff>
      <xdr:row>67</xdr:row>
      <xdr:rowOff>19050</xdr:rowOff>
    </xdr:from>
    <xdr:to>
      <xdr:col>11</xdr:col>
      <xdr:colOff>1609725</xdr:colOff>
      <xdr:row>74</xdr:row>
      <xdr:rowOff>60825</xdr:rowOff>
    </xdr:to>
    <xdr:grpSp>
      <xdr:nvGrpSpPr>
        <xdr:cNvPr id="49" name="Group 36"/>
        <xdr:cNvGrpSpPr>
          <a:grpSpLocks/>
        </xdr:cNvGrpSpPr>
      </xdr:nvGrpSpPr>
      <xdr:grpSpPr bwMode="auto">
        <a:xfrm>
          <a:off x="8896561" y="12839700"/>
          <a:ext cx="923714" cy="1308600"/>
          <a:chOff x="2313" y="861"/>
          <a:chExt cx="1058" cy="2066"/>
        </a:xfrm>
      </xdr:grpSpPr>
      <xdr:sp macro="" textlink="">
        <xdr:nvSpPr>
          <xdr:cNvPr id="50" name="Cubo 49"/>
          <xdr:cNvSpPr/>
        </xdr:nvSpPr>
        <xdr:spPr>
          <a:xfrm>
            <a:off x="2336" y="1617"/>
            <a:ext cx="1035" cy="1310"/>
          </a:xfrm>
          <a:prstGeom prst="cub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sp macro="" textlink="">
        <xdr:nvSpPr>
          <xdr:cNvPr id="51" name="Cilindro 50"/>
          <xdr:cNvSpPr/>
        </xdr:nvSpPr>
        <xdr:spPr>
          <a:xfrm>
            <a:off x="2971" y="1353"/>
            <a:ext cx="37" cy="400"/>
          </a:xfrm>
          <a:prstGeom prst="can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cxnSp macro="">
        <xdr:nvCxnSpPr>
          <xdr:cNvPr id="52" name="Connettore 2 51"/>
          <xdr:cNvCxnSpPr/>
        </xdr:nvCxnSpPr>
        <xdr:spPr>
          <a:xfrm>
            <a:off x="2343" y="1425"/>
            <a:ext cx="517" cy="1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CasellaDiTesto 17"/>
          <xdr:cNvSpPr txBox="1">
            <a:spLocks noChangeArrowheads="1"/>
          </xdr:cNvSpPr>
        </xdr:nvSpPr>
        <xdr:spPr bwMode="auto">
          <a:xfrm>
            <a:off x="2313" y="861"/>
            <a:ext cx="332" cy="4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FF0000"/>
                </a:solidFill>
                <a:latin typeface="Lucida Fax" panose="02060602050505020204" pitchFamily="18" charset="0"/>
              </a:rPr>
              <a:t>V</a:t>
            </a:r>
          </a:p>
        </xdr:txBody>
      </xdr:sp>
      <xdr:sp macro="" textlink="">
        <xdr:nvSpPr>
          <xdr:cNvPr id="54" name="Freeform 41"/>
          <xdr:cNvSpPr>
            <a:spLocks/>
          </xdr:cNvSpPr>
        </xdr:nvSpPr>
        <xdr:spPr bwMode="auto">
          <a:xfrm>
            <a:off x="3008" y="1728"/>
            <a:ext cx="216" cy="48"/>
          </a:xfrm>
          <a:custGeom>
            <a:avLst/>
            <a:gdLst>
              <a:gd name="T0" fmla="*/ 0 w 216"/>
              <a:gd name="T1" fmla="*/ 20 h 48"/>
              <a:gd name="T2" fmla="*/ 36 w 216"/>
              <a:gd name="T3" fmla="*/ 0 h 48"/>
              <a:gd name="T4" fmla="*/ 48 w 216"/>
              <a:gd name="T5" fmla="*/ 4 h 48"/>
              <a:gd name="T6" fmla="*/ 56 w 216"/>
              <a:gd name="T7" fmla="*/ 28 h 48"/>
              <a:gd name="T8" fmla="*/ 104 w 216"/>
              <a:gd name="T9" fmla="*/ 12 h 48"/>
              <a:gd name="T10" fmla="*/ 136 w 216"/>
              <a:gd name="T11" fmla="*/ 32 h 48"/>
              <a:gd name="T12" fmla="*/ 152 w 216"/>
              <a:gd name="T13" fmla="*/ 24 h 48"/>
              <a:gd name="T14" fmla="*/ 168 w 216"/>
              <a:gd name="T15" fmla="*/ 48 h 48"/>
              <a:gd name="T16" fmla="*/ 216 w 216"/>
              <a:gd name="T17" fmla="*/ 32 h 4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16"/>
              <a:gd name="T28" fmla="*/ 0 h 48"/>
              <a:gd name="T29" fmla="*/ 216 w 216"/>
              <a:gd name="T30" fmla="*/ 48 h 4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16" h="48">
                <a:moveTo>
                  <a:pt x="0" y="20"/>
                </a:moveTo>
                <a:cubicBezTo>
                  <a:pt x="28" y="2"/>
                  <a:pt x="15" y="7"/>
                  <a:pt x="36" y="0"/>
                </a:cubicBezTo>
                <a:cubicBezTo>
                  <a:pt x="40" y="1"/>
                  <a:pt x="46" y="1"/>
                  <a:pt x="48" y="4"/>
                </a:cubicBezTo>
                <a:cubicBezTo>
                  <a:pt x="53" y="11"/>
                  <a:pt x="56" y="28"/>
                  <a:pt x="56" y="28"/>
                </a:cubicBezTo>
                <a:cubicBezTo>
                  <a:pt x="74" y="24"/>
                  <a:pt x="88" y="22"/>
                  <a:pt x="104" y="12"/>
                </a:cubicBezTo>
                <a:cubicBezTo>
                  <a:pt x="132" y="19"/>
                  <a:pt x="112" y="24"/>
                  <a:pt x="136" y="32"/>
                </a:cubicBezTo>
                <a:cubicBezTo>
                  <a:pt x="141" y="29"/>
                  <a:pt x="147" y="21"/>
                  <a:pt x="152" y="24"/>
                </a:cubicBezTo>
                <a:cubicBezTo>
                  <a:pt x="161" y="28"/>
                  <a:pt x="168" y="48"/>
                  <a:pt x="168" y="48"/>
                </a:cubicBezTo>
                <a:cubicBezTo>
                  <a:pt x="186" y="42"/>
                  <a:pt x="196" y="32"/>
                  <a:pt x="216" y="32"/>
                </a:cubicBezTo>
              </a:path>
            </a:pathLst>
          </a:cu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  <xdr:sp macro="" textlink="">
        <xdr:nvSpPr>
          <xdr:cNvPr id="55" name="Freeform 42"/>
          <xdr:cNvSpPr>
            <a:spLocks/>
          </xdr:cNvSpPr>
        </xdr:nvSpPr>
        <xdr:spPr bwMode="auto">
          <a:xfrm>
            <a:off x="3219" y="1758"/>
            <a:ext cx="55" cy="447"/>
          </a:xfrm>
          <a:custGeom>
            <a:avLst/>
            <a:gdLst>
              <a:gd name="T0" fmla="*/ 6 w 55"/>
              <a:gd name="T1" fmla="*/ 0 h 315"/>
              <a:gd name="T2" fmla="*/ 3 w 55"/>
              <a:gd name="T3" fmla="*/ 10859 h 315"/>
              <a:gd name="T4" fmla="*/ 33 w 55"/>
              <a:gd name="T5" fmla="*/ 10345 h 315"/>
              <a:gd name="T6" fmla="*/ 15 w 55"/>
              <a:gd name="T7" fmla="*/ 19432 h 315"/>
              <a:gd name="T8" fmla="*/ 42 w 55"/>
              <a:gd name="T9" fmla="*/ 22767 h 315"/>
              <a:gd name="T10" fmla="*/ 21 w 55"/>
              <a:gd name="T11" fmla="*/ 34233 h 315"/>
              <a:gd name="T12" fmla="*/ 42 w 55"/>
              <a:gd name="T13" fmla="*/ 41717 h 315"/>
              <a:gd name="T14" fmla="*/ 39 w 55"/>
              <a:gd name="T15" fmla="*/ 56025 h 315"/>
              <a:gd name="T16" fmla="*/ 36 w 55"/>
              <a:gd name="T17" fmla="*/ 59982 h 3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5"/>
              <a:gd name="T28" fmla="*/ 0 h 315"/>
              <a:gd name="T29" fmla="*/ 55 w 55"/>
              <a:gd name="T30" fmla="*/ 315 h 31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5" h="315">
                <a:moveTo>
                  <a:pt x="6" y="0"/>
                </a:moveTo>
                <a:cubicBezTo>
                  <a:pt x="3" y="21"/>
                  <a:pt x="0" y="36"/>
                  <a:pt x="3" y="57"/>
                </a:cubicBezTo>
                <a:cubicBezTo>
                  <a:pt x="25" y="50"/>
                  <a:pt x="15" y="49"/>
                  <a:pt x="33" y="54"/>
                </a:cubicBezTo>
                <a:cubicBezTo>
                  <a:pt x="29" y="71"/>
                  <a:pt x="25" y="87"/>
                  <a:pt x="15" y="102"/>
                </a:cubicBezTo>
                <a:cubicBezTo>
                  <a:pt x="30" y="107"/>
                  <a:pt x="55" y="100"/>
                  <a:pt x="42" y="120"/>
                </a:cubicBezTo>
                <a:cubicBezTo>
                  <a:pt x="37" y="144"/>
                  <a:pt x="35" y="159"/>
                  <a:pt x="21" y="180"/>
                </a:cubicBezTo>
                <a:cubicBezTo>
                  <a:pt x="34" y="193"/>
                  <a:pt x="38" y="202"/>
                  <a:pt x="42" y="219"/>
                </a:cubicBezTo>
                <a:cubicBezTo>
                  <a:pt x="38" y="250"/>
                  <a:pt x="36" y="260"/>
                  <a:pt x="39" y="294"/>
                </a:cubicBezTo>
                <a:cubicBezTo>
                  <a:pt x="36" y="313"/>
                  <a:pt x="36" y="306"/>
                  <a:pt x="36" y="315"/>
                </a:cubicBezTo>
              </a:path>
            </a:pathLst>
          </a:custGeom>
          <a:noFill/>
          <a:ln w="19050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endParaRPr lang="it-IT"/>
          </a:p>
        </xdr:txBody>
      </xdr:sp>
    </xdr:grpSp>
    <xdr:clientData/>
  </xdr:twoCellAnchor>
  <xdr:twoCellAnchor>
    <xdr:from>
      <xdr:col>11</xdr:col>
      <xdr:colOff>733425</xdr:colOff>
      <xdr:row>46</xdr:row>
      <xdr:rowOff>28817</xdr:rowOff>
    </xdr:from>
    <xdr:to>
      <xdr:col>12</xdr:col>
      <xdr:colOff>165600</xdr:colOff>
      <xdr:row>51</xdr:row>
      <xdr:rowOff>156317</xdr:rowOff>
    </xdr:to>
    <xdr:grpSp>
      <xdr:nvGrpSpPr>
        <xdr:cNvPr id="57" name="Group 67"/>
        <xdr:cNvGrpSpPr>
          <a:grpSpLocks/>
        </xdr:cNvGrpSpPr>
      </xdr:nvGrpSpPr>
      <xdr:grpSpPr bwMode="auto">
        <a:xfrm>
          <a:off x="8943975" y="8848967"/>
          <a:ext cx="1080000" cy="1080000"/>
          <a:chOff x="2336" y="1038"/>
          <a:chExt cx="1400" cy="1826"/>
        </a:xfrm>
      </xdr:grpSpPr>
      <xdr:sp macro="" textlink="">
        <xdr:nvSpPr>
          <xdr:cNvPr id="58" name="Cubo 57"/>
          <xdr:cNvSpPr/>
        </xdr:nvSpPr>
        <xdr:spPr>
          <a:xfrm>
            <a:off x="2336" y="1491"/>
            <a:ext cx="1069" cy="1373"/>
          </a:xfrm>
          <a:prstGeom prst="cub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sp macro="" textlink="">
        <xdr:nvSpPr>
          <xdr:cNvPr id="59" name="Cilindro 58"/>
          <xdr:cNvSpPr/>
        </xdr:nvSpPr>
        <xdr:spPr>
          <a:xfrm>
            <a:off x="3100" y="1224"/>
            <a:ext cx="38" cy="419"/>
          </a:xfrm>
          <a:prstGeom prst="can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cxnSp macro="">
        <xdr:nvCxnSpPr>
          <xdr:cNvPr id="60" name="Connettore 2 59"/>
          <xdr:cNvCxnSpPr/>
        </xdr:nvCxnSpPr>
        <xdr:spPr>
          <a:xfrm flipH="1">
            <a:off x="3163" y="1563"/>
            <a:ext cx="573" cy="1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CasellaDiTesto 11"/>
          <xdr:cNvSpPr txBox="1">
            <a:spLocks noChangeArrowheads="1"/>
          </xdr:cNvSpPr>
        </xdr:nvSpPr>
        <xdr:spPr bwMode="auto">
          <a:xfrm>
            <a:off x="3368" y="1038"/>
            <a:ext cx="344" cy="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FF0000"/>
                </a:solidFill>
                <a:latin typeface="Lucida Fax" panose="02060602050505020204" pitchFamily="18" charset="0"/>
              </a:rPr>
              <a:t>V</a:t>
            </a:r>
          </a:p>
        </xdr:txBody>
      </xdr:sp>
      <xdr:sp macro="" textlink="">
        <xdr:nvSpPr>
          <xdr:cNvPr id="64" name="CasellaDiTesto 11"/>
          <xdr:cNvSpPr txBox="1">
            <a:spLocks noChangeArrowheads="1"/>
          </xdr:cNvSpPr>
        </xdr:nvSpPr>
        <xdr:spPr bwMode="auto">
          <a:xfrm>
            <a:off x="3379" y="1344"/>
            <a:ext cx="261" cy="4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endParaRPr lang="it-IT" altLang="it-IT" sz="1400" b="1">
              <a:latin typeface="Lucida Fax" panose="02060602050505020204" pitchFamily="18" charset="0"/>
            </a:endParaRPr>
          </a:p>
        </xdr:txBody>
      </xdr:sp>
    </xdr:grpSp>
    <xdr:clientData/>
  </xdr:twoCellAnchor>
  <xdr:twoCellAnchor>
    <xdr:from>
      <xdr:col>11</xdr:col>
      <xdr:colOff>714375</xdr:colOff>
      <xdr:row>39</xdr:row>
      <xdr:rowOff>28575</xdr:rowOff>
    </xdr:from>
    <xdr:to>
      <xdr:col>12</xdr:col>
      <xdr:colOff>146550</xdr:colOff>
      <xdr:row>44</xdr:row>
      <xdr:rowOff>156075</xdr:rowOff>
    </xdr:to>
    <xdr:grpSp>
      <xdr:nvGrpSpPr>
        <xdr:cNvPr id="65" name="Group 67"/>
        <xdr:cNvGrpSpPr>
          <a:grpSpLocks/>
        </xdr:cNvGrpSpPr>
      </xdr:nvGrpSpPr>
      <xdr:grpSpPr bwMode="auto">
        <a:xfrm>
          <a:off x="8924925" y="7515225"/>
          <a:ext cx="1080000" cy="1080000"/>
          <a:chOff x="2336" y="1038"/>
          <a:chExt cx="1400" cy="1826"/>
        </a:xfrm>
      </xdr:grpSpPr>
      <xdr:sp macro="" textlink="">
        <xdr:nvSpPr>
          <xdr:cNvPr id="66" name="Cubo 65"/>
          <xdr:cNvSpPr/>
        </xdr:nvSpPr>
        <xdr:spPr>
          <a:xfrm>
            <a:off x="2336" y="1491"/>
            <a:ext cx="1069" cy="1373"/>
          </a:xfrm>
          <a:prstGeom prst="cub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sp macro="" textlink="">
        <xdr:nvSpPr>
          <xdr:cNvPr id="67" name="Cilindro 66"/>
          <xdr:cNvSpPr/>
        </xdr:nvSpPr>
        <xdr:spPr>
          <a:xfrm>
            <a:off x="3100" y="1224"/>
            <a:ext cx="38" cy="419"/>
          </a:xfrm>
          <a:prstGeom prst="can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it-IT"/>
          </a:p>
        </xdr:txBody>
      </xdr:sp>
      <xdr:cxnSp macro="">
        <xdr:nvCxnSpPr>
          <xdr:cNvPr id="68" name="Connettore 2 67"/>
          <xdr:cNvCxnSpPr/>
        </xdr:nvCxnSpPr>
        <xdr:spPr>
          <a:xfrm flipH="1">
            <a:off x="3163" y="1563"/>
            <a:ext cx="573" cy="1"/>
          </a:xfrm>
          <a:prstGeom prst="straightConnector1">
            <a:avLst/>
          </a:prstGeom>
          <a:ln w="381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" name="CasellaDiTesto 11"/>
          <xdr:cNvSpPr txBox="1">
            <a:spLocks noChangeArrowheads="1"/>
          </xdr:cNvSpPr>
        </xdr:nvSpPr>
        <xdr:spPr bwMode="auto">
          <a:xfrm>
            <a:off x="3368" y="1038"/>
            <a:ext cx="344" cy="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r>
              <a:rPr lang="it-IT" altLang="it-IT" sz="1400" b="1">
                <a:solidFill>
                  <a:srgbClr val="FF0000"/>
                </a:solidFill>
                <a:latin typeface="Lucida Fax" panose="02060602050505020204" pitchFamily="18" charset="0"/>
              </a:rPr>
              <a:t>V</a:t>
            </a:r>
          </a:p>
        </xdr:txBody>
      </xdr:sp>
      <xdr:sp macro="" textlink="">
        <xdr:nvSpPr>
          <xdr:cNvPr id="70" name="CasellaDiTesto 11"/>
          <xdr:cNvSpPr txBox="1">
            <a:spLocks noChangeArrowheads="1"/>
          </xdr:cNvSpPr>
        </xdr:nvSpPr>
        <xdr:spPr bwMode="auto">
          <a:xfrm>
            <a:off x="3379" y="1344"/>
            <a:ext cx="261" cy="4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it-IT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ahoma" panose="020B060403050404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pPr eaLnBrk="1" hangingPunct="1"/>
            <a:endParaRPr lang="it-IT" altLang="it-IT" sz="1400" b="1">
              <a:latin typeface="Lucida Fax" panose="020606020505050202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la/Documents/6.VARIE%20PER%20LA%20PROFESSIONE/PROGRAMMI%20UTILI/ANALISI%20DEI%20CARICHI/GEOM.%20SCALA-ANALISI%20DEI%20CARICHI-COMBINA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I"/>
      <sheetName val="PROGETTO SCALA"/>
      <sheetName val="ANALISI DEI CARICHI"/>
      <sheetName val="COMBINAZIONI"/>
      <sheetName val="TABELLE NTC"/>
      <sheetName val="dati nasco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SLU SFAVOREVOLE</v>
          </cell>
          <cell r="D3" t="str">
            <v>FOLLA</v>
          </cell>
        </row>
        <row r="4">
          <cell r="C4" t="str">
            <v>CARATTERISTICA</v>
          </cell>
          <cell r="D4" t="str">
            <v>NEVE</v>
          </cell>
        </row>
        <row r="5">
          <cell r="C5" t="str">
            <v>FREQUENTE</v>
          </cell>
        </row>
        <row r="6">
          <cell r="C6" t="str">
            <v>QUASI PERMANENTE</v>
          </cell>
        </row>
        <row r="7">
          <cell r="C7" t="str">
            <v>SISMICA</v>
          </cell>
        </row>
        <row r="8">
          <cell r="C8" t="str">
            <v>SLU FAVOREVOLE</v>
          </cell>
        </row>
        <row r="13">
          <cell r="C13" t="str">
            <v>Categoria A Ambienti ad uso residenziale</v>
          </cell>
        </row>
        <row r="14">
          <cell r="C14" t="str">
            <v>Categoria B Uffici</v>
          </cell>
        </row>
        <row r="15">
          <cell r="C15" t="str">
            <v>Categoria C Ambienti suscettibili ad affollamento</v>
          </cell>
        </row>
        <row r="16">
          <cell r="C16" t="str">
            <v>Categoria D Ambienti ad uso commerciale</v>
          </cell>
        </row>
        <row r="17">
          <cell r="C17" t="str">
            <v>Categoria E Biblioteche, Archivi, Magazzini e ambienti ad uso industriale</v>
          </cell>
        </row>
        <row r="18">
          <cell r="C18" t="str">
            <v>Categoria F Rimesse e parcheggi ( per autoveicoli di peso ≤ 30kN)</v>
          </cell>
        </row>
        <row r="19">
          <cell r="C19" t="str">
            <v>Categoria G Rimesse e parcheggi ( per autoveicoli di peso ˃ 30kN)</v>
          </cell>
        </row>
        <row r="20">
          <cell r="C20" t="str">
            <v>Categoria H Coperture</v>
          </cell>
        </row>
        <row r="22">
          <cell r="C22" t="str">
            <v>Neve (a quota ≤ 1000 m s.l.m.)</v>
          </cell>
        </row>
        <row r="23">
          <cell r="C23" t="str">
            <v>Neve (a quota ˃ 1000 m s.l.m.)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E12536D-7B0B-4DCA-AA7A-C909AE96CCC6}" diskRevisions="1" revisionId="4" version="2" protected="1">
  <header guid="{F61B5DAB-A5A1-4709-9675-4FE154525DF9}" dateTime="2017-05-30T16:17:27" maxSheetId="5" userName="Davide Cicchini" r:id="rId1">
    <sheetIdMap count="4">
      <sheetId val="1"/>
      <sheetId val="2"/>
      <sheetId val="3"/>
      <sheetId val="4"/>
    </sheetIdMap>
  </header>
  <header guid="{1E12536D-7B0B-4DCA-AA7A-C909AE96CCC6}" dateTime="2017-05-30T16:23:33" maxSheetId="5" userName="Davide Cicchini" r:id="rId2" minRId="1" maxRId="4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3">
    <oc r="H13">
      <v>2</v>
    </oc>
    <nc r="H13">
      <v>1</v>
    </nc>
  </rcc>
  <rcc rId="2" sId="3" numFmtId="4">
    <oc r="H14">
      <v>24</v>
    </oc>
    <nc r="H14">
      <v>30</v>
    </nc>
  </rcc>
  <rcc rId="3" sId="3">
    <oc r="H6" t="inlineStr">
      <is>
        <t>C40/50</t>
      </is>
    </oc>
    <nc r="H6" t="inlineStr">
      <is>
        <t>C45/55</t>
      </is>
    </nc>
  </rcc>
  <rcc rId="4" sId="3" numFmtId="4">
    <oc r="H21">
      <v>80</v>
    </oc>
    <nc r="H21">
      <v>60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RowColHeaders="0" tabSelected="1" workbookViewId="0">
      <selection activeCell="G12" sqref="G12:I12"/>
    </sheetView>
  </sheetViews>
  <sheetFormatPr defaultRowHeight="15" x14ac:dyDescent="0.25"/>
  <cols>
    <col min="1" max="1" width="3.570312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"/>
      <c r="B5" s="18" t="s">
        <v>120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2"/>
      <c r="B6" s="18" t="s">
        <v>121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/>
      <c r="B7" s="18" t="s">
        <v>122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/>
      <c r="B8" s="18" t="s">
        <v>50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75" t="s">
        <v>135</v>
      </c>
      <c r="C10" s="75"/>
      <c r="D10" s="75"/>
      <c r="E10" s="2"/>
      <c r="F10" s="2"/>
      <c r="G10" s="73" t="s">
        <v>49</v>
      </c>
      <c r="H10" s="73"/>
      <c r="I10" s="73"/>
      <c r="J10" s="2"/>
      <c r="K10" s="2"/>
      <c r="L10" s="2"/>
    </row>
    <row r="11" spans="1:12" x14ac:dyDescent="0.25">
      <c r="A11" s="2"/>
      <c r="B11" s="76">
        <v>42885</v>
      </c>
      <c r="C11" s="76"/>
      <c r="D11" s="76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74" t="s">
        <v>48</v>
      </c>
      <c r="C12" s="74"/>
      <c r="D12" s="74"/>
      <c r="E12" s="2"/>
      <c r="F12" s="2"/>
      <c r="G12" s="72" t="s">
        <v>48</v>
      </c>
      <c r="H12" s="72"/>
      <c r="I12" s="72"/>
      <c r="J12" s="2"/>
      <c r="K12" s="2"/>
      <c r="L12" s="2"/>
    </row>
    <row r="13" spans="1:12" ht="15.75" x14ac:dyDescent="0.25">
      <c r="A13" s="2"/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18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2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/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2"/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 algorithmName="SHA-512" hashValue="JV7xbPf9sPYJzVxBmNyI8gSAE3Hha0PYhg6ZdBZrf3ZkgAJVYQw63MdKx5f1vlBbkdrSM8IibFiSxdOhlPiMrA==" saltValue="QVsjluGZwL4ASvN2X/poZw==" spinCount="100000" sheet="1" objects="1" scenarios="1" selectLockedCells="1"/>
  <customSheetViews>
    <customSheetView guid="{FF3B168D-F374-489C-835B-F1079A1938E3}" showGridLines="0" showRowCol="0">
      <selection activeCell="G12" sqref="G12:I12"/>
      <pageMargins left="0.7" right="0.7" top="0.75" bottom="0.75" header="0.3" footer="0.3"/>
    </customSheetView>
  </customSheetViews>
  <mergeCells count="5">
    <mergeCell ref="G12:I12"/>
    <mergeCell ref="G10:I10"/>
    <mergeCell ref="B12:D12"/>
    <mergeCell ref="B10:D10"/>
    <mergeCell ref="B11:D11"/>
  </mergeCells>
  <hyperlinks>
    <hyperlink ref="G12" r:id="rId1"/>
    <hyperlink ref="B1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76"/>
  <sheetViews>
    <sheetView workbookViewId="0">
      <selection activeCell="F20" sqref="F20"/>
    </sheetView>
  </sheetViews>
  <sheetFormatPr defaultRowHeight="15" x14ac:dyDescent="0.25"/>
  <cols>
    <col min="3" max="7" width="11.5703125" customWidth="1"/>
    <col min="8" max="9" width="11.140625" customWidth="1"/>
    <col min="10" max="10" width="20" customWidth="1"/>
    <col min="11" max="11" width="9.42578125" bestFit="1" customWidth="1"/>
    <col min="12" max="12" width="13" bestFit="1" customWidth="1"/>
    <col min="13" max="13" width="16" customWidth="1"/>
    <col min="14" max="14" width="13.7109375" bestFit="1" customWidth="1"/>
    <col min="15" max="15" width="12.7109375" bestFit="1" customWidth="1"/>
  </cols>
  <sheetData>
    <row r="3" spans="2:20" x14ac:dyDescent="0.25">
      <c r="B3">
        <v>1</v>
      </c>
      <c r="C3" t="s">
        <v>0</v>
      </c>
      <c r="D3" s="1">
        <f>10</f>
        <v>10</v>
      </c>
      <c r="F3" t="s">
        <v>1</v>
      </c>
      <c r="G3" s="1">
        <v>450</v>
      </c>
      <c r="H3">
        <v>540</v>
      </c>
    </row>
    <row r="4" spans="2:20" x14ac:dyDescent="0.25">
      <c r="B4">
        <v>2</v>
      </c>
      <c r="C4" t="s">
        <v>2</v>
      </c>
      <c r="D4" s="1">
        <v>15</v>
      </c>
      <c r="F4" t="s">
        <v>3</v>
      </c>
      <c r="G4" s="1">
        <v>430</v>
      </c>
      <c r="H4">
        <v>540</v>
      </c>
      <c r="M4" s="14" t="s">
        <v>55</v>
      </c>
      <c r="N4" s="14" t="s">
        <v>56</v>
      </c>
      <c r="O4" s="14" t="s">
        <v>57</v>
      </c>
    </row>
    <row r="5" spans="2:20" x14ac:dyDescent="0.25">
      <c r="C5" t="s">
        <v>4</v>
      </c>
      <c r="D5" s="1">
        <v>20</v>
      </c>
      <c r="M5" s="14">
        <f>1</f>
        <v>1</v>
      </c>
      <c r="N5" s="33">
        <f>(10*APPROFONDIMENTI!F10*'dati nascosti'!L43*'dati nascosti'!L44)</f>
        <v>89470.259694225679</v>
      </c>
      <c r="O5" s="33">
        <f>-1.7*'dati nascosti'!L43^4*APPROFONDIMENTI!F10*'dati nascosti'!L45</f>
        <v>-23756743759.873528</v>
      </c>
    </row>
    <row r="6" spans="2:20" x14ac:dyDescent="0.25">
      <c r="C6" t="s">
        <v>5</v>
      </c>
      <c r="D6" s="1">
        <v>25</v>
      </c>
      <c r="F6" s="2" t="s">
        <v>137</v>
      </c>
      <c r="G6">
        <v>900</v>
      </c>
    </row>
    <row r="7" spans="2:20" x14ac:dyDescent="0.25">
      <c r="C7" t="s">
        <v>6</v>
      </c>
      <c r="D7" s="1">
        <v>30</v>
      </c>
      <c r="E7" t="s">
        <v>91</v>
      </c>
      <c r="F7" s="2" t="s">
        <v>136</v>
      </c>
      <c r="G7">
        <v>640</v>
      </c>
      <c r="M7" s="2" t="s">
        <v>26</v>
      </c>
      <c r="N7" s="2"/>
      <c r="O7" s="2"/>
      <c r="P7" s="3" t="s">
        <v>27</v>
      </c>
      <c r="Q7" s="5">
        <f>VLOOKUP('dati nascosti'!Q9,'dati nascosti'!F3:H4,3,FALSE)</f>
        <v>540</v>
      </c>
    </row>
    <row r="8" spans="2:20" x14ac:dyDescent="0.25">
      <c r="C8" t="s">
        <v>7</v>
      </c>
      <c r="D8" s="1">
        <v>35</v>
      </c>
      <c r="E8" t="s">
        <v>92</v>
      </c>
      <c r="F8" s="2" t="s">
        <v>94</v>
      </c>
      <c r="G8">
        <v>450</v>
      </c>
    </row>
    <row r="9" spans="2:20" ht="15.75" thickBot="1" x14ac:dyDescent="0.3">
      <c r="C9" t="s">
        <v>8</v>
      </c>
      <c r="D9" s="1">
        <v>40</v>
      </c>
      <c r="M9" s="2" t="s">
        <v>14</v>
      </c>
      <c r="N9" s="2"/>
      <c r="O9" s="2"/>
      <c r="Q9" s="24" t="str">
        <f>'dati nascosti'!S10</f>
        <v>Fe B450C</v>
      </c>
    </row>
    <row r="10" spans="2:20" ht="16.5" thickTop="1" thickBot="1" x14ac:dyDescent="0.3">
      <c r="C10" t="s">
        <v>9</v>
      </c>
      <c r="D10" s="1">
        <v>45</v>
      </c>
      <c r="F10" t="s">
        <v>134</v>
      </c>
      <c r="G10" s="82">
        <f>IF('VERIFICA SPINOTTO'!H18='dati nascosti'!F8,'VERIFICA SPINOTTO'!H14,G13)</f>
        <v>26.726155439876237</v>
      </c>
      <c r="H10" s="83"/>
      <c r="M10" s="2" t="s">
        <v>68</v>
      </c>
      <c r="N10" s="2"/>
      <c r="O10" s="2"/>
      <c r="S10" s="80" t="s">
        <v>1</v>
      </c>
      <c r="T10" s="81"/>
    </row>
    <row r="11" spans="2:20" ht="15.75" thickTop="1" x14ac:dyDescent="0.25">
      <c r="C11" t="s">
        <v>10</v>
      </c>
      <c r="D11" s="1">
        <v>50</v>
      </c>
    </row>
    <row r="12" spans="2:20" x14ac:dyDescent="0.25">
      <c r="C12" t="s">
        <v>11</v>
      </c>
      <c r="D12" s="1">
        <v>55</v>
      </c>
    </row>
    <row r="13" spans="2:20" x14ac:dyDescent="0.25">
      <c r="C13" t="s">
        <v>12</v>
      </c>
      <c r="D13" s="1">
        <v>60</v>
      </c>
      <c r="F13" t="s">
        <v>133</v>
      </c>
      <c r="G13" s="69">
        <f>VLOOKUP('VERIFICA SPINOTTO'!H14,'dati nascosti'!C44:F52,4,FALSE)</f>
        <v>26.726155439876237</v>
      </c>
    </row>
    <row r="15" spans="2:20" x14ac:dyDescent="0.25">
      <c r="C15" s="2">
        <f>2.5*'VERIFICA SPINOTTO'!H14/APPROFONDIMENTI!F34</f>
        <v>5.7709126937437197E-2</v>
      </c>
    </row>
    <row r="22" spans="3:19" x14ac:dyDescent="0.25">
      <c r="H22" s="1"/>
      <c r="I22" s="1"/>
      <c r="K22" s="32">
        <v>10</v>
      </c>
      <c r="L22" s="32">
        <v>50</v>
      </c>
      <c r="M22" s="35"/>
    </row>
    <row r="23" spans="3:19" x14ac:dyDescent="0.25">
      <c r="C23" s="23" t="s">
        <v>53</v>
      </c>
      <c r="D23" s="23" t="s">
        <v>75</v>
      </c>
      <c r="E23" s="23" t="s">
        <v>82</v>
      </c>
      <c r="F23" s="23" t="s">
        <v>79</v>
      </c>
      <c r="G23" s="23" t="s">
        <v>76</v>
      </c>
      <c r="H23" s="23" t="s">
        <v>77</v>
      </c>
      <c r="I23" s="23" t="s">
        <v>78</v>
      </c>
      <c r="J23" s="14" t="s">
        <v>55</v>
      </c>
      <c r="K23" s="14" t="s">
        <v>56</v>
      </c>
      <c r="L23" s="14" t="s">
        <v>56</v>
      </c>
      <c r="M23" s="14" t="s">
        <v>57</v>
      </c>
      <c r="N23" s="84" t="s">
        <v>99</v>
      </c>
      <c r="O23" s="84"/>
      <c r="P23" s="84"/>
      <c r="Q23" s="84" t="s">
        <v>100</v>
      </c>
      <c r="R23" s="84"/>
      <c r="S23" s="84"/>
    </row>
    <row r="24" spans="3:19" x14ac:dyDescent="0.25">
      <c r="C24" s="25">
        <v>5</v>
      </c>
      <c r="D24" s="20">
        <f>(1.2*C24^2*(APPROFONDIMENTI!$F$22*APPROFONDIMENTI!$F$10)^0.5)*10^-3</f>
        <v>4.6298652436019179</v>
      </c>
      <c r="E24" s="20">
        <f>C24^2*(APPROFONDIMENTI!$F$9*'dati nascosti'!$L$45*(1-('dati nascosti'!$L$46/'dati nascosti'!$L$45)^2))^0.5*10^-3</f>
        <v>5.0673587794826611</v>
      </c>
      <c r="F24" s="20">
        <f>(1.3*C24^2*(APPROFONDIMENTI!$F$22*APPROFONDIMENTI!$F$10)^0.5)*10^-3</f>
        <v>5.0156873472354109</v>
      </c>
      <c r="G24" s="20">
        <f>(1.3*C24^2*(APPROFONDIMENTI!$F$22*APPROFONDIMENTI!$F$10)^0.5)*10^-3*0.5</f>
        <v>2.5078436736177054</v>
      </c>
      <c r="H24" s="20">
        <f t="shared" ref="H24:H38" si="0">(-K24+(K24^2-4*J24*M24)^0.5)/2*10^-3</f>
        <v>1.7184351912474667</v>
      </c>
      <c r="I24" s="20">
        <f t="shared" ref="I24:I38" si="1">(-L24+(L24^2-4*J24*M24)^0.5)/2*10^-3</f>
        <v>0.38059612169313189</v>
      </c>
      <c r="J24" s="1">
        <v>1</v>
      </c>
      <c r="K24" s="30">
        <f>(10*APPROFONDIMENTI!$F$10*C24*$K$22)</f>
        <v>15216.666666666664</v>
      </c>
      <c r="L24" s="30">
        <f>(10*APPROFONDIMENTI!$F$10*C24*$L$22)</f>
        <v>76083.333333333328</v>
      </c>
      <c r="M24" s="30">
        <f>-1.7*C24^4*APPROFONDIMENTI!$F$10*'dati nascosti'!$L$45</f>
        <v>-29101875</v>
      </c>
      <c r="N24" s="55">
        <f t="shared" ref="N24:N38" si="2">O24+P24</f>
        <v>140.49139403030307</v>
      </c>
      <c r="O24" s="54">
        <f>5*C24*'dati nascosti'!$L$47*APPROFONDIMENTI!$F$13*('dati nascosti'!$L$47/(0.66*'dati nascosti'!$L$47+'dati nascosti'!$L$43))*10^-3</f>
        <v>7.3554770415589434</v>
      </c>
      <c r="P24" s="54">
        <f>IF('VERIFICA SPINOTTO'!$H$11='dati nascosti'!$E$8,391.3*('VERIFICA SPINOTTO'!$H$8/2)^2*PI()*APPROFONDIMENTI!$F$34/'VERIFICA SPINOTTO'!$H$10*1/3*10^-3,0)</f>
        <v>133.13591698874413</v>
      </c>
      <c r="Q24" s="56">
        <f t="shared" ref="Q24:Q38" si="3">S24+R24</f>
        <v>275.62914182570552</v>
      </c>
      <c r="R24">
        <f>2*C24*'dati nascosti'!$L$48*APPROFONDIMENTI!$F$13*10^-3</f>
        <v>9.3573078482172445</v>
      </c>
      <c r="S24">
        <f>IF('VERIFICA SPINOTTO'!$H$11='dati nascosti'!$E$8,391.3*('VERIFICA SPINOTTO'!$H$8/2)^2*PI()*'VERIFICA SPINOTTO'!$H$9*APPROFONDIMENTI!$F$34/'VERIFICA SPINOTTO'!$H$10*1/3*10^-3,0)</f>
        <v>266.27183397748826</v>
      </c>
    </row>
    <row r="25" spans="3:19" x14ac:dyDescent="0.25">
      <c r="C25" s="25">
        <v>6</v>
      </c>
      <c r="D25" s="20">
        <f>(1.2*C25^2*(APPROFONDIMENTI!$F$22*APPROFONDIMENTI!$F$10)^0.5)*10^-3</f>
        <v>6.6670059507867601</v>
      </c>
      <c r="E25" s="20">
        <f>C25^2*(APPROFONDIMENTI!$F$9*'dati nascosti'!$L$45*(1-('dati nascosti'!$L$46/'dati nascosti'!$L$45)^2))^0.5*10^-3</f>
        <v>7.2969966424550323</v>
      </c>
      <c r="F25" s="20">
        <f>(1.3*C25^2*(APPROFONDIMENTI!$F$22*APPROFONDIMENTI!$F$10)^0.5)*10^-3</f>
        <v>7.2225897800189918</v>
      </c>
      <c r="G25" s="20">
        <f>(1.3*C25^2*(APPROFONDIMENTI!$F$22*APPROFONDIMENTI!$F$10)^0.5)*10^-3*0.5</f>
        <v>3.6112948900094959</v>
      </c>
      <c r="H25" s="20">
        <f t="shared" si="0"/>
        <v>2.8575997597517415</v>
      </c>
      <c r="I25" s="20">
        <f t="shared" si="1"/>
        <v>0.65624307801271065</v>
      </c>
      <c r="J25" s="1">
        <v>1</v>
      </c>
      <c r="K25" s="30">
        <f>(10*APPROFONDIMENTI!$F$10*C25*$K$22)</f>
        <v>18260</v>
      </c>
      <c r="L25" s="30">
        <f>(10*APPROFONDIMENTI!$F$10*C25*$L$22)</f>
        <v>91300</v>
      </c>
      <c r="M25" s="30">
        <f>-1.7*C25^4*APPROFONDIMENTI!$F$10*'dati nascosti'!$L$45</f>
        <v>-60345648</v>
      </c>
      <c r="N25" s="55">
        <f t="shared" si="2"/>
        <v>141.96248943861485</v>
      </c>
      <c r="O25" s="54">
        <f>5*C25*'dati nascosti'!$L$47*APPROFONDIMENTI!$F$13*('dati nascosti'!$L$47/(0.66*'dati nascosti'!$L$47+'dati nascosti'!$L$43))*10^-3</f>
        <v>8.8265724498707314</v>
      </c>
      <c r="P25" s="54">
        <f>IF('VERIFICA SPINOTTO'!$H$11='dati nascosti'!$E$8,391.3*('VERIFICA SPINOTTO'!$H$8/2)^2*PI()*APPROFONDIMENTI!$F$34/'VERIFICA SPINOTTO'!$H$10*1/3*10^-3,0)</f>
        <v>133.13591698874413</v>
      </c>
      <c r="Q25" s="56">
        <f t="shared" si="3"/>
        <v>277.50060339534895</v>
      </c>
      <c r="R25">
        <f>2*C25*'dati nascosti'!$L$48*APPROFONDIMENTI!$F$13*10^-3</f>
        <v>11.228769417860693</v>
      </c>
      <c r="S25">
        <f>IF('VERIFICA SPINOTTO'!$H$11='dati nascosti'!$E$8,391.3*('VERIFICA SPINOTTO'!$H$8/2)^2*PI()*'VERIFICA SPINOTTO'!$H$9*APPROFONDIMENTI!$F$34/'VERIFICA SPINOTTO'!$H$10*1/3*10^-3,0)</f>
        <v>266.27183397748826</v>
      </c>
    </row>
    <row r="26" spans="3:19" x14ac:dyDescent="0.25">
      <c r="C26" s="25">
        <v>8</v>
      </c>
      <c r="D26" s="20">
        <f>(1.2*C26^2*(APPROFONDIMENTI!$F$22*APPROFONDIMENTI!$F$10)^0.5)*10^-3</f>
        <v>11.852455023620909</v>
      </c>
      <c r="E26" s="20">
        <f>C26^2*(APPROFONDIMENTI!$F$9*'dati nascosti'!$L$45*(1-('dati nascosti'!$L$46/'dati nascosti'!$L$45)^2))^0.5*10^-3</f>
        <v>12.972438475475613</v>
      </c>
      <c r="F26" s="20">
        <f>(1.3*C26^2*(APPROFONDIMENTI!$F$22*APPROFONDIMENTI!$F$10)^0.5)*10^-3</f>
        <v>12.840159608922651</v>
      </c>
      <c r="G26" s="20">
        <f>(1.3*C26^2*(APPROFONDIMENTI!$F$22*APPROFONDIMENTI!$F$10)^0.5)*10^-3*0.5</f>
        <v>6.4200798044613254</v>
      </c>
      <c r="H26" s="20">
        <f t="shared" si="0"/>
        <v>6.2362319098885859</v>
      </c>
      <c r="I26" s="20">
        <f t="shared" si="1"/>
        <v>1.547059060220614</v>
      </c>
      <c r="J26" s="1">
        <v>1</v>
      </c>
      <c r="K26" s="30">
        <f>(10*APPROFONDIMENTI!$F$10*C26*$K$22)</f>
        <v>24346.666666666664</v>
      </c>
      <c r="L26" s="30">
        <f>(10*APPROFONDIMENTI!$F$10*C26*$L$22)</f>
        <v>121733.33333333333</v>
      </c>
      <c r="M26" s="30">
        <f>-1.7*C26^4*APPROFONDIMENTI!$F$10*'dati nascosti'!$L$45</f>
        <v>-190722048</v>
      </c>
      <c r="N26" s="55">
        <f t="shared" si="2"/>
        <v>144.90468025523845</v>
      </c>
      <c r="O26" s="54">
        <f>5*C26*'dati nascosti'!$L$47*APPROFONDIMENTI!$F$13*('dati nascosti'!$L$47/(0.66*'dati nascosti'!$L$47+'dati nascosti'!$L$43))*10^-3</f>
        <v>11.768763266494311</v>
      </c>
      <c r="P26" s="54">
        <f>IF('VERIFICA SPINOTTO'!$H$11='dati nascosti'!$E$8,391.3*('VERIFICA SPINOTTO'!$H$8/2)^2*PI()*APPROFONDIMENTI!$F$34/'VERIFICA SPINOTTO'!$H$10*1/3*10^-3,0)</f>
        <v>133.13591698874413</v>
      </c>
      <c r="Q26" s="56">
        <f t="shared" si="3"/>
        <v>281.24352653463586</v>
      </c>
      <c r="R26">
        <f>2*C26*'dati nascosti'!$L$48*APPROFONDIMENTI!$F$13*10^-3</f>
        <v>14.971692557147591</v>
      </c>
      <c r="S26">
        <f>IF('VERIFICA SPINOTTO'!$H$11='dati nascosti'!$E$8,391.3*('VERIFICA SPINOTTO'!$H$8/2)^2*PI()*'VERIFICA SPINOTTO'!$H$9*APPROFONDIMENTI!$F$34/'VERIFICA SPINOTTO'!$H$10*1/3*10^-3,0)</f>
        <v>266.27183397748826</v>
      </c>
    </row>
    <row r="27" spans="3:19" x14ac:dyDescent="0.25">
      <c r="C27" s="25">
        <v>10</v>
      </c>
      <c r="D27" s="20">
        <f>(1.2*C27^2*(APPROFONDIMENTI!$F$22*APPROFONDIMENTI!$F$10)^0.5)*10^-3</f>
        <v>18.519460974407671</v>
      </c>
      <c r="E27" s="20">
        <f>C27^2*(APPROFONDIMENTI!$F$9*'dati nascosti'!$L$45*(1-('dati nascosti'!$L$46/'dati nascosti'!$L$45)^2))^0.5*10^-3</f>
        <v>20.269435117930644</v>
      </c>
      <c r="F27" s="20">
        <f>(1.3*C27^2*(APPROFONDIMENTI!$F$22*APPROFONDIMENTI!$F$10)^0.5)*10^-3</f>
        <v>20.062749388941644</v>
      </c>
      <c r="G27" s="20">
        <f>(1.3*C27^2*(APPROFONDIMENTI!$F$22*APPROFONDIMENTI!$F$10)^0.5)*10^-3*0.5</f>
        <v>10.031374694470822</v>
      </c>
      <c r="H27" s="20">
        <f t="shared" si="0"/>
        <v>11.187441809940617</v>
      </c>
      <c r="I27" s="20">
        <f t="shared" si="1"/>
        <v>3.0008219135371474</v>
      </c>
      <c r="J27" s="1">
        <v>1</v>
      </c>
      <c r="K27" s="30">
        <f>(10*APPROFONDIMENTI!$F$10*C27*$K$22)</f>
        <v>30433.333333333328</v>
      </c>
      <c r="L27" s="30">
        <f>(10*APPROFONDIMENTI!$F$10*C27*$L$22)</f>
        <v>152166.66666666666</v>
      </c>
      <c r="M27" s="30">
        <f>-1.7*C27^4*APPROFONDIMENTI!$F$10*'dati nascosti'!$L$45</f>
        <v>-465630000</v>
      </c>
      <c r="N27" s="55">
        <f t="shared" si="2"/>
        <v>147.84687107186201</v>
      </c>
      <c r="O27" s="54">
        <f>5*C27*'dati nascosti'!$L$47*APPROFONDIMENTI!$F$13*('dati nascosti'!$L$47/(0.66*'dati nascosti'!$L$47+'dati nascosti'!$L$43))*10^-3</f>
        <v>14.710954083117887</v>
      </c>
      <c r="P27" s="54">
        <f>IF('VERIFICA SPINOTTO'!$H$11='dati nascosti'!$E$8,391.3*('VERIFICA SPINOTTO'!$H$8/2)^2*PI()*APPROFONDIMENTI!$F$34/'VERIFICA SPINOTTO'!$H$10*1/3*10^-3,0)</f>
        <v>133.13591698874413</v>
      </c>
      <c r="Q27" s="56">
        <f t="shared" si="3"/>
        <v>284.98644967392272</v>
      </c>
      <c r="R27">
        <f>2*C27*'dati nascosti'!$L$48*APPROFONDIMENTI!$F$13*10^-3</f>
        <v>18.714615696434489</v>
      </c>
      <c r="S27">
        <f>IF('VERIFICA SPINOTTO'!$H$11='dati nascosti'!$E$8,391.3*('VERIFICA SPINOTTO'!$H$8/2)^2*PI()*'VERIFICA SPINOTTO'!$H$9*APPROFONDIMENTI!$F$34/'VERIFICA SPINOTTO'!$H$10*1/3*10^-3,0)</f>
        <v>266.27183397748826</v>
      </c>
    </row>
    <row r="28" spans="3:19" x14ac:dyDescent="0.25">
      <c r="C28" s="25">
        <v>12</v>
      </c>
      <c r="D28" s="20">
        <f>(1.2*C28^2*(APPROFONDIMENTI!$F$22*APPROFONDIMENTI!$F$10)^0.5)*10^-3</f>
        <v>26.66802380314704</v>
      </c>
      <c r="E28" s="20">
        <f>C28^2*(APPROFONDIMENTI!$F$9*'dati nascosti'!$L$45*(1-('dati nascosti'!$L$46/'dati nascosti'!$L$45)^2))^0.5*10^-3</f>
        <v>29.187986569820129</v>
      </c>
      <c r="F28" s="20">
        <f>(1.3*C28^2*(APPROFONDIMENTI!$F$22*APPROFONDIMENTI!$F$10)^0.5)*10^-3</f>
        <v>28.890359120075967</v>
      </c>
      <c r="G28" s="20">
        <f>(1.3*C28^2*(APPROFONDIMENTI!$F$22*APPROFONDIMENTI!$F$10)^0.5)*10^-3*0.5</f>
        <v>14.445179560037984</v>
      </c>
      <c r="H28" s="20">
        <f t="shared" si="0"/>
        <v>17.781059473883399</v>
      </c>
      <c r="I28" s="20">
        <f t="shared" si="1"/>
        <v>5.1428347157008831</v>
      </c>
      <c r="J28" s="1">
        <v>1</v>
      </c>
      <c r="K28" s="30">
        <f>(10*APPROFONDIMENTI!$F$10*C28*$K$22)</f>
        <v>36520</v>
      </c>
      <c r="L28" s="30">
        <f>(10*APPROFONDIMENTI!$F$10*C28*$L$22)</f>
        <v>182600</v>
      </c>
      <c r="M28" s="30">
        <f>-1.7*C28^4*APPROFONDIMENTI!$F$10*'dati nascosti'!$L$45</f>
        <v>-965530368</v>
      </c>
      <c r="N28" s="55">
        <f t="shared" si="2"/>
        <v>150.78906188848561</v>
      </c>
      <c r="O28" s="54">
        <f>5*C28*'dati nascosti'!$L$47*APPROFONDIMENTI!$F$13*('dati nascosti'!$L$47/(0.66*'dati nascosti'!$L$47+'dati nascosti'!$L$43))*10^-3</f>
        <v>17.653144899741463</v>
      </c>
      <c r="P28" s="54">
        <f>IF('VERIFICA SPINOTTO'!$H$11='dati nascosti'!$E$8,391.3*('VERIFICA SPINOTTO'!$H$8/2)^2*PI()*APPROFONDIMENTI!$F$34/'VERIFICA SPINOTTO'!$H$10*1/3*10^-3,0)</f>
        <v>133.13591698874413</v>
      </c>
      <c r="Q28" s="56">
        <f t="shared" si="3"/>
        <v>288.72937281320964</v>
      </c>
      <c r="R28">
        <f>2*C28*'dati nascosti'!$L$48*APPROFONDIMENTI!$F$13*10^-3</f>
        <v>22.457538835721387</v>
      </c>
      <c r="S28">
        <f>IF('VERIFICA SPINOTTO'!$H$11='dati nascosti'!$E$8,391.3*('VERIFICA SPINOTTO'!$H$8/2)^2*PI()*'VERIFICA SPINOTTO'!$H$9*APPROFONDIMENTI!$F$34/'VERIFICA SPINOTTO'!$H$10*1/3*10^-3,0)</f>
        <v>266.27183397748826</v>
      </c>
    </row>
    <row r="29" spans="3:19" x14ac:dyDescent="0.25">
      <c r="C29" s="25">
        <v>14</v>
      </c>
      <c r="D29" s="20">
        <f>(1.2*C29^2*(APPROFONDIMENTI!$F$22*APPROFONDIMENTI!$F$10)^0.5)*10^-3</f>
        <v>36.298143509839029</v>
      </c>
      <c r="E29" s="20">
        <f>C29^2*(APPROFONDIMENTI!$F$9*'dati nascosti'!$L$45*(1-('dati nascosti'!$L$46/'dati nascosti'!$L$45)^2))^0.5*10^-3</f>
        <v>39.72809283114406</v>
      </c>
      <c r="F29" s="20">
        <f>(1.3*C29^2*(APPROFONDIMENTI!$F$22*APPROFONDIMENTI!$F$10)^0.5)*10^-3</f>
        <v>39.322988802325625</v>
      </c>
      <c r="G29" s="20">
        <f>(1.3*C29^2*(APPROFONDIMENTI!$F$22*APPROFONDIMENTI!$F$10)^0.5)*10^-3*0.5</f>
        <v>19.661494401162813</v>
      </c>
      <c r="H29" s="20">
        <f t="shared" si="0"/>
        <v>26.052724559095921</v>
      </c>
      <c r="I29" s="20">
        <f t="shared" si="1"/>
        <v>8.0894609434126181</v>
      </c>
      <c r="J29" s="1">
        <v>1</v>
      </c>
      <c r="K29" s="30">
        <f>(10*APPROFONDIMENTI!$F$10*C29*$K$22)</f>
        <v>42606.666666666657</v>
      </c>
      <c r="L29" s="30">
        <f>(10*APPROFONDIMENTI!$F$10*C29*$L$22)</f>
        <v>213033.33333333331</v>
      </c>
      <c r="M29" s="30">
        <f>-1.7*C29^4*APPROFONDIMENTI!$F$10*'dati nascosti'!$L$45</f>
        <v>-1788764208</v>
      </c>
      <c r="N29" s="55">
        <f t="shared" si="2"/>
        <v>153.73125270510917</v>
      </c>
      <c r="O29" s="54">
        <f>5*C29*'dati nascosti'!$L$47*APPROFONDIMENTI!$F$13*('dati nascosti'!$L$47/(0.66*'dati nascosti'!$L$47+'dati nascosti'!$L$43))*10^-3</f>
        <v>20.595335716365042</v>
      </c>
      <c r="P29" s="54">
        <f>IF('VERIFICA SPINOTTO'!$H$11='dati nascosti'!$E$8,391.3*('VERIFICA SPINOTTO'!$H$8/2)^2*PI()*APPROFONDIMENTI!$F$34/'VERIFICA SPINOTTO'!$H$10*1/3*10^-3,0)</f>
        <v>133.13591698874413</v>
      </c>
      <c r="Q29" s="56">
        <f t="shared" si="3"/>
        <v>292.47229595249655</v>
      </c>
      <c r="R29">
        <f>2*C29*'dati nascosti'!$L$48*APPROFONDIMENTI!$F$13*10^-3</f>
        <v>26.200461975008285</v>
      </c>
      <c r="S29">
        <f>IF('VERIFICA SPINOTTO'!$H$11='dati nascosti'!$E$8,391.3*('VERIFICA SPINOTTO'!$H$8/2)^2*PI()*'VERIFICA SPINOTTO'!$H$9*APPROFONDIMENTI!$F$34/'VERIFICA SPINOTTO'!$H$10*1/3*10^-3,0)</f>
        <v>266.27183397748826</v>
      </c>
    </row>
    <row r="30" spans="3:19" x14ac:dyDescent="0.25">
      <c r="C30" s="25">
        <v>16</v>
      </c>
      <c r="D30" s="20">
        <f>(1.2*C30^2*(APPROFONDIMENTI!$F$22*APPROFONDIMENTI!$F$10)^0.5)*10^-3</f>
        <v>47.409820094483635</v>
      </c>
      <c r="E30" s="20">
        <f>C30^2*(APPROFONDIMENTI!$F$9*'dati nascosti'!$L$45*(1-('dati nascosti'!$L$46/'dati nascosti'!$L$45)^2))^0.5*10^-3</f>
        <v>51.889753901902452</v>
      </c>
      <c r="F30" s="20">
        <f>(1.3*C30^2*(APPROFONDIMENTI!$F$22*APPROFONDIMENTI!$F$10)^0.5)*10^-3</f>
        <v>51.360638435690603</v>
      </c>
      <c r="G30" s="20">
        <f>(1.3*C30^2*(APPROFONDIMENTI!$F$22*APPROFONDIMENTI!$F$10)^0.5)*10^-3*0.5</f>
        <v>25.680319217845302</v>
      </c>
      <c r="H30" s="20">
        <f t="shared" si="0"/>
        <v>36.021478457875446</v>
      </c>
      <c r="I30" s="20">
        <f t="shared" si="1"/>
        <v>11.947470121928884</v>
      </c>
      <c r="J30" s="1">
        <v>1</v>
      </c>
      <c r="K30" s="30">
        <f>(10*APPROFONDIMENTI!$F$10*C30*$K$22)</f>
        <v>48693.333333333328</v>
      </c>
      <c r="L30" s="30">
        <f>(10*APPROFONDIMENTI!$F$10*C30*$L$22)</f>
        <v>243466.66666666666</v>
      </c>
      <c r="M30" s="30">
        <f>-1.7*C30^4*APPROFONDIMENTI!$F$10*'dati nascosti'!$L$45</f>
        <v>-3051552768</v>
      </c>
      <c r="N30" s="55">
        <f t="shared" si="2"/>
        <v>156.67344352173274</v>
      </c>
      <c r="O30" s="54">
        <f>5*C30*'dati nascosti'!$L$47*APPROFONDIMENTI!$F$13*('dati nascosti'!$L$47/(0.66*'dati nascosti'!$L$47+'dati nascosti'!$L$43))*10^-3</f>
        <v>23.537526532988622</v>
      </c>
      <c r="P30" s="54">
        <f>IF('VERIFICA SPINOTTO'!$H$11='dati nascosti'!$E$8,391.3*('VERIFICA SPINOTTO'!$H$8/2)^2*PI()*APPROFONDIMENTI!$F$34/'VERIFICA SPINOTTO'!$H$10*1/3*10^-3,0)</f>
        <v>133.13591698874413</v>
      </c>
      <c r="Q30" s="56">
        <f t="shared" si="3"/>
        <v>296.21521909178341</v>
      </c>
      <c r="R30">
        <f>2*C30*'dati nascosti'!$L$48*APPROFONDIMENTI!$F$13*10^-3</f>
        <v>29.943385114295182</v>
      </c>
      <c r="S30">
        <f>IF('VERIFICA SPINOTTO'!$H$11='dati nascosti'!$E$8,391.3*('VERIFICA SPINOTTO'!$H$8/2)^2*PI()*'VERIFICA SPINOTTO'!$H$9*APPROFONDIMENTI!$F$34/'VERIFICA SPINOTTO'!$H$10*1/3*10^-3,0)</f>
        <v>266.27183397748826</v>
      </c>
    </row>
    <row r="31" spans="3:19" x14ac:dyDescent="0.25">
      <c r="C31" s="25">
        <v>18</v>
      </c>
      <c r="D31" s="20">
        <f>(1.2*C31^2*(APPROFONDIMENTI!$F$22*APPROFONDIMENTI!$F$10)^0.5)*10^-3</f>
        <v>60.003053557080854</v>
      </c>
      <c r="E31" s="20">
        <f>C31^2*(APPROFONDIMENTI!$F$9*'dati nascosti'!$L$45*(1-('dati nascosti'!$L$46/'dati nascosti'!$L$45)^2))^0.5*10^-3</f>
        <v>65.672969782095294</v>
      </c>
      <c r="F31" s="20">
        <f>(1.3*C31^2*(APPROFONDIMENTI!$F$22*APPROFONDIMENTI!$F$10)^0.5)*10^-3</f>
        <v>65.00330802017092</v>
      </c>
      <c r="G31" s="20">
        <f>(1.3*C31^2*(APPROFONDIMENTI!$F$22*APPROFONDIMENTI!$F$10)^0.5)*10^-3*0.5</f>
        <v>32.50165401008546</v>
      </c>
      <c r="H31" s="20">
        <f t="shared" si="0"/>
        <v>47.698012278925049</v>
      </c>
      <c r="I31" s="20">
        <f t="shared" si="1"/>
        <v>16.813779831272345</v>
      </c>
      <c r="J31" s="1">
        <v>1</v>
      </c>
      <c r="K31" s="30">
        <f>(10*APPROFONDIMENTI!$F$10*C31*$K$22)</f>
        <v>54780</v>
      </c>
      <c r="L31" s="30">
        <f>(10*APPROFONDIMENTI!$F$10*C31*$L$22)</f>
        <v>273900</v>
      </c>
      <c r="M31" s="30">
        <f>-1.7*C31^4*APPROFONDIMENTI!$F$10*'dati nascosti'!$L$45</f>
        <v>-4887997487.999999</v>
      </c>
      <c r="N31" s="55">
        <f t="shared" si="2"/>
        <v>159.61563433835633</v>
      </c>
      <c r="O31" s="54">
        <f>5*C31*'dati nascosti'!$L$47*APPROFONDIMENTI!$F$13*('dati nascosti'!$L$47/(0.66*'dati nascosti'!$L$47+'dati nascosti'!$L$43))*10^-3</f>
        <v>26.479717349612198</v>
      </c>
      <c r="P31" s="54">
        <f>IF('VERIFICA SPINOTTO'!$H$11='dati nascosti'!$E$8,391.3*('VERIFICA SPINOTTO'!$H$8/2)^2*PI()*APPROFONDIMENTI!$F$34/'VERIFICA SPINOTTO'!$H$10*1/3*10^-3,0)</f>
        <v>133.13591698874413</v>
      </c>
      <c r="Q31" s="56">
        <f t="shared" si="3"/>
        <v>299.95814223107033</v>
      </c>
      <c r="R31">
        <f>2*C31*'dati nascosti'!$L$48*APPROFONDIMENTI!$F$13*10^-3</f>
        <v>33.686308253582084</v>
      </c>
      <c r="S31">
        <f>IF('VERIFICA SPINOTTO'!$H$11='dati nascosti'!$E$8,391.3*('VERIFICA SPINOTTO'!$H$8/2)^2*PI()*'VERIFICA SPINOTTO'!$H$9*APPROFONDIMENTI!$F$34/'VERIFICA SPINOTTO'!$H$10*1/3*10^-3,0)</f>
        <v>266.27183397748826</v>
      </c>
    </row>
    <row r="32" spans="3:19" x14ac:dyDescent="0.25">
      <c r="C32" s="25">
        <v>20</v>
      </c>
      <c r="D32" s="20">
        <f>(1.2*C32^2*(APPROFONDIMENTI!$F$22*APPROFONDIMENTI!$F$10)^0.5)*10^-3</f>
        <v>74.077843897630686</v>
      </c>
      <c r="E32" s="20">
        <f>C32^2*(APPROFONDIMENTI!$F$9*'dati nascosti'!$L$45*(1-('dati nascosti'!$L$46/'dati nascosti'!$L$45)^2))^0.5*10^-3</f>
        <v>81.077740471722578</v>
      </c>
      <c r="F32" s="20">
        <f>(1.3*C32^2*(APPROFONDIMENTI!$F$22*APPROFONDIMENTI!$F$10)^0.5)*10^-3</f>
        <v>80.250997555766574</v>
      </c>
      <c r="G32" s="20">
        <f>(1.3*C32^2*(APPROFONDIMENTI!$F$22*APPROFONDIMENTI!$F$10)^0.5)*10^-3*0.5</f>
        <v>40.125498777883287</v>
      </c>
      <c r="H32" s="20">
        <f t="shared" si="0"/>
        <v>61.088619103105536</v>
      </c>
      <c r="I32" s="20">
        <f t="shared" si="1"/>
        <v>22.775536487530655</v>
      </c>
      <c r="J32" s="1">
        <v>1</v>
      </c>
      <c r="K32" s="30">
        <f>(10*APPROFONDIMENTI!$F$10*C32*$K$22)</f>
        <v>60866.666666666657</v>
      </c>
      <c r="L32" s="30">
        <f>(10*APPROFONDIMENTI!$F$10*C32*$L$22)</f>
        <v>304333.33333333331</v>
      </c>
      <c r="M32" s="30">
        <f>-1.7*C32^4*APPROFONDIMENTI!$F$10*'dati nascosti'!$L$45</f>
        <v>-7450080000</v>
      </c>
      <c r="N32" s="55">
        <f t="shared" si="2"/>
        <v>162.55782515497989</v>
      </c>
      <c r="O32" s="54">
        <f>5*C32*'dati nascosti'!$L$47*APPROFONDIMENTI!$F$13*('dati nascosti'!$L$47/(0.66*'dati nascosti'!$L$47+'dati nascosti'!$L$43))*10^-3</f>
        <v>29.421908166235774</v>
      </c>
      <c r="P32" s="54">
        <f>IF('VERIFICA SPINOTTO'!$H$11='dati nascosti'!$E$8,391.3*('VERIFICA SPINOTTO'!$H$8/2)^2*PI()*APPROFONDIMENTI!$F$34/'VERIFICA SPINOTTO'!$H$10*1/3*10^-3,0)</f>
        <v>133.13591698874413</v>
      </c>
      <c r="Q32" s="56">
        <f t="shared" si="3"/>
        <v>303.70106537035724</v>
      </c>
      <c r="R32">
        <f>2*C32*'dati nascosti'!$L$48*APPROFONDIMENTI!$F$13*10^-3</f>
        <v>37.429231392868978</v>
      </c>
      <c r="S32">
        <f>IF('VERIFICA SPINOTTO'!$H$11='dati nascosti'!$E$8,391.3*('VERIFICA SPINOTTO'!$H$8/2)^2*PI()*'VERIFICA SPINOTTO'!$H$9*APPROFONDIMENTI!$F$34/'VERIFICA SPINOTTO'!$H$10*1/3*10^-3,0)</f>
        <v>266.27183397748826</v>
      </c>
    </row>
    <row r="33" spans="3:19" x14ac:dyDescent="0.25">
      <c r="C33" s="25">
        <v>22</v>
      </c>
      <c r="D33" s="20">
        <f>(1.2*C33^2*(APPROFONDIMENTI!$F$22*APPROFONDIMENTI!$F$10)^0.5)*10^-3</f>
        <v>89.63419111613311</v>
      </c>
      <c r="E33" s="20">
        <f>C33^2*(APPROFONDIMENTI!$F$9*'dati nascosti'!$L$45*(1-('dati nascosti'!$L$46/'dati nascosti'!$L$45)^2))^0.5*10^-3</f>
        <v>98.104065970784319</v>
      </c>
      <c r="F33" s="20">
        <f>(1.3*C33^2*(APPROFONDIMENTI!$F$22*APPROFONDIMENTI!$F$10)^0.5)*10^-3</f>
        <v>97.103707042477566</v>
      </c>
      <c r="G33" s="20">
        <f>(1.3*C33^2*(APPROFONDIMENTI!$F$22*APPROFONDIMENTI!$F$10)^0.5)*10^-3*0.5</f>
        <v>48.551853521238783</v>
      </c>
      <c r="H33" s="20">
        <f t="shared" si="0"/>
        <v>76.197164939195972</v>
      </c>
      <c r="I33" s="20">
        <f t="shared" si="1"/>
        <v>29.910463846856235</v>
      </c>
      <c r="J33" s="1">
        <v>1</v>
      </c>
      <c r="K33" s="30">
        <f>(10*APPROFONDIMENTI!$F$10*C33*$K$22)</f>
        <v>66953.333333333328</v>
      </c>
      <c r="L33" s="30">
        <f>(10*APPROFONDIMENTI!$F$10*C33*$L$22)</f>
        <v>334766.66666666663</v>
      </c>
      <c r="M33" s="30">
        <f>-1.7*C33^4*APPROFONDIMENTI!$F$10*'dati nascosti'!$L$45</f>
        <v>-10907662128.000002</v>
      </c>
      <c r="N33" s="55">
        <f t="shared" si="2"/>
        <v>165.50001597160349</v>
      </c>
      <c r="O33" s="54">
        <f>5*C33*'dati nascosti'!$L$47*APPROFONDIMENTI!$F$13*('dati nascosti'!$L$47/(0.66*'dati nascosti'!$L$47+'dati nascosti'!$L$43))*10^-3</f>
        <v>32.364098982859346</v>
      </c>
      <c r="P33" s="54">
        <f>IF('VERIFICA SPINOTTO'!$H$11='dati nascosti'!$E$8,391.3*('VERIFICA SPINOTTO'!$H$8/2)^2*PI()*APPROFONDIMENTI!$F$34/'VERIFICA SPINOTTO'!$H$10*1/3*10^-3,0)</f>
        <v>133.13591698874413</v>
      </c>
      <c r="Q33" s="56">
        <f t="shared" si="3"/>
        <v>307.44398850964416</v>
      </c>
      <c r="R33">
        <f>2*C33*'dati nascosti'!$L$48*APPROFONDIMENTI!$F$13*10^-3</f>
        <v>41.172154532155879</v>
      </c>
      <c r="S33">
        <f>IF('VERIFICA SPINOTTO'!$H$11='dati nascosti'!$E$8,391.3*('VERIFICA SPINOTTO'!$H$8/2)^2*PI()*'VERIFICA SPINOTTO'!$H$9*APPROFONDIMENTI!$F$34/'VERIFICA SPINOTTO'!$H$10*1/3*10^-3,0)</f>
        <v>266.27183397748826</v>
      </c>
    </row>
    <row r="34" spans="3:19" x14ac:dyDescent="0.25">
      <c r="C34" s="25">
        <v>24</v>
      </c>
      <c r="D34" s="20">
        <f>(1.2*C34^2*(APPROFONDIMENTI!$F$22*APPROFONDIMENTI!$F$10)^0.5)*10^-3</f>
        <v>106.67209521258816</v>
      </c>
      <c r="E34" s="20">
        <f>C34^2*(APPROFONDIMENTI!$F$9*'dati nascosti'!$L$45*(1-('dati nascosti'!$L$46/'dati nascosti'!$L$45)^2))^0.5*10^-3</f>
        <v>116.75194627928052</v>
      </c>
      <c r="F34" s="20">
        <f>(1.3*C34^2*(APPROFONDIMENTI!$F$22*APPROFONDIMENTI!$F$10)^0.5)*10^-3</f>
        <v>115.56143648030387</v>
      </c>
      <c r="G34" s="20">
        <f>(1.3*C34^2*(APPROFONDIMENTI!$F$22*APPROFONDIMENTI!$F$10)^0.5)*10^-3*0.5</f>
        <v>57.780718240151934</v>
      </c>
      <c r="H34" s="20">
        <f t="shared" si="0"/>
        <v>93.026116452790674</v>
      </c>
      <c r="I34" s="20">
        <f t="shared" si="1"/>
        <v>38.287405453547748</v>
      </c>
      <c r="J34" s="1">
        <v>1</v>
      </c>
      <c r="K34" s="30">
        <f>(10*APPROFONDIMENTI!$F$10*C34*$K$22)</f>
        <v>73040</v>
      </c>
      <c r="L34" s="30">
        <f>(10*APPROFONDIMENTI!$F$10*C34*$L$22)</f>
        <v>365200</v>
      </c>
      <c r="M34" s="30">
        <f>-1.7*C34^4*APPROFONDIMENTI!$F$10*'dati nascosti'!$L$45</f>
        <v>-15448485888</v>
      </c>
      <c r="N34" s="55">
        <f t="shared" si="2"/>
        <v>168.44220678822705</v>
      </c>
      <c r="O34" s="54">
        <f>5*C34*'dati nascosti'!$L$47*APPROFONDIMENTI!$F$13*('dati nascosti'!$L$47/(0.66*'dati nascosti'!$L$47+'dati nascosti'!$L$43))*10^-3</f>
        <v>35.306289799482926</v>
      </c>
      <c r="P34" s="54">
        <f>IF('VERIFICA SPINOTTO'!$H$11='dati nascosti'!$E$8,391.3*('VERIFICA SPINOTTO'!$H$8/2)^2*PI()*APPROFONDIMENTI!$F$34/'VERIFICA SPINOTTO'!$H$10*1/3*10^-3,0)</f>
        <v>133.13591698874413</v>
      </c>
      <c r="Q34" s="56">
        <f t="shared" si="3"/>
        <v>311.18691164893102</v>
      </c>
      <c r="R34">
        <f>2*C34*'dati nascosti'!$L$48*APPROFONDIMENTI!$F$13*10^-3</f>
        <v>44.915077671442774</v>
      </c>
      <c r="S34">
        <f>IF('VERIFICA SPINOTTO'!$H$11='dati nascosti'!$E$8,391.3*('VERIFICA SPINOTTO'!$H$8/2)^2*PI()*'VERIFICA SPINOTTO'!$H$9*APPROFONDIMENTI!$F$34/'VERIFICA SPINOTTO'!$H$10*1/3*10^-3,0)</f>
        <v>266.27183397748826</v>
      </c>
    </row>
    <row r="35" spans="3:19" x14ac:dyDescent="0.25">
      <c r="C35" s="25">
        <v>26</v>
      </c>
      <c r="D35" s="20">
        <f>(1.2*C35^2*(APPROFONDIMENTI!$F$22*APPROFONDIMENTI!$F$10)^0.5)*10^-3</f>
        <v>125.19155618699584</v>
      </c>
      <c r="E35" s="20">
        <f>C35^2*(APPROFONDIMENTI!$F$9*'dati nascosti'!$L$45*(1-('dati nascosti'!$L$46/'dati nascosti'!$L$45)^2))^0.5*10^-3</f>
        <v>137.02138139721114</v>
      </c>
      <c r="F35" s="20">
        <f>(1.3*C35^2*(APPROFONDIMENTI!$F$22*APPROFONDIMENTI!$F$10)^0.5)*10^-3</f>
        <v>135.62418586924551</v>
      </c>
      <c r="G35" s="20">
        <f>(1.3*C35^2*(APPROFONDIMENTI!$F$22*APPROFONDIMENTI!$F$10)^0.5)*10^-3*0.5</f>
        <v>67.812092934622754</v>
      </c>
      <c r="H35" s="20">
        <f t="shared" si="0"/>
        <v>111.5771008080454</v>
      </c>
      <c r="I35" s="20">
        <f t="shared" si="1"/>
        <v>47.966992471021136</v>
      </c>
      <c r="J35" s="1">
        <v>1</v>
      </c>
      <c r="K35" s="30">
        <f>(10*APPROFONDIMENTI!$F$10*C35*$K$22)</f>
        <v>79126.666666666657</v>
      </c>
      <c r="L35" s="30">
        <f>(10*APPROFONDIMENTI!$F$10*C35*$L$22)</f>
        <v>395633.33333333331</v>
      </c>
      <c r="M35" s="30">
        <f>-1.7*C35^4*APPROFONDIMENTI!$F$10*'dati nascosti'!$L$45</f>
        <v>-21278173487.999996</v>
      </c>
      <c r="N35" s="55">
        <f t="shared" si="2"/>
        <v>171.38439760485062</v>
      </c>
      <c r="O35" s="54">
        <f>5*C35*'dati nascosti'!$L$47*APPROFONDIMENTI!$F$13*('dati nascosti'!$L$47/(0.66*'dati nascosti'!$L$47+'dati nascosti'!$L$43))*10^-3</f>
        <v>38.248480616106505</v>
      </c>
      <c r="P35" s="54">
        <f>IF('VERIFICA SPINOTTO'!$H$11='dati nascosti'!$E$8,391.3*('VERIFICA SPINOTTO'!$H$8/2)^2*PI()*APPROFONDIMENTI!$F$34/'VERIFICA SPINOTTO'!$H$10*1/3*10^-3,0)</f>
        <v>133.13591698874413</v>
      </c>
      <c r="Q35" s="56">
        <f t="shared" si="3"/>
        <v>314.92983478821793</v>
      </c>
      <c r="R35">
        <f>2*C35*'dati nascosti'!$L$48*APPROFONDIMENTI!$F$13*10^-3</f>
        <v>48.658000810729668</v>
      </c>
      <c r="S35">
        <f>IF('VERIFICA SPINOTTO'!$H$11='dati nascosti'!$E$8,391.3*('VERIFICA SPINOTTO'!$H$8/2)^2*PI()*'VERIFICA SPINOTTO'!$H$9*APPROFONDIMENTI!$F$34/'VERIFICA SPINOTTO'!$H$10*1/3*10^-3,0)</f>
        <v>266.27183397748826</v>
      </c>
    </row>
    <row r="36" spans="3:19" x14ac:dyDescent="0.25">
      <c r="C36" s="25">
        <v>27</v>
      </c>
      <c r="D36" s="20">
        <f>(1.2*C36^2*(APPROFONDIMENTI!$F$22*APPROFONDIMENTI!$F$10)^0.5)*10^-3</f>
        <v>135.00687050343191</v>
      </c>
      <c r="E36" s="20">
        <f>C36^2*(APPROFONDIMENTI!$F$9*'dati nascosti'!$L$45*(1-('dati nascosti'!$L$46/'dati nascosti'!$L$45)^2))^0.5*10^-3</f>
        <v>147.7641820097144</v>
      </c>
      <c r="F36" s="20">
        <f>(1.3*C36^2*(APPROFONDIMENTI!$F$22*APPROFONDIMENTI!$F$10)^0.5)*10^-3</f>
        <v>146.25744304538458</v>
      </c>
      <c r="G36" s="20">
        <f>(1.3*C36^2*(APPROFONDIMENTI!$F$22*APPROFONDIMENTI!$F$10)^0.5)*10^-3*0.5</f>
        <v>73.128721522692288</v>
      </c>
      <c r="H36" s="20">
        <f t="shared" ref="H36" si="4">(-K36+(K36^2-4*J36*M36)^0.5)/2*10^-3</f>
        <v>121.4987153837985</v>
      </c>
      <c r="I36" s="20">
        <f t="shared" ref="I36" si="5">(-L36+(L36^2-4*J36*M36)^0.5)/2*10^-3</f>
        <v>53.312159890109328</v>
      </c>
      <c r="J36" s="68">
        <v>1</v>
      </c>
      <c r="K36" s="30">
        <f>(10*APPROFONDIMENTI!$F$10*C36*$K$22)</f>
        <v>82170</v>
      </c>
      <c r="L36" s="30">
        <f>(10*APPROFONDIMENTI!$F$10*C36*$L$22)</f>
        <v>410850</v>
      </c>
      <c r="M36" s="30">
        <f>-1.7*C36^4*APPROFONDIMENTI!$F$10*'dati nascosti'!$L$45</f>
        <v>-24745487282.999996</v>
      </c>
      <c r="N36" s="55">
        <f t="shared" ref="N36" si="6">O36+P36</f>
        <v>172.85549301316243</v>
      </c>
      <c r="O36" s="54">
        <f>5*C36*'dati nascosti'!$L$47*APPROFONDIMENTI!$F$13*('dati nascosti'!$L$47/(0.66*'dati nascosti'!$L$47+'dati nascosti'!$L$43))*10^-3</f>
        <v>39.719576024418295</v>
      </c>
      <c r="P36" s="54">
        <f>IF('VERIFICA SPINOTTO'!$H$11='dati nascosti'!$E$8,391.3*('VERIFICA SPINOTTO'!$H$8/2)^2*PI()*APPROFONDIMENTI!$F$34/'VERIFICA SPINOTTO'!$H$10*1/3*10^-3,0)</f>
        <v>133.13591698874413</v>
      </c>
      <c r="Q36" s="56">
        <f t="shared" ref="Q36" si="7">S36+R36</f>
        <v>316.80129635786136</v>
      </c>
      <c r="R36">
        <f>2*C36*'dati nascosti'!$L$48*APPROFONDIMENTI!$F$13*10^-3</f>
        <v>50.529462380373126</v>
      </c>
      <c r="S36">
        <f>IF('VERIFICA SPINOTTO'!$H$11='dati nascosti'!$E$8,391.3*('VERIFICA SPINOTTO'!$H$8/2)^2*PI()*'VERIFICA SPINOTTO'!$H$9*APPROFONDIMENTI!$F$34/'VERIFICA SPINOTTO'!$H$10*1/3*10^-3,0)</f>
        <v>266.27183397748826</v>
      </c>
    </row>
    <row r="37" spans="3:19" x14ac:dyDescent="0.25">
      <c r="C37" s="25">
        <v>28</v>
      </c>
      <c r="D37" s="20">
        <f>(1.2*C37^2*(APPROFONDIMENTI!$F$22*APPROFONDIMENTI!$F$10)^0.5)*10^-3</f>
        <v>145.19257403935612</v>
      </c>
      <c r="E37" s="20">
        <f>C37^2*(APPROFONDIMENTI!$F$9*'dati nascosti'!$L$45*(1-('dati nascosti'!$L$46/'dati nascosti'!$L$45)^2))^0.5*10^-3</f>
        <v>158.91237132457624</v>
      </c>
      <c r="F37" s="20">
        <f>(1.3*C37^2*(APPROFONDIMENTI!$F$22*APPROFONDIMENTI!$F$10)^0.5)*10^-3</f>
        <v>157.2919552093025</v>
      </c>
      <c r="G37" s="20">
        <f>(1.3*C37^2*(APPROFONDIMENTI!$F$22*APPROFONDIMENTI!$F$10)^0.5)*10^-3*0.5</f>
        <v>78.64597760465125</v>
      </c>
      <c r="H37" s="20">
        <f t="shared" si="0"/>
        <v>131.85122330235839</v>
      </c>
      <c r="I37" s="20">
        <f t="shared" si="1"/>
        <v>59.002378364802162</v>
      </c>
      <c r="J37" s="1">
        <v>1</v>
      </c>
      <c r="K37" s="30">
        <f>(10*APPROFONDIMENTI!$F$10*C37*$K$22)</f>
        <v>85213.333333333314</v>
      </c>
      <c r="L37" s="30">
        <f>(10*APPROFONDIMENTI!$F$10*C37*$L$22)</f>
        <v>426066.66666666663</v>
      </c>
      <c r="M37" s="30">
        <f>-1.7*C37^4*APPROFONDIMENTI!$F$10*'dati nascosti'!$L$45</f>
        <v>-28620227328</v>
      </c>
      <c r="N37" s="55">
        <f t="shared" si="2"/>
        <v>174.32658842147421</v>
      </c>
      <c r="O37" s="54">
        <f>5*C37*'dati nascosti'!$L$47*APPROFONDIMENTI!$F$13*('dati nascosti'!$L$47/(0.66*'dati nascosti'!$L$47+'dati nascosti'!$L$43))*10^-3</f>
        <v>41.190671432730085</v>
      </c>
      <c r="P37" s="54">
        <f>IF('VERIFICA SPINOTTO'!$H$11='dati nascosti'!$E$8,391.3*('VERIFICA SPINOTTO'!$H$8/2)^2*PI()*APPROFONDIMENTI!$F$34/'VERIFICA SPINOTTO'!$H$10*1/3*10^-3,0)</f>
        <v>133.13591698874413</v>
      </c>
      <c r="Q37" s="56">
        <f t="shared" si="3"/>
        <v>318.67275792750485</v>
      </c>
      <c r="R37">
        <f>2*C37*'dati nascosti'!$L$48*APPROFONDIMENTI!$F$13*10^-3</f>
        <v>52.400923950016569</v>
      </c>
      <c r="S37">
        <f>IF('VERIFICA SPINOTTO'!$H$11='dati nascosti'!$E$8,391.3*('VERIFICA SPINOTTO'!$H$8/2)^2*PI()*'VERIFICA SPINOTTO'!$H$9*APPROFONDIMENTI!$F$34/'VERIFICA SPINOTTO'!$H$10*1/3*10^-3,0)</f>
        <v>266.27183397748826</v>
      </c>
    </row>
    <row r="38" spans="3:19" x14ac:dyDescent="0.25">
      <c r="C38" s="25">
        <v>30</v>
      </c>
      <c r="D38" s="20">
        <f>(1.2*C38^2*(APPROFONDIMENTI!$F$22*APPROFONDIMENTI!$F$10)^0.5)*10^-3</f>
        <v>166.67514876966902</v>
      </c>
      <c r="E38" s="20">
        <f>C38^2*(APPROFONDIMENTI!$F$9*'dati nascosti'!$L$45*(1-('dati nascosti'!$L$46/'dati nascosti'!$L$45)^2))^0.5*10^-3</f>
        <v>182.4249160613758</v>
      </c>
      <c r="F38" s="20">
        <f>(1.3*C38^2*(APPROFONDIMENTI!$F$22*APPROFONDIMENTI!$F$10)^0.5)*10^-3</f>
        <v>180.56474450047477</v>
      </c>
      <c r="G38" s="20">
        <f>(1.3*C38^2*(APPROFONDIMENTI!$F$22*APPROFONDIMENTI!$F$10)^0.5)*10^-3*0.5</f>
        <v>90.282372250237387</v>
      </c>
      <c r="H38" s="20">
        <f t="shared" si="0"/>
        <v>153.84925438457157</v>
      </c>
      <c r="I38" s="20">
        <f t="shared" si="1"/>
        <v>71.439993993793493</v>
      </c>
      <c r="J38" s="1">
        <v>1</v>
      </c>
      <c r="K38" s="30">
        <f>(10*APPROFONDIMENTI!$F$10*C38*$K$22)</f>
        <v>91300</v>
      </c>
      <c r="L38" s="30">
        <f>(10*APPROFONDIMENTI!$F$10*C38*$L$22)</f>
        <v>456500</v>
      </c>
      <c r="M38" s="30">
        <f>-1.7*C38^4*APPROFONDIMENTI!$F$10*'dati nascosti'!$L$45</f>
        <v>-37716030000</v>
      </c>
      <c r="N38" s="55">
        <f t="shared" si="2"/>
        <v>177.26877923809781</v>
      </c>
      <c r="O38" s="54">
        <f>5*C38*'dati nascosti'!$L$47*APPROFONDIMENTI!$F$13*('dati nascosti'!$L$47/(0.66*'dati nascosti'!$L$47+'dati nascosti'!$L$43))*10^-3</f>
        <v>44.132862249353671</v>
      </c>
      <c r="P38" s="54">
        <f>IF('VERIFICA SPINOTTO'!$H$11='dati nascosti'!$E$8,391.3*('VERIFICA SPINOTTO'!$H$8/2)^2*PI()*APPROFONDIMENTI!$F$34/'VERIFICA SPINOTTO'!$H$10*1/3*10^-3,0)</f>
        <v>133.13591698874413</v>
      </c>
      <c r="Q38" s="56">
        <f t="shared" si="3"/>
        <v>322.41568106679171</v>
      </c>
      <c r="R38">
        <f>2*C38*'dati nascosti'!$L$48*APPROFONDIMENTI!$F$13*10^-3</f>
        <v>56.14384708930347</v>
      </c>
      <c r="S38">
        <f>IF('VERIFICA SPINOTTO'!$H$11='dati nascosti'!$E$8,391.3*('VERIFICA SPINOTTO'!$H$8/2)^2*PI()*'VERIFICA SPINOTTO'!$H$9*APPROFONDIMENTI!$F$34/'VERIFICA SPINOTTO'!$H$10*1/3*10^-3,0)</f>
        <v>266.27183397748826</v>
      </c>
    </row>
    <row r="39" spans="3:19" x14ac:dyDescent="0.25">
      <c r="C39" s="25">
        <v>32</v>
      </c>
      <c r="D39" s="20">
        <f>(1.2*C39^2*(APPROFONDIMENTI!$F$22*APPROFONDIMENTI!$F$10)^0.5)*10^-3</f>
        <v>189.63928037793454</v>
      </c>
      <c r="E39" s="20">
        <f>C39^2*(APPROFONDIMENTI!$F$9*'dati nascosti'!$L$45*(1-('dati nascosti'!$L$46/'dati nascosti'!$L$45)^2))^0.5*10^-3</f>
        <v>207.55901560760981</v>
      </c>
      <c r="F39" s="20">
        <f>(1.3*C39^2*(APPROFONDIMENTI!$F$22*APPROFONDIMENTI!$F$10)^0.5)*10^-3</f>
        <v>205.44255374276241</v>
      </c>
      <c r="G39" s="20">
        <f>(1.3*C39^2*(APPROFONDIMENTI!$F$22*APPROFONDIMENTI!$F$10)^0.5)*10^-3*0.5</f>
        <v>102.72127687138121</v>
      </c>
      <c r="H39" s="20">
        <f t="shared" ref="H39" si="8">(-K39+(K39^2-4*J39*M39)^0.5)/2*10^-3</f>
        <v>177.57174351042335</v>
      </c>
      <c r="I39" s="20">
        <f t="shared" ref="I39" si="9">(-L39+(L39^2-4*J39*M39)^0.5)/2*10^-3</f>
        <v>85.32028877070735</v>
      </c>
      <c r="J39" s="68">
        <v>1</v>
      </c>
      <c r="K39" s="30">
        <f>(10*APPROFONDIMENTI!$F$10*C39*$K$22)</f>
        <v>97386.666666666657</v>
      </c>
      <c r="L39" s="30">
        <f>(10*APPROFONDIMENTI!$F$10*C39*$L$22)</f>
        <v>486933.33333333331</v>
      </c>
      <c r="M39" s="30">
        <f>-1.7*C39^4*APPROFONDIMENTI!$F$10*'dati nascosti'!$L$45</f>
        <v>-48824844288</v>
      </c>
      <c r="N39" s="55">
        <f t="shared" ref="N39" si="10">O39+P39</f>
        <v>180.21097005472137</v>
      </c>
      <c r="O39" s="54">
        <f>5*C39*'dati nascosti'!$L$47*APPROFONDIMENTI!$F$13*('dati nascosti'!$L$47/(0.66*'dati nascosti'!$L$47+'dati nascosti'!$L$43))*10^-3</f>
        <v>47.075053065977244</v>
      </c>
      <c r="P39" s="54">
        <f>IF('VERIFICA SPINOTTO'!$H$11='dati nascosti'!$E$8,391.3*('VERIFICA SPINOTTO'!$H$8/2)^2*PI()*APPROFONDIMENTI!$F$34/'VERIFICA SPINOTTO'!$H$10*1/3*10^-3,0)</f>
        <v>133.13591698874413</v>
      </c>
      <c r="Q39" s="56">
        <f t="shared" ref="Q39" si="11">S39+R39</f>
        <v>326.15860420607862</v>
      </c>
      <c r="R39">
        <f>2*C39*'dati nascosti'!$L$48*APPROFONDIMENTI!$F$13*10^-3</f>
        <v>59.886770228590365</v>
      </c>
      <c r="S39">
        <f>IF('VERIFICA SPINOTTO'!$H$11='dati nascosti'!$E$8,391.3*('VERIFICA SPINOTTO'!$H$8/2)^2*PI()*'VERIFICA SPINOTTO'!$H$9*APPROFONDIMENTI!$F$34/'VERIFICA SPINOTTO'!$H$10*1/3*10^-3,0)</f>
        <v>266.27183397748826</v>
      </c>
    </row>
    <row r="41" spans="3:19" x14ac:dyDescent="0.25">
      <c r="C41" s="29"/>
      <c r="D41" s="30"/>
    </row>
    <row r="42" spans="3:19" x14ac:dyDescent="0.25">
      <c r="C42" s="29"/>
      <c r="D42" s="30"/>
    </row>
    <row r="43" spans="3:19" x14ac:dyDescent="0.25">
      <c r="C43" s="29"/>
      <c r="D43" s="31" t="s">
        <v>83</v>
      </c>
      <c r="E43" s="23" t="s">
        <v>84</v>
      </c>
      <c r="F43" s="23" t="s">
        <v>85</v>
      </c>
      <c r="J43" s="2" t="s">
        <v>52</v>
      </c>
      <c r="K43" s="10" t="s">
        <v>53</v>
      </c>
      <c r="L43" s="22">
        <f>'dati nascosti'!G10</f>
        <v>26.726155439876237</v>
      </c>
    </row>
    <row r="44" spans="3:19" x14ac:dyDescent="0.25">
      <c r="C44" s="29">
        <f t="shared" ref="C44:C50" si="12">C28</f>
        <v>12</v>
      </c>
      <c r="D44" s="30">
        <f t="shared" ref="D44:D52" si="13">(C44/2)^2*PI()</f>
        <v>113.09733552923255</v>
      </c>
      <c r="E44" s="1">
        <v>84</v>
      </c>
      <c r="F44" s="34">
        <f>2*(E44/PI())^0.5</f>
        <v>10.341765891652821</v>
      </c>
      <c r="G44">
        <f>E44/D44</f>
        <v>0.74272306776217822</v>
      </c>
      <c r="J44" s="2" t="s">
        <v>58</v>
      </c>
      <c r="K44" s="10" t="s">
        <v>59</v>
      </c>
      <c r="L44" s="22">
        <f>'VERIFICA SPINOTTO'!H15</f>
        <v>11</v>
      </c>
    </row>
    <row r="45" spans="3:19" x14ac:dyDescent="0.25">
      <c r="C45" s="29">
        <f t="shared" si="12"/>
        <v>14</v>
      </c>
      <c r="D45" s="30">
        <f t="shared" si="13"/>
        <v>153.93804002589985</v>
      </c>
      <c r="E45" s="1">
        <v>115</v>
      </c>
      <c r="F45" s="34">
        <f t="shared" ref="F45:F52" si="14">2*(E45/PI())^0.5</f>
        <v>12.100518486599809</v>
      </c>
      <c r="G45">
        <f t="shared" ref="G45:G51" si="15">E45/D45</f>
        <v>0.74705381451297814</v>
      </c>
      <c r="J45" s="2" t="s">
        <v>60</v>
      </c>
      <c r="K45" s="10" t="s">
        <v>61</v>
      </c>
      <c r="L45" s="7">
        <f>'VERIFICA SPINOTTO'!H16</f>
        <v>900</v>
      </c>
    </row>
    <row r="46" spans="3:19" x14ac:dyDescent="0.25">
      <c r="C46" s="29">
        <f t="shared" si="12"/>
        <v>16</v>
      </c>
      <c r="D46" s="30">
        <f t="shared" si="13"/>
        <v>201.06192982974676</v>
      </c>
      <c r="E46" s="1">
        <v>157</v>
      </c>
      <c r="F46" s="34">
        <f t="shared" si="14"/>
        <v>14.138550439257221</v>
      </c>
      <c r="G46">
        <f t="shared" si="15"/>
        <v>0.78085393954461157</v>
      </c>
      <c r="J46" s="2" t="s">
        <v>63</v>
      </c>
      <c r="K46" s="23" t="s">
        <v>62</v>
      </c>
      <c r="L46" s="7">
        <f>'VERIFICA SPINOTTO'!H17</f>
        <v>0</v>
      </c>
    </row>
    <row r="47" spans="3:19" x14ac:dyDescent="0.25">
      <c r="C47" s="29">
        <f t="shared" si="12"/>
        <v>18</v>
      </c>
      <c r="D47" s="30">
        <f t="shared" si="13"/>
        <v>254.46900494077323</v>
      </c>
      <c r="E47" s="1">
        <v>192</v>
      </c>
      <c r="F47" s="34">
        <f t="shared" si="14"/>
        <v>15.635280380893438</v>
      </c>
      <c r="G47">
        <f t="shared" si="15"/>
        <v>0.75451232280602243</v>
      </c>
      <c r="J47" s="2" t="s">
        <v>80</v>
      </c>
      <c r="K47" s="10" t="s">
        <v>57</v>
      </c>
      <c r="L47" s="22">
        <f>'VERIFICA SPINOTTO'!H7</f>
        <v>140</v>
      </c>
    </row>
    <row r="48" spans="3:19" x14ac:dyDescent="0.25">
      <c r="C48" s="29">
        <f t="shared" si="12"/>
        <v>20</v>
      </c>
      <c r="D48" s="30">
        <f t="shared" si="13"/>
        <v>314.15926535897933</v>
      </c>
      <c r="E48" s="1">
        <v>245</v>
      </c>
      <c r="F48" s="34">
        <f t="shared" si="14"/>
        <v>17.66192765414112</v>
      </c>
      <c r="G48">
        <f t="shared" si="15"/>
        <v>0.77985922115028716</v>
      </c>
      <c r="J48" s="2" t="s">
        <v>65</v>
      </c>
      <c r="K48" s="10" t="s">
        <v>64</v>
      </c>
      <c r="L48" s="22">
        <f>IF('VERIFICA SPINOTTO'!H5=0,'VERIFICA SPINOTTO'!H4-'dati nascosti'!G10*'VERIFICA SPINOTTO'!H13,'VERIFICA SPINOTTO'!H5)</f>
        <v>523.27384456012373</v>
      </c>
    </row>
    <row r="49" spans="3:10" x14ac:dyDescent="0.25">
      <c r="C49" s="29">
        <f t="shared" si="12"/>
        <v>22</v>
      </c>
      <c r="D49" s="30">
        <f t="shared" si="13"/>
        <v>380.13271108436498</v>
      </c>
      <c r="E49" s="1">
        <v>303</v>
      </c>
      <c r="F49" s="34">
        <f t="shared" si="14"/>
        <v>19.641577891166339</v>
      </c>
      <c r="G49">
        <f t="shared" si="15"/>
        <v>0.79709004556767415</v>
      </c>
    </row>
    <row r="50" spans="3:10" x14ac:dyDescent="0.25">
      <c r="C50" s="29">
        <f t="shared" si="12"/>
        <v>24</v>
      </c>
      <c r="D50" s="30">
        <f t="shared" si="13"/>
        <v>452.38934211693021</v>
      </c>
      <c r="E50" s="1">
        <v>353</v>
      </c>
      <c r="F50" s="34">
        <f t="shared" si="14"/>
        <v>21.200319792199185</v>
      </c>
      <c r="G50">
        <f t="shared" si="15"/>
        <v>0.78030131821443138</v>
      </c>
    </row>
    <row r="51" spans="3:10" x14ac:dyDescent="0.25">
      <c r="C51" s="29">
        <v>27</v>
      </c>
      <c r="D51" s="30">
        <f t="shared" si="13"/>
        <v>572.55526111673976</v>
      </c>
      <c r="E51" s="1">
        <v>459</v>
      </c>
      <c r="F51" s="34">
        <f t="shared" si="14"/>
        <v>24.174717186214188</v>
      </c>
      <c r="G51">
        <f t="shared" si="15"/>
        <v>0.8016693429813988</v>
      </c>
    </row>
    <row r="52" spans="3:10" x14ac:dyDescent="0.25">
      <c r="C52" s="29">
        <v>30</v>
      </c>
      <c r="D52" s="30">
        <f t="shared" si="13"/>
        <v>706.85834705770344</v>
      </c>
      <c r="E52" s="68">
        <v>561</v>
      </c>
      <c r="F52" s="34">
        <f t="shared" si="14"/>
        <v>26.726155439876237</v>
      </c>
      <c r="G52">
        <f t="shared" ref="G52" si="16">E52/D52</f>
        <v>0.79365264955158477</v>
      </c>
    </row>
    <row r="53" spans="3:10" x14ac:dyDescent="0.25">
      <c r="C53" s="29"/>
      <c r="D53" s="30"/>
    </row>
    <row r="54" spans="3:10" x14ac:dyDescent="0.25">
      <c r="C54" s="29"/>
      <c r="D54" s="30"/>
    </row>
    <row r="55" spans="3:10" x14ac:dyDescent="0.25">
      <c r="C55" s="29"/>
    </row>
    <row r="56" spans="3:10" x14ac:dyDescent="0.25">
      <c r="C56" s="78">
        <v>6</v>
      </c>
      <c r="D56" s="77" t="s">
        <v>98</v>
      </c>
      <c r="E56" s="77"/>
      <c r="F56" s="77"/>
    </row>
    <row r="57" spans="3:10" x14ac:dyDescent="0.25">
      <c r="C57" s="78"/>
      <c r="D57" s="77"/>
      <c r="E57" s="77"/>
      <c r="F57" s="77"/>
      <c r="G57" s="10" t="s">
        <v>96</v>
      </c>
      <c r="H57" s="43">
        <f>(1.3*'dati nascosti'!L43^2*(APPROFONDIMENTI!F22*APPROFONDIMENTI!F10)^0.5)*10^-3*0.5</f>
        <v>71.652843944203354</v>
      </c>
    </row>
    <row r="58" spans="3:10" x14ac:dyDescent="0.25">
      <c r="C58" s="1"/>
      <c r="D58" s="50"/>
      <c r="E58" s="50"/>
      <c r="F58" s="50"/>
      <c r="G58" s="10"/>
      <c r="H58" s="51"/>
    </row>
    <row r="61" spans="3:10" x14ac:dyDescent="0.25">
      <c r="F61" s="79" t="str">
        <f>IF(C64=APPROFONDIMENTI!F44,APPROFONDIMENTI!B38,IF(C64=APPROFONDIMENTI!F52,APPROFONDIMENTI!B50,IF(C64=APPROFONDIMENTI!F58,APPROFONDIMENTI!B56,IF(C64=APPROFONDIMENTI!F65,APPROFONDIMENTI!B63,IF(C64='dati nascosti'!H57,'dati nascosti'!D56,IF(C64=APPROFONDIMENTI!F72,APPROFONDIMENTI!B71,IF(C64=APPROFONDIMENTI!F80,APPROFONDIMENTI!B79,"")))))))</f>
        <v>Collasso di tipo fragile, quando la barra agisce contro il copriferro: bottom splitting (la rottura fragile è impedita dallo snervamento delle staffe del pilastro)</v>
      </c>
      <c r="G61" s="79"/>
      <c r="H61" s="79"/>
      <c r="I61" s="79"/>
      <c r="J61" s="79"/>
    </row>
    <row r="62" spans="3:10" x14ac:dyDescent="0.25">
      <c r="F62" s="79"/>
      <c r="G62" s="79"/>
      <c r="H62" s="79"/>
      <c r="I62" s="79"/>
      <c r="J62" s="79"/>
    </row>
    <row r="63" spans="3:10" x14ac:dyDescent="0.25">
      <c r="C63" s="36" t="s">
        <v>87</v>
      </c>
      <c r="D63" s="37"/>
      <c r="E63" s="37"/>
      <c r="F63" s="79"/>
      <c r="G63" s="79"/>
      <c r="H63" s="79"/>
      <c r="I63" s="79"/>
      <c r="J63" s="79"/>
    </row>
    <row r="64" spans="3:10" x14ac:dyDescent="0.25">
      <c r="C64" s="38">
        <f>MINA('VERIFICA SPINOTTO'!I42,'dati nascosti'!H57)</f>
        <v>62.366197149735683</v>
      </c>
      <c r="D64" s="38">
        <f>C64*'VERIFICA SPINOTTO'!H13</f>
        <v>62.366197149735683</v>
      </c>
      <c r="E64" s="37"/>
      <c r="F64" s="79"/>
      <c r="G64" s="79"/>
      <c r="H64" s="79"/>
      <c r="I64" s="79"/>
      <c r="J64" s="79"/>
    </row>
    <row r="67" spans="3:11" x14ac:dyDescent="0.25">
      <c r="C67" s="2"/>
      <c r="D67" s="2"/>
      <c r="E67" s="2"/>
      <c r="F67" s="2"/>
      <c r="G67" s="79" t="str">
        <f>IF(D70=APPROFONDIMENTI!F44,APPROFONDIMENTI!B38,IF(D70=APPROFONDIMENTI!F52,APPROFONDIMENTI!B50,IF(D70=APPROFONDIMENTI!F58,APPROFONDIMENTI!B56,IF(D70=APPROFONDIMENTI!F65,APPROFONDIMENTI!B63,IF(D70='dati nascosti'!H57,'dati nascosti'!D56,"")))))</f>
        <v/>
      </c>
      <c r="H67" s="79"/>
      <c r="I67" s="79"/>
      <c r="J67" s="79"/>
      <c r="K67" s="79"/>
    </row>
    <row r="68" spans="3:11" x14ac:dyDescent="0.25">
      <c r="C68" s="39" t="s">
        <v>81</v>
      </c>
      <c r="E68" s="39" t="s">
        <v>88</v>
      </c>
      <c r="G68" s="79"/>
      <c r="H68" s="79"/>
      <c r="I68" s="79"/>
      <c r="J68" s="79"/>
      <c r="K68" s="79"/>
    </row>
    <row r="69" spans="3:11" x14ac:dyDescent="0.25">
      <c r="C69" s="2"/>
      <c r="D69" s="26" t="s">
        <v>86</v>
      </c>
      <c r="E69" s="26"/>
      <c r="F69" s="26"/>
      <c r="G69" s="79"/>
      <c r="H69" s="79"/>
      <c r="I69" s="79"/>
      <c r="J69" s="79"/>
      <c r="K69" s="79"/>
    </row>
    <row r="70" spans="3:11" x14ac:dyDescent="0.25">
      <c r="C70" s="2"/>
      <c r="D70" s="27">
        <f>MINA(APPROFONDIMENTI!F44,APPROFONDIMENTI!F52,APPROFONDIMENTI!F58,APPROFONDIMENTI!F65,IF('VERIFICA SPINOTTO'!H7&lt;'VERIFICA SPINOTTO'!I95,APPROFONDIMENTI!F80,1000),IF('VERIFICA SPINOTTO'!H7&lt;'VERIFICA SPINOTTO'!I95,APPROFONDIMENTI!F72,1000))</f>
        <v>62.366197149735683</v>
      </c>
      <c r="E70" s="27">
        <f>D70*'VERIFICA SPINOTTO'!H13</f>
        <v>62.366197149735683</v>
      </c>
      <c r="F70" s="26"/>
      <c r="G70" s="79"/>
      <c r="H70" s="79"/>
      <c r="I70" s="79"/>
      <c r="J70" s="79"/>
      <c r="K70" s="79"/>
    </row>
    <row r="75" spans="3:11" x14ac:dyDescent="0.25">
      <c r="C75" s="57" t="str">
        <f>IF(C76="",'VERIFICA SPINOTTO'!H14,"")</f>
        <v/>
      </c>
      <c r="D75" s="57" t="str">
        <f>IF(D76="",'VERIFICA SPINOTTO'!I42,"")</f>
        <v/>
      </c>
    </row>
    <row r="76" spans="3:11" x14ac:dyDescent="0.25">
      <c r="C76" s="58">
        <f>IF('VERIFICA SPINOTTO'!B42=APPROFONDIMENTI!B71,'VERIFICA SPINOTTO'!H14,IF('VERIFICA SPINOTTO'!B42=APPROFONDIMENTI!B79,'VERIFICA SPINOTTO'!H14,""))</f>
        <v>30</v>
      </c>
      <c r="D76" s="58">
        <f>IF('VERIFICA SPINOTTO'!B42=APPROFONDIMENTI!B71,'VERIFICA SPINOTTO'!I42,IF('VERIFICA SPINOTTO'!B42=APPROFONDIMENTI!B79,'VERIFICA SPINOTTO'!I42,""))</f>
        <v>62.366197149735683</v>
      </c>
    </row>
  </sheetData>
  <customSheetViews>
    <customSheetView guid="{FF3B168D-F374-489C-835B-F1079A1938E3}" state="hidden">
      <selection activeCell="F20" sqref="F20"/>
      <pageMargins left="0.7" right="0.7" top="0.75" bottom="0.75" header="0.3" footer="0.3"/>
    </customSheetView>
  </customSheetViews>
  <mergeCells count="8">
    <mergeCell ref="D56:F57"/>
    <mergeCell ref="C56:C57"/>
    <mergeCell ref="G67:K70"/>
    <mergeCell ref="S10:T10"/>
    <mergeCell ref="G10:H10"/>
    <mergeCell ref="N23:P23"/>
    <mergeCell ref="Q23:S23"/>
    <mergeCell ref="F61:J64"/>
  </mergeCells>
  <dataValidations count="1">
    <dataValidation type="list" allowBlank="1" showInputMessage="1" showErrorMessage="1" sqref="S10">
      <formula1>acc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C110"/>
  <sheetViews>
    <sheetView showGridLines="0" showRowColHeaders="0" zoomScale="90" zoomScaleNormal="90" workbookViewId="0">
      <selection activeCell="H4" sqref="H4:I4"/>
    </sheetView>
  </sheetViews>
  <sheetFormatPr defaultRowHeight="15" x14ac:dyDescent="0.25"/>
  <cols>
    <col min="1" max="1" width="4" customWidth="1"/>
    <col min="6" max="6" width="40.42578125" customWidth="1"/>
    <col min="7" max="7" width="14.28515625" customWidth="1"/>
    <col min="8" max="9" width="10.28515625" customWidth="1"/>
  </cols>
  <sheetData>
    <row r="1" spans="2:29" ht="11.2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18.75" x14ac:dyDescent="0.3">
      <c r="B2" s="61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12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7.25" customHeight="1" thickTop="1" thickBot="1" x14ac:dyDescent="0.3">
      <c r="B4" s="67" t="s">
        <v>130</v>
      </c>
      <c r="C4" s="67"/>
      <c r="D4" s="2"/>
      <c r="E4" s="2"/>
      <c r="F4" s="2"/>
      <c r="G4" s="10" t="s">
        <v>56</v>
      </c>
      <c r="H4" s="98">
        <v>550</v>
      </c>
      <c r="I4" s="9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7.25" customHeight="1" thickTop="1" thickBot="1" x14ac:dyDescent="0.3">
      <c r="B5" s="67" t="s">
        <v>131</v>
      </c>
      <c r="C5" s="67"/>
      <c r="D5" s="2"/>
      <c r="E5" s="2"/>
      <c r="F5" s="2"/>
      <c r="G5" s="10" t="s">
        <v>103</v>
      </c>
      <c r="H5" s="98">
        <v>0</v>
      </c>
      <c r="I5" s="9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6.5" thickTop="1" thickBot="1" x14ac:dyDescent="0.3">
      <c r="B6" s="67" t="s">
        <v>128</v>
      </c>
      <c r="C6" s="67"/>
      <c r="D6" s="2"/>
      <c r="E6" s="2"/>
      <c r="F6" s="2"/>
      <c r="G6" s="10"/>
      <c r="H6" s="80" t="s">
        <v>11</v>
      </c>
      <c r="I6" s="8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6.5" thickTop="1" thickBot="1" x14ac:dyDescent="0.3">
      <c r="B7" s="67" t="s">
        <v>132</v>
      </c>
      <c r="C7" s="67"/>
      <c r="D7" s="2"/>
      <c r="E7" s="2"/>
      <c r="F7" s="2"/>
      <c r="G7" s="10" t="s">
        <v>57</v>
      </c>
      <c r="H7" s="98">
        <v>140</v>
      </c>
      <c r="I7" s="9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6.5" thickTop="1" thickBot="1" x14ac:dyDescent="0.3">
      <c r="B8" s="67" t="s">
        <v>73</v>
      </c>
      <c r="C8" s="67"/>
      <c r="D8" s="2"/>
      <c r="E8" s="2"/>
      <c r="F8" s="2"/>
      <c r="G8" s="10" t="s">
        <v>106</v>
      </c>
      <c r="H8" s="102">
        <v>10</v>
      </c>
      <c r="I8" s="10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6.5" thickTop="1" thickBot="1" x14ac:dyDescent="0.3">
      <c r="B9" s="67" t="s">
        <v>129</v>
      </c>
      <c r="C9" s="67"/>
      <c r="D9" s="2"/>
      <c r="E9" s="2"/>
      <c r="F9" s="2"/>
      <c r="G9" s="10" t="s">
        <v>107</v>
      </c>
      <c r="H9" s="80">
        <v>2</v>
      </c>
      <c r="I9" s="8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ht="16.5" thickTop="1" thickBot="1" x14ac:dyDescent="0.3">
      <c r="B10" s="67" t="s">
        <v>124</v>
      </c>
      <c r="C10" s="67"/>
      <c r="D10" s="2"/>
      <c r="E10" s="2"/>
      <c r="F10" s="2"/>
      <c r="G10" s="10" t="s">
        <v>104</v>
      </c>
      <c r="H10" s="98">
        <v>100</v>
      </c>
      <c r="I10" s="9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16.5" thickTop="1" thickBot="1" x14ac:dyDescent="0.3">
      <c r="B11" s="67" t="s">
        <v>90</v>
      </c>
      <c r="C11" s="67"/>
      <c r="D11" s="2"/>
      <c r="E11" s="2"/>
      <c r="F11" s="2"/>
      <c r="G11" s="10"/>
      <c r="H11" s="98" t="s">
        <v>92</v>
      </c>
      <c r="I11" s="9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9" customHeight="1" thickTop="1" thickBot="1" x14ac:dyDescent="0.3">
      <c r="B12" s="67"/>
      <c r="C12" s="67"/>
      <c r="D12" s="2"/>
      <c r="E12" s="2"/>
      <c r="F12" s="2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ht="16.5" thickTop="1" thickBot="1" x14ac:dyDescent="0.3">
      <c r="B13" s="67" t="s">
        <v>70</v>
      </c>
      <c r="C13" s="67"/>
      <c r="D13" s="2"/>
      <c r="E13" s="2"/>
      <c r="F13" s="2"/>
      <c r="G13" s="10" t="s">
        <v>101</v>
      </c>
      <c r="H13" s="80">
        <v>1</v>
      </c>
      <c r="I13" s="8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7.25" thickTop="1" thickBot="1" x14ac:dyDescent="0.3">
      <c r="B14" s="67" t="s">
        <v>69</v>
      </c>
      <c r="C14" s="67"/>
      <c r="D14" s="2"/>
      <c r="E14" s="2"/>
      <c r="F14" s="2"/>
      <c r="G14" s="10" t="s">
        <v>102</v>
      </c>
      <c r="H14" s="102">
        <v>30</v>
      </c>
      <c r="I14" s="103"/>
      <c r="J14" s="2"/>
      <c r="K14" s="71" t="str">
        <f>IF(H18='dati nascosti'!F8,"",IF(H14=28,"NON ESISTE IL BULLONE M28!",""))</f>
        <v/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7.25" thickTop="1" thickBot="1" x14ac:dyDescent="0.3">
      <c r="B15" s="67" t="s">
        <v>125</v>
      </c>
      <c r="C15" s="67"/>
      <c r="D15" s="2"/>
      <c r="E15" s="2"/>
      <c r="F15" s="2"/>
      <c r="G15" s="10" t="s">
        <v>59</v>
      </c>
      <c r="H15" s="98">
        <v>11</v>
      </c>
      <c r="I15" s="99"/>
      <c r="J15" s="2"/>
      <c r="K15" s="71" t="str">
        <f>IF(H18='dati nascosti'!F8,"",IF(H14=32,"NON ESISTE IL BULLONE M32!",""))</f>
        <v/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ht="16.5" thickTop="1" thickBot="1" x14ac:dyDescent="0.3">
      <c r="B16" s="67" t="s">
        <v>118</v>
      </c>
      <c r="C16" s="67"/>
      <c r="D16" s="2"/>
      <c r="E16" s="2"/>
      <c r="F16" s="2"/>
      <c r="G16" s="10" t="s">
        <v>39</v>
      </c>
      <c r="H16" s="100">
        <f>VLOOKUP(H18,'dati nascosti'!F6:G8,2,FALSE)</f>
        <v>900</v>
      </c>
      <c r="I16" s="10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20.25" thickTop="1" thickBot="1" x14ac:dyDescent="0.3">
      <c r="B17" s="67" t="s">
        <v>71</v>
      </c>
      <c r="C17" s="67"/>
      <c r="D17" s="2"/>
      <c r="E17" s="2"/>
      <c r="F17" s="2"/>
      <c r="G17" s="10" t="s">
        <v>119</v>
      </c>
      <c r="H17" s="92">
        <v>0</v>
      </c>
      <c r="I17" s="9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5.75" thickTop="1" x14ac:dyDescent="0.25">
      <c r="B18" s="85" t="s">
        <v>93</v>
      </c>
      <c r="C18" s="85"/>
      <c r="D18" s="2"/>
      <c r="E18" s="2"/>
      <c r="F18" s="2"/>
      <c r="G18" s="2"/>
      <c r="H18" s="94" t="s">
        <v>137</v>
      </c>
      <c r="I18" s="9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5.75" thickBot="1" x14ac:dyDescent="0.3">
      <c r="B19" s="85"/>
      <c r="C19" s="85"/>
      <c r="D19" s="2"/>
      <c r="E19" s="2"/>
      <c r="F19" s="2"/>
      <c r="G19" s="7"/>
      <c r="H19" s="96"/>
      <c r="I19" s="9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9" customHeight="1" thickTop="1" thickBot="1" x14ac:dyDescent="0.3">
      <c r="B20" s="67"/>
      <c r="C20" s="6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6.5" thickTop="1" thickBot="1" x14ac:dyDescent="0.3">
      <c r="B21" s="67" t="s">
        <v>89</v>
      </c>
      <c r="C21" s="67"/>
      <c r="D21" s="2"/>
      <c r="E21" s="2"/>
      <c r="F21" s="2"/>
      <c r="G21" s="40" t="s">
        <v>105</v>
      </c>
      <c r="H21" s="90">
        <v>60</v>
      </c>
      <c r="I21" s="9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5.75" thickTop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8.75" x14ac:dyDescent="0.3">
      <c r="B24" s="61" t="s">
        <v>127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2:29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8.75" x14ac:dyDescent="0.3">
      <c r="B40" s="61" t="s">
        <v>126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2:29" ht="18.75" x14ac:dyDescent="0.3">
      <c r="B41" s="6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5" customHeight="1" x14ac:dyDescent="0.25">
      <c r="B42" s="89" t="str">
        <f>IF(I42=APPROFONDIMENTI!F44,APPROFONDIMENTI!B38,IF(I42=APPROFONDIMENTI!F52,APPROFONDIMENTI!B50,IF(I42=APPROFONDIMENTI!F58,APPROFONDIMENTI!B56,IF(I42=APPROFONDIMENTI!F65,APPROFONDIMENTI!B63,IF(I42='dati nascosti'!H57,'dati nascosti'!D56,IF(I42=APPROFONDIMENTI!F72,APPROFONDIMENTI!B71,IF(I42=APPROFONDIMENTI!F80,APPROFONDIMENTI!B79,"")))))))</f>
        <v>Collasso di tipo fragile, quando la barra agisce contro il copriferro: bottom splitting (la rottura fragile è impedita dallo snervamento delle staffe del pilastro)</v>
      </c>
      <c r="C42" s="89"/>
      <c r="D42" s="89"/>
      <c r="E42" s="89"/>
      <c r="F42" s="89"/>
      <c r="G42" s="86" t="s">
        <v>109</v>
      </c>
      <c r="H42" s="73"/>
      <c r="I42" s="48">
        <f>MINA('dati nascosti'!D70,APPROFONDIMENTI!F72,APPROFONDIMENTI!F80)</f>
        <v>62.366197149735683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x14ac:dyDescent="0.25">
      <c r="B43" s="89"/>
      <c r="C43" s="89"/>
      <c r="D43" s="89"/>
      <c r="E43" s="89"/>
      <c r="F43" s="8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x14ac:dyDescent="0.25">
      <c r="B44" s="89"/>
      <c r="C44" s="89"/>
      <c r="D44" s="89"/>
      <c r="E44" s="89"/>
      <c r="F44" s="89"/>
      <c r="G44" s="86" t="s">
        <v>110</v>
      </c>
      <c r="H44" s="73"/>
      <c r="I44" s="48">
        <f>I42*'VERIFICA SPINOTTO'!H13</f>
        <v>62.366197149735683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x14ac:dyDescent="0.25">
      <c r="B45" s="89"/>
      <c r="C45" s="89"/>
      <c r="D45" s="89"/>
      <c r="E45" s="89"/>
      <c r="F45" s="8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x14ac:dyDescent="0.25">
      <c r="B46" s="63"/>
      <c r="C46" s="63"/>
      <c r="D46" s="63"/>
      <c r="E46" s="63"/>
      <c r="F46" s="6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8.75" x14ac:dyDescent="0.25">
      <c r="B47" s="88" t="s">
        <v>111</v>
      </c>
      <c r="C47" s="88"/>
      <c r="D47" s="88"/>
      <c r="F47" s="87" t="str">
        <f>IF(B49&lt;=D49,"verificato","N.V.!")</f>
        <v>verificato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9.75" customHeight="1" x14ac:dyDescent="0.25">
      <c r="B48" s="63"/>
      <c r="C48" s="63"/>
      <c r="D48" s="63"/>
      <c r="E48" s="63"/>
      <c r="F48" s="8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x14ac:dyDescent="0.25">
      <c r="B49" s="64">
        <f>H21</f>
        <v>60</v>
      </c>
      <c r="C49" s="65" t="s">
        <v>112</v>
      </c>
      <c r="D49" s="64">
        <f>I44</f>
        <v>62.366197149735683</v>
      </c>
      <c r="E49" s="63"/>
      <c r="F49" s="8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T59" s="2"/>
      <c r="U59" s="45"/>
      <c r="V59" s="45"/>
      <c r="W59" s="45"/>
      <c r="X59" s="2"/>
      <c r="Y59" s="2"/>
      <c r="Z59" s="2"/>
      <c r="AA59" s="2"/>
      <c r="AB59" s="2"/>
      <c r="AC59" s="2"/>
    </row>
    <row r="60" spans="2:29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T60" s="45"/>
      <c r="U60" s="45"/>
      <c r="V60" s="45"/>
      <c r="W60" s="45"/>
      <c r="X60" s="2"/>
      <c r="Y60" s="2"/>
      <c r="Z60" s="2"/>
      <c r="AA60" s="2"/>
      <c r="AB60" s="2"/>
      <c r="AC60" s="2"/>
    </row>
    <row r="61" spans="2:29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45"/>
      <c r="U61" s="45"/>
      <c r="V61" s="45"/>
      <c r="W61" s="45"/>
      <c r="X61" s="2"/>
      <c r="Y61" s="2"/>
      <c r="Z61" s="2"/>
      <c r="AA61" s="2"/>
      <c r="AB61" s="2"/>
      <c r="AC61" s="2"/>
    </row>
    <row r="62" spans="2:29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X62" s="2"/>
      <c r="Y62" s="2"/>
      <c r="Z62" s="2"/>
      <c r="AA62" s="2"/>
      <c r="AB62" s="2"/>
      <c r="AC62" s="2"/>
    </row>
    <row r="63" spans="2:29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X63" s="2"/>
      <c r="Y63" s="2"/>
      <c r="Z63" s="2"/>
      <c r="AA63" s="2"/>
      <c r="AB63" s="2"/>
      <c r="AC63" s="2"/>
    </row>
    <row r="64" spans="2:29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45"/>
      <c r="Q64" s="45"/>
      <c r="R64" s="45"/>
      <c r="X64" s="2"/>
      <c r="Y64" s="2"/>
      <c r="Z64" s="2"/>
      <c r="AA64" s="2"/>
      <c r="AB64" s="2"/>
      <c r="AC64" s="2"/>
    </row>
    <row r="65" spans="2:29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R65" s="45"/>
      <c r="X65" s="2"/>
      <c r="Y65" s="2"/>
      <c r="Z65" s="2"/>
      <c r="AA65" s="2"/>
      <c r="AB65" s="2"/>
      <c r="AC65" s="2"/>
    </row>
    <row r="66" spans="2:29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5"/>
      <c r="X66" s="2"/>
      <c r="Y66" s="2"/>
      <c r="Z66" s="2"/>
      <c r="AA66" s="2"/>
      <c r="AB66" s="2"/>
      <c r="AC66" s="2"/>
    </row>
    <row r="67" spans="2:29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45"/>
      <c r="S67" s="2"/>
      <c r="T67" s="2"/>
      <c r="U67" s="2"/>
      <c r="V67" s="2"/>
      <c r="W67" s="45"/>
      <c r="X67" s="2"/>
      <c r="Y67" s="2"/>
      <c r="Z67" s="2"/>
      <c r="AA67" s="2"/>
      <c r="AB67" s="2"/>
      <c r="AC67" s="2"/>
    </row>
    <row r="68" spans="2:29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6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x14ac:dyDescent="0.25">
      <c r="B95" s="2"/>
      <c r="C95" s="2"/>
      <c r="D95" s="2"/>
      <c r="E95" s="2"/>
      <c r="F95" s="2"/>
      <c r="G95" s="2"/>
      <c r="H95" s="60" t="s">
        <v>67</v>
      </c>
      <c r="I95" s="44">
        <f>7.5*'dati nascosti'!L43</f>
        <v>200.44616579907176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</sheetData>
  <sheetProtection algorithmName="SHA-512" hashValue="BOvK490WMQ25O3Yt8k2lCRNwKxmBo9zV/4Vaypzu+D+haM/+mj5v/kY3gGEJIChOL6WIIn+3niEoEUYbDZMlUQ==" saltValue="P+QXZ5SJwerVdfiLXmg+/g==" spinCount="100000" sheet="1" objects="1" scenarios="1" selectLockedCells="1"/>
  <customSheetViews>
    <customSheetView guid="{FF3B168D-F374-489C-835B-F1079A1938E3}" scale="90" showGridLines="0" showRowCol="0" fitToPage="1">
      <selection activeCell="H10" sqref="H10:I10"/>
      <pageMargins left="0.7" right="0.7" top="0.75" bottom="0.75" header="0.3" footer="0.3"/>
      <pageSetup paperSize="9" scale="69" fitToHeight="0" orientation="portrait" verticalDpi="300" r:id="rId1"/>
    </customSheetView>
  </customSheetViews>
  <mergeCells count="21">
    <mergeCell ref="H17:I17"/>
    <mergeCell ref="H18:I19"/>
    <mergeCell ref="H6:I6"/>
    <mergeCell ref="H4:I4"/>
    <mergeCell ref="H15:I15"/>
    <mergeCell ref="H16:I16"/>
    <mergeCell ref="H13:I13"/>
    <mergeCell ref="H7:I7"/>
    <mergeCell ref="H5:I5"/>
    <mergeCell ref="H11:I11"/>
    <mergeCell ref="H14:I14"/>
    <mergeCell ref="H8:I8"/>
    <mergeCell ref="H9:I9"/>
    <mergeCell ref="H10:I10"/>
    <mergeCell ref="B18:C19"/>
    <mergeCell ref="G42:H42"/>
    <mergeCell ref="G44:H44"/>
    <mergeCell ref="F47:F49"/>
    <mergeCell ref="B47:D47"/>
    <mergeCell ref="B42:F45"/>
    <mergeCell ref="H21:I21"/>
  </mergeCells>
  <conditionalFormatting sqref="F47:F49">
    <cfRule type="cellIs" dxfId="0" priority="1" operator="equal">
      <formula>"verificato"</formula>
    </cfRule>
  </conditionalFormatting>
  <dataValidations count="5">
    <dataValidation type="list" allowBlank="1" showInputMessage="1" showErrorMessage="1" sqref="H6">
      <formula1>clas</formula1>
    </dataValidation>
    <dataValidation type="list" allowBlank="1" showInputMessage="1" showErrorMessage="1" sqref="H14:I14 H8:I8">
      <formula1>diam</formula1>
    </dataValidation>
    <dataValidation type="list" allowBlank="1" showInputMessage="1" showErrorMessage="1" sqref="H11:I11">
      <formula1>sn</formula1>
    </dataValidation>
    <dataValidation type="list" allowBlank="1" showInputMessage="1" showErrorMessage="1" sqref="H13:I13">
      <formula1>nsp</formula1>
    </dataValidation>
    <dataValidation type="list" allowBlank="1" showInputMessage="1" showErrorMessage="1" sqref="H18:I19">
      <formula1>barr</formula1>
    </dataValidation>
  </dataValidations>
  <pageMargins left="0.7" right="0.7" top="0.75" bottom="0.75" header="0.3" footer="0.3"/>
  <pageSetup paperSize="9" scale="69" fitToHeight="0" orientation="portrait" verticalDpi="30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showGridLines="0" showRowColHeaders="0" workbookViewId="0">
      <selection activeCell="F21" sqref="F21"/>
    </sheetView>
  </sheetViews>
  <sheetFormatPr defaultRowHeight="15" x14ac:dyDescent="0.25"/>
  <cols>
    <col min="4" max="4" width="18.28515625" customWidth="1"/>
    <col min="6" max="6" width="15" customWidth="1"/>
    <col min="10" max="10" width="16.7109375" customWidth="1"/>
    <col min="12" max="12" width="24.7109375" customWidth="1"/>
    <col min="13" max="13" width="10.42578125" bestFit="1" customWidth="1"/>
    <col min="14" max="14" width="18.140625" customWidth="1"/>
    <col min="15" max="15" width="16.7109375" bestFit="1" customWidth="1"/>
    <col min="19" max="19" width="1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2"/>
      <c r="B2" s="12" t="s">
        <v>123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107" t="s">
        <v>22</v>
      </c>
      <c r="C4" s="107"/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 t="s">
        <v>13</v>
      </c>
      <c r="C6" s="2"/>
      <c r="D6" s="2"/>
      <c r="E6" s="2"/>
      <c r="F6" s="66" t="str">
        <f>'VERIFICA SPINOTTO'!H6</f>
        <v>C45/55</v>
      </c>
      <c r="G6" s="2"/>
      <c r="H6" s="2"/>
      <c r="I6" s="2"/>
      <c r="J6" s="2"/>
      <c r="K6" s="2"/>
      <c r="L6" s="2"/>
      <c r="M6" s="10"/>
      <c r="N6" s="2"/>
      <c r="O6" s="2"/>
      <c r="P6" s="2"/>
    </row>
    <row r="7" spans="1:16" x14ac:dyDescent="0.25">
      <c r="A7" s="2"/>
      <c r="B7" s="2" t="s">
        <v>15</v>
      </c>
      <c r="C7" s="2"/>
      <c r="D7" s="2"/>
      <c r="E7" s="3" t="s">
        <v>41</v>
      </c>
      <c r="F7" s="13">
        <f>VLOOKUP(F6,'dati nascosti'!C3:D13,2,FALSE)</f>
        <v>55</v>
      </c>
      <c r="G7" s="2"/>
      <c r="H7" s="2"/>
      <c r="I7" s="2"/>
      <c r="J7" s="2"/>
      <c r="K7" s="2"/>
      <c r="L7" s="2"/>
      <c r="M7" s="10"/>
      <c r="N7" s="7"/>
      <c r="O7" s="2"/>
      <c r="P7" s="2"/>
    </row>
    <row r="8" spans="1:16" x14ac:dyDescent="0.25">
      <c r="A8" s="2"/>
      <c r="B8" s="2" t="s">
        <v>16</v>
      </c>
      <c r="C8" s="2"/>
      <c r="D8" s="2"/>
      <c r="E8" s="3" t="s">
        <v>42</v>
      </c>
      <c r="F8" s="13">
        <f>F9+8</f>
        <v>53.65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 t="s">
        <v>17</v>
      </c>
      <c r="C9" s="2"/>
      <c r="D9" s="2"/>
      <c r="E9" s="3" t="s">
        <v>43</v>
      </c>
      <c r="F9" s="13">
        <f>F7*0.83</f>
        <v>45.65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 t="s">
        <v>18</v>
      </c>
      <c r="C10" s="2"/>
      <c r="D10" s="2"/>
      <c r="E10" s="3" t="s">
        <v>44</v>
      </c>
      <c r="F10" s="13">
        <f>(0.83*F7)/1.5</f>
        <v>30.433333333333334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2" t="s">
        <v>19</v>
      </c>
      <c r="C11" s="2"/>
      <c r="D11" s="2"/>
      <c r="E11" s="4" t="s">
        <v>45</v>
      </c>
      <c r="F11" s="13">
        <f>0.3*F9^(2/3)</f>
        <v>3.8319083151043372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 t="s">
        <v>20</v>
      </c>
      <c r="C12" s="2"/>
      <c r="D12" s="2"/>
      <c r="E12" s="3" t="s">
        <v>46</v>
      </c>
      <c r="F12" s="13">
        <f>0.7*F11</f>
        <v>2.6823358205730359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 t="s">
        <v>21</v>
      </c>
      <c r="C13" s="2"/>
      <c r="D13" s="2"/>
      <c r="E13" s="3" t="s">
        <v>47</v>
      </c>
      <c r="F13" s="13">
        <f>F12/1.5</f>
        <v>1.7882238803820238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 t="s">
        <v>24</v>
      </c>
      <c r="C14" s="2"/>
      <c r="D14" s="2"/>
      <c r="E14" s="3" t="s">
        <v>25</v>
      </c>
      <c r="F14" s="8">
        <f>22000*((0.83*F7+8)/10)^0.3</f>
        <v>36416.113897745636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 t="s">
        <v>33</v>
      </c>
      <c r="C15" s="2"/>
      <c r="D15" s="2"/>
      <c r="E15" s="9" t="s">
        <v>31</v>
      </c>
      <c r="F15" s="14">
        <v>1.5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107" t="s">
        <v>139</v>
      </c>
      <c r="C19" s="107"/>
      <c r="D19" s="107"/>
      <c r="E19" s="107"/>
      <c r="F19" s="107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 t="s">
        <v>28</v>
      </c>
      <c r="C21" s="6"/>
      <c r="D21" s="7"/>
      <c r="E21" s="3" t="s">
        <v>39</v>
      </c>
      <c r="F21" s="5">
        <f>'VERIFICA SPINOTTO'!H16</f>
        <v>900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 t="s">
        <v>29</v>
      </c>
      <c r="C22" s="2"/>
      <c r="D22" s="2"/>
      <c r="E22" s="3" t="s">
        <v>40</v>
      </c>
      <c r="F22" s="5">
        <f>F21/1.15</f>
        <v>782.60869565217399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 t="s">
        <v>24</v>
      </c>
      <c r="C23" s="2"/>
      <c r="D23" s="2"/>
      <c r="E23" s="3" t="s">
        <v>25</v>
      </c>
      <c r="F23" s="8">
        <v>206000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 t="s">
        <v>34</v>
      </c>
      <c r="C24" s="2"/>
      <c r="D24" s="2"/>
      <c r="E24" s="9" t="s">
        <v>35</v>
      </c>
      <c r="F24" s="14">
        <v>1.1499999999999999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40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107" t="s">
        <v>72</v>
      </c>
      <c r="C28" s="107"/>
      <c r="D28" s="107"/>
      <c r="E28" s="107"/>
      <c r="F28" s="107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 t="s">
        <v>95</v>
      </c>
      <c r="C30" s="2"/>
      <c r="D30" s="2"/>
      <c r="E30" s="10"/>
      <c r="F30" s="70">
        <f>'dati nascosti'!G10</f>
        <v>26.726155439876237</v>
      </c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 t="s">
        <v>23</v>
      </c>
      <c r="C31" s="2"/>
      <c r="D31" s="2"/>
      <c r="E31" s="3" t="s">
        <v>38</v>
      </c>
      <c r="F31" s="13">
        <f>(2.25*F12)/1.5</f>
        <v>4.023503730859554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 t="s">
        <v>32</v>
      </c>
      <c r="C32" s="2"/>
      <c r="D32" s="2"/>
      <c r="E32" s="10" t="s">
        <v>30</v>
      </c>
      <c r="F32" s="14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 t="s">
        <v>33</v>
      </c>
      <c r="C33" s="2"/>
      <c r="D33" s="2"/>
      <c r="E33" s="9" t="s">
        <v>31</v>
      </c>
      <c r="F33" s="14">
        <v>1.5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x14ac:dyDescent="0.25">
      <c r="A34" s="2"/>
      <c r="B34" s="11" t="s">
        <v>36</v>
      </c>
      <c r="C34" s="2"/>
      <c r="D34" s="2"/>
      <c r="E34" s="3" t="s">
        <v>37</v>
      </c>
      <c r="F34" s="16">
        <f>F30*F22/(4*F31)</f>
        <v>1299.6211168002583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107" t="s">
        <v>51</v>
      </c>
      <c r="C38" s="107"/>
      <c r="D38" s="107"/>
      <c r="E38" s="107"/>
      <c r="F38" s="107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 customHeight="1" x14ac:dyDescent="0.25">
      <c r="A40" s="2"/>
      <c r="B40" s="106" t="s">
        <v>138</v>
      </c>
      <c r="C40" s="106"/>
      <c r="D40" s="10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106"/>
      <c r="C41" s="106"/>
      <c r="D41" s="10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106"/>
      <c r="C42" s="106"/>
      <c r="D42" s="10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106"/>
      <c r="C43" s="106"/>
      <c r="D43" s="10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106"/>
      <c r="C44" s="106"/>
      <c r="D44" s="106"/>
      <c r="E44" s="10" t="s">
        <v>96</v>
      </c>
      <c r="F44" s="42">
        <f>(1.2*'dati nascosti'!L43^2*(F22*F10)^0.5)*10^-3</f>
        <v>132.28217343545236</v>
      </c>
      <c r="G44" s="2"/>
      <c r="H44" s="60" t="s">
        <v>97</v>
      </c>
      <c r="I44" s="52">
        <f>0.5*F30</f>
        <v>13.363077719938119</v>
      </c>
      <c r="J44" s="2" t="str">
        <f>IF('VERIFICA SPINOTTO'!H15&lt;APPROFONDIMENTI!I44,"verificato","N.V!")</f>
        <v>verificato</v>
      </c>
      <c r="K44" s="2"/>
      <c r="L44" s="2"/>
      <c r="M44" s="2"/>
      <c r="N44" s="2"/>
      <c r="O44" s="2"/>
      <c r="P44" s="2"/>
    </row>
    <row r="45" spans="1:16" x14ac:dyDescent="0.25">
      <c r="A45" s="2"/>
      <c r="B45" s="53"/>
      <c r="C45" s="53"/>
      <c r="D45" s="5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107" t="s">
        <v>54</v>
      </c>
      <c r="C48" s="107"/>
      <c r="D48" s="107"/>
      <c r="E48" s="107"/>
      <c r="F48" s="107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" customHeight="1" x14ac:dyDescent="0.25">
      <c r="A50" s="104">
        <v>1</v>
      </c>
      <c r="B50" s="106" t="s">
        <v>113</v>
      </c>
      <c r="C50" s="106"/>
      <c r="D50" s="10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104"/>
      <c r="B51" s="106"/>
      <c r="C51" s="106"/>
      <c r="D51" s="10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59"/>
      <c r="B52" s="106"/>
      <c r="C52" s="106"/>
      <c r="D52" s="106"/>
      <c r="E52" s="10" t="s">
        <v>96</v>
      </c>
      <c r="F52" s="42">
        <f>(1.3*'dati nascosti'!L43^2*(F22*F10)^0.5)*10^-3</f>
        <v>143.30568788840671</v>
      </c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59"/>
      <c r="B53" s="106"/>
      <c r="C53" s="106"/>
      <c r="D53" s="10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59"/>
      <c r="B54" s="53"/>
      <c r="C54" s="53"/>
      <c r="D54" s="53"/>
      <c r="E54" s="10"/>
      <c r="F54" s="49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5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 customHeight="1" x14ac:dyDescent="0.25">
      <c r="A56" s="104">
        <v>2</v>
      </c>
      <c r="B56" s="106" t="s">
        <v>115</v>
      </c>
      <c r="C56" s="106"/>
      <c r="D56" s="10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104"/>
      <c r="B57" s="106"/>
      <c r="C57" s="106"/>
      <c r="D57" s="10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19"/>
      <c r="B58" s="106"/>
      <c r="C58" s="106"/>
      <c r="D58" s="106"/>
      <c r="E58" s="10" t="s">
        <v>96</v>
      </c>
      <c r="F58" s="42">
        <f>(-'dati nascosti'!N5+('dati nascosti'!N5^2-4*'dati nascosti'!M5*'dati nascosti'!O5)^0.5)/2*10^-3</f>
        <v>115.75778464543281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19"/>
      <c r="B59" s="106"/>
      <c r="C59" s="106"/>
      <c r="D59" s="106"/>
      <c r="E59" s="10"/>
      <c r="F59" s="49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19"/>
      <c r="B60" s="106"/>
      <c r="C60" s="106"/>
      <c r="D60" s="10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59"/>
      <c r="B61" s="2"/>
      <c r="C61" s="2"/>
      <c r="D61" s="2"/>
      <c r="E61" s="2"/>
      <c r="F61" s="2"/>
      <c r="G61" s="2"/>
      <c r="H61" s="2"/>
      <c r="I61" s="2"/>
      <c r="J61" s="2"/>
      <c r="K61" s="2"/>
      <c r="L61" s="17"/>
      <c r="M61" s="2"/>
      <c r="N61" s="2"/>
      <c r="O61" s="2"/>
      <c r="P61" s="2"/>
    </row>
    <row r="62" spans="1:16" x14ac:dyDescent="0.25">
      <c r="A62" s="5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 customHeight="1" x14ac:dyDescent="0.25">
      <c r="A63" s="104">
        <v>3</v>
      </c>
      <c r="B63" s="106" t="s">
        <v>114</v>
      </c>
      <c r="C63" s="106"/>
      <c r="D63" s="10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104"/>
      <c r="B64" s="106"/>
      <c r="C64" s="106"/>
      <c r="D64" s="10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59"/>
      <c r="B65" s="106"/>
      <c r="C65" s="106"/>
      <c r="D65" s="106"/>
      <c r="E65" s="10" t="s">
        <v>96</v>
      </c>
      <c r="F65" s="42">
        <f>'dati nascosti'!L43^2*(F9*'dati nascosti'!L45*(1-('dati nascosti'!L46/'dati nascosti'!L45)^2))^0.5*10^-3</f>
        <v>144.78201797633633</v>
      </c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59"/>
      <c r="B66" s="106"/>
      <c r="C66" s="106"/>
      <c r="D66" s="10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59"/>
      <c r="B67" s="106"/>
      <c r="C67" s="106"/>
      <c r="D67" s="10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59"/>
      <c r="B68" s="53"/>
      <c r="C68" s="53"/>
      <c r="D68" s="5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5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5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 customHeight="1" x14ac:dyDescent="0.25">
      <c r="A71" s="104">
        <v>4</v>
      </c>
      <c r="B71" s="105" t="s">
        <v>116</v>
      </c>
      <c r="C71" s="105"/>
      <c r="D71" s="105"/>
      <c r="E71" s="2"/>
      <c r="F71" s="2"/>
      <c r="G71" s="2"/>
      <c r="H71" s="2"/>
      <c r="I71" s="2"/>
      <c r="J71" s="2"/>
      <c r="K71" s="2"/>
      <c r="L71" s="2"/>
      <c r="M71" s="2"/>
      <c r="N71" s="21"/>
      <c r="O71" s="2"/>
      <c r="P71" s="2"/>
    </row>
    <row r="72" spans="1:16" x14ac:dyDescent="0.25">
      <c r="A72" s="104"/>
      <c r="B72" s="105"/>
      <c r="C72" s="105"/>
      <c r="D72" s="105"/>
      <c r="E72" s="10" t="s">
        <v>96</v>
      </c>
      <c r="F72" s="48">
        <f>F74+F75</f>
        <v>62.366197149735683</v>
      </c>
      <c r="G72" s="2"/>
      <c r="H72" s="2"/>
      <c r="I72" s="2"/>
      <c r="J72" s="2"/>
      <c r="K72" s="2"/>
      <c r="L72" s="2"/>
      <c r="M72" s="2"/>
      <c r="N72" s="2"/>
      <c r="O72" s="2"/>
      <c r="P72" s="15"/>
    </row>
    <row r="73" spans="1:16" ht="9.75" customHeight="1" x14ac:dyDescent="0.25">
      <c r="A73" s="59"/>
      <c r="B73" s="105"/>
      <c r="C73" s="105"/>
      <c r="D73" s="105"/>
      <c r="E73" s="4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59"/>
      <c r="B74" s="105"/>
      <c r="C74" s="105"/>
      <c r="D74" s="105"/>
      <c r="E74" s="46" t="s">
        <v>74</v>
      </c>
      <c r="F74" s="47">
        <f>5*'dati nascosti'!L43*'dati nascosti'!L47*F13*('dati nascosti'!L47/(0.66*'dati nascosti'!L47+'dati nascosti'!L43))*10^-3</f>
        <v>39.316724549429068</v>
      </c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59"/>
      <c r="B75" s="105"/>
      <c r="C75" s="105"/>
      <c r="D75" s="105"/>
      <c r="E75" s="46" t="s">
        <v>66</v>
      </c>
      <c r="F75" s="47">
        <f>IF('VERIFICA SPINOTTO'!H11='dati nascosti'!E8,391.3*('VERIFICA SPINOTTO'!H8/2)^2*PI()*F34/'VERIFICA SPINOTTO'!H10*2.5*'VERIFICA SPINOTTO'!H14/F34*10^-3,0)</f>
        <v>23.049472600306615</v>
      </c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5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1"/>
      <c r="O76" s="2"/>
      <c r="P76" s="2"/>
    </row>
    <row r="77" spans="1:16" x14ac:dyDescent="0.25">
      <c r="A77" s="59"/>
      <c r="B77" s="2"/>
      <c r="C77" s="2"/>
      <c r="D77" s="2"/>
      <c r="E77" s="2"/>
      <c r="G77" s="2"/>
      <c r="H77" s="2"/>
      <c r="I77" s="2"/>
      <c r="J77" s="2"/>
      <c r="K77" s="2"/>
      <c r="L77" s="2"/>
      <c r="M77" s="2"/>
      <c r="N77" s="21"/>
      <c r="O77" s="2"/>
      <c r="P77" s="2"/>
    </row>
    <row r="78" spans="1:16" x14ac:dyDescent="0.25">
      <c r="A78" s="5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 customHeight="1" x14ac:dyDescent="0.25">
      <c r="A79" s="104">
        <v>5</v>
      </c>
      <c r="B79" s="105" t="s">
        <v>117</v>
      </c>
      <c r="C79" s="105"/>
      <c r="D79" s="10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104"/>
      <c r="B80" s="105"/>
      <c r="C80" s="105"/>
      <c r="D80" s="105"/>
      <c r="E80" s="10" t="s">
        <v>96</v>
      </c>
      <c r="F80" s="48">
        <f>F82+F83</f>
        <v>316.28880678753387</v>
      </c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59"/>
      <c r="B81" s="105"/>
      <c r="C81" s="105"/>
      <c r="D81" s="10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105"/>
      <c r="C82" s="105"/>
      <c r="D82" s="105"/>
      <c r="E82" s="46" t="s">
        <v>74</v>
      </c>
      <c r="F82" s="47">
        <f>2*'dati nascosti'!L43*'dati nascosti'!L48*F13*10^-3</f>
        <v>50.016972810045587</v>
      </c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46" t="s">
        <v>66</v>
      </c>
      <c r="F83" s="47">
        <f>IF('VERIFICA SPINOTTO'!H11='dati nascosti'!E8,391.3*('VERIFICA SPINOTTO'!H8/2)^2*PI()*'VERIFICA SPINOTTO'!H9*F34/'VERIFICA SPINOTTO'!H10*1/3*10^-3,0)</f>
        <v>266.27183397748826</v>
      </c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45"/>
      <c r="F86" s="2"/>
      <c r="G86" s="2"/>
      <c r="H86" s="46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P91" s="2"/>
    </row>
    <row r="92" spans="1:16" x14ac:dyDescent="0.25">
      <c r="O92" s="28"/>
      <c r="P92" s="2"/>
    </row>
    <row r="93" spans="1:16" x14ac:dyDescent="0.25">
      <c r="P93" s="2"/>
    </row>
    <row r="94" spans="1:16" x14ac:dyDescent="0.25">
      <c r="N94" s="2"/>
      <c r="O94" s="2"/>
      <c r="P94" s="2"/>
    </row>
    <row r="97" spans="16:16" ht="15" customHeight="1" x14ac:dyDescent="0.25"/>
    <row r="112" spans="16:16" x14ac:dyDescent="0.25">
      <c r="P112" s="2"/>
    </row>
    <row r="113" spans="16:16" x14ac:dyDescent="0.25">
      <c r="P113" s="2"/>
    </row>
    <row r="114" spans="16:16" x14ac:dyDescent="0.25">
      <c r="P114" s="2"/>
    </row>
    <row r="115" spans="16:16" x14ac:dyDescent="0.25">
      <c r="P115" s="2"/>
    </row>
    <row r="116" spans="16:16" x14ac:dyDescent="0.25">
      <c r="P116" s="2"/>
    </row>
    <row r="117" spans="16:16" x14ac:dyDescent="0.25">
      <c r="P117" s="2"/>
    </row>
    <row r="118" spans="16:16" x14ac:dyDescent="0.25">
      <c r="P118" s="2"/>
    </row>
    <row r="119" spans="16:16" x14ac:dyDescent="0.25">
      <c r="P119" s="2"/>
    </row>
  </sheetData>
  <sheetProtection algorithmName="SHA-512" hashValue="qAJt2vU77cCtPhkL+PPwUMyvu2ghxOyG7ZIqDZqjaEo+64HBbdKfttwVCN4nJb/HRNFzB6Lqob5FR1REWRPqjQ==" saltValue="5vknPC0OCiF/w/h9Smq8bg==" spinCount="100000" sheet="1" objects="1" scenarios="1" selectLockedCells="1" selectUnlockedCells="1"/>
  <customSheetViews>
    <customSheetView guid="{FF3B168D-F374-489C-835B-F1079A1938E3}" showGridLines="0" showRowCol="0" fitToPage="1">
      <selection activeCell="F21" sqref="F21"/>
      <pageMargins left="0.25" right="0.25" top="0.75" bottom="0.75" header="0.3" footer="0.3"/>
      <pageSetup paperSize="9" scale="51" fitToHeight="0" orientation="portrait" verticalDpi="300" r:id="rId1"/>
    </customSheetView>
  </customSheetViews>
  <mergeCells count="16">
    <mergeCell ref="B4:F4"/>
    <mergeCell ref="B19:F19"/>
    <mergeCell ref="B28:F28"/>
    <mergeCell ref="B38:F38"/>
    <mergeCell ref="B48:F48"/>
    <mergeCell ref="B40:D44"/>
    <mergeCell ref="A71:A72"/>
    <mergeCell ref="A79:A80"/>
    <mergeCell ref="B71:D75"/>
    <mergeCell ref="B79:D82"/>
    <mergeCell ref="A50:A51"/>
    <mergeCell ref="A56:A57"/>
    <mergeCell ref="A63:A64"/>
    <mergeCell ref="B50:D53"/>
    <mergeCell ref="B56:D60"/>
    <mergeCell ref="B63:D67"/>
  </mergeCells>
  <pageMargins left="0.25" right="0.25" top="0.75" bottom="0.75" header="0.3" footer="0.3"/>
  <pageSetup paperSize="9" scale="51" fitToHeight="0" orientation="portrait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ISTRUZIONI</vt:lpstr>
      <vt:lpstr>dati nascosti</vt:lpstr>
      <vt:lpstr>VERIFICA SPINOTTO</vt:lpstr>
      <vt:lpstr>APPROFONDIMENTI</vt:lpstr>
      <vt:lpstr>acc</vt:lpstr>
      <vt:lpstr>bar</vt:lpstr>
      <vt:lpstr>barr</vt:lpstr>
      <vt:lpstr>clas</vt:lpstr>
      <vt:lpstr>db</vt:lpstr>
      <vt:lpstr>diam</vt:lpstr>
      <vt:lpstr>nsp</vt:lpstr>
      <vt:lpstr>sn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Davide Cicchini</cp:lastModifiedBy>
  <cp:lastPrinted>2016-07-07T15:52:41Z</cp:lastPrinted>
  <dcterms:created xsi:type="dcterms:W3CDTF">2016-02-26T09:33:25Z</dcterms:created>
  <dcterms:modified xsi:type="dcterms:W3CDTF">2017-05-30T14:25:58Z</dcterms:modified>
</cp:coreProperties>
</file>